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firstSheet="13" activeTab="0"/>
  </bookViews>
  <sheets>
    <sheet name="実績報告書" sheetId="1" r:id="rId1"/>
    <sheet name="1_総括表" sheetId="2" r:id="rId2"/>
    <sheet name="2-1_集計表①(旧々・旧制度)" sheetId="3" r:id="rId3"/>
    <sheet name="2-2_算定表①(旧々・旧制度)" sheetId="4" r:id="rId4"/>
    <sheet name="2-3_調整額内訳①(旧々・旧制度)" sheetId="5" r:id="rId5"/>
    <sheet name="2-1_集計表②(旧々・新制度)" sheetId="6" r:id="rId6"/>
    <sheet name="2-2_算定表②(旧々・新制度)" sheetId="7" r:id="rId7"/>
    <sheet name="2-3_調整額内訳②(旧々・新制度)" sheetId="8" r:id="rId8"/>
    <sheet name="2-1_集計表③(旧・旧制度)" sheetId="9" r:id="rId9"/>
    <sheet name="2-2_算定表③(旧・旧制度)" sheetId="10" r:id="rId10"/>
    <sheet name="2-3_調整額内訳③(旧・旧制度)" sheetId="11" r:id="rId11"/>
    <sheet name="2-1_集計表④(旧・新制度)" sheetId="12" r:id="rId12"/>
    <sheet name="2-2_算定表④(旧・新制度)" sheetId="13" r:id="rId13"/>
    <sheet name="2-3_調整額内訳④(旧・新制度)" sheetId="14" r:id="rId14"/>
    <sheet name="2-1_集計表⑤(新・新制度)" sheetId="15" r:id="rId15"/>
    <sheet name="2-2_算定表⑤(新・新制度)" sheetId="16" r:id="rId16"/>
    <sheet name="2-3_調整額内訳⑤(新・新制度)" sheetId="17" r:id="rId17"/>
  </sheets>
  <definedNames>
    <definedName name="_xlfn.IFERROR" hidden="1">#NAME?</definedName>
    <definedName name="_xlnm.Print_Area" localSheetId="1">'1_総括表'!$A$1:$AF$39</definedName>
    <definedName name="_xlnm.Print_Area" localSheetId="2">'2-1_集計表①(旧々・旧制度)'!$A$1:$R$37</definedName>
    <definedName name="_xlnm.Print_Area" localSheetId="5">'2-1_集計表②(旧々・新制度)'!$A$1:$R$37</definedName>
    <definedName name="_xlnm.Print_Area" localSheetId="8">'2-1_集計表③(旧・旧制度)'!$A$1:$R$37</definedName>
    <definedName name="_xlnm.Print_Area" localSheetId="11">'2-1_集計表④(旧・新制度)'!$A$1:$R$41</definedName>
    <definedName name="_xlnm.Print_Area" localSheetId="14">'2-1_集計表⑤(新・新制度)'!$A$1:$R$37</definedName>
    <definedName name="_xlnm.Print_Area" localSheetId="3">'2-2_算定表①(旧々・旧制度)'!$A$1:$AJ$59</definedName>
    <definedName name="_xlnm.Print_Area" localSheetId="6">'2-2_算定表②(旧々・新制度)'!$A$1:$AJ$59</definedName>
    <definedName name="_xlnm.Print_Area" localSheetId="9">'2-2_算定表③(旧・旧制度)'!$A$1:$AJ$59</definedName>
    <definedName name="_xlnm.Print_Area" localSheetId="12">'2-2_算定表④(旧・新制度)'!$A$1:$AH$59</definedName>
    <definedName name="_xlnm.Print_Area" localSheetId="15">'2-2_算定表⑤(新・新制度)'!$A$1:$AH$59</definedName>
    <definedName name="_xlnm.Print_Area" localSheetId="4">'2-3_調整額内訳①(旧々・旧制度)'!$A$1:$AG$43</definedName>
    <definedName name="_xlnm.Print_Area" localSheetId="7">'2-3_調整額内訳②(旧々・新制度)'!$A$1:$AG$43</definedName>
    <definedName name="_xlnm.Print_Area" localSheetId="10">'2-3_調整額内訳③(旧・旧制度)'!$A$1:$AI$43</definedName>
    <definedName name="_xlnm.Print_Area" localSheetId="13">'2-3_調整額内訳④(旧・新制度)'!$A$1:$AK$43</definedName>
    <definedName name="_xlnm.Print_Area" localSheetId="16">'2-3_調整額内訳⑤(新・新制度)'!$A$1:$AI$43</definedName>
    <definedName name="_xlnm.Print_Area" localSheetId="0">'実績報告書'!$A$1:$P$51</definedName>
    <definedName name="_xlnm.Print_Titles" localSheetId="3">'2-2_算定表①(旧々・旧制度)'!$1:$7</definedName>
    <definedName name="_xlnm.Print_Titles" localSheetId="6">'2-2_算定表②(旧々・新制度)'!$1:$7</definedName>
    <definedName name="_xlnm.Print_Titles" localSheetId="9">'2-2_算定表③(旧・旧制度)'!$1:$7</definedName>
    <definedName name="_xlnm.Print_Titles" localSheetId="12">'2-2_算定表④(旧・新制度)'!$1:$7</definedName>
    <definedName name="_xlnm.Print_Titles" localSheetId="15">'2-2_算定表⑤(新・新制度)'!$1:$7</definedName>
    <definedName name="_xlnm.Print_Titles" localSheetId="4">'2-3_調整額内訳①(旧々・旧制度)'!$1:$8</definedName>
    <definedName name="_xlnm.Print_Titles" localSheetId="7">'2-3_調整額内訳②(旧々・新制度)'!$1:$8</definedName>
    <definedName name="_xlnm.Print_Titles" localSheetId="10">'2-3_調整額内訳③(旧・旧制度)'!$1:$8</definedName>
    <definedName name="_xlnm.Print_Titles" localSheetId="13">'2-3_調整額内訳④(旧・新制度)'!$1:$8</definedName>
    <definedName name="_xlnm.Print_Titles" localSheetId="16">'2-3_調整額内訳⑤(新・新制度)'!$1:$8</definedName>
  </definedNames>
  <calcPr fullCalcOnLoad="1"/>
</workbook>
</file>

<file path=xl/comments10.xml><?xml version="1.0" encoding="utf-8"?>
<comments xmlns="http://schemas.openxmlformats.org/spreadsheetml/2006/main">
  <authors>
    <author>小谷　直也</author>
    <author>原　千寛</author>
    <author>小田　廣子</author>
    <author>池田　周</author>
  </authors>
  <commentList>
    <comment ref="B3" authorId="0">
      <text>
        <r>
          <rPr>
            <b/>
            <sz val="16"/>
            <color indexed="10"/>
            <rFont val="ＭＳ Ｐゴシック"/>
            <family val="3"/>
          </rPr>
          <t>（旧制度）（就学支援金旧制度）　
※平成２３年度～平成２５年度入学の者のみ記入すること</t>
        </r>
      </text>
    </comment>
    <comment ref="A4" authorId="1">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Z4" authorId="1">
      <text>
        <r>
          <rPr>
            <b/>
            <sz val="9"/>
            <rFont val="ＭＳ Ｐゴシック"/>
            <family val="3"/>
          </rPr>
          <t>授業料支援補助金対象期間における授業料減免等の額を記載ください。</t>
        </r>
      </text>
    </comment>
    <comment ref="AB4" authorId="1">
      <text>
        <r>
          <rPr>
            <b/>
            <sz val="9"/>
            <rFont val="ＭＳ Ｐゴシック"/>
            <family val="3"/>
          </rPr>
          <t>授業料支援補助金の支給を受ける期間における学び直し支援金の受給金額を記載ください。</t>
        </r>
      </text>
    </comment>
    <comment ref="AC4" authorId="1">
      <text>
        <r>
          <rPr>
            <b/>
            <sz val="9"/>
            <rFont val="ＭＳ Ｐゴシック"/>
            <family val="3"/>
          </rPr>
          <t>授業料支援補助金の支給を受ける期間における学び直し支援金の対象となる授業料が計算されます。</t>
        </r>
      </text>
    </comment>
    <comment ref="AD4" authorId="1">
      <text>
        <r>
          <rPr>
            <b/>
            <sz val="9"/>
            <rFont val="ＭＳ Ｐゴシック"/>
            <family val="3"/>
          </rPr>
          <t>学び直し支援金がその対象となる授業料を超過して支給されている金額を表示します。</t>
        </r>
      </text>
    </comment>
    <comment ref="AE4" authorId="1">
      <text>
        <r>
          <rPr>
            <b/>
            <sz val="9"/>
            <rFont val="ＭＳ Ｐゴシック"/>
            <family val="3"/>
          </rPr>
          <t>(支援補助金対象期間において受給する額)
※履修単位が残至急単位を超えていても、受給する支援金の額をそのまま記載ください。</t>
        </r>
      </text>
    </comment>
    <comment ref="AF4" authorId="1">
      <text>
        <r>
          <rPr>
            <b/>
            <sz val="9"/>
            <rFont val="ＭＳ Ｐゴシック"/>
            <family val="3"/>
          </rPr>
          <t>この欄は
(N)-(P)-(Q)にて算出されます。</t>
        </r>
      </text>
    </comment>
    <comment ref="AG4" authorId="1">
      <text>
        <r>
          <rPr>
            <b/>
            <sz val="9"/>
            <rFont val="ＭＳ Ｐゴシック"/>
            <family val="3"/>
          </rPr>
          <t>この欄は
(R)≧(M) →(M)-(Q')
(R)＜(M) →(R)-(Q')にて
算出されています。</t>
        </r>
      </text>
    </comment>
    <comment ref="F5" authorId="1">
      <text>
        <r>
          <rPr>
            <b/>
            <sz val="9"/>
            <rFont val="ＭＳ Ｐゴシック"/>
            <family val="3"/>
          </rPr>
          <t>登録単位数のうち、就学支援金の対象となる単位数を記載ください。</t>
        </r>
      </text>
    </comment>
    <comment ref="J5" authorId="1">
      <text>
        <r>
          <rPr>
            <b/>
            <sz val="9"/>
            <rFont val="ＭＳ Ｐゴシック"/>
            <family val="3"/>
          </rPr>
          <t>支援補助金の対象となる単位の履修期間を記載ください。</t>
        </r>
      </text>
    </comment>
    <comment ref="K5" authorId="1">
      <text>
        <r>
          <rPr>
            <b/>
            <sz val="9"/>
            <rFont val="ＭＳ Ｐゴシック"/>
            <family val="3"/>
          </rPr>
          <t>生徒在籍期間のうち、授業料支援補助金の対象となる月数を記載ください。</t>
        </r>
      </text>
    </comment>
    <comment ref="L5" authorId="1">
      <text>
        <r>
          <rPr>
            <b/>
            <sz val="9"/>
            <rFont val="ＭＳ Ｐゴシック"/>
            <family val="3"/>
          </rPr>
          <t>生徒在籍期間の始まる月を記載ください</t>
        </r>
      </text>
    </comment>
    <comment ref="O6" authorId="2">
      <text>
        <r>
          <rPr>
            <sz val="10"/>
            <rFont val="ＭＳ Ｐゴシック"/>
            <family val="3"/>
          </rPr>
          <t>29年度のランクを入力
（プルダウンか全角大文字）
※Dランクは記入、Dランク以上または受給していない場合は空欄でお願いします。</t>
        </r>
      </text>
    </comment>
    <comment ref="P6" authorId="3">
      <text>
        <r>
          <rPr>
            <sz val="10"/>
            <rFont val="ＭＳ Ｐゴシック"/>
            <family val="3"/>
          </rPr>
          <t>23年度の市町村民税所得割額（保護者合算）を入力。</t>
        </r>
      </text>
    </comment>
    <comment ref="R6" authorId="2">
      <text>
        <r>
          <rPr>
            <sz val="10"/>
            <rFont val="ＭＳ Ｐゴシック"/>
            <family val="3"/>
          </rPr>
          <t>30年度のランクを入力
（プルダウンか全角大文字）
※Dランクは記入、Dランク以上または受給していない場合は空欄でお願いします。</t>
        </r>
      </text>
    </comment>
    <comment ref="S6" authorId="3">
      <text>
        <r>
          <rPr>
            <sz val="10"/>
            <rFont val="ＭＳ Ｐゴシック"/>
            <family val="3"/>
          </rPr>
          <t>23年度の市町村民税所得割額（保護者合算）を入力。</t>
        </r>
      </text>
    </comment>
  </commentList>
</comments>
</file>

<file path=xl/comments13.xml><?xml version="1.0" encoding="utf-8"?>
<comments xmlns="http://schemas.openxmlformats.org/spreadsheetml/2006/main">
  <authors>
    <author>小田　廣子</author>
    <author>原　千寛</author>
    <author>小谷　直也</author>
  </authors>
  <commentList>
    <comment ref="Q6" authorId="0">
      <text>
        <r>
          <rPr>
            <sz val="10"/>
            <rFont val="ＭＳ Ｐゴシック"/>
            <family val="3"/>
          </rPr>
          <t>30年度のランクを入力
（プルダウンか全角大文字）
※Dランクは記入、Dランク以上または受給していない場合は空欄でお願いします。</t>
        </r>
      </text>
    </comment>
    <comment ref="O6" authorId="0">
      <text>
        <r>
          <rPr>
            <sz val="10"/>
            <rFont val="ＭＳ Ｐゴシック"/>
            <family val="3"/>
          </rPr>
          <t>29年度のランクを入力
（プルダウンか全角大文字）
※Dランクは記入、Dランク以上または受給していない場合は空欄でお願いします。</t>
        </r>
      </text>
    </comment>
    <comment ref="L6" authorId="1">
      <text>
        <r>
          <rPr>
            <b/>
            <sz val="9"/>
            <rFont val="ＭＳ Ｐゴシック"/>
            <family val="3"/>
          </rPr>
          <t>生徒在籍期間の始まる月を記載ください</t>
        </r>
      </text>
    </comment>
    <comment ref="K6" authorId="1">
      <text>
        <r>
          <rPr>
            <b/>
            <sz val="9"/>
            <rFont val="ＭＳ Ｐゴシック"/>
            <family val="3"/>
          </rPr>
          <t>生徒在籍期間のうち、授業料支援補助金の対象となる月数を記載ください。</t>
        </r>
      </text>
    </comment>
    <comment ref="J5" authorId="1">
      <text>
        <r>
          <rPr>
            <b/>
            <sz val="9"/>
            <rFont val="ＭＳ Ｐゴシック"/>
            <family val="3"/>
          </rPr>
          <t>支援補助金の対象となる単位の履修期間を記載ください。</t>
        </r>
      </text>
    </comment>
    <comment ref="F5" authorId="1">
      <text>
        <r>
          <rPr>
            <b/>
            <sz val="9"/>
            <rFont val="ＭＳ Ｐゴシック"/>
            <family val="3"/>
          </rPr>
          <t>登録単位数のうち、就学支援金の対象となる単位数を記載ください。</t>
        </r>
      </text>
    </comment>
    <comment ref="AE4" authorId="1">
      <text>
        <r>
          <rPr>
            <b/>
            <sz val="9"/>
            <rFont val="ＭＳ Ｐゴシック"/>
            <family val="3"/>
          </rPr>
          <t>この欄は
(R)≧(M) →(M)-(Q')
(R)＜(M) →(R)-(Q')にて
算出されています。</t>
        </r>
      </text>
    </comment>
    <comment ref="AD4" authorId="1">
      <text>
        <r>
          <rPr>
            <b/>
            <sz val="9"/>
            <rFont val="ＭＳ Ｐゴシック"/>
            <family val="3"/>
          </rPr>
          <t>この欄は
(N)-(P)-(Q)にて算出されます。</t>
        </r>
      </text>
    </comment>
    <comment ref="AC4" authorId="1">
      <text>
        <r>
          <rPr>
            <b/>
            <sz val="9"/>
            <rFont val="ＭＳ Ｐゴシック"/>
            <family val="3"/>
          </rPr>
          <t>(支援補助金対象期間において受給する額)
※履修単位が残至急単位を超えていても、受給する支援金の額をそのまま記載ください。</t>
        </r>
      </text>
    </comment>
    <comment ref="AB4" authorId="1">
      <text>
        <r>
          <rPr>
            <b/>
            <sz val="9"/>
            <rFont val="ＭＳ Ｐゴシック"/>
            <family val="3"/>
          </rPr>
          <t>学び直し支援金がその対象となる授業料を超過して支給されている金額を表示します。</t>
        </r>
      </text>
    </comment>
    <comment ref="AA4" authorId="1">
      <text>
        <r>
          <rPr>
            <b/>
            <sz val="9"/>
            <rFont val="ＭＳ Ｐゴシック"/>
            <family val="3"/>
          </rPr>
          <t>授業料支援補助金の支給を受ける期間における学び直し支援金の対象となる授業料が計算されます。</t>
        </r>
      </text>
    </comment>
    <comment ref="Z4" authorId="1">
      <text>
        <r>
          <rPr>
            <b/>
            <sz val="9"/>
            <rFont val="ＭＳ Ｐゴシック"/>
            <family val="3"/>
          </rPr>
          <t>授業料支援補助金の支給を受ける期間における学び直し支援金の受給金額を記載ください。</t>
        </r>
      </text>
    </comment>
    <comment ref="X4" authorId="1">
      <text>
        <r>
          <rPr>
            <b/>
            <sz val="9"/>
            <rFont val="ＭＳ Ｐゴシック"/>
            <family val="3"/>
          </rPr>
          <t>授業料支援補助金対象期間における授業料減免等の額を記載ください。</t>
        </r>
      </text>
    </comment>
    <comment ref="A4" authorId="1">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B3" authorId="2">
      <text>
        <r>
          <rPr>
            <b/>
            <sz val="16"/>
            <color indexed="10"/>
            <rFont val="ＭＳ Ｐゴシック"/>
            <family val="3"/>
          </rPr>
          <t>（旧制度）（就学支援金新制度）
※平成２６年度～平成２７年度入学の者のみ記入すること</t>
        </r>
      </text>
    </comment>
  </commentList>
</comments>
</file>

<file path=xl/comments16.xml><?xml version="1.0" encoding="utf-8"?>
<comments xmlns="http://schemas.openxmlformats.org/spreadsheetml/2006/main">
  <authors>
    <author>小谷　直也</author>
    <author>原　千寛</author>
    <author>小田　廣子</author>
  </authors>
  <commentList>
    <comment ref="B3" authorId="0">
      <text>
        <r>
          <rPr>
            <b/>
            <sz val="16"/>
            <color indexed="10"/>
            <rFont val="ＭＳ Ｐゴシック"/>
            <family val="3"/>
          </rPr>
          <t>（新制度）（就学支援金新制度）
※平成２８年度以降入学の者のみ記入すること</t>
        </r>
      </text>
    </comment>
    <comment ref="A4" authorId="1">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X4" authorId="1">
      <text>
        <r>
          <rPr>
            <b/>
            <sz val="9"/>
            <rFont val="ＭＳ Ｐゴシック"/>
            <family val="3"/>
          </rPr>
          <t>授業料支援補助金対象期間における授業料減免等の額を記載ください。</t>
        </r>
      </text>
    </comment>
    <comment ref="Z4" authorId="1">
      <text>
        <r>
          <rPr>
            <b/>
            <sz val="9"/>
            <rFont val="ＭＳ Ｐゴシック"/>
            <family val="3"/>
          </rPr>
          <t>授業料支援補助金の支給を受ける期間における学び直し支援金の受給金額を記載ください。</t>
        </r>
      </text>
    </comment>
    <comment ref="AA4" authorId="1">
      <text>
        <r>
          <rPr>
            <b/>
            <sz val="9"/>
            <rFont val="ＭＳ Ｐゴシック"/>
            <family val="3"/>
          </rPr>
          <t>授業料支援補助金の支給を受ける期間における学び直し支援金の対象となる授業料が計算されます。</t>
        </r>
      </text>
    </comment>
    <comment ref="AB4" authorId="1">
      <text>
        <r>
          <rPr>
            <b/>
            <sz val="9"/>
            <rFont val="ＭＳ Ｐゴシック"/>
            <family val="3"/>
          </rPr>
          <t>学び直し支援金がその対象となる授業料を超過して支給されている金額を表示します。</t>
        </r>
      </text>
    </comment>
    <comment ref="AC4" authorId="1">
      <text>
        <r>
          <rPr>
            <b/>
            <sz val="9"/>
            <rFont val="ＭＳ Ｐゴシック"/>
            <family val="3"/>
          </rPr>
          <t>(支援補助金対象期間において受給する額)
※履修単位が残至急単位を超えていても、受給する支援金の額をそのまま記載ください。</t>
        </r>
      </text>
    </comment>
    <comment ref="AD4" authorId="1">
      <text>
        <r>
          <rPr>
            <b/>
            <sz val="9"/>
            <rFont val="ＭＳ Ｐゴシック"/>
            <family val="3"/>
          </rPr>
          <t>この欄は
(N)-(P)-(Q)にて算出されます。</t>
        </r>
      </text>
    </comment>
    <comment ref="AE4" authorId="1">
      <text>
        <r>
          <rPr>
            <b/>
            <sz val="9"/>
            <rFont val="ＭＳ Ｐゴシック"/>
            <family val="3"/>
          </rPr>
          <t>この欄は
(R)≧(M) →(M)-(Q')
(R)＜(M) →(R)-(Q')にて
算出されています。</t>
        </r>
      </text>
    </comment>
    <comment ref="F5" authorId="1">
      <text>
        <r>
          <rPr>
            <b/>
            <sz val="9"/>
            <rFont val="ＭＳ Ｐゴシック"/>
            <family val="3"/>
          </rPr>
          <t>登録単位数のうち、就学支援金の対象となる単位数を記載ください。</t>
        </r>
      </text>
    </comment>
    <comment ref="J5" authorId="1">
      <text>
        <r>
          <rPr>
            <b/>
            <sz val="9"/>
            <rFont val="ＭＳ Ｐゴシック"/>
            <family val="3"/>
          </rPr>
          <t>支援補助金の対象となる単位の履修期間（何ヶ月）を記載ください。</t>
        </r>
      </text>
    </comment>
    <comment ref="K6" authorId="1">
      <text>
        <r>
          <rPr>
            <b/>
            <sz val="9"/>
            <rFont val="ＭＳ Ｐゴシック"/>
            <family val="3"/>
          </rPr>
          <t>生徒在籍期間のうち、授業料支援補助金の対象となる月数を記載ください。</t>
        </r>
      </text>
    </comment>
    <comment ref="L6" authorId="1">
      <text>
        <r>
          <rPr>
            <b/>
            <sz val="9"/>
            <rFont val="ＭＳ Ｐゴシック"/>
            <family val="3"/>
          </rPr>
          <t>「生徒在籍期間」の始まる月を記載ください。</t>
        </r>
      </text>
    </comment>
    <comment ref="O6" authorId="2">
      <text>
        <r>
          <rPr>
            <sz val="10"/>
            <rFont val="ＭＳ Ｐゴシック"/>
            <family val="3"/>
          </rPr>
          <t>29年度のランクを入力
（プルダウンか全角大文字）
※Dランクは記入、Dランク以上または受給していない場合は空欄でお願いします。</t>
        </r>
      </text>
    </comment>
    <comment ref="Q6" authorId="2">
      <text>
        <r>
          <rPr>
            <sz val="10"/>
            <rFont val="ＭＳ Ｐゴシック"/>
            <family val="3"/>
          </rPr>
          <t>30年度のランクを入力
（プルダウンか全角大文字）
※Dランクは記入、Dランク以上または受給していない場合は空欄でお願いします。</t>
        </r>
      </text>
    </comment>
  </commentList>
</comments>
</file>

<file path=xl/comments4.xml><?xml version="1.0" encoding="utf-8"?>
<comments xmlns="http://schemas.openxmlformats.org/spreadsheetml/2006/main">
  <authors>
    <author>小谷　直也</author>
    <author>原　千寛</author>
    <author>小田　廣子</author>
  </authors>
  <commentList>
    <comment ref="B3" authorId="0">
      <text>
        <r>
          <rPr>
            <b/>
            <sz val="16"/>
            <color indexed="10"/>
            <rFont val="ＭＳ Ｐゴシック"/>
            <family val="3"/>
          </rPr>
          <t>（旧々制度）（就学支援金旧制度）　
※平成２２年度以前入学の者のみ記入すること</t>
        </r>
      </text>
    </comment>
    <comment ref="A4" authorId="1">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Z4" authorId="1">
      <text>
        <r>
          <rPr>
            <b/>
            <sz val="9"/>
            <rFont val="ＭＳ Ｐゴシック"/>
            <family val="3"/>
          </rPr>
          <t>授業料支援補助金対象期間における授業料減免等の額を記載ください。</t>
        </r>
      </text>
    </comment>
    <comment ref="AE4" authorId="1">
      <text>
        <r>
          <rPr>
            <b/>
            <sz val="9"/>
            <rFont val="ＭＳ Ｐゴシック"/>
            <family val="3"/>
          </rPr>
          <t>(支援補助金対象期間において受給する額)※履修単位が残至急単位を超えていても、受給する支援金の額をそのまま記載ください。</t>
        </r>
      </text>
    </comment>
    <comment ref="AF4" authorId="1">
      <text>
        <r>
          <rPr>
            <b/>
            <sz val="9"/>
            <rFont val="ＭＳ Ｐゴシック"/>
            <family val="3"/>
          </rPr>
          <t>この欄は
(N)-(P)-(Q)にて算出されます。</t>
        </r>
      </text>
    </comment>
    <comment ref="AG4" authorId="1">
      <text>
        <r>
          <rPr>
            <b/>
            <sz val="9"/>
            <rFont val="ＭＳ Ｐゴシック"/>
            <family val="3"/>
          </rPr>
          <t>この欄は
(R)≧(M) →(M)-(Q')
(R)＜(M) →(R)-(Q')にて
算出されています。</t>
        </r>
      </text>
    </comment>
    <comment ref="F5" authorId="1">
      <text>
        <r>
          <rPr>
            <b/>
            <sz val="9"/>
            <rFont val="ＭＳ Ｐゴシック"/>
            <family val="3"/>
          </rPr>
          <t>登録単位数のうち、就学支援金の対象となる単位数を記載ください。</t>
        </r>
      </text>
    </comment>
    <comment ref="J5" authorId="1">
      <text>
        <r>
          <rPr>
            <b/>
            <sz val="9"/>
            <rFont val="ＭＳ Ｐゴシック"/>
            <family val="3"/>
          </rPr>
          <t>支援補助金の対象となる単位の履修期間を記載ください。</t>
        </r>
      </text>
    </comment>
    <comment ref="K5" authorId="1">
      <text>
        <r>
          <rPr>
            <b/>
            <sz val="9"/>
            <rFont val="ＭＳ Ｐゴシック"/>
            <family val="3"/>
          </rPr>
          <t>生徒在籍期間のうち、授業料支援補助金の対象となる月数を記載ください。</t>
        </r>
      </text>
    </comment>
    <comment ref="L5" authorId="1">
      <text>
        <r>
          <rPr>
            <b/>
            <sz val="9"/>
            <rFont val="ＭＳ Ｐゴシック"/>
            <family val="3"/>
          </rPr>
          <t>生徒在籍期間の始まる月を記載ください</t>
        </r>
      </text>
    </comment>
    <comment ref="AB5" authorId="1">
      <text>
        <r>
          <rPr>
            <b/>
            <sz val="9"/>
            <rFont val="ＭＳ Ｐゴシック"/>
            <family val="3"/>
          </rPr>
          <t>授業料支援補助金対象期間における授業料減免等の額を記載ください。</t>
        </r>
      </text>
    </comment>
    <comment ref="AC5" authorId="1">
      <text>
        <r>
          <rPr>
            <b/>
            <sz val="9"/>
            <rFont val="ＭＳ Ｐゴシック"/>
            <family val="3"/>
          </rPr>
          <t>授業料支援補助金の支給を受ける期間における学び直し支援金の対象となる授業料が計算されます。</t>
        </r>
      </text>
    </comment>
    <comment ref="AD5" authorId="1">
      <text>
        <r>
          <rPr>
            <b/>
            <sz val="9"/>
            <rFont val="ＭＳ Ｐゴシック"/>
            <family val="3"/>
          </rPr>
          <t>学び直し支援金がその対象となる授業料を超過して支給されている金額を表示します。</t>
        </r>
      </text>
    </comment>
    <comment ref="O6" authorId="2">
      <text>
        <r>
          <rPr>
            <sz val="10"/>
            <rFont val="ＭＳ Ｐゴシック"/>
            <family val="3"/>
          </rPr>
          <t>28年度のランクを入力
（プルダウンか全角大文字）
※Dランクは記入、Dランク以上または受給していない場合は空欄でお願いします。</t>
        </r>
      </text>
    </comment>
    <comment ref="R6" authorId="2">
      <text>
        <r>
          <rPr>
            <sz val="10"/>
            <rFont val="ＭＳ Ｐゴシック"/>
            <family val="3"/>
          </rPr>
          <t>29年度のランクを入力
（プルダウンか全角大文字）
※Dランクは記入、Dランク以上または受給していない場合は空欄でお願いします。</t>
        </r>
      </text>
    </comment>
  </commentList>
</comments>
</file>

<file path=xl/comments5.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comments7.xml><?xml version="1.0" encoding="utf-8"?>
<comments xmlns="http://schemas.openxmlformats.org/spreadsheetml/2006/main">
  <authors>
    <author>小谷　直也</author>
    <author>原　千寛</author>
    <author>小田　廣子</author>
  </authors>
  <commentList>
    <comment ref="B3" authorId="0">
      <text>
        <r>
          <rPr>
            <b/>
            <sz val="16"/>
            <color indexed="10"/>
            <rFont val="ＭＳ Ｐゴシック"/>
            <family val="3"/>
          </rPr>
          <t>（旧々制度）（就学支援金新制度）
※平成２２年度以前入学の者のみ記入すること</t>
        </r>
      </text>
    </comment>
    <comment ref="A4" authorId="1">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Z4" authorId="1">
      <text>
        <r>
          <rPr>
            <b/>
            <sz val="9"/>
            <rFont val="ＭＳ Ｐゴシック"/>
            <family val="3"/>
          </rPr>
          <t>授業料支援補助金対象期間における授業料減免等の額を記載ください。</t>
        </r>
      </text>
    </comment>
    <comment ref="AB4" authorId="1">
      <text>
        <r>
          <rPr>
            <b/>
            <sz val="9"/>
            <rFont val="ＭＳ Ｐゴシック"/>
            <family val="3"/>
          </rPr>
          <t>授業料支援補助金の支給を受ける期間における学び直し支援金の受給金額を記載ください。</t>
        </r>
      </text>
    </comment>
    <comment ref="AC4" authorId="1">
      <text>
        <r>
          <rPr>
            <b/>
            <sz val="9"/>
            <rFont val="ＭＳ Ｐゴシック"/>
            <family val="3"/>
          </rPr>
          <t>授業料支援補助金の支給を受ける期間における学び直し支援金の対象となる授業料が計算されます。</t>
        </r>
      </text>
    </comment>
    <comment ref="AD4" authorId="1">
      <text>
        <r>
          <rPr>
            <b/>
            <sz val="9"/>
            <rFont val="ＭＳ Ｐゴシック"/>
            <family val="3"/>
          </rPr>
          <t>学び直し支援金がその対象となる授業料を超過して支給されている金額を表示します。</t>
        </r>
      </text>
    </comment>
    <comment ref="AE4" authorId="1">
      <text>
        <r>
          <rPr>
            <b/>
            <sz val="9"/>
            <rFont val="ＭＳ Ｐゴシック"/>
            <family val="3"/>
          </rPr>
          <t>(支援補助金対象期間において受給する額)
※履修単位が残至急単位を超えていても、受給する支援金の額をそのまま記載ください。</t>
        </r>
      </text>
    </comment>
    <comment ref="AF4" authorId="1">
      <text>
        <r>
          <rPr>
            <b/>
            <sz val="9"/>
            <rFont val="ＭＳ Ｐゴシック"/>
            <family val="3"/>
          </rPr>
          <t>この欄は
(N)-(P)-(Q)にて算出されます。</t>
        </r>
      </text>
    </comment>
    <comment ref="AG4" authorId="1">
      <text>
        <r>
          <rPr>
            <b/>
            <sz val="9"/>
            <rFont val="ＭＳ Ｐゴシック"/>
            <family val="3"/>
          </rPr>
          <t>この欄は
(R)≧(M) →(M)-(Q')
(R)＜(M) →(R)-(Q')にて
算出されています。</t>
        </r>
      </text>
    </comment>
    <comment ref="F5" authorId="1">
      <text>
        <r>
          <rPr>
            <b/>
            <sz val="9"/>
            <rFont val="ＭＳ Ｐゴシック"/>
            <family val="3"/>
          </rPr>
          <t>登録単位数のうち、就学支援金の対象となる単位数を記載ください。</t>
        </r>
      </text>
    </comment>
    <comment ref="J5" authorId="1">
      <text>
        <r>
          <rPr>
            <b/>
            <sz val="9"/>
            <rFont val="ＭＳ Ｐゴシック"/>
            <family val="3"/>
          </rPr>
          <t>支援補助金の対象となる単位の履修期間を記載ください。</t>
        </r>
      </text>
    </comment>
    <comment ref="K5" authorId="1">
      <text>
        <r>
          <rPr>
            <b/>
            <sz val="9"/>
            <rFont val="ＭＳ Ｐゴシック"/>
            <family val="3"/>
          </rPr>
          <t>生徒在籍期間のうち、授業料支援補助金の対象となる月数を記載ください。</t>
        </r>
      </text>
    </comment>
    <comment ref="L5" authorId="1">
      <text>
        <r>
          <rPr>
            <b/>
            <sz val="9"/>
            <rFont val="ＭＳ Ｐゴシック"/>
            <family val="3"/>
          </rPr>
          <t>生徒在籍期間の始まる月を記載ください</t>
        </r>
      </text>
    </comment>
    <comment ref="O6" authorId="2">
      <text>
        <r>
          <rPr>
            <sz val="10"/>
            <rFont val="ＭＳ Ｐゴシック"/>
            <family val="3"/>
          </rPr>
          <t>29年度のランクを入力
（プルダウンか全角大文字）
※Dランクは記入、Dランク以上または受給していない場合は空欄でお願いします。</t>
        </r>
      </text>
    </comment>
    <comment ref="R6" authorId="2">
      <text>
        <r>
          <rPr>
            <sz val="10"/>
            <rFont val="ＭＳ Ｐゴシック"/>
            <family val="3"/>
          </rPr>
          <t>30年度のランクを入力
（プルダウンか全角大文字）
※Dランクは記入、Dランク以上または受給していない場合は空欄でお願いします。</t>
        </r>
      </text>
    </comment>
  </commentList>
</comments>
</file>

<file path=xl/comments8.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sharedStrings.xml><?xml version="1.0" encoding="utf-8"?>
<sst xmlns="http://schemas.openxmlformats.org/spreadsheetml/2006/main" count="1708" uniqueCount="399">
  <si>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</si>
  <si>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支援補助金
限  度  額
（年　間）
L×B'</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</si>
  <si>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</si>
  <si>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</si>
  <si>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</si>
  <si>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</si>
  <si>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</si>
  <si>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</si>
  <si>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</si>
  <si>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</si>
  <si>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</si>
  <si>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</si>
  <si>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</si>
  <si>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</si>
  <si>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</si>
  <si>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</si>
  <si>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</si>
  <si>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</si>
  <si>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</si>
  <si>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</si>
  <si>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</si>
  <si>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</si>
  <si>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</si>
  <si>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</si>
  <si>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</si>
  <si>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</si>
  <si>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</si>
  <si>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集計キー</t>
  </si>
  <si>
    <t>当該年度において受給する就学支援金の額</t>
  </si>
  <si>
    <t>連番</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</si>
  <si>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</si>
  <si>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</si>
  <si>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</si>
  <si>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</si>
  <si>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</si>
  <si>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</si>
  <si>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生徒の教育に係る経済的負担を軽減し、</t>
  </si>
  <si>
    <t>１　還付</t>
  </si>
  <si>
    <t>その方法</t>
  </si>
  <si>
    <t>２　授業料と相殺</t>
  </si>
  <si>
    <t>学期分</t>
  </si>
  <si>
    <t>月分</t>
  </si>
  <si>
    <t>生徒数</t>
  </si>
  <si>
    <t>補助限度額</t>
  </si>
  <si>
    <t>7月</t>
  </si>
  <si>
    <t>11月</t>
  </si>
  <si>
    <t>12月</t>
  </si>
  <si>
    <t>4月</t>
  </si>
  <si>
    <t>5月</t>
  </si>
  <si>
    <t>6月</t>
  </si>
  <si>
    <t>1月</t>
  </si>
  <si>
    <t>2月</t>
  </si>
  <si>
    <t>3月</t>
  </si>
  <si>
    <t>前々年収入</t>
  </si>
  <si>
    <t>前年収入</t>
  </si>
  <si>
    <t>月別所得区分</t>
  </si>
  <si>
    <t>調整後の
補助限度額</t>
  </si>
  <si>
    <t>補助限度額
調整額
(E)-(C)</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</si>
  <si>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</si>
  <si>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</si>
  <si>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</si>
  <si>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</si>
  <si>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</si>
  <si>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</si>
  <si>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</si>
  <si>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設置者所在地</t>
  </si>
  <si>
    <t>代表者名</t>
  </si>
  <si>
    <t>年間授業料
[3-1(ｳ)]</t>
  </si>
  <si>
    <t>補助対象
（30単位）</t>
  </si>
  <si>
    <t>施設整備費等</t>
  </si>
  <si>
    <t>ﾌﾗｸﾞ</t>
  </si>
  <si>
    <t>(D)</t>
  </si>
  <si>
    <t>(H)</t>
  </si>
  <si>
    <t>(I)</t>
  </si>
  <si>
    <t>Ａ</t>
  </si>
  <si>
    <t>8月</t>
  </si>
  <si>
    <t>9月</t>
  </si>
  <si>
    <t>10月</t>
  </si>
  <si>
    <t>(C)</t>
  </si>
  <si>
    <t>(E)</t>
  </si>
  <si>
    <t>Ｂ</t>
  </si>
  <si>
    <t>Ｃ</t>
  </si>
  <si>
    <t>(M)</t>
  </si>
  <si>
    <t>授業料の
実質負担額
(M)-(O)-(P)</t>
  </si>
  <si>
    <t>単 位 数</t>
  </si>
  <si>
    <t>(F)</t>
  </si>
  <si>
    <t>(G)</t>
  </si>
  <si>
    <t>補助対象
単 位 数
（30単位）</t>
  </si>
  <si>
    <t>１単位あたり補助限度額</t>
  </si>
  <si>
    <t>補助限度額
 [(H)×3/12
 +(I)×9/12]</t>
  </si>
  <si>
    <t xml:space="preserve">授  業  料  等 </t>
  </si>
  <si>
    <t>計
J+K</t>
  </si>
  <si>
    <t>転退学等
調 整 額</t>
  </si>
  <si>
    <t>１単位あたりの補助限度額</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</si>
  <si>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</si>
  <si>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</si>
  <si>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</si>
  <si>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</si>
  <si>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</si>
  <si>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</si>
  <si>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</si>
  <si>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</si>
  <si>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</si>
  <si>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</si>
  <si>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</si>
  <si>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</si>
  <si>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</si>
  <si>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</si>
  <si>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</si>
  <si>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</si>
  <si>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</si>
  <si>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</si>
  <si>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</si>
  <si>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</si>
  <si>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</si>
  <si>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</si>
  <si>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</si>
  <si>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</si>
  <si>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</si>
  <si>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</si>
  <si>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</si>
  <si>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</si>
  <si>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</si>
  <si>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</si>
  <si>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</si>
  <si>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</si>
  <si>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</si>
  <si>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</si>
  <si>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</si>
  <si>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</si>
  <si>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</si>
  <si>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</si>
  <si>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</si>
  <si>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</si>
  <si>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</si>
  <si>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</si>
  <si>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</si>
  <si>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</si>
  <si>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</si>
  <si>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③の生徒の
登録単位数</t>
  </si>
  <si>
    <t>合　                   計</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</si>
  <si>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</si>
  <si>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</si>
  <si>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</si>
  <si>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</si>
  <si>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</si>
  <si>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</si>
  <si>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</si>
  <si>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</si>
  <si>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</si>
  <si>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</si>
  <si>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</si>
  <si>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</si>
  <si>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</si>
  <si>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</si>
  <si>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1単位あたりの補助限度額の前年度収入の「所得割額」の欄は、保護者等の"前年度収入に基づく"市町村民税所得割額の合計を入力すること。</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</si>
  <si>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</si>
  <si>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</si>
  <si>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</si>
  <si>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</si>
  <si>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</si>
  <si>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</si>
  <si>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</si>
  <si>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</si>
  <si>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</si>
  <si>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</si>
  <si>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</si>
  <si>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</si>
  <si>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</si>
  <si>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</si>
  <si>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</si>
  <si>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</si>
  <si>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</si>
  <si>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</si>
  <si>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</si>
  <si>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</si>
  <si>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</si>
  <si>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</si>
  <si>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</si>
  <si>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</si>
  <si>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</si>
  <si>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</si>
  <si>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</si>
  <si>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</si>
  <si>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</si>
  <si>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</si>
  <si>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</si>
  <si>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</si>
  <si>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</si>
  <si>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(F)に係る給付型奨学金又は授業料減免等の額</t>
  </si>
  <si>
    <t>印</t>
  </si>
  <si>
    <t>　大阪府教育長　様</t>
  </si>
  <si>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</si>
  <si>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</si>
  <si>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</si>
  <si>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</si>
  <si>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</si>
  <si>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</si>
  <si>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</si>
  <si>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</si>
  <si>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</si>
  <si>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</si>
  <si>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</si>
  <si>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</si>
  <si>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</si>
  <si>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</si>
  <si>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</si>
  <si>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交付決定額（F）</t>
  </si>
  <si>
    <t>差引（G）－（F）</t>
  </si>
  <si>
    <t>　　　　　　　　補助金実績報告書</t>
  </si>
  <si>
    <t>　</t>
  </si>
  <si>
    <t>　大阪府補助金交付規則第１２条及び大阪府私立高等学校等授業料支援補助金</t>
  </si>
  <si>
    <t>交付要綱第１４条の規定により、次のとおり報告します。</t>
  </si>
  <si>
    <t>様式第６号</t>
  </si>
  <si>
    <t>１　総括表</t>
  </si>
  <si>
    <t>２－１　授業料支援補助対象経費　集計表</t>
  </si>
  <si>
    <t>２－３　補助限度額調整額内訳</t>
  </si>
  <si>
    <t>　(1)　「就学支援金認定番号」の欄には、「２－２　授業料支援補助対象経費算定表」の認定番号を入力すること。</t>
  </si>
  <si>
    <t>実績額（G）</t>
  </si>
  <si>
    <t>実績額（G）</t>
  </si>
  <si>
    <t>補助金交付決定額</t>
  </si>
  <si>
    <t>補助金精算額</t>
  </si>
  <si>
    <t>残額</t>
  </si>
  <si>
    <t>生徒の教育に係る経済的負担を軽減した。</t>
  </si>
  <si>
    <t>全額を授業料の支援に要する経費に配分した。</t>
  </si>
  <si>
    <t>直接、授業料の支援に要する経費に充当した。</t>
  </si>
  <si>
    <t>生徒の就学を支援した。</t>
  </si>
  <si>
    <t>２－２　授業料支援補助対象経費算定表</t>
  </si>
  <si>
    <t>　(5)　授業料等における「生徒在籍期間(E)」の欄には、平成29年度（H29.4.1-H30.3.31）の生徒の在籍期間（見込み）を入力すること。</t>
  </si>
  <si>
    <t>←平成３１年４月１９日としてください。</t>
  </si>
  <si>
    <t>平成３１年４月１９日</t>
  </si>
  <si>
    <t>ﾌﾗｸﾞ</t>
  </si>
  <si>
    <t>この行は非表示</t>
  </si>
  <si>
    <t>年間授業料
[3-1(ｳ)]
A×B'</t>
  </si>
  <si>
    <t>補助限度額
 [H×3/12+
  I×9/12]</t>
  </si>
  <si>
    <t>就学支援金対象単位数</t>
  </si>
  <si>
    <t>授業料支援補助金対象期間</t>
  </si>
  <si>
    <t>在籍期間始期</t>
  </si>
  <si>
    <t>学び直し支援金支給額</t>
  </si>
  <si>
    <t>学び直し支援金対象授業料</t>
  </si>
  <si>
    <t>学び直し支援金授業料超過額</t>
  </si>
  <si>
    <t>(A)</t>
  </si>
  <si>
    <t>(B）</t>
  </si>
  <si>
    <t>(B')</t>
  </si>
  <si>
    <t>(C)</t>
  </si>
  <si>
    <t>(D)</t>
  </si>
  <si>
    <t>(F)</t>
  </si>
  <si>
    <t>(G)</t>
  </si>
  <si>
    <t>(H)</t>
  </si>
  <si>
    <t>(I)</t>
  </si>
  <si>
    <t>(J)</t>
  </si>
  <si>
    <t>(K)</t>
  </si>
  <si>
    <t>(L)</t>
  </si>
  <si>
    <t>(M)</t>
  </si>
  <si>
    <t>(N)</t>
  </si>
  <si>
    <t>(O)</t>
  </si>
  <si>
    <t>(P)</t>
  </si>
  <si>
    <t>(Q)</t>
  </si>
  <si>
    <t>(R)</t>
  </si>
  <si>
    <t>(S)</t>
  </si>
  <si>
    <t>-</t>
  </si>
  <si>
    <t>-</t>
  </si>
  <si>
    <t>-</t>
  </si>
  <si>
    <t>　(4)　授業料等における「施設整備費等(D)」の欄には、「６－１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</si>
  <si>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転退学や休学等による就学支援金の受給状況の変化や、保護者等の離婚等による所得区分の変更に伴い、補助限度額の調整が必要な生徒は、「６－３　補助限度額調整額内訳」を作成すること。</t>
  </si>
  <si>
    <t>６－２　授業料支援補助対象経費算定表</t>
  </si>
  <si>
    <t>６－２　授業料支援補助対象経費算定表</t>
  </si>
  <si>
    <t>補助限度額
 [(H)×3/12
 +(I)×9/12]</t>
  </si>
  <si>
    <t>Ａ</t>
  </si>
  <si>
    <t>Ｂ</t>
  </si>
  <si>
    <t>Ｄ</t>
  </si>
  <si>
    <t>9月</t>
  </si>
  <si>
    <t>10月</t>
  </si>
  <si>
    <t>ﾌﾗｸﾞ</t>
  </si>
  <si>
    <t>(H)</t>
  </si>
  <si>
    <t>(I)</t>
  </si>
  <si>
    <t>(C)</t>
  </si>
  <si>
    <t>(E)</t>
  </si>
  <si>
    <t>(D)</t>
  </si>
  <si>
    <t>-</t>
  </si>
  <si>
    <t>-</t>
  </si>
  <si>
    <t>-</t>
  </si>
  <si>
    <t>　(1)　「就学支援金認定番号」の欄には、「６－２　授業料支援補助対象経費算定表」の認定番号を入力すること。</t>
  </si>
  <si>
    <t>年間授業料
[3-1(ｳ)]
A×B'</t>
  </si>
  <si>
    <t>補助限度額
 [H×3/12+
  I×9/12]</t>
  </si>
  <si>
    <t>(A)</t>
  </si>
  <si>
    <t>(B')</t>
  </si>
  <si>
    <t>(C)</t>
  </si>
  <si>
    <t>(E)</t>
  </si>
  <si>
    <t>(F)</t>
  </si>
  <si>
    <t>(H)</t>
  </si>
  <si>
    <t>(J)</t>
  </si>
  <si>
    <t>(K)</t>
  </si>
  <si>
    <t>(L)</t>
  </si>
  <si>
    <t>(M)</t>
  </si>
  <si>
    <t>(N)</t>
  </si>
  <si>
    <t>(O)</t>
  </si>
  <si>
    <t>(P)</t>
  </si>
  <si>
    <t>(Q)</t>
  </si>
  <si>
    <t>(R)</t>
  </si>
  <si>
    <t>(S)</t>
  </si>
  <si>
    <t>　　　　　　</t>
  </si>
  <si>
    <t>-</t>
  </si>
  <si>
    <t>-</t>
  </si>
  <si>
    <t>　</t>
  </si>
  <si>
    <t>補助限度額
 [(H)×3/12
 +(I)×9/12]</t>
  </si>
  <si>
    <t>Ａ</t>
  </si>
  <si>
    <t>Ｂ</t>
  </si>
  <si>
    <t>Ｄ</t>
  </si>
  <si>
    <t>8月</t>
  </si>
  <si>
    <t>10月</t>
  </si>
  <si>
    <t>(I)</t>
  </si>
  <si>
    <t>(E)</t>
  </si>
  <si>
    <t>-</t>
  </si>
  <si>
    <t>-</t>
  </si>
  <si>
    <t>この行は
非表示</t>
  </si>
  <si>
    <t>ﾌﾗｸﾞ</t>
  </si>
  <si>
    <t>この行は非表示</t>
  </si>
  <si>
    <t>年間授業料
[3-1(ｳ)]
A×B'</t>
  </si>
  <si>
    <t>補助限度額
 [H×3/12+
  I×9/12]</t>
  </si>
  <si>
    <t>就学支援金
対象単位数</t>
  </si>
  <si>
    <t>在籍期間
始期</t>
  </si>
  <si>
    <t>学び直し支援金支給額</t>
  </si>
  <si>
    <t>(A)</t>
  </si>
  <si>
    <t>(B）</t>
  </si>
  <si>
    <t>(B')</t>
  </si>
  <si>
    <t>(C)</t>
  </si>
  <si>
    <t>(D)</t>
  </si>
  <si>
    <t>(E)</t>
  </si>
  <si>
    <t>(F)</t>
  </si>
  <si>
    <t>(G)</t>
  </si>
  <si>
    <t>(H)</t>
  </si>
  <si>
    <t>(J)</t>
  </si>
  <si>
    <t>(K)</t>
  </si>
  <si>
    <t>(L)</t>
  </si>
  <si>
    <t>(N)</t>
  </si>
  <si>
    <t>(O)</t>
  </si>
  <si>
    <t>(P)</t>
  </si>
  <si>
    <t>(Q)</t>
  </si>
  <si>
    <t>(R)</t>
  </si>
  <si>
    <t>(S)</t>
  </si>
  <si>
    <t>-</t>
  </si>
  <si>
    <t>-</t>
  </si>
  <si>
    <t>-</t>
  </si>
  <si>
    <t>(S)</t>
  </si>
  <si>
    <t>(R)</t>
  </si>
  <si>
    <t>(Q)</t>
  </si>
  <si>
    <t>(P)</t>
  </si>
  <si>
    <t>(O)</t>
  </si>
  <si>
    <t>(N)</t>
  </si>
  <si>
    <t>(M)</t>
  </si>
  <si>
    <t>(L)</t>
  </si>
  <si>
    <t>(K)</t>
  </si>
  <si>
    <t>(J)</t>
  </si>
  <si>
    <t>(I)</t>
  </si>
  <si>
    <t>(H)</t>
  </si>
  <si>
    <t>(G)</t>
  </si>
  <si>
    <t>(F)</t>
  </si>
  <si>
    <t>(E)</t>
  </si>
  <si>
    <t>(D)</t>
  </si>
  <si>
    <t>(C)</t>
  </si>
  <si>
    <t>(B')</t>
  </si>
  <si>
    <t>(B）</t>
  </si>
  <si>
    <t>(A)</t>
  </si>
  <si>
    <t>補助限度額
 [H×3/12+
  I×9/12]</t>
  </si>
  <si>
    <t>年間授業料
[3-1(ｳ)]
A×B'</t>
  </si>
  <si>
    <t>この行は
非表示</t>
  </si>
  <si>
    <t>ﾌﾗｸﾞ</t>
  </si>
  <si>
    <t xml:space="preserve">当該年度において受給する就学支援金の額
</t>
  </si>
  <si>
    <t>ﾌﾗｸﾞ</t>
  </si>
  <si>
    <t>年間授業料
[3-1(ｳ)]
A×B'</t>
  </si>
  <si>
    <r>
      <t xml:space="preserve">施設整備費等
</t>
    </r>
    <r>
      <rPr>
        <sz val="11"/>
        <color indexed="10"/>
        <rFont val="ＭＳ ゴシック"/>
        <family val="3"/>
      </rPr>
      <t>(年額)</t>
    </r>
  </si>
  <si>
    <t>補助限度額
 [H×3/12+
  I×9/12]</t>
  </si>
  <si>
    <t>学び直し支援金授業料超過額</t>
  </si>
  <si>
    <t>(A)</t>
  </si>
  <si>
    <t>(B）</t>
  </si>
  <si>
    <t>(B')</t>
  </si>
  <si>
    <t>(C)</t>
  </si>
  <si>
    <t>(D)</t>
  </si>
  <si>
    <t>(E)</t>
  </si>
  <si>
    <t>(F)</t>
  </si>
  <si>
    <t>(G)</t>
  </si>
  <si>
    <t>(H)</t>
  </si>
  <si>
    <t>(I)</t>
  </si>
  <si>
    <t>(J)</t>
  </si>
  <si>
    <t>(K)</t>
  </si>
  <si>
    <t>(L)</t>
  </si>
  <si>
    <t>(M)</t>
  </si>
  <si>
    <t>(N)</t>
  </si>
  <si>
    <t>(O)</t>
  </si>
  <si>
    <t>(P)</t>
  </si>
  <si>
    <t>(Q')</t>
  </si>
  <si>
    <t>(Q)</t>
  </si>
  <si>
    <t>(R)</t>
  </si>
  <si>
    <t>(S)</t>
  </si>
  <si>
    <t>-</t>
  </si>
  <si>
    <t>　　　　　　　　平成３０年度大阪府私立高等学校等授業料支援</t>
  </si>
  <si>
    <t>　　　　　　　　</t>
  </si>
  <si>
    <t>２－２　授業料支援補助対象経費算定表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</si>
</sst>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s>
  <fonts count="87">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b/>
      <sz val="9"/>
      <name val="ＭＳ Ｐゴシック"/>
      <family val="3"/>
    </font>
    <font>
      <b/>
      <sz val="9"/>
      <name val="MS P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ゴシック"/>
      <family val="3"/>
    </font>
    <font>
      <sz val="10"/>
      <color indexed="10"/>
      <name val="ＭＳ ゴシック"/>
      <family val="3"/>
    </font>
    <font>
      <b/>
      <sz val="11"/>
      <color indexed="10"/>
      <name val="ＭＳ ゴシック"/>
      <family val="3"/>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sz val="18"/>
      <color rgb="FFFF0000"/>
      <name val="ＭＳ ゴシック"/>
      <family val="3"/>
    </font>
    <font>
      <sz val="10"/>
      <color rgb="FFFF0000"/>
      <name val="ＭＳ ゴシック"/>
      <family val="3"/>
    </font>
    <font>
      <sz val="11"/>
      <color rgb="FFFF0000"/>
      <name val="ＭＳ ゴシック"/>
      <family val="3"/>
    </font>
    <font>
      <b/>
      <sz val="11"/>
      <color rgb="FFFF0000"/>
      <name val="ＭＳ ゴシック"/>
      <family val="3"/>
    </font>
    <font>
      <b/>
      <sz val="10"/>
      <color rgb="FFFF0000"/>
      <name val="ＭＳ ゴシック"/>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style="thin"/>
      <right style="medium"/>
      <top>
        <color indexed="63"/>
      </top>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thin"/>
      <right style="medium"/>
      <top>
        <color indexed="63"/>
      </top>
      <bottom style="medium"/>
    </border>
    <border>
      <left style="medium"/>
      <right style="thin"/>
      <top>
        <color indexed="63"/>
      </top>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style="thin"/>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thin"/>
      <bottom style="medium"/>
    </border>
    <border>
      <left style="thin"/>
      <right style="medium"/>
      <top style="medium"/>
      <bottom>
        <color indexed="63"/>
      </bottom>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
      <left style="medium"/>
      <right style="medium"/>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0" fillId="0" borderId="0">
      <alignment vertical="center"/>
      <protection/>
    </xf>
    <xf numFmtId="0" fontId="63"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79" fillId="31" borderId="0" applyNumberFormat="0" applyBorder="0" applyAlignment="0" applyProtection="0"/>
  </cellStyleXfs>
  <cellXfs count="11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77" fontId="5" fillId="0" borderId="29" xfId="0" applyNumberFormat="1" applyFont="1" applyFill="1" applyBorder="1" applyAlignment="1">
      <alignment vertical="center"/>
    </xf>
    <xf numFmtId="177" fontId="5" fillId="0" borderId="27" xfId="0" applyNumberFormat="1" applyFont="1" applyFill="1" applyBorder="1" applyAlignment="1">
      <alignment vertical="center"/>
    </xf>
    <xf numFmtId="0" fontId="18"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4" borderId="24" xfId="0" applyFont="1" applyFill="1" applyBorder="1" applyAlignment="1">
      <alignment horizontal="center" vertical="center"/>
    </xf>
    <xf numFmtId="177" fontId="5" fillId="0" borderId="32" xfId="0" applyNumberFormat="1" applyFont="1" applyFill="1" applyBorder="1" applyAlignment="1">
      <alignment horizontal="right" vertical="center"/>
    </xf>
    <xf numFmtId="177" fontId="5" fillId="0" borderId="33" xfId="0" applyNumberFormat="1" applyFont="1" applyFill="1" applyBorder="1" applyAlignment="1">
      <alignment vertical="center"/>
    </xf>
    <xf numFmtId="177" fontId="5" fillId="0" borderId="34" xfId="0" applyNumberFormat="1" applyFont="1" applyFill="1" applyBorder="1" applyAlignment="1">
      <alignment vertical="center"/>
    </xf>
    <xf numFmtId="0" fontId="9" fillId="32" borderId="35" xfId="0" applyFont="1" applyFill="1" applyBorder="1" applyAlignment="1" applyProtection="1">
      <alignment horizontal="center" vertical="center" shrinkToFit="1"/>
      <protection locked="0"/>
    </xf>
    <xf numFmtId="0" fontId="5" fillId="33" borderId="32" xfId="0" applyFont="1" applyFill="1" applyBorder="1" applyAlignment="1">
      <alignment horizontal="center" vertical="center"/>
    </xf>
    <xf numFmtId="0" fontId="5" fillId="33" borderId="36"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9" fillId="32" borderId="37"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29" xfId="0" applyFont="1" applyFill="1" applyBorder="1" applyAlignment="1">
      <alignment horizontal="center" vertical="center"/>
    </xf>
    <xf numFmtId="176" fontId="5" fillId="0" borderId="48" xfId="0" applyNumberFormat="1" applyFont="1" applyFill="1" applyBorder="1" applyAlignment="1">
      <alignment vertical="center" shrinkToFit="1"/>
    </xf>
    <xf numFmtId="0" fontId="10" fillId="0" borderId="49" xfId="0" applyFont="1" applyFill="1" applyBorder="1" applyAlignment="1" quotePrefix="1">
      <alignment horizontal="center" vertical="center"/>
    </xf>
    <xf numFmtId="176" fontId="5" fillId="0" borderId="50" xfId="0" applyNumberFormat="1" applyFont="1" applyFill="1" applyBorder="1" applyAlignment="1">
      <alignment vertical="center" shrinkToFit="1"/>
    </xf>
    <xf numFmtId="0" fontId="9" fillId="0" borderId="51" xfId="0" applyFont="1" applyFill="1" applyBorder="1" applyAlignment="1">
      <alignment horizontal="center" vertical="center" shrinkToFit="1"/>
    </xf>
    <xf numFmtId="0" fontId="14" fillId="0" borderId="52" xfId="0" applyFont="1" applyBorder="1" applyAlignment="1">
      <alignment horizontal="center" vertical="center" wrapText="1"/>
    </xf>
    <xf numFmtId="0" fontId="14" fillId="0" borderId="53"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3" xfId="0" applyFont="1" applyBorder="1" applyAlignment="1" quotePrefix="1">
      <alignment horizontal="center" vertical="center" wrapText="1"/>
    </xf>
    <xf numFmtId="192" fontId="9" fillId="32" borderId="29" xfId="0" applyNumberFormat="1" applyFont="1" applyFill="1" applyBorder="1" applyAlignment="1">
      <alignment vertical="center"/>
    </xf>
    <xf numFmtId="192" fontId="9" fillId="32" borderId="54" xfId="0" applyNumberFormat="1" applyFont="1" applyFill="1" applyBorder="1" applyAlignment="1">
      <alignment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3" borderId="57"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49"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59" xfId="0" applyFont="1" applyBorder="1" applyAlignment="1">
      <alignment horizontal="right" vertical="center"/>
    </xf>
    <xf numFmtId="0" fontId="10" fillId="0" borderId="60" xfId="0" applyFont="1" applyBorder="1" applyAlignment="1">
      <alignment horizontal="right" vertical="center"/>
    </xf>
    <xf numFmtId="0" fontId="10" fillId="0" borderId="61" xfId="0" applyFont="1" applyBorder="1" applyAlignment="1">
      <alignment horizontal="right" vertical="center"/>
    </xf>
    <xf numFmtId="0" fontId="10" fillId="0" borderId="62"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59" xfId="49" applyNumberFormat="1" applyFont="1" applyFill="1" applyBorder="1" applyAlignment="1" applyProtection="1">
      <alignment vertical="center"/>
      <protection/>
    </xf>
    <xf numFmtId="180" fontId="5" fillId="0" borderId="59" xfId="49" applyNumberFormat="1" applyFont="1" applyFill="1" applyBorder="1" applyAlignment="1">
      <alignment vertical="center"/>
    </xf>
    <xf numFmtId="0" fontId="14" fillId="0" borderId="60" xfId="0" applyFont="1" applyBorder="1" applyAlignment="1">
      <alignment horizontal="center" vertical="center"/>
    </xf>
    <xf numFmtId="38" fontId="15" fillId="3" borderId="63" xfId="49" applyFont="1" applyFill="1" applyBorder="1" applyAlignment="1">
      <alignment vertical="center"/>
    </xf>
    <xf numFmtId="0" fontId="5" fillId="0" borderId="34" xfId="0" applyFont="1" applyBorder="1" applyAlignment="1">
      <alignment horizontal="center" vertical="center"/>
    </xf>
    <xf numFmtId="0" fontId="14" fillId="0" borderId="19" xfId="0" applyFont="1" applyBorder="1" applyAlignment="1">
      <alignment horizontal="center" vertical="center"/>
    </xf>
    <xf numFmtId="180" fontId="14" fillId="0" borderId="43" xfId="49" applyNumberFormat="1" applyFont="1" applyFill="1" applyBorder="1" applyAlignment="1">
      <alignment vertical="center"/>
    </xf>
    <xf numFmtId="38" fontId="15" fillId="3" borderId="64"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38" fontId="15" fillId="3" borderId="48"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5" xfId="49" applyNumberFormat="1" applyFont="1" applyFill="1" applyBorder="1" applyAlignment="1">
      <alignment vertical="center"/>
    </xf>
    <xf numFmtId="0" fontId="14" fillId="0" borderId="28" xfId="0" applyFont="1" applyBorder="1" applyAlignment="1">
      <alignment horizontal="center" vertical="center"/>
    </xf>
    <xf numFmtId="180" fontId="14" fillId="0" borderId="40" xfId="49" applyNumberFormat="1" applyFont="1" applyFill="1" applyBorder="1" applyAlignment="1">
      <alignment vertical="center"/>
    </xf>
    <xf numFmtId="0" fontId="14" fillId="0" borderId="16" xfId="0" applyFont="1" applyBorder="1" applyAlignment="1">
      <alignment horizontal="center" vertical="center"/>
    </xf>
    <xf numFmtId="180" fontId="14" fillId="0" borderId="66" xfId="49" applyNumberFormat="1" applyFont="1" applyFill="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0" xfId="49" applyNumberFormat="1" applyFont="1" applyFill="1" applyBorder="1" applyAlignment="1" applyProtection="1">
      <alignment vertical="center"/>
      <protection locked="0"/>
    </xf>
    <xf numFmtId="180" fontId="9" fillId="32" borderId="62" xfId="49" applyNumberFormat="1" applyFont="1" applyFill="1" applyBorder="1" applyAlignment="1" applyProtection="1">
      <alignment vertical="center"/>
      <protection locked="0"/>
    </xf>
    <xf numFmtId="180" fontId="9" fillId="32" borderId="53" xfId="49" applyNumberFormat="1" applyFont="1" applyFill="1" applyBorder="1" applyAlignment="1" applyProtection="1">
      <alignment vertical="center"/>
      <protection locked="0"/>
    </xf>
    <xf numFmtId="180" fontId="9" fillId="32" borderId="49"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14" fillId="0" borderId="25" xfId="0" applyFont="1" applyBorder="1" applyAlignment="1">
      <alignment horizontal="distributed" vertical="center"/>
    </xf>
    <xf numFmtId="0" fontId="14" fillId="0" borderId="67" xfId="0" applyFont="1" applyBorder="1" applyAlignment="1">
      <alignment horizontal="distributed" vertical="center"/>
    </xf>
    <xf numFmtId="0" fontId="15" fillId="0" borderId="25" xfId="0" applyFont="1" applyFill="1" applyBorder="1" applyAlignment="1">
      <alignment horizontal="right" vertical="center"/>
    </xf>
    <xf numFmtId="0" fontId="15" fillId="0" borderId="67"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43" xfId="49" applyNumberFormat="1" applyFont="1" applyFill="1" applyBorder="1" applyAlignment="1">
      <alignment horizontal="center" vertical="center"/>
    </xf>
    <xf numFmtId="180" fontId="14" fillId="0" borderId="40" xfId="49" applyNumberFormat="1" applyFont="1" applyFill="1" applyBorder="1" applyAlignment="1">
      <alignment horizontal="center" vertical="center"/>
    </xf>
    <xf numFmtId="177" fontId="5" fillId="0" borderId="68" xfId="0" applyNumberFormat="1" applyFont="1" applyFill="1" applyBorder="1" applyAlignment="1">
      <alignment horizontal="center" vertical="center" shrinkToFit="1"/>
    </xf>
    <xf numFmtId="177" fontId="5" fillId="0" borderId="48" xfId="0" applyNumberFormat="1" applyFont="1" applyFill="1" applyBorder="1" applyAlignment="1">
      <alignment horizontal="center" vertical="center" shrinkToFit="1"/>
    </xf>
    <xf numFmtId="177" fontId="5" fillId="0" borderId="69" xfId="0" applyNumberFormat="1" applyFont="1" applyFill="1" applyBorder="1" applyAlignment="1">
      <alignment horizontal="center" vertical="center"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51"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0" xfId="0" applyFont="1" applyFill="1" applyBorder="1" applyAlignment="1">
      <alignment horizontal="center" vertical="center" shrinkToFit="1"/>
    </xf>
    <xf numFmtId="177" fontId="9" fillId="0" borderId="68" xfId="0" applyNumberFormat="1" applyFont="1" applyFill="1" applyBorder="1" applyAlignment="1">
      <alignment horizontal="right" vertical="center" shrinkToFit="1"/>
    </xf>
    <xf numFmtId="0" fontId="9" fillId="0" borderId="50" xfId="0" applyFont="1" applyFill="1" applyBorder="1" applyAlignment="1">
      <alignment horizontal="center" vertical="center" shrinkToFit="1"/>
    </xf>
    <xf numFmtId="177" fontId="9" fillId="0" borderId="51" xfId="0" applyNumberFormat="1" applyFont="1" applyFill="1" applyBorder="1" applyAlignment="1">
      <alignment horizontal="right" vertical="center" shrinkToFit="1"/>
    </xf>
    <xf numFmtId="177" fontId="9" fillId="0" borderId="70"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0" fontId="31" fillId="0" borderId="72" xfId="0" applyFont="1" applyFill="1" applyBorder="1" applyAlignment="1" applyProtection="1">
      <alignment horizontal="center" vertical="center" wrapText="1" shrinkToFit="1"/>
      <protection locked="0"/>
    </xf>
    <xf numFmtId="191" fontId="80" fillId="0" borderId="29" xfId="0" applyNumberFormat="1" applyFont="1" applyFill="1" applyBorder="1" applyAlignment="1" applyProtection="1">
      <alignment horizontal="right" vertical="center"/>
      <protection locked="0"/>
    </xf>
    <xf numFmtId="191" fontId="80" fillId="0" borderId="54" xfId="0" applyNumberFormat="1" applyFont="1" applyFill="1" applyBorder="1" applyAlignment="1" applyProtection="1">
      <alignment horizontal="right" vertical="center"/>
      <protection locked="0"/>
    </xf>
    <xf numFmtId="177" fontId="31" fillId="32" borderId="35" xfId="0" applyNumberFormat="1" applyFont="1" applyFill="1" applyBorder="1" applyAlignment="1" applyProtection="1">
      <alignment horizontal="right" vertical="center" shrinkToFit="1"/>
      <protection locked="0"/>
    </xf>
    <xf numFmtId="177" fontId="31" fillId="32" borderId="37" xfId="0" applyNumberFormat="1" applyFont="1" applyFill="1" applyBorder="1" applyAlignment="1" applyProtection="1">
      <alignment horizontal="right" vertical="center" shrinkToFit="1"/>
      <protection locked="0"/>
    </xf>
    <xf numFmtId="177" fontId="31" fillId="32" borderId="73" xfId="0" applyNumberFormat="1" applyFont="1" applyFill="1" applyBorder="1" applyAlignment="1" applyProtection="1">
      <alignment horizontal="right" vertical="center" shrinkToFit="1"/>
      <protection locked="0"/>
    </xf>
    <xf numFmtId="191" fontId="9" fillId="32" borderId="10" xfId="0" applyNumberFormat="1" applyFont="1" applyFill="1" applyBorder="1" applyAlignment="1">
      <alignment horizontal="right" vertical="center"/>
    </xf>
    <xf numFmtId="192" fontId="9" fillId="32" borderId="74" xfId="0" applyNumberFormat="1" applyFont="1" applyFill="1" applyBorder="1" applyAlignment="1">
      <alignment horizontal="right" vertical="center"/>
    </xf>
    <xf numFmtId="177" fontId="80" fillId="0" borderId="23"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0" fontId="19" fillId="0" borderId="0" xfId="0" applyFont="1" applyAlignment="1">
      <alignment horizontal="right" vertical="center"/>
    </xf>
    <xf numFmtId="177" fontId="9" fillId="32" borderId="37" xfId="0" applyNumberFormat="1" applyFont="1" applyFill="1" applyBorder="1" applyAlignment="1" applyProtection="1">
      <alignment horizontal="right" vertical="center"/>
      <protection locked="0"/>
    </xf>
    <xf numFmtId="177" fontId="9" fillId="32" borderId="73"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5" xfId="0" applyNumberFormat="1" applyFont="1" applyFill="1" applyBorder="1" applyAlignment="1" applyProtection="1">
      <alignment horizontal="right" vertical="center" shrinkToFit="1"/>
      <protection locked="0"/>
    </xf>
    <xf numFmtId="177" fontId="5" fillId="0" borderId="74" xfId="0" applyNumberFormat="1" applyFont="1" applyFill="1" applyBorder="1" applyAlignment="1">
      <alignment horizontal="right" vertical="center"/>
    </xf>
    <xf numFmtId="0" fontId="9" fillId="32" borderId="27" xfId="0" applyFont="1" applyFill="1" applyBorder="1" applyAlignment="1" applyProtection="1">
      <alignment horizontal="right" vertical="center"/>
      <protection locked="0"/>
    </xf>
    <xf numFmtId="191" fontId="9" fillId="32" borderId="43" xfId="0" applyNumberFormat="1" applyFont="1" applyFill="1" applyBorder="1" applyAlignment="1">
      <alignment horizontal="right" vertical="center"/>
    </xf>
    <xf numFmtId="192" fontId="9" fillId="32" borderId="29" xfId="0" applyNumberFormat="1" applyFont="1" applyFill="1" applyBorder="1" applyAlignment="1">
      <alignment horizontal="right" vertical="center"/>
    </xf>
    <xf numFmtId="177" fontId="80" fillId="0" borderId="19" xfId="0" applyNumberFormat="1" applyFont="1" applyFill="1" applyBorder="1" applyAlignment="1">
      <alignment horizontal="right" vertical="center"/>
    </xf>
    <xf numFmtId="177" fontId="80" fillId="0" borderId="64"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0" fontId="9" fillId="32" borderId="67" xfId="0" applyFont="1" applyFill="1" applyBorder="1" applyAlignment="1" applyProtection="1">
      <alignment horizontal="right" vertical="center"/>
      <protection locked="0"/>
    </xf>
    <xf numFmtId="177" fontId="9" fillId="32" borderId="67" xfId="0" applyNumberFormat="1" applyFont="1" applyFill="1" applyBorder="1" applyAlignment="1" applyProtection="1">
      <alignment horizontal="right" vertical="center"/>
      <protection locked="0"/>
    </xf>
    <xf numFmtId="177" fontId="9" fillId="32" borderId="76" xfId="0" applyNumberFormat="1" applyFont="1" applyFill="1" applyBorder="1" applyAlignment="1" applyProtection="1">
      <alignment horizontal="right" vertical="center"/>
      <protection locked="0"/>
    </xf>
    <xf numFmtId="191" fontId="9" fillId="32" borderId="77" xfId="0" applyNumberFormat="1" applyFont="1" applyFill="1" applyBorder="1" applyAlignment="1">
      <alignment horizontal="right" vertical="center"/>
    </xf>
    <xf numFmtId="192" fontId="9" fillId="32" borderId="54" xfId="0" applyNumberFormat="1" applyFont="1" applyFill="1" applyBorder="1" applyAlignment="1">
      <alignment horizontal="right" vertical="center"/>
    </xf>
    <xf numFmtId="177" fontId="80" fillId="0" borderId="78" xfId="0" applyNumberFormat="1" applyFont="1" applyFill="1" applyBorder="1" applyAlignment="1">
      <alignment horizontal="right" vertical="center"/>
    </xf>
    <xf numFmtId="177" fontId="5" fillId="0" borderId="54" xfId="0" applyNumberFormat="1" applyFont="1" applyFill="1" applyBorder="1" applyAlignment="1">
      <alignment horizontal="right" vertical="center"/>
    </xf>
    <xf numFmtId="177" fontId="5" fillId="0" borderId="76" xfId="0" applyNumberFormat="1" applyFont="1" applyFill="1" applyBorder="1" applyAlignment="1">
      <alignment horizontal="right" vertical="center"/>
    </xf>
    <xf numFmtId="176" fontId="5" fillId="0" borderId="77" xfId="0" applyNumberFormat="1" applyFont="1" applyFill="1" applyBorder="1" applyAlignment="1">
      <alignment horizontal="right" vertical="center"/>
    </xf>
    <xf numFmtId="177" fontId="5" fillId="0" borderId="67" xfId="0" applyNumberFormat="1" applyFont="1" applyFill="1" applyBorder="1" applyAlignment="1">
      <alignment horizontal="right" vertical="center"/>
    </xf>
    <xf numFmtId="177" fontId="5" fillId="0" borderId="79" xfId="0" applyNumberFormat="1" applyFont="1" applyFill="1" applyBorder="1" applyAlignment="1">
      <alignment horizontal="center" vertical="center" shrinkToFit="1"/>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5" xfId="0" applyNumberFormat="1" applyFont="1" applyFill="1" applyBorder="1" applyAlignment="1" applyProtection="1">
      <alignment horizontal="right" vertical="center"/>
      <protection locked="0"/>
    </xf>
    <xf numFmtId="0" fontId="9" fillId="32" borderId="34" xfId="0" applyNumberFormat="1" applyFont="1" applyFill="1" applyBorder="1" applyAlignment="1" applyProtection="1">
      <alignment horizontal="center" vertical="center"/>
      <protection locked="0"/>
    </xf>
    <xf numFmtId="180" fontId="14" fillId="0" borderId="43" xfId="49" applyNumberFormat="1" applyFont="1" applyFill="1" applyBorder="1" applyAlignment="1">
      <alignment horizontal="right" vertical="center"/>
    </xf>
    <xf numFmtId="180" fontId="14" fillId="0" borderId="37" xfId="49" applyNumberFormat="1" applyFont="1" applyFill="1" applyBorder="1" applyAlignment="1">
      <alignment vertical="center"/>
    </xf>
    <xf numFmtId="180" fontId="14" fillId="0" borderId="37" xfId="49" applyNumberFormat="1" applyFont="1" applyFill="1" applyBorder="1" applyAlignment="1">
      <alignment horizontal="right" vertical="center"/>
    </xf>
    <xf numFmtId="180" fontId="14" fillId="0" borderId="49" xfId="49" applyNumberFormat="1" applyFont="1" applyFill="1" applyBorder="1" applyAlignment="1">
      <alignment horizontal="center" vertical="center"/>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67" xfId="0" applyNumberFormat="1" applyFont="1" applyFill="1" applyBorder="1" applyAlignment="1" applyProtection="1">
      <alignment horizontal="center" vertical="center"/>
      <protection locked="0"/>
    </xf>
    <xf numFmtId="0" fontId="5" fillId="0" borderId="32"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0" fontId="31" fillId="0" borderId="11" xfId="0" applyFont="1" applyFill="1" applyBorder="1" applyAlignment="1" applyProtection="1">
      <alignment horizontal="center" vertical="center" wrapText="1" shrinkToFit="1"/>
      <protection locked="0"/>
    </xf>
    <xf numFmtId="0" fontId="9" fillId="0" borderId="0" xfId="0" applyFont="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177" fontId="9" fillId="0" borderId="75" xfId="0" applyNumberFormat="1" applyFont="1" applyFill="1" applyBorder="1" applyAlignment="1" applyProtection="1">
      <alignment horizontal="right" vertical="center"/>
      <protection locked="0"/>
    </xf>
    <xf numFmtId="177" fontId="9" fillId="0" borderId="37" xfId="0" applyNumberFormat="1" applyFont="1" applyFill="1" applyBorder="1" applyAlignment="1" applyProtection="1">
      <alignment horizontal="right" vertical="center"/>
      <protection locked="0"/>
    </xf>
    <xf numFmtId="177" fontId="9" fillId="0" borderId="73"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76"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23" xfId="0" applyFont="1" applyBorder="1" applyAlignment="1">
      <alignment horizontal="center" vertical="center"/>
    </xf>
    <xf numFmtId="0" fontId="5" fillId="0" borderId="12" xfId="0" applyFont="1" applyBorder="1" applyAlignment="1">
      <alignment horizontal="center" vertical="center"/>
    </xf>
    <xf numFmtId="0" fontId="20" fillId="0" borderId="80" xfId="0" applyFont="1" applyBorder="1" applyAlignment="1">
      <alignment horizontal="center" vertical="center"/>
    </xf>
    <xf numFmtId="0" fontId="0" fillId="0" borderId="5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40"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35" fillId="0" borderId="0" xfId="65" applyFont="1" applyAlignment="1">
      <alignment horizontal="center"/>
      <protection/>
    </xf>
    <xf numFmtId="0" fontId="34" fillId="0" borderId="45" xfId="65" applyFont="1" applyBorder="1">
      <alignment/>
      <protection/>
    </xf>
    <xf numFmtId="0" fontId="34" fillId="0" borderId="39" xfId="65" applyFont="1" applyBorder="1">
      <alignment/>
      <protection/>
    </xf>
    <xf numFmtId="0" fontId="34" fillId="0" borderId="55" xfId="65" applyFont="1" applyBorder="1">
      <alignment/>
      <protection/>
    </xf>
    <xf numFmtId="0" fontId="34" fillId="0" borderId="81" xfId="65" applyFont="1" applyBorder="1">
      <alignment/>
      <protection/>
    </xf>
    <xf numFmtId="0" fontId="35"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1" xfId="0" applyFont="1" applyBorder="1" applyAlignment="1">
      <alignment vertical="center" wrapText="1"/>
    </xf>
    <xf numFmtId="0" fontId="10" fillId="0" borderId="48" xfId="0" applyFont="1" applyBorder="1" applyAlignment="1">
      <alignment vertical="center" wrapText="1"/>
    </xf>
    <xf numFmtId="0" fontId="16" fillId="0" borderId="59"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5" fillId="0" borderId="28" xfId="0" applyNumberFormat="1" applyFont="1" applyFill="1" applyBorder="1" applyAlignment="1">
      <alignment horizontal="center" vertical="center"/>
    </xf>
    <xf numFmtId="0" fontId="9" fillId="0" borderId="0" xfId="0" applyNumberFormat="1" applyFont="1" applyFill="1" applyAlignment="1">
      <alignment vertical="center"/>
    </xf>
    <xf numFmtId="0" fontId="9" fillId="32" borderId="28" xfId="0" applyNumberFormat="1" applyFont="1" applyFill="1" applyBorder="1" applyAlignment="1" applyProtection="1">
      <alignment horizontal="right" vertical="center"/>
      <protection locked="0"/>
    </xf>
    <xf numFmtId="0" fontId="9" fillId="32" borderId="43" xfId="0" applyNumberFormat="1" applyFont="1" applyFill="1" applyBorder="1" applyAlignment="1">
      <alignment horizontal="right" vertical="center"/>
    </xf>
    <xf numFmtId="0" fontId="9" fillId="32" borderId="29"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2" xfId="0" applyFont="1" applyFill="1" applyBorder="1" applyAlignment="1" applyProtection="1">
      <alignment vertical="center" wrapText="1" shrinkToFit="1"/>
      <protection locked="0"/>
    </xf>
    <xf numFmtId="0" fontId="31" fillId="35" borderId="49" xfId="0" applyFont="1" applyFill="1" applyBorder="1" applyAlignment="1" applyProtection="1">
      <alignment vertical="center" shrinkToFit="1"/>
      <protection locked="0"/>
    </xf>
    <xf numFmtId="0" fontId="31" fillId="0" borderId="62" xfId="0" applyFont="1" applyFill="1" applyBorder="1" applyAlignment="1" applyProtection="1">
      <alignment vertical="center" wrapText="1" shrinkToFit="1"/>
      <protection locked="0"/>
    </xf>
    <xf numFmtId="0" fontId="31" fillId="0" borderId="49" xfId="0" applyFont="1" applyFill="1" applyBorder="1" applyAlignment="1" applyProtection="1">
      <alignment vertical="center" shrinkToFit="1"/>
      <protection locked="0"/>
    </xf>
    <xf numFmtId="0" fontId="31" fillId="0" borderId="74" xfId="0" applyFont="1" applyFill="1" applyBorder="1" applyAlignment="1" applyProtection="1">
      <alignment horizontal="center" vertical="center" wrapText="1" shrinkToFit="1"/>
      <protection locked="0"/>
    </xf>
    <xf numFmtId="0" fontId="9" fillId="0" borderId="68"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5" fillId="36" borderId="32" xfId="0" applyNumberFormat="1" applyFont="1" applyFill="1" applyBorder="1" applyAlignment="1">
      <alignment horizontal="center" vertical="center"/>
    </xf>
    <xf numFmtId="0" fontId="5" fillId="36" borderId="28" xfId="0" applyNumberFormat="1" applyFont="1" applyFill="1" applyBorder="1" applyAlignment="1">
      <alignment horizontal="center" vertical="center"/>
    </xf>
    <xf numFmtId="0" fontId="9" fillId="32" borderId="43" xfId="0" applyFont="1" applyFill="1" applyBorder="1" applyAlignment="1" applyProtection="1">
      <alignment horizontal="center" vertical="center" shrinkToFit="1"/>
      <protection locked="0"/>
    </xf>
    <xf numFmtId="0" fontId="5" fillId="36" borderId="76" xfId="0" applyNumberFormat="1" applyFont="1" applyFill="1" applyBorder="1" applyAlignment="1">
      <alignment horizontal="center" vertical="center"/>
    </xf>
    <xf numFmtId="177" fontId="5" fillId="0" borderId="54" xfId="0" applyNumberFormat="1" applyFont="1" applyFill="1" applyBorder="1" applyAlignment="1">
      <alignment vertical="center"/>
    </xf>
    <xf numFmtId="177" fontId="5" fillId="0" borderId="67" xfId="0" applyNumberFormat="1" applyFont="1" applyFill="1" applyBorder="1" applyAlignment="1">
      <alignment vertical="center"/>
    </xf>
    <xf numFmtId="0" fontId="9" fillId="32" borderId="73" xfId="0" applyFont="1" applyFill="1" applyBorder="1" applyAlignment="1" applyProtection="1">
      <alignment horizontal="center" vertical="center" shrinkToFit="1"/>
      <protection locked="0"/>
    </xf>
    <xf numFmtId="0" fontId="9" fillId="32" borderId="77" xfId="0" applyFont="1" applyFill="1" applyBorder="1" applyAlignment="1" applyProtection="1">
      <alignment horizontal="center" vertical="center" shrinkToFit="1"/>
      <protection locked="0"/>
    </xf>
    <xf numFmtId="177" fontId="5" fillId="0" borderId="34" xfId="0" applyNumberFormat="1" applyFont="1" applyFill="1" applyBorder="1" applyAlignment="1">
      <alignment horizontal="right" vertical="center"/>
    </xf>
    <xf numFmtId="0" fontId="4" fillId="0" borderId="0" xfId="65" applyFont="1" applyAlignment="1">
      <alignment/>
      <protection/>
    </xf>
    <xf numFmtId="0" fontId="6" fillId="0" borderId="0" xfId="65" applyAlignment="1">
      <alignment/>
      <protection/>
    </xf>
    <xf numFmtId="0" fontId="4" fillId="0" borderId="0" xfId="65" applyFont="1" applyAlignment="1">
      <alignment vertical="center"/>
      <protection/>
    </xf>
    <xf numFmtId="0" fontId="10" fillId="0" borderId="0" xfId="65" applyFont="1" applyAlignment="1">
      <alignment vertical="center"/>
      <protection/>
    </xf>
    <xf numFmtId="0" fontId="10" fillId="0" borderId="0" xfId="65" applyFont="1" applyFill="1" applyAlignment="1">
      <alignment vertical="center"/>
      <protection/>
    </xf>
    <xf numFmtId="0" fontId="34" fillId="0" borderId="0" xfId="65" applyFont="1" applyFill="1" applyAlignment="1">
      <alignment vertical="center"/>
      <protection/>
    </xf>
    <xf numFmtId="198" fontId="4" fillId="0" borderId="0" xfId="0" applyNumberFormat="1" applyFont="1" applyFill="1" applyAlignment="1">
      <alignment vertical="center" wrapText="1"/>
    </xf>
    <xf numFmtId="0" fontId="4" fillId="0" borderId="0" xfId="65" applyFont="1" applyFill="1" applyAlignment="1">
      <alignment vertical="center"/>
      <protection/>
    </xf>
    <xf numFmtId="0" fontId="10" fillId="0" borderId="0" xfId="65" applyFont="1" applyAlignment="1">
      <alignment horizontal="center" vertical="center"/>
      <protection/>
    </xf>
    <xf numFmtId="0" fontId="10" fillId="0" borderId="15"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3" xfId="0" applyFont="1" applyFill="1" applyBorder="1" applyAlignment="1">
      <alignment horizontal="right" vertical="center"/>
    </xf>
    <xf numFmtId="0" fontId="10" fillId="0" borderId="62" xfId="0" applyFont="1" applyFill="1" applyBorder="1" applyAlignment="1">
      <alignment horizontal="right" vertical="center"/>
    </xf>
    <xf numFmtId="0" fontId="10" fillId="0" borderId="6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8" xfId="0" applyFont="1" applyFill="1" applyBorder="1" applyAlignment="1">
      <alignment horizontal="right" vertical="center"/>
    </xf>
    <xf numFmtId="0" fontId="10" fillId="0" borderId="33" xfId="0" applyFont="1" applyFill="1" applyBorder="1" applyAlignment="1">
      <alignment horizontal="right" vertical="center"/>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37" borderId="57" xfId="0" applyFont="1" applyFill="1" applyBorder="1" applyAlignment="1">
      <alignment horizontal="center" vertical="center" wrapText="1"/>
    </xf>
    <xf numFmtId="0" fontId="0" fillId="0" borderId="0" xfId="0" applyBorder="1" applyAlignment="1">
      <alignment vertical="center" shrinkToFit="1"/>
    </xf>
    <xf numFmtId="0" fontId="15" fillId="0" borderId="24" xfId="0" applyFont="1" applyFill="1" applyBorder="1" applyAlignment="1">
      <alignment horizontal="right" vertical="center"/>
    </xf>
    <xf numFmtId="38" fontId="15" fillId="3" borderId="0" xfId="49" applyFont="1" applyFill="1" applyBorder="1" applyAlignment="1">
      <alignment vertical="center"/>
    </xf>
    <xf numFmtId="0" fontId="14" fillId="0" borderId="0" xfId="0" applyFont="1" applyBorder="1" applyAlignment="1">
      <alignment horizontal="distributed" vertical="center"/>
    </xf>
    <xf numFmtId="0" fontId="15" fillId="0" borderId="0" xfId="0" applyFont="1" applyFill="1" applyBorder="1" applyAlignment="1">
      <alignment vertical="center" shrinkToFit="1"/>
    </xf>
    <xf numFmtId="38" fontId="15" fillId="3" borderId="43" xfId="49" applyFont="1" applyFill="1" applyBorder="1" applyAlignment="1">
      <alignment vertical="center"/>
    </xf>
    <xf numFmtId="38" fontId="15" fillId="3" borderId="42" xfId="49" applyFont="1" applyFill="1" applyBorder="1" applyAlignment="1">
      <alignment vertical="center"/>
    </xf>
    <xf numFmtId="0" fontId="9" fillId="0" borderId="0" xfId="65" applyFont="1" applyAlignment="1">
      <alignment horizontal="center" vertical="center"/>
      <protection/>
    </xf>
    <xf numFmtId="49" fontId="35" fillId="0" borderId="0" xfId="65" applyNumberFormat="1" applyFont="1" applyAlignment="1">
      <alignment horizontal="right" vertical="center"/>
      <protection/>
    </xf>
    <xf numFmtId="38" fontId="10" fillId="0" borderId="0" xfId="49" applyFont="1" applyFill="1" applyAlignment="1">
      <alignment horizontal="right" vertical="center"/>
    </xf>
    <xf numFmtId="38" fontId="34" fillId="0" borderId="0" xfId="49" applyFont="1" applyAlignment="1">
      <alignment horizontal="right"/>
    </xf>
    <xf numFmtId="38" fontId="34" fillId="0" borderId="0" xfId="49" applyFont="1" applyFill="1" applyAlignment="1">
      <alignment horizontal="right" vertical="center"/>
    </xf>
    <xf numFmtId="38" fontId="15" fillId="0" borderId="62" xfId="49" applyFont="1" applyFill="1" applyBorder="1" applyAlignment="1">
      <alignment vertical="center"/>
    </xf>
    <xf numFmtId="38" fontId="15" fillId="0" borderId="63" xfId="49" applyFont="1" applyFill="1" applyBorder="1" applyAlignment="1">
      <alignment vertical="center"/>
    </xf>
    <xf numFmtId="38" fontId="15" fillId="0" borderId="19" xfId="49" applyFont="1" applyFill="1" applyBorder="1" applyAlignment="1">
      <alignment vertical="center"/>
    </xf>
    <xf numFmtId="38" fontId="15" fillId="0" borderId="29" xfId="49" applyFont="1" applyFill="1" applyBorder="1" applyAlignment="1">
      <alignment vertical="center"/>
    </xf>
    <xf numFmtId="38" fontId="15" fillId="0" borderId="37" xfId="49" applyFont="1" applyFill="1" applyBorder="1" applyAlignment="1">
      <alignment vertical="center"/>
    </xf>
    <xf numFmtId="38" fontId="15" fillId="0" borderId="64" xfId="49" applyFont="1" applyFill="1" applyBorder="1" applyAlignment="1">
      <alignment vertical="center"/>
    </xf>
    <xf numFmtId="38" fontId="15" fillId="0" borderId="22" xfId="49" applyFont="1" applyFill="1" applyBorder="1" applyAlignment="1">
      <alignment vertical="center"/>
    </xf>
    <xf numFmtId="38" fontId="15" fillId="0" borderId="82" xfId="49" applyFont="1" applyFill="1" applyBorder="1" applyAlignment="1">
      <alignment vertical="center"/>
    </xf>
    <xf numFmtId="38" fontId="15" fillId="0" borderId="50" xfId="49" applyFont="1" applyBorder="1" applyAlignment="1">
      <alignment vertical="center"/>
    </xf>
    <xf numFmtId="38" fontId="15" fillId="0" borderId="48" xfId="49" applyFont="1" applyFill="1" applyBorder="1" applyAlignment="1">
      <alignment vertical="center"/>
    </xf>
    <xf numFmtId="38" fontId="15" fillId="0" borderId="79" xfId="49" applyFont="1" applyFill="1" applyBorder="1" applyAlignment="1">
      <alignment vertical="center"/>
    </xf>
    <xf numFmtId="38" fontId="15" fillId="0" borderId="70" xfId="49" applyFont="1" applyFill="1" applyBorder="1" applyAlignment="1">
      <alignment vertical="center"/>
    </xf>
    <xf numFmtId="38" fontId="15" fillId="0" borderId="21" xfId="49" applyFont="1" applyFill="1" applyBorder="1" applyAlignment="1">
      <alignment vertical="center"/>
    </xf>
    <xf numFmtId="38" fontId="15" fillId="0" borderId="47" xfId="49" applyFont="1" applyFill="1" applyBorder="1" applyAlignment="1">
      <alignment vertical="center"/>
    </xf>
    <xf numFmtId="38" fontId="15" fillId="0" borderId="75" xfId="49" applyFont="1" applyFill="1" applyBorder="1" applyAlignment="1">
      <alignment vertical="center"/>
    </xf>
    <xf numFmtId="38" fontId="15" fillId="0" borderId="62" xfId="49" applyFont="1" applyBorder="1" applyAlignment="1">
      <alignment vertical="center"/>
    </xf>
    <xf numFmtId="38" fontId="15" fillId="0" borderId="37" xfId="49" applyFont="1" applyBorder="1" applyAlignment="1">
      <alignment vertical="center"/>
    </xf>
    <xf numFmtId="38" fontId="15" fillId="35" borderId="62" xfId="49" applyFont="1" applyFill="1" applyBorder="1" applyAlignment="1">
      <alignment vertical="center"/>
    </xf>
    <xf numFmtId="38" fontId="15" fillId="35" borderId="63" xfId="49" applyFont="1" applyFill="1" applyBorder="1" applyAlignment="1">
      <alignment vertical="center"/>
    </xf>
    <xf numFmtId="38" fontId="15" fillId="35" borderId="37" xfId="49" applyFont="1" applyFill="1" applyBorder="1" applyAlignment="1">
      <alignment vertical="center"/>
    </xf>
    <xf numFmtId="38" fontId="15" fillId="35" borderId="64" xfId="49" applyFont="1" applyFill="1" applyBorder="1" applyAlignment="1">
      <alignment vertical="center"/>
    </xf>
    <xf numFmtId="38" fontId="15" fillId="35" borderId="75" xfId="49" applyFont="1" applyFill="1" applyBorder="1" applyAlignment="1">
      <alignment vertical="center"/>
    </xf>
    <xf numFmtId="0" fontId="10" fillId="38" borderId="13" xfId="0" applyFont="1" applyFill="1" applyBorder="1" applyAlignment="1">
      <alignment horizontal="center" vertical="center" wrapText="1"/>
    </xf>
    <xf numFmtId="0" fontId="10" fillId="38" borderId="15" xfId="0" applyFont="1" applyFill="1" applyBorder="1" applyAlignment="1">
      <alignment horizontal="center" vertical="center" wrapText="1"/>
    </xf>
    <xf numFmtId="0" fontId="10" fillId="38" borderId="0" xfId="0" applyFont="1" applyFill="1" applyBorder="1" applyAlignment="1">
      <alignment horizontal="right" vertical="center"/>
    </xf>
    <xf numFmtId="38" fontId="15" fillId="38" borderId="42" xfId="49" applyFont="1" applyFill="1" applyBorder="1" applyAlignment="1">
      <alignment vertical="center"/>
    </xf>
    <xf numFmtId="38" fontId="15" fillId="38" borderId="43" xfId="49" applyFont="1" applyFill="1" applyBorder="1" applyAlignment="1">
      <alignment vertical="center"/>
    </xf>
    <xf numFmtId="38" fontId="15" fillId="38" borderId="51" xfId="49" applyFont="1" applyFill="1" applyBorder="1" applyAlignment="1">
      <alignment vertical="center"/>
    </xf>
    <xf numFmtId="38" fontId="15" fillId="35" borderId="13" xfId="49" applyFont="1" applyFill="1" applyBorder="1" applyAlignment="1">
      <alignment vertical="center"/>
    </xf>
    <xf numFmtId="38" fontId="15" fillId="0" borderId="60" xfId="49" applyFont="1" applyFill="1" applyBorder="1" applyAlignment="1">
      <alignment vertical="center"/>
    </xf>
    <xf numFmtId="38" fontId="15" fillId="0" borderId="83" xfId="49" applyFont="1" applyFill="1" applyBorder="1" applyAlignment="1">
      <alignment vertical="center"/>
    </xf>
    <xf numFmtId="38" fontId="15" fillId="0" borderId="23" xfId="49" applyFont="1" applyFill="1" applyBorder="1" applyAlignment="1">
      <alignment horizontal="right" vertical="center"/>
    </xf>
    <xf numFmtId="38" fontId="15" fillId="0" borderId="74" xfId="49" applyFont="1" applyFill="1" applyBorder="1" applyAlignment="1">
      <alignment vertical="center"/>
    </xf>
    <xf numFmtId="38" fontId="15" fillId="0" borderId="13" xfId="49" applyFont="1" applyFill="1" applyBorder="1" applyAlignment="1">
      <alignment vertical="center"/>
    </xf>
    <xf numFmtId="38" fontId="15" fillId="0" borderId="23" xfId="49" applyFont="1" applyFill="1" applyBorder="1" applyAlignment="1">
      <alignment vertical="center"/>
    </xf>
    <xf numFmtId="38" fontId="15" fillId="0" borderId="53" xfId="49" applyFont="1" applyFill="1" applyBorder="1" applyAlignment="1">
      <alignment vertical="center"/>
    </xf>
    <xf numFmtId="38" fontId="15" fillId="0" borderId="52" xfId="49" applyFont="1" applyFill="1" applyBorder="1" applyAlignment="1">
      <alignment vertical="center"/>
    </xf>
    <xf numFmtId="176" fontId="5" fillId="0" borderId="84" xfId="0" applyNumberFormat="1" applyFont="1" applyFill="1" applyBorder="1" applyAlignment="1">
      <alignment horizontal="right" vertical="center"/>
    </xf>
    <xf numFmtId="38" fontId="9" fillId="32" borderId="60" xfId="49" applyFont="1" applyFill="1" applyBorder="1" applyAlignment="1" applyProtection="1">
      <alignment vertical="center"/>
      <protection locked="0"/>
    </xf>
    <xf numFmtId="38" fontId="9" fillId="32" borderId="62" xfId="49" applyFont="1" applyFill="1" applyBorder="1" applyAlignment="1" applyProtection="1">
      <alignment vertical="center"/>
      <protection locked="0"/>
    </xf>
    <xf numFmtId="38" fontId="9" fillId="32" borderId="53" xfId="49" applyFont="1" applyFill="1" applyBorder="1" applyAlignment="1" applyProtection="1">
      <alignment vertical="center"/>
      <protection locked="0"/>
    </xf>
    <xf numFmtId="38" fontId="9" fillId="32" borderId="49" xfId="49" applyFont="1" applyFill="1" applyBorder="1" applyAlignment="1" applyProtection="1">
      <alignment vertical="center"/>
      <protection locked="0"/>
    </xf>
    <xf numFmtId="38" fontId="9" fillId="32" borderId="27" xfId="49" applyFont="1" applyFill="1" applyBorder="1" applyAlignment="1" applyProtection="1">
      <alignment horizontal="right" vertical="center"/>
      <protection locked="0"/>
    </xf>
    <xf numFmtId="38" fontId="80" fillId="0" borderId="19" xfId="49" applyFont="1" applyFill="1" applyBorder="1" applyAlignment="1">
      <alignment vertical="center"/>
    </xf>
    <xf numFmtId="38" fontId="80" fillId="0" borderId="78" xfId="49" applyFont="1" applyFill="1" applyBorder="1" applyAlignment="1">
      <alignment vertical="center"/>
    </xf>
    <xf numFmtId="38" fontId="80" fillId="0" borderId="18" xfId="49" applyFont="1" applyFill="1" applyBorder="1" applyAlignment="1">
      <alignment vertical="center"/>
    </xf>
    <xf numFmtId="38" fontId="5" fillId="0" borderId="33" xfId="49" applyFont="1" applyFill="1" applyBorder="1" applyAlignment="1">
      <alignment horizontal="right" vertical="center"/>
    </xf>
    <xf numFmtId="38" fontId="5" fillId="0" borderId="29" xfId="49" applyFont="1" applyFill="1" applyBorder="1" applyAlignment="1">
      <alignment horizontal="right" vertical="center"/>
    </xf>
    <xf numFmtId="38" fontId="5" fillId="0" borderId="54" xfId="49" applyFont="1" applyFill="1" applyBorder="1" applyAlignment="1">
      <alignment horizontal="right" vertical="center"/>
    </xf>
    <xf numFmtId="38" fontId="5" fillId="0" borderId="34" xfId="49" applyFont="1" applyFill="1" applyBorder="1" applyAlignment="1">
      <alignment vertical="center"/>
    </xf>
    <xf numFmtId="38" fontId="5" fillId="0" borderId="28" xfId="49" applyFont="1" applyFill="1" applyBorder="1" applyAlignment="1">
      <alignment vertical="center"/>
    </xf>
    <xf numFmtId="38" fontId="5" fillId="0" borderId="43" xfId="49" applyFont="1" applyFill="1" applyBorder="1" applyAlignment="1">
      <alignment vertical="center"/>
    </xf>
    <xf numFmtId="38" fontId="5" fillId="0" borderId="27" xfId="49" applyFont="1" applyFill="1" applyBorder="1" applyAlignment="1">
      <alignment vertical="center"/>
    </xf>
    <xf numFmtId="38" fontId="9" fillId="32" borderId="27" xfId="49" applyFont="1" applyFill="1" applyBorder="1" applyAlignment="1" applyProtection="1">
      <alignment vertical="center"/>
      <protection locked="0"/>
    </xf>
    <xf numFmtId="38" fontId="5" fillId="0" borderId="67" xfId="49" applyFont="1" applyFill="1" applyBorder="1" applyAlignment="1">
      <alignment vertical="center"/>
    </xf>
    <xf numFmtId="38" fontId="5" fillId="0" borderId="20" xfId="49" applyFont="1" applyFill="1" applyBorder="1" applyAlignment="1">
      <alignment vertical="center" shrinkToFit="1"/>
    </xf>
    <xf numFmtId="38" fontId="9" fillId="32" borderId="35" xfId="49" applyFont="1" applyFill="1" applyBorder="1" applyAlignment="1" applyProtection="1">
      <alignment horizontal="center" vertical="center" shrinkToFit="1"/>
      <protection locked="0"/>
    </xf>
    <xf numFmtId="38" fontId="5" fillId="33" borderId="32" xfId="49" applyFont="1" applyFill="1" applyBorder="1" applyAlignment="1">
      <alignment horizontal="center" vertical="center"/>
    </xf>
    <xf numFmtId="38" fontId="5" fillId="33" borderId="38" xfId="49" applyFont="1" applyFill="1" applyBorder="1" applyAlignment="1">
      <alignment horizontal="center" vertical="center"/>
    </xf>
    <xf numFmtId="38" fontId="5" fillId="33" borderId="33"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41" xfId="49" applyFont="1" applyFill="1" applyBorder="1" applyAlignment="1">
      <alignment horizontal="center" vertical="center"/>
    </xf>
    <xf numFmtId="38" fontId="5" fillId="0" borderId="32" xfId="49" applyFont="1" applyFill="1" applyBorder="1" applyAlignment="1">
      <alignment vertical="center"/>
    </xf>
    <xf numFmtId="38" fontId="5" fillId="33" borderId="36" xfId="49" applyFont="1" applyFill="1" applyBorder="1" applyAlignment="1">
      <alignment horizontal="center" vertical="center"/>
    </xf>
    <xf numFmtId="38" fontId="5" fillId="33" borderId="39"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43" xfId="49" applyFont="1" applyFill="1" applyBorder="1" applyAlignment="1">
      <alignment horizontal="center" vertical="center"/>
    </xf>
    <xf numFmtId="38" fontId="5" fillId="0" borderId="36" xfId="49" applyFont="1" applyFill="1" applyBorder="1" applyAlignment="1">
      <alignment vertical="center"/>
    </xf>
    <xf numFmtId="38" fontId="9" fillId="32" borderId="37" xfId="49" applyFont="1" applyFill="1" applyBorder="1" applyAlignment="1" applyProtection="1">
      <alignment horizontal="center" vertical="center" shrinkToFit="1"/>
      <protection locked="0"/>
    </xf>
    <xf numFmtId="38" fontId="5" fillId="33" borderId="28" xfId="49"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78" xfId="49" applyFont="1" applyFill="1" applyBorder="1" applyAlignment="1">
      <alignment horizontal="center" vertical="center"/>
    </xf>
    <xf numFmtId="38" fontId="5" fillId="33" borderId="77" xfId="49" applyFont="1" applyFill="1" applyBorder="1" applyAlignment="1">
      <alignment horizontal="center" vertical="center"/>
    </xf>
    <xf numFmtId="38" fontId="5" fillId="33" borderId="44" xfId="49" applyFont="1" applyFill="1" applyBorder="1" applyAlignment="1">
      <alignment horizontal="center" vertical="center"/>
    </xf>
    <xf numFmtId="38" fontId="5" fillId="33" borderId="45" xfId="49" applyFont="1" applyFill="1" applyBorder="1" applyAlignment="1">
      <alignment horizontal="center" vertical="center"/>
    </xf>
    <xf numFmtId="38" fontId="5" fillId="33" borderId="42" xfId="49" applyFont="1" applyFill="1" applyBorder="1" applyAlignment="1">
      <alignment horizontal="center" vertical="center"/>
    </xf>
    <xf numFmtId="38" fontId="5" fillId="33" borderId="21" xfId="49" applyFont="1" applyFill="1" applyBorder="1" applyAlignment="1">
      <alignment horizontal="center" vertical="center"/>
    </xf>
    <xf numFmtId="38" fontId="5" fillId="33" borderId="46" xfId="49" applyFont="1" applyFill="1" applyBorder="1" applyAlignment="1">
      <alignment horizontal="center" vertical="center"/>
    </xf>
    <xf numFmtId="38" fontId="5" fillId="0" borderId="68" xfId="49" applyFont="1" applyFill="1" applyBorder="1" applyAlignment="1">
      <alignment horizontal="center" vertical="center" shrinkToFit="1"/>
    </xf>
    <xf numFmtId="38" fontId="5" fillId="0" borderId="48" xfId="49" applyFont="1" applyFill="1" applyBorder="1" applyAlignment="1">
      <alignment horizontal="center" vertical="center" shrinkToFit="1"/>
    </xf>
    <xf numFmtId="38" fontId="5" fillId="0" borderId="69" xfId="49" applyFont="1" applyFill="1" applyBorder="1" applyAlignment="1">
      <alignment horizontal="center" vertical="center" shrinkToFit="1"/>
    </xf>
    <xf numFmtId="38" fontId="5" fillId="0" borderId="70" xfId="49" applyFont="1" applyFill="1" applyBorder="1" applyAlignment="1">
      <alignment horizontal="center" vertical="center" shrinkToFit="1"/>
    </xf>
    <xf numFmtId="38" fontId="5" fillId="0" borderId="71" xfId="49" applyFont="1" applyFill="1" applyBorder="1" applyAlignment="1">
      <alignment horizontal="center" vertical="center" shrinkToFit="1"/>
    </xf>
    <xf numFmtId="38" fontId="5" fillId="0" borderId="51" xfId="49" applyFont="1" applyFill="1" applyBorder="1" applyAlignment="1">
      <alignment horizontal="center" vertical="center" shrinkToFit="1"/>
    </xf>
    <xf numFmtId="38" fontId="5" fillId="0" borderId="79" xfId="49" applyFont="1" applyFill="1" applyBorder="1" applyAlignment="1">
      <alignment horizontal="center" vertical="center" shrinkToFit="1"/>
    </xf>
    <xf numFmtId="38" fontId="9" fillId="35" borderId="34" xfId="49" applyFont="1" applyFill="1" applyBorder="1" applyAlignment="1" applyProtection="1">
      <alignment horizontal="center" vertical="center"/>
      <protection locked="0"/>
    </xf>
    <xf numFmtId="38" fontId="9" fillId="32" borderId="41" xfId="49" applyFont="1" applyFill="1" applyBorder="1" applyAlignment="1" applyProtection="1">
      <alignment horizontal="right" vertical="center"/>
      <protection locked="0"/>
    </xf>
    <xf numFmtId="38" fontId="9" fillId="35" borderId="27" xfId="49" applyFont="1" applyFill="1" applyBorder="1" applyAlignment="1" applyProtection="1">
      <alignment horizontal="center" vertical="center"/>
      <protection locked="0"/>
    </xf>
    <xf numFmtId="38" fontId="9" fillId="32" borderId="43" xfId="49" applyFont="1" applyFill="1" applyBorder="1" applyAlignment="1" applyProtection="1">
      <alignment horizontal="right" vertical="center"/>
      <protection locked="0"/>
    </xf>
    <xf numFmtId="38" fontId="9" fillId="35" borderId="67" xfId="49" applyFont="1" applyFill="1" applyBorder="1" applyAlignment="1" applyProtection="1">
      <alignment horizontal="center" vertical="center"/>
      <protection locked="0"/>
    </xf>
    <xf numFmtId="38" fontId="9" fillId="32" borderId="77" xfId="49" applyFont="1" applyFill="1" applyBorder="1" applyAlignment="1" applyProtection="1">
      <alignment horizontal="right" vertical="center"/>
      <protection locked="0"/>
    </xf>
    <xf numFmtId="38" fontId="9" fillId="0" borderId="14" xfId="49" applyFont="1" applyFill="1" applyBorder="1" applyAlignment="1">
      <alignment horizontal="center" vertical="center" shrinkToFit="1"/>
    </xf>
    <xf numFmtId="38" fontId="5" fillId="33" borderId="76" xfId="49" applyFont="1" applyFill="1" applyBorder="1" applyAlignment="1">
      <alignment horizontal="center" vertical="center"/>
    </xf>
    <xf numFmtId="38" fontId="5" fillId="33" borderId="85" xfId="49" applyFont="1" applyFill="1" applyBorder="1" applyAlignment="1">
      <alignment horizontal="center" vertical="center"/>
    </xf>
    <xf numFmtId="38" fontId="5" fillId="33" borderId="54" xfId="49" applyFont="1" applyFill="1" applyBorder="1" applyAlignment="1">
      <alignment horizontal="center" vertical="center"/>
    </xf>
    <xf numFmtId="38" fontId="5" fillId="0" borderId="13" xfId="49" applyFont="1" applyFill="1" applyBorder="1" applyAlignment="1" applyProtection="1">
      <alignment vertical="center"/>
      <protection/>
    </xf>
    <xf numFmtId="38" fontId="5" fillId="0" borderId="59" xfId="49" applyFont="1" applyFill="1" applyBorder="1" applyAlignment="1">
      <alignment vertical="center"/>
    </xf>
    <xf numFmtId="38" fontId="5" fillId="0" borderId="59" xfId="49" applyFont="1" applyFill="1" applyBorder="1" applyAlignment="1" applyProtection="1">
      <alignment vertical="center"/>
      <protection/>
    </xf>
    <xf numFmtId="38" fontId="5" fillId="0" borderId="15" xfId="49" applyFont="1" applyFill="1" applyBorder="1" applyAlignment="1" applyProtection="1">
      <alignment vertical="center"/>
      <protection/>
    </xf>
    <xf numFmtId="38" fontId="5" fillId="0" borderId="24" xfId="49" applyFont="1" applyFill="1" applyBorder="1" applyAlignment="1">
      <alignment vertical="center"/>
    </xf>
    <xf numFmtId="38" fontId="5" fillId="0" borderId="24" xfId="49" applyFont="1" applyFill="1" applyBorder="1" applyAlignment="1" applyProtection="1">
      <alignment vertical="center"/>
      <protection/>
    </xf>
    <xf numFmtId="38" fontId="9" fillId="35" borderId="60" xfId="49" applyFont="1" applyFill="1" applyBorder="1" applyAlignment="1" applyProtection="1">
      <alignment vertical="center"/>
      <protection locked="0"/>
    </xf>
    <xf numFmtId="38" fontId="9" fillId="35" borderId="62" xfId="49" applyFont="1" applyFill="1" applyBorder="1" applyAlignment="1" applyProtection="1">
      <alignment vertical="center"/>
      <protection locked="0"/>
    </xf>
    <xf numFmtId="38" fontId="9" fillId="35" borderId="53" xfId="49" applyFont="1" applyFill="1" applyBorder="1" applyAlignment="1" applyProtection="1">
      <alignment vertical="center"/>
      <protection locked="0"/>
    </xf>
    <xf numFmtId="38" fontId="9" fillId="35" borderId="49" xfId="49" applyFont="1" applyFill="1" applyBorder="1" applyAlignment="1" applyProtection="1">
      <alignment vertical="center"/>
      <protection locked="0"/>
    </xf>
    <xf numFmtId="38" fontId="15" fillId="37" borderId="50" xfId="49" applyFont="1" applyFill="1" applyBorder="1" applyAlignment="1">
      <alignment vertical="center"/>
    </xf>
    <xf numFmtId="0" fontId="35" fillId="0" borderId="0" xfId="62" applyFont="1" applyFill="1" applyAlignment="1">
      <alignment vertical="center"/>
      <protection/>
    </xf>
    <xf numFmtId="0" fontId="35" fillId="0" borderId="0" xfId="62" applyFont="1" applyFill="1" applyBorder="1" applyAlignment="1">
      <alignment vertical="center"/>
      <protection/>
    </xf>
    <xf numFmtId="0" fontId="31" fillId="0" borderId="0" xfId="62" applyFont="1" applyAlignment="1">
      <alignment vertical="center"/>
      <protection/>
    </xf>
    <xf numFmtId="0" fontId="63" fillId="0" borderId="0" xfId="62" applyAlignment="1">
      <alignment vertical="center"/>
      <protection/>
    </xf>
    <xf numFmtId="0" fontId="23" fillId="0" borderId="0" xfId="65" applyFont="1" applyAlignment="1">
      <alignment vertical="center"/>
      <protection/>
    </xf>
    <xf numFmtId="0" fontId="4" fillId="0" borderId="46" xfId="65" applyFont="1" applyBorder="1" applyAlignment="1">
      <alignment vertical="center"/>
      <protection/>
    </xf>
    <xf numFmtId="0" fontId="81" fillId="0" borderId="0" xfId="65" applyFont="1" applyAlignment="1">
      <alignment horizontal="left"/>
      <protection/>
    </xf>
    <xf numFmtId="0" fontId="10" fillId="0" borderId="0" xfId="65" applyFont="1" applyAlignment="1">
      <alignment vertical="top" wrapText="1"/>
      <protection/>
    </xf>
    <xf numFmtId="0" fontId="10" fillId="0" borderId="25" xfId="0" applyFont="1" applyBorder="1" applyAlignment="1">
      <alignment horizontal="center" vertical="center" wrapText="1"/>
    </xf>
    <xf numFmtId="0" fontId="10" fillId="0" borderId="5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62" xfId="0" applyFont="1" applyBorder="1" applyAlignment="1">
      <alignment horizontal="center" vertical="center" wrapText="1"/>
    </xf>
    <xf numFmtId="0" fontId="10" fillId="0" borderId="59" xfId="0" applyFont="1" applyBorder="1" applyAlignment="1">
      <alignment horizontal="center" vertical="center"/>
    </xf>
    <xf numFmtId="0" fontId="10" fillId="0" borderId="83" xfId="0" applyFont="1" applyBorder="1" applyAlignment="1">
      <alignment horizontal="center" vertical="center"/>
    </xf>
    <xf numFmtId="0" fontId="10" fillId="0" borderId="83" xfId="0" applyFont="1" applyFill="1" applyBorder="1" applyAlignment="1">
      <alignment horizontal="center" vertical="center"/>
    </xf>
    <xf numFmtId="0" fontId="10" fillId="3" borderId="59" xfId="0" applyFont="1" applyFill="1" applyBorder="1" applyAlignment="1">
      <alignment horizontal="center" vertical="center"/>
    </xf>
    <xf numFmtId="0" fontId="14" fillId="0" borderId="60" xfId="0" applyFont="1" applyBorder="1" applyAlignment="1" quotePrefix="1">
      <alignment horizontal="center" vertical="center" wrapText="1"/>
    </xf>
    <xf numFmtId="0" fontId="10"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6" xfId="0" applyFont="1" applyBorder="1" applyAlignment="1">
      <alignment horizontal="distributed" vertical="center"/>
    </xf>
    <xf numFmtId="0" fontId="14" fillId="0" borderId="76" xfId="0" applyFont="1" applyBorder="1" applyAlignment="1">
      <alignment horizontal="distributed" vertical="center"/>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66" xfId="0" applyFont="1" applyBorder="1" applyAlignment="1">
      <alignment horizontal="center" vertical="center" wrapText="1"/>
    </xf>
    <xf numFmtId="0" fontId="82" fillId="0" borderId="5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6" xfId="0" applyFont="1" applyBorder="1" applyAlignment="1">
      <alignment horizontal="center" vertical="center" wrapText="1"/>
    </xf>
    <xf numFmtId="0" fontId="10" fillId="0" borderId="12" xfId="0" applyFont="1" applyBorder="1" applyAlignment="1" quotePrefix="1">
      <alignment horizontal="center" vertical="center"/>
    </xf>
    <xf numFmtId="177" fontId="9" fillId="32" borderId="75" xfId="0" applyNumberFormat="1" applyFont="1" applyFill="1" applyBorder="1" applyAlignment="1" applyProtection="1">
      <alignment horizontal="right" vertical="center"/>
      <protection locked="0"/>
    </xf>
    <xf numFmtId="191" fontId="80" fillId="0" borderId="33" xfId="0" applyNumberFormat="1" applyFont="1" applyFill="1" applyBorder="1" applyAlignment="1" applyProtection="1">
      <alignment horizontal="right" vertical="center"/>
      <protection locked="0"/>
    </xf>
    <xf numFmtId="191" fontId="80" fillId="0" borderId="72" xfId="0" applyNumberFormat="1" applyFont="1" applyFill="1" applyBorder="1" applyAlignment="1">
      <alignment horizontal="right" vertical="center"/>
    </xf>
    <xf numFmtId="192" fontId="9" fillId="32" borderId="10" xfId="0" applyNumberFormat="1" applyFont="1" applyFill="1" applyBorder="1" applyAlignment="1">
      <alignment horizontal="right" vertical="center"/>
    </xf>
    <xf numFmtId="192" fontId="9" fillId="32" borderId="66" xfId="0" applyNumberFormat="1" applyFont="1" applyFill="1" applyBorder="1" applyAlignment="1">
      <alignment horizontal="right" vertical="center"/>
    </xf>
    <xf numFmtId="177" fontId="5" fillId="0" borderId="66" xfId="0" applyNumberFormat="1" applyFont="1" applyFill="1" applyBorder="1" applyAlignment="1">
      <alignment horizontal="right" vertical="center"/>
    </xf>
    <xf numFmtId="177" fontId="9" fillId="32" borderId="10" xfId="0" applyNumberFormat="1" applyFont="1" applyFill="1" applyBorder="1" applyAlignment="1" applyProtection="1">
      <alignment horizontal="right" vertical="center"/>
      <protection locked="0"/>
    </xf>
    <xf numFmtId="177" fontId="80" fillId="32" borderId="84" xfId="0" applyNumberFormat="1" applyFont="1" applyFill="1" applyBorder="1" applyAlignment="1" applyProtection="1">
      <alignment horizontal="right" vertical="center"/>
      <protection locked="0"/>
    </xf>
    <xf numFmtId="177" fontId="5" fillId="3" borderId="34" xfId="0" applyNumberFormat="1" applyFont="1" applyFill="1" applyBorder="1" applyAlignment="1">
      <alignment horizontal="right" vertical="center"/>
    </xf>
    <xf numFmtId="191" fontId="80" fillId="0" borderId="46" xfId="0" applyNumberFormat="1" applyFont="1" applyFill="1" applyBorder="1" applyAlignment="1">
      <alignment horizontal="right" vertical="center"/>
    </xf>
    <xf numFmtId="192" fontId="9" fillId="32" borderId="43" xfId="0" applyNumberFormat="1" applyFont="1" applyFill="1" applyBorder="1" applyAlignment="1">
      <alignment horizontal="right" vertical="center"/>
    </xf>
    <xf numFmtId="192" fontId="9" fillId="32" borderId="40" xfId="0"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177" fontId="9" fillId="32" borderId="43" xfId="0" applyNumberFormat="1" applyFont="1" applyFill="1" applyBorder="1" applyAlignment="1" applyProtection="1">
      <alignment horizontal="right" vertical="center"/>
      <protection locked="0"/>
    </xf>
    <xf numFmtId="177" fontId="80" fillId="32" borderId="43" xfId="0" applyNumberFormat="1" applyFont="1" applyFill="1" applyBorder="1" applyAlignment="1" applyProtection="1">
      <alignment horizontal="right" vertical="center"/>
      <protection locked="0"/>
    </xf>
    <xf numFmtId="177" fontId="5" fillId="3" borderId="27" xfId="0" applyNumberFormat="1" applyFont="1" applyFill="1" applyBorder="1" applyAlignment="1">
      <alignment horizontal="right" vertical="center"/>
    </xf>
    <xf numFmtId="0" fontId="9" fillId="32" borderId="37" xfId="0" applyNumberFormat="1" applyFont="1" applyFill="1" applyBorder="1" applyAlignment="1" applyProtection="1">
      <alignment horizontal="right" vertical="center"/>
      <protection locked="0"/>
    </xf>
    <xf numFmtId="0" fontId="80" fillId="0" borderId="46" xfId="0" applyNumberFormat="1" applyFont="1" applyFill="1" applyBorder="1" applyAlignment="1">
      <alignment horizontal="right" vertical="center"/>
    </xf>
    <xf numFmtId="0" fontId="9" fillId="32" borderId="40" xfId="0" applyNumberFormat="1" applyFont="1" applyFill="1" applyBorder="1" applyAlignment="1">
      <alignment horizontal="right" vertical="center"/>
    </xf>
    <xf numFmtId="191" fontId="80" fillId="0" borderId="87" xfId="0" applyNumberFormat="1" applyFont="1" applyFill="1" applyBorder="1" applyAlignment="1">
      <alignment horizontal="right" vertical="center"/>
    </xf>
    <xf numFmtId="192" fontId="9" fillId="32" borderId="77" xfId="0" applyNumberFormat="1" applyFont="1" applyFill="1" applyBorder="1" applyAlignment="1">
      <alignment horizontal="right" vertical="center"/>
    </xf>
    <xf numFmtId="192" fontId="9" fillId="32" borderId="85" xfId="0" applyNumberFormat="1" applyFont="1" applyFill="1" applyBorder="1" applyAlignment="1">
      <alignment horizontal="right" vertical="center"/>
    </xf>
    <xf numFmtId="177" fontId="5" fillId="0" borderId="85" xfId="0" applyNumberFormat="1" applyFont="1" applyFill="1" applyBorder="1" applyAlignment="1">
      <alignment horizontal="right" vertical="center"/>
    </xf>
    <xf numFmtId="177" fontId="9" fillId="32" borderId="77" xfId="0" applyNumberFormat="1" applyFont="1" applyFill="1" applyBorder="1" applyAlignment="1" applyProtection="1">
      <alignment horizontal="right" vertical="center"/>
      <protection locked="0"/>
    </xf>
    <xf numFmtId="177" fontId="80" fillId="32" borderId="77" xfId="0" applyNumberFormat="1" applyFont="1" applyFill="1" applyBorder="1" applyAlignment="1" applyProtection="1">
      <alignment horizontal="right" vertical="center"/>
      <protection locked="0"/>
    </xf>
    <xf numFmtId="177" fontId="5" fillId="3" borderId="67" xfId="0" applyNumberFormat="1" applyFont="1" applyFill="1" applyBorder="1" applyAlignment="1">
      <alignment horizontal="right" vertical="center"/>
    </xf>
    <xf numFmtId="177" fontId="9" fillId="0" borderId="17" xfId="0" applyNumberFormat="1" applyFont="1" applyFill="1" applyBorder="1" applyAlignment="1">
      <alignment horizontal="right" vertical="center" shrinkToFit="1"/>
    </xf>
    <xf numFmtId="177" fontId="9" fillId="0" borderId="49" xfId="0" applyNumberFormat="1" applyFont="1" applyFill="1" applyBorder="1" applyAlignment="1">
      <alignment horizontal="right" vertical="center" shrinkToFit="1"/>
    </xf>
    <xf numFmtId="191" fontId="9" fillId="0" borderId="52" xfId="0" applyNumberFormat="1" applyFont="1" applyFill="1" applyBorder="1" applyAlignment="1">
      <alignment horizontal="right" vertical="center" shrinkToFit="1"/>
    </xf>
    <xf numFmtId="0" fontId="9" fillId="0" borderId="69" xfId="0" applyFont="1" applyFill="1" applyBorder="1" applyAlignment="1">
      <alignment horizontal="center" vertical="center" shrinkToFit="1"/>
    </xf>
    <xf numFmtId="177" fontId="5" fillId="0" borderId="17" xfId="0" applyNumberFormat="1" applyFont="1" applyFill="1" applyBorder="1" applyAlignment="1">
      <alignment vertical="center" shrinkToFit="1"/>
    </xf>
    <xf numFmtId="177" fontId="5" fillId="0" borderId="24" xfId="0" applyNumberFormat="1" applyFont="1" applyFill="1" applyBorder="1" applyAlignment="1">
      <alignment vertical="center" shrinkToFit="1"/>
    </xf>
    <xf numFmtId="177" fontId="5" fillId="3" borderId="24" xfId="0" applyNumberFormat="1" applyFont="1" applyFill="1" applyBorder="1" applyAlignment="1">
      <alignment vertical="center" shrinkToFit="1"/>
    </xf>
    <xf numFmtId="0" fontId="9" fillId="32" borderId="46" xfId="0" applyFont="1" applyFill="1" applyBorder="1" applyAlignment="1" applyProtection="1">
      <alignment horizontal="center" vertical="center" shrinkToFit="1"/>
      <protection locked="0"/>
    </xf>
    <xf numFmtId="0" fontId="9" fillId="32" borderId="40" xfId="0" applyFont="1" applyFill="1" applyBorder="1" applyAlignment="1" applyProtection="1">
      <alignment horizontal="center" vertical="center" shrinkToFit="1"/>
      <protection locked="0"/>
    </xf>
    <xf numFmtId="0" fontId="9" fillId="32" borderId="19" xfId="0" applyFont="1" applyFill="1" applyBorder="1" applyAlignment="1" applyProtection="1">
      <alignment horizontal="center" vertical="center" shrinkToFit="1"/>
      <protection locked="0"/>
    </xf>
    <xf numFmtId="0" fontId="9" fillId="32" borderId="29" xfId="0" applyFont="1" applyFill="1" applyBorder="1" applyAlignment="1" applyProtection="1">
      <alignment horizontal="center" vertical="center" shrinkToFit="1"/>
      <protection locked="0"/>
    </xf>
    <xf numFmtId="176" fontId="5" fillId="0" borderId="41" xfId="0" applyNumberFormat="1" applyFont="1" applyFill="1" applyBorder="1" applyAlignment="1">
      <alignment vertical="center"/>
    </xf>
    <xf numFmtId="176" fontId="5" fillId="0" borderId="42" xfId="0" applyNumberFormat="1" applyFont="1" applyFill="1" applyBorder="1" applyAlignment="1">
      <alignment vertical="center"/>
    </xf>
    <xf numFmtId="176" fontId="5" fillId="0" borderId="43" xfId="0" applyNumberFormat="1" applyFont="1" applyFill="1" applyBorder="1" applyAlignment="1">
      <alignment vertical="center"/>
    </xf>
    <xf numFmtId="0" fontId="9" fillId="32" borderId="87" xfId="0" applyFont="1" applyFill="1" applyBorder="1" applyAlignment="1" applyProtection="1">
      <alignment horizontal="center" vertical="center" shrinkToFit="1"/>
      <protection locked="0"/>
    </xf>
    <xf numFmtId="0" fontId="9" fillId="32" borderId="85" xfId="0" applyFont="1" applyFill="1" applyBorder="1" applyAlignment="1" applyProtection="1">
      <alignment horizontal="center" vertical="center" shrinkToFit="1"/>
      <protection locked="0"/>
    </xf>
    <xf numFmtId="0" fontId="9" fillId="32" borderId="78" xfId="0" applyFont="1" applyFill="1" applyBorder="1" applyAlignment="1" applyProtection="1">
      <alignment horizontal="center" vertical="center" shrinkToFit="1"/>
      <protection locked="0"/>
    </xf>
    <xf numFmtId="0" fontId="9" fillId="32" borderId="54" xfId="0" applyFont="1" applyFill="1" applyBorder="1" applyAlignment="1" applyProtection="1">
      <alignment horizontal="center" vertical="center" shrinkToFit="1"/>
      <protection locked="0"/>
    </xf>
    <xf numFmtId="0" fontId="9" fillId="0" borderId="14" xfId="0" applyFont="1" applyFill="1" applyBorder="1" applyAlignment="1">
      <alignment horizontal="center" vertical="center" shrinkToFit="1"/>
    </xf>
    <xf numFmtId="177" fontId="5" fillId="0" borderId="17" xfId="0" applyNumberFormat="1" applyFont="1" applyFill="1" applyBorder="1" applyAlignment="1">
      <alignment horizontal="center" vertical="center" shrinkToFit="1"/>
    </xf>
    <xf numFmtId="177" fontId="5" fillId="0" borderId="49" xfId="0" applyNumberFormat="1" applyFont="1" applyFill="1" applyBorder="1" applyAlignment="1">
      <alignment horizontal="center" vertical="center" shrinkToFit="1"/>
    </xf>
    <xf numFmtId="177" fontId="5" fillId="0" borderId="15" xfId="0" applyNumberFormat="1" applyFont="1" applyFill="1" applyBorder="1" applyAlignment="1">
      <alignment horizontal="center" vertical="center" shrinkToFit="1"/>
    </xf>
    <xf numFmtId="176" fontId="5" fillId="0" borderId="24" xfId="0" applyNumberFormat="1" applyFont="1" applyFill="1" applyBorder="1" applyAlignment="1">
      <alignment vertical="center" shrinkToFit="1"/>
    </xf>
    <xf numFmtId="0" fontId="10" fillId="0" borderId="62" xfId="0" applyFont="1" applyFill="1" applyBorder="1" applyAlignment="1" quotePrefix="1">
      <alignment horizontal="center" vertical="center"/>
    </xf>
    <xf numFmtId="176" fontId="5" fillId="0" borderId="34"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38" fontId="15" fillId="35" borderId="41" xfId="49" applyFont="1" applyFill="1" applyBorder="1" applyAlignment="1">
      <alignment vertical="center"/>
    </xf>
    <xf numFmtId="38" fontId="15" fillId="35" borderId="43" xfId="49" applyFont="1" applyFill="1" applyBorder="1" applyAlignment="1">
      <alignment vertical="center"/>
    </xf>
    <xf numFmtId="38" fontId="15" fillId="0" borderId="45" xfId="49" applyFont="1" applyFill="1" applyBorder="1" applyAlignment="1">
      <alignment vertical="center"/>
    </xf>
    <xf numFmtId="38" fontId="15" fillId="0" borderId="46" xfId="49" applyFont="1" applyFill="1" applyBorder="1" applyAlignment="1">
      <alignment vertical="center"/>
    </xf>
    <xf numFmtId="38" fontId="15" fillId="0" borderId="55" xfId="49" applyFont="1" applyFill="1" applyBorder="1" applyAlignment="1">
      <alignment vertical="center"/>
    </xf>
    <xf numFmtId="38" fontId="15" fillId="38" borderId="10" xfId="49" applyFont="1" applyFill="1" applyBorder="1" applyAlignment="1">
      <alignment vertical="center"/>
    </xf>
    <xf numFmtId="38" fontId="15" fillId="0" borderId="49" xfId="49" applyFont="1" applyFill="1" applyBorder="1" applyAlignment="1">
      <alignment vertical="center"/>
    </xf>
    <xf numFmtId="38" fontId="15" fillId="38" borderId="14" xfId="49" applyFont="1" applyFill="1" applyBorder="1" applyAlignment="1">
      <alignment vertical="center"/>
    </xf>
    <xf numFmtId="38" fontId="15" fillId="0" borderId="18" xfId="49" applyFont="1" applyFill="1" applyBorder="1" applyAlignment="1">
      <alignment vertical="center"/>
    </xf>
    <xf numFmtId="38" fontId="15" fillId="38" borderId="33" xfId="49" applyFont="1" applyFill="1" applyBorder="1" applyAlignment="1">
      <alignment vertical="center"/>
    </xf>
    <xf numFmtId="38" fontId="15" fillId="38" borderId="29" xfId="49" applyFont="1" applyFill="1" applyBorder="1" applyAlignment="1">
      <alignment vertical="center"/>
    </xf>
    <xf numFmtId="38" fontId="15" fillId="0" borderId="78" xfId="49" applyFont="1" applyFill="1" applyBorder="1" applyAlignment="1">
      <alignment vertical="center"/>
    </xf>
    <xf numFmtId="38" fontId="15" fillId="38" borderId="54" xfId="49" applyFont="1" applyFill="1" applyBorder="1" applyAlignment="1">
      <alignment vertical="center"/>
    </xf>
    <xf numFmtId="38" fontId="15" fillId="38" borderId="0" xfId="49" applyFont="1" applyFill="1" applyBorder="1" applyAlignment="1">
      <alignment vertical="center"/>
    </xf>
    <xf numFmtId="0" fontId="14" fillId="0" borderId="49" xfId="0" applyFont="1" applyBorder="1" applyAlignment="1">
      <alignment horizontal="center" vertical="center" wrapText="1"/>
    </xf>
    <xf numFmtId="177" fontId="9" fillId="32" borderId="66" xfId="0" applyNumberFormat="1" applyFont="1" applyFill="1" applyBorder="1" applyAlignment="1" applyProtection="1">
      <alignment horizontal="right" vertical="center"/>
      <protection locked="0"/>
    </xf>
    <xf numFmtId="191" fontId="80" fillId="0" borderId="34" xfId="0" applyNumberFormat="1" applyFont="1" applyFill="1" applyBorder="1" applyAlignment="1" applyProtection="1">
      <alignment horizontal="right" vertical="center"/>
      <protection locked="0"/>
    </xf>
    <xf numFmtId="176" fontId="5" fillId="36" borderId="45" xfId="0" applyNumberFormat="1" applyFont="1" applyFill="1" applyBorder="1" applyAlignment="1">
      <alignment horizontal="right" vertical="center"/>
    </xf>
    <xf numFmtId="177" fontId="5" fillId="0" borderId="88" xfId="0" applyNumberFormat="1" applyFont="1" applyFill="1" applyBorder="1" applyAlignment="1">
      <alignment horizontal="right" vertical="center"/>
    </xf>
    <xf numFmtId="177" fontId="9" fillId="32" borderId="40" xfId="0" applyNumberFormat="1" applyFont="1" applyFill="1" applyBorder="1" applyAlignment="1" applyProtection="1">
      <alignment horizontal="right" vertical="center"/>
      <protection locked="0"/>
    </xf>
    <xf numFmtId="191" fontId="80" fillId="0" borderId="27" xfId="0" applyNumberFormat="1" applyFont="1" applyFill="1" applyBorder="1" applyAlignment="1" applyProtection="1">
      <alignment horizontal="right" vertical="center"/>
      <protection locked="0"/>
    </xf>
    <xf numFmtId="177" fontId="5" fillId="0" borderId="64" xfId="0" applyNumberFormat="1" applyFont="1" applyFill="1" applyBorder="1" applyAlignment="1">
      <alignment horizontal="right" vertical="center"/>
    </xf>
    <xf numFmtId="0" fontId="9" fillId="32" borderId="40" xfId="0" applyNumberFormat="1" applyFont="1" applyFill="1" applyBorder="1" applyAlignment="1" applyProtection="1">
      <alignment horizontal="right" vertical="center"/>
      <protection locked="0"/>
    </xf>
    <xf numFmtId="177" fontId="9" fillId="32" borderId="85" xfId="0" applyNumberFormat="1" applyFont="1" applyFill="1" applyBorder="1" applyAlignment="1" applyProtection="1">
      <alignment horizontal="right" vertical="center"/>
      <protection locked="0"/>
    </xf>
    <xf numFmtId="191" fontId="80" fillId="0" borderId="67" xfId="0" applyNumberFormat="1" applyFont="1" applyFill="1" applyBorder="1" applyAlignment="1" applyProtection="1">
      <alignment horizontal="right" vertical="center"/>
      <protection locked="0"/>
    </xf>
    <xf numFmtId="177" fontId="5" fillId="0" borderId="89" xfId="0" applyNumberFormat="1" applyFont="1" applyFill="1" applyBorder="1" applyAlignment="1">
      <alignment horizontal="right" vertical="center"/>
    </xf>
    <xf numFmtId="0" fontId="10" fillId="0" borderId="59" xfId="0" applyFont="1" applyFill="1" applyBorder="1" applyAlignment="1">
      <alignment horizontal="center" vertical="center"/>
    </xf>
    <xf numFmtId="0" fontId="9" fillId="32" borderId="46" xfId="0" applyNumberFormat="1" applyFont="1" applyFill="1" applyBorder="1" applyAlignment="1" applyProtection="1">
      <alignment horizontal="center" vertical="center" shrinkToFit="1"/>
      <protection locked="0"/>
    </xf>
    <xf numFmtId="0" fontId="9" fillId="32" borderId="44" xfId="0" applyFont="1" applyFill="1" applyBorder="1" applyAlignment="1" applyProtection="1">
      <alignment horizontal="center" vertical="center" shrinkToFit="1"/>
      <protection locked="0"/>
    </xf>
    <xf numFmtId="0" fontId="9" fillId="32" borderId="18" xfId="0" applyFont="1" applyFill="1" applyBorder="1" applyAlignment="1" applyProtection="1">
      <alignment horizontal="center" vertical="center" shrinkToFit="1"/>
      <protection locked="0"/>
    </xf>
    <xf numFmtId="0" fontId="9" fillId="32" borderId="33" xfId="0" applyFont="1" applyFill="1" applyBorder="1" applyAlignment="1" applyProtection="1">
      <alignment horizontal="center" vertical="center" shrinkToFit="1"/>
      <protection locked="0"/>
    </xf>
    <xf numFmtId="0" fontId="9" fillId="32" borderId="32" xfId="0" applyNumberFormat="1" applyFont="1" applyFill="1" applyBorder="1" applyAlignment="1" applyProtection="1">
      <alignment horizontal="center" vertical="center"/>
      <protection locked="0"/>
    </xf>
    <xf numFmtId="0" fontId="9" fillId="32" borderId="28" xfId="0" applyNumberFormat="1" applyFont="1" applyFill="1" applyBorder="1" applyAlignment="1" applyProtection="1">
      <alignment horizontal="center" vertical="center"/>
      <protection locked="0"/>
    </xf>
    <xf numFmtId="0" fontId="9" fillId="32" borderId="28" xfId="0" applyNumberFormat="1" applyFont="1" applyFill="1" applyBorder="1" applyAlignment="1" applyProtection="1">
      <alignment horizontal="center" vertical="center" shrinkToFit="1"/>
      <protection locked="0"/>
    </xf>
    <xf numFmtId="0" fontId="5" fillId="0" borderId="76"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78" xfId="0" applyFont="1" applyFill="1" applyBorder="1" applyAlignment="1">
      <alignment horizontal="center" vertical="center"/>
    </xf>
    <xf numFmtId="177" fontId="5" fillId="0" borderId="38"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85" xfId="0" applyNumberFormat="1" applyFont="1" applyFill="1" applyBorder="1" applyAlignment="1">
      <alignment vertical="center"/>
    </xf>
    <xf numFmtId="177" fontId="5" fillId="0" borderId="88" xfId="0" applyNumberFormat="1" applyFont="1" applyFill="1" applyBorder="1" applyAlignment="1">
      <alignment vertical="center"/>
    </xf>
    <xf numFmtId="0" fontId="9" fillId="32" borderId="87" xfId="0" applyNumberFormat="1" applyFont="1" applyFill="1" applyBorder="1" applyAlignment="1" applyProtection="1">
      <alignment horizontal="center" vertical="center" shrinkToFit="1"/>
      <protection locked="0"/>
    </xf>
    <xf numFmtId="0" fontId="9" fillId="32" borderId="38" xfId="0" applyFont="1" applyFill="1" applyBorder="1" applyAlignment="1" applyProtection="1">
      <alignment horizontal="center" vertical="center" shrinkToFit="1"/>
      <protection locked="0"/>
    </xf>
    <xf numFmtId="177" fontId="5" fillId="0" borderId="64" xfId="0" applyNumberFormat="1" applyFont="1" applyFill="1" applyBorder="1" applyAlignment="1">
      <alignment vertical="center"/>
    </xf>
    <xf numFmtId="177" fontId="5" fillId="0" borderId="89" xfId="0" applyNumberFormat="1" applyFont="1" applyFill="1" applyBorder="1" applyAlignment="1">
      <alignment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87" xfId="0" applyFont="1" applyFill="1" applyBorder="1" applyAlignment="1">
      <alignment horizontal="center" vertical="center"/>
    </xf>
    <xf numFmtId="38" fontId="15" fillId="0" borderId="75" xfId="49" applyFont="1" applyBorder="1" applyAlignment="1">
      <alignment vertical="center"/>
    </xf>
    <xf numFmtId="38" fontId="15" fillId="3" borderId="11" xfId="49" applyFont="1" applyFill="1" applyBorder="1" applyAlignment="1">
      <alignment vertical="center"/>
    </xf>
    <xf numFmtId="38" fontId="15" fillId="0" borderId="49" xfId="49" applyFont="1" applyBorder="1" applyAlignment="1">
      <alignment vertical="center"/>
    </xf>
    <xf numFmtId="38" fontId="15" fillId="3" borderId="15" xfId="49" applyFont="1" applyFill="1" applyBorder="1" applyAlignment="1">
      <alignment vertical="center"/>
    </xf>
    <xf numFmtId="0" fontId="83" fillId="0" borderId="10" xfId="0" applyFont="1" applyBorder="1" applyAlignment="1" quotePrefix="1">
      <alignment horizontal="center" vertical="center" wrapText="1"/>
    </xf>
    <xf numFmtId="0" fontId="14" fillId="0" borderId="60" xfId="0" applyFont="1" applyBorder="1" applyAlignment="1">
      <alignment horizontal="center" vertical="center" wrapText="1"/>
    </xf>
    <xf numFmtId="0" fontId="0" fillId="0" borderId="6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10" fillId="0" borderId="0" xfId="0" applyFont="1" applyBorder="1" applyAlignment="1" quotePrefix="1">
      <alignment horizontal="center" vertical="center"/>
    </xf>
    <xf numFmtId="3" fontId="5" fillId="0" borderId="34" xfId="64" applyNumberFormat="1" applyFont="1" applyFill="1" applyBorder="1" applyAlignment="1">
      <alignment horizontal="right" vertical="center"/>
      <protection/>
    </xf>
    <xf numFmtId="0" fontId="9" fillId="32" borderId="41" xfId="0" applyNumberFormat="1" applyFont="1" applyFill="1" applyBorder="1" applyAlignment="1" applyProtection="1">
      <alignment horizontal="center" vertical="center"/>
      <protection locked="0"/>
    </xf>
    <xf numFmtId="0" fontId="9" fillId="32" borderId="34" xfId="0" applyFont="1" applyFill="1" applyBorder="1" applyAlignment="1" applyProtection="1">
      <alignment horizontal="center" vertical="center"/>
      <protection locked="0"/>
    </xf>
    <xf numFmtId="177" fontId="9" fillId="32" borderId="18" xfId="0" applyNumberFormat="1" applyFont="1" applyFill="1" applyBorder="1" applyAlignment="1" applyProtection="1">
      <alignment horizontal="right" vertical="center"/>
      <protection locked="0"/>
    </xf>
    <xf numFmtId="38" fontId="80" fillId="0" borderId="46" xfId="49" applyFont="1" applyFill="1" applyBorder="1" applyAlignment="1">
      <alignment vertical="center"/>
    </xf>
    <xf numFmtId="38" fontId="9" fillId="32" borderId="35" xfId="49" applyFont="1" applyFill="1" applyBorder="1" applyAlignment="1">
      <alignment vertical="center"/>
    </xf>
    <xf numFmtId="192" fontId="9" fillId="32" borderId="38" xfId="0" applyNumberFormat="1" applyFont="1" applyFill="1" applyBorder="1" applyAlignment="1">
      <alignment vertical="center"/>
    </xf>
    <xf numFmtId="192" fontId="9" fillId="32" borderId="18" xfId="0" applyNumberFormat="1" applyFont="1" applyFill="1" applyBorder="1" applyAlignment="1">
      <alignment vertical="center"/>
    </xf>
    <xf numFmtId="192" fontId="9" fillId="32" borderId="33" xfId="0" applyNumberFormat="1" applyFont="1" applyFill="1" applyBorder="1" applyAlignment="1">
      <alignment vertical="center"/>
    </xf>
    <xf numFmtId="38" fontId="80" fillId="0" borderId="33" xfId="49" applyFont="1" applyFill="1" applyBorder="1" applyAlignment="1">
      <alignment vertical="center"/>
    </xf>
    <xf numFmtId="0" fontId="9" fillId="35" borderId="44" xfId="0" applyFont="1" applyFill="1" applyBorder="1" applyAlignment="1" applyProtection="1">
      <alignment horizontal="center" vertical="center"/>
      <protection locked="0"/>
    </xf>
    <xf numFmtId="38" fontId="5" fillId="0" borderId="38" xfId="49" applyFont="1" applyFill="1" applyBorder="1" applyAlignment="1">
      <alignment horizontal="right" vertical="center"/>
    </xf>
    <xf numFmtId="0" fontId="9" fillId="35" borderId="18" xfId="0" applyFont="1" applyFill="1" applyBorder="1" applyAlignment="1" applyProtection="1">
      <alignment horizontal="center" vertical="center"/>
      <protection locked="0"/>
    </xf>
    <xf numFmtId="38" fontId="5" fillId="0" borderId="18" xfId="49" applyFont="1" applyFill="1" applyBorder="1" applyAlignment="1">
      <alignment vertical="center"/>
    </xf>
    <xf numFmtId="38" fontId="5" fillId="0" borderId="33" xfId="49" applyFont="1" applyFill="1" applyBorder="1" applyAlignment="1">
      <alignment vertical="center"/>
    </xf>
    <xf numFmtId="38" fontId="9" fillId="32" borderId="41" xfId="49" applyFont="1" applyFill="1" applyBorder="1" applyAlignment="1" applyProtection="1">
      <alignment vertical="center"/>
      <protection locked="0"/>
    </xf>
    <xf numFmtId="38" fontId="80" fillId="32" borderId="41" xfId="49" applyFont="1" applyFill="1" applyBorder="1" applyAlignment="1" applyProtection="1">
      <alignment vertical="center"/>
      <protection locked="0"/>
    </xf>
    <xf numFmtId="38" fontId="5" fillId="3" borderId="34" xfId="49" applyFont="1" applyFill="1" applyBorder="1" applyAlignment="1">
      <alignment vertical="center"/>
    </xf>
    <xf numFmtId="0" fontId="9" fillId="32" borderId="43" xfId="0" applyNumberFormat="1" applyFont="1" applyFill="1" applyBorder="1" applyAlignment="1" applyProtection="1">
      <alignment horizontal="center" vertical="center"/>
      <protection locked="0"/>
    </xf>
    <xf numFmtId="38" fontId="9" fillId="32" borderId="37" xfId="49" applyFont="1" applyFill="1" applyBorder="1" applyAlignment="1">
      <alignment vertical="center"/>
    </xf>
    <xf numFmtId="192" fontId="9" fillId="32" borderId="40" xfId="0" applyNumberFormat="1" applyFont="1" applyFill="1" applyBorder="1" applyAlignment="1">
      <alignment vertical="center"/>
    </xf>
    <xf numFmtId="192" fontId="9" fillId="32" borderId="19" xfId="0" applyNumberFormat="1" applyFont="1" applyFill="1" applyBorder="1" applyAlignment="1">
      <alignment vertical="center"/>
    </xf>
    <xf numFmtId="38" fontId="80" fillId="0" borderId="29" xfId="49" applyFont="1" applyFill="1" applyBorder="1" applyAlignment="1">
      <alignment vertical="center"/>
    </xf>
    <xf numFmtId="0" fontId="9" fillId="35" borderId="46" xfId="0" applyFont="1" applyFill="1" applyBorder="1" applyAlignment="1" applyProtection="1">
      <alignment horizontal="center" vertical="center"/>
      <protection locked="0"/>
    </xf>
    <xf numFmtId="38" fontId="5" fillId="0" borderId="40" xfId="49" applyFont="1" applyFill="1" applyBorder="1" applyAlignment="1">
      <alignment horizontal="right" vertical="center"/>
    </xf>
    <xf numFmtId="0" fontId="9" fillId="35" borderId="19" xfId="0" applyFont="1" applyFill="1" applyBorder="1" applyAlignment="1" applyProtection="1">
      <alignment horizontal="center" vertical="center"/>
      <protection locked="0"/>
    </xf>
    <xf numFmtId="38" fontId="5" fillId="0" borderId="19" xfId="49" applyFont="1" applyFill="1" applyBorder="1" applyAlignment="1">
      <alignment vertical="center"/>
    </xf>
    <xf numFmtId="38" fontId="5" fillId="0" borderId="29" xfId="49" applyFont="1" applyFill="1" applyBorder="1" applyAlignment="1">
      <alignment vertical="center"/>
    </xf>
    <xf numFmtId="38" fontId="9" fillId="32" borderId="43" xfId="49" applyFont="1" applyFill="1" applyBorder="1" applyAlignment="1" applyProtection="1">
      <alignment vertical="center"/>
      <protection locked="0"/>
    </xf>
    <xf numFmtId="38" fontId="80" fillId="32" borderId="43" xfId="49" applyFont="1" applyFill="1" applyBorder="1" applyAlignment="1" applyProtection="1">
      <alignment vertical="center"/>
      <protection locked="0"/>
    </xf>
    <xf numFmtId="38" fontId="5" fillId="3" borderId="27" xfId="49" applyFont="1" applyFill="1" applyBorder="1" applyAlignment="1">
      <alignment vertical="center"/>
    </xf>
    <xf numFmtId="0" fontId="9" fillId="32" borderId="19" xfId="0" applyNumberFormat="1" applyFont="1" applyFill="1" applyBorder="1" applyAlignment="1" applyProtection="1">
      <alignment horizontal="right" vertical="center"/>
      <protection locked="0"/>
    </xf>
    <xf numFmtId="0" fontId="9" fillId="32" borderId="40" xfId="0" applyNumberFormat="1" applyFont="1" applyFill="1" applyBorder="1" applyAlignment="1">
      <alignment vertical="center"/>
    </xf>
    <xf numFmtId="0" fontId="9" fillId="32" borderId="19" xfId="0" applyNumberFormat="1" applyFont="1" applyFill="1" applyBorder="1" applyAlignment="1">
      <alignment vertical="center"/>
    </xf>
    <xf numFmtId="0" fontId="9" fillId="32" borderId="29" xfId="0" applyNumberFormat="1" applyFont="1" applyFill="1" applyBorder="1" applyAlignment="1">
      <alignment vertical="center"/>
    </xf>
    <xf numFmtId="3" fontId="5" fillId="0" borderId="67" xfId="64" applyNumberFormat="1" applyFont="1" applyFill="1" applyBorder="1" applyAlignment="1">
      <alignment horizontal="right" vertical="center"/>
      <protection/>
    </xf>
    <xf numFmtId="0" fontId="9" fillId="32" borderId="77" xfId="0" applyNumberFormat="1" applyFont="1" applyFill="1" applyBorder="1" applyAlignment="1" applyProtection="1">
      <alignment horizontal="center" vertical="center"/>
      <protection locked="0"/>
    </xf>
    <xf numFmtId="0" fontId="9" fillId="32" borderId="67" xfId="0" applyFont="1" applyFill="1" applyBorder="1" applyAlignment="1" applyProtection="1">
      <alignment horizontal="center" vertical="center"/>
      <protection locked="0"/>
    </xf>
    <xf numFmtId="177" fontId="9" fillId="32" borderId="78" xfId="0" applyNumberFormat="1" applyFont="1" applyFill="1" applyBorder="1" applyAlignment="1" applyProtection="1">
      <alignment horizontal="right" vertical="center"/>
      <protection locked="0"/>
    </xf>
    <xf numFmtId="38" fontId="9" fillId="32" borderId="73" xfId="49" applyFont="1" applyFill="1" applyBorder="1" applyAlignment="1">
      <alignment vertical="center"/>
    </xf>
    <xf numFmtId="192" fontId="9" fillId="32" borderId="85" xfId="0" applyNumberFormat="1" applyFont="1" applyFill="1" applyBorder="1" applyAlignment="1">
      <alignment vertical="center"/>
    </xf>
    <xf numFmtId="192" fontId="9" fillId="32" borderId="78" xfId="0" applyNumberFormat="1" applyFont="1" applyFill="1" applyBorder="1" applyAlignment="1">
      <alignment vertical="center"/>
    </xf>
    <xf numFmtId="38" fontId="80" fillId="0" borderId="54" xfId="49" applyFont="1" applyFill="1" applyBorder="1" applyAlignment="1">
      <alignment vertical="center"/>
    </xf>
    <xf numFmtId="0" fontId="9" fillId="35" borderId="87" xfId="0" applyFont="1" applyFill="1" applyBorder="1" applyAlignment="1" applyProtection="1">
      <alignment horizontal="center" vertical="center"/>
      <protection locked="0"/>
    </xf>
    <xf numFmtId="38" fontId="5" fillId="0" borderId="85" xfId="49" applyFont="1" applyFill="1" applyBorder="1" applyAlignment="1">
      <alignment horizontal="right" vertical="center"/>
    </xf>
    <xf numFmtId="0" fontId="9" fillId="35" borderId="78" xfId="0" applyFont="1" applyFill="1" applyBorder="1" applyAlignment="1" applyProtection="1">
      <alignment horizontal="center" vertical="center"/>
      <protection locked="0"/>
    </xf>
    <xf numFmtId="38" fontId="5" fillId="0" borderId="78" xfId="49" applyFont="1" applyFill="1" applyBorder="1" applyAlignment="1">
      <alignment vertical="center"/>
    </xf>
    <xf numFmtId="38" fontId="5" fillId="0" borderId="54" xfId="49" applyFont="1" applyFill="1" applyBorder="1" applyAlignment="1">
      <alignment vertical="center"/>
    </xf>
    <xf numFmtId="38" fontId="9" fillId="32" borderId="77" xfId="49" applyFont="1" applyFill="1" applyBorder="1" applyAlignment="1" applyProtection="1">
      <alignment vertical="center"/>
      <protection locked="0"/>
    </xf>
    <xf numFmtId="38" fontId="5" fillId="0" borderId="76" xfId="49" applyFont="1" applyFill="1" applyBorder="1" applyAlignment="1">
      <alignment vertical="center"/>
    </xf>
    <xf numFmtId="38" fontId="80" fillId="32" borderId="77" xfId="49" applyFont="1" applyFill="1" applyBorder="1" applyAlignment="1" applyProtection="1">
      <alignment vertical="center"/>
      <protection locked="0"/>
    </xf>
    <xf numFmtId="38" fontId="5" fillId="3" borderId="67" xfId="49" applyFont="1" applyFill="1" applyBorder="1" applyAlignment="1">
      <alignment vertical="center"/>
    </xf>
    <xf numFmtId="0" fontId="9" fillId="0" borderId="17" xfId="0" applyFont="1" applyFill="1" applyBorder="1" applyAlignment="1">
      <alignment horizontal="center" vertical="center" shrinkToFit="1"/>
    </xf>
    <xf numFmtId="38" fontId="9" fillId="0" borderId="52" xfId="49" applyFont="1" applyFill="1" applyBorder="1" applyAlignment="1">
      <alignment horizontal="right" vertical="center" shrinkToFit="1"/>
    </xf>
    <xf numFmtId="0" fontId="9" fillId="0" borderId="49"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38" fontId="9" fillId="0" borderId="14" xfId="49" applyFont="1" applyFill="1" applyBorder="1" applyAlignment="1">
      <alignment horizontal="right" vertical="center" shrinkToFit="1"/>
    </xf>
    <xf numFmtId="38" fontId="9" fillId="0" borderId="52" xfId="49" applyFont="1" applyFill="1" applyBorder="1" applyAlignment="1">
      <alignment horizontal="center" vertical="center" shrinkToFit="1"/>
    </xf>
    <xf numFmtId="38" fontId="5" fillId="0" borderId="17" xfId="49" applyFont="1" applyFill="1" applyBorder="1" applyAlignment="1">
      <alignment vertical="center" shrinkToFit="1"/>
    </xf>
    <xf numFmtId="38" fontId="5" fillId="0" borderId="49" xfId="49" applyFont="1" applyFill="1" applyBorder="1" applyAlignment="1">
      <alignment vertical="center" shrinkToFit="1"/>
    </xf>
    <xf numFmtId="38" fontId="5" fillId="0" borderId="15" xfId="49" applyFont="1" applyFill="1" applyBorder="1" applyAlignment="1">
      <alignment vertical="center" shrinkToFit="1"/>
    </xf>
    <xf numFmtId="38" fontId="5" fillId="0" borderId="24" xfId="49" applyFont="1" applyFill="1" applyBorder="1" applyAlignment="1">
      <alignment vertical="center" shrinkToFit="1"/>
    </xf>
    <xf numFmtId="38" fontId="5" fillId="3" borderId="24" xfId="49" applyFont="1" applyFill="1" applyBorder="1" applyAlignment="1">
      <alignment vertical="center" shrinkToFit="1"/>
    </xf>
    <xf numFmtId="38" fontId="5" fillId="0" borderId="41" xfId="49" applyFont="1" applyFill="1" applyBorder="1" applyAlignment="1">
      <alignment vertical="center"/>
    </xf>
    <xf numFmtId="38" fontId="5" fillId="0" borderId="77" xfId="49" applyFont="1" applyFill="1" applyBorder="1" applyAlignment="1">
      <alignment vertical="center"/>
    </xf>
    <xf numFmtId="38" fontId="5" fillId="0" borderId="18" xfId="49" applyFont="1" applyFill="1" applyBorder="1" applyAlignment="1">
      <alignment horizontal="center" vertical="center"/>
    </xf>
    <xf numFmtId="38" fontId="5" fillId="0" borderId="19" xfId="49" applyFont="1" applyFill="1" applyBorder="1" applyAlignment="1">
      <alignment horizontal="center" vertical="center"/>
    </xf>
    <xf numFmtId="38" fontId="5" fillId="0" borderId="78" xfId="49" applyFont="1" applyFill="1" applyBorder="1" applyAlignment="1">
      <alignment horizontal="center" vertical="center"/>
    </xf>
    <xf numFmtId="38" fontId="9" fillId="32" borderId="18" xfId="49" applyFont="1" applyFill="1" applyBorder="1" applyAlignment="1" applyProtection="1">
      <alignment horizontal="center" vertical="center" shrinkToFit="1"/>
      <protection locked="0"/>
    </xf>
    <xf numFmtId="38" fontId="9" fillId="32" borderId="33" xfId="49" applyFont="1" applyFill="1" applyBorder="1" applyAlignment="1" applyProtection="1">
      <alignment horizontal="center" vertical="center" shrinkToFit="1"/>
      <protection locked="0"/>
    </xf>
    <xf numFmtId="38" fontId="9" fillId="32" borderId="19" xfId="49" applyFont="1" applyFill="1" applyBorder="1" applyAlignment="1" applyProtection="1">
      <alignment horizontal="center" vertical="center" shrinkToFit="1"/>
      <protection locked="0"/>
    </xf>
    <xf numFmtId="38" fontId="9" fillId="32" borderId="29" xfId="49" applyFont="1" applyFill="1" applyBorder="1" applyAlignment="1" applyProtection="1">
      <alignment horizontal="center" vertical="center" shrinkToFit="1"/>
      <protection locked="0"/>
    </xf>
    <xf numFmtId="38" fontId="9" fillId="32" borderId="78" xfId="49" applyFont="1" applyFill="1" applyBorder="1" applyAlignment="1" applyProtection="1">
      <alignment horizontal="center" vertical="center" shrinkToFit="1"/>
      <protection locked="0"/>
    </xf>
    <xf numFmtId="38" fontId="9" fillId="32" borderId="73" xfId="49" applyFont="1" applyFill="1" applyBorder="1" applyAlignment="1" applyProtection="1">
      <alignment horizontal="center" vertical="center" shrinkToFit="1"/>
      <protection locked="0"/>
    </xf>
    <xf numFmtId="38" fontId="9" fillId="32" borderId="54" xfId="49" applyFont="1" applyFill="1" applyBorder="1" applyAlignment="1" applyProtection="1">
      <alignment horizontal="center" vertical="center" shrinkToFit="1"/>
      <protection locked="0"/>
    </xf>
    <xf numFmtId="38" fontId="9" fillId="32" borderId="38" xfId="49" applyFont="1" applyFill="1" applyBorder="1" applyAlignment="1" applyProtection="1">
      <alignment horizontal="center" vertical="center" shrinkToFit="1"/>
      <protection locked="0"/>
    </xf>
    <xf numFmtId="38" fontId="9" fillId="32" borderId="40" xfId="49" applyFont="1" applyFill="1" applyBorder="1" applyAlignment="1" applyProtection="1">
      <alignment horizontal="center" vertical="center" shrinkToFit="1"/>
      <protection locked="0"/>
    </xf>
    <xf numFmtId="38" fontId="9" fillId="32" borderId="85" xfId="49" applyFont="1" applyFill="1" applyBorder="1" applyAlignment="1" applyProtection="1">
      <alignment horizontal="center" vertical="center" shrinkToFit="1"/>
      <protection locked="0"/>
    </xf>
    <xf numFmtId="38" fontId="5" fillId="0" borderId="42" xfId="49" applyFont="1" applyFill="1" applyBorder="1" applyAlignment="1">
      <alignment vertical="center"/>
    </xf>
    <xf numFmtId="38" fontId="9" fillId="0" borderId="49" xfId="49" applyFont="1" applyFill="1" applyBorder="1" applyAlignment="1">
      <alignment horizontal="center" vertical="center" shrinkToFit="1"/>
    </xf>
    <xf numFmtId="38" fontId="80" fillId="32" borderId="76" xfId="49" applyFont="1" applyFill="1" applyBorder="1" applyAlignment="1" applyProtection="1">
      <alignment vertical="center"/>
      <protection locked="0"/>
    </xf>
    <xf numFmtId="38" fontId="9" fillId="35" borderId="87" xfId="49" applyFont="1" applyFill="1" applyBorder="1" applyAlignment="1" applyProtection="1">
      <alignment horizontal="center" vertical="center"/>
      <protection locked="0"/>
    </xf>
    <xf numFmtId="38" fontId="9" fillId="35" borderId="78" xfId="49" applyFont="1" applyFill="1" applyBorder="1" applyAlignment="1" applyProtection="1">
      <alignment horizontal="center" vertical="center"/>
      <protection locked="0"/>
    </xf>
    <xf numFmtId="38" fontId="80" fillId="32" borderId="28" xfId="49" applyFont="1" applyFill="1" applyBorder="1" applyAlignment="1" applyProtection="1">
      <alignment vertical="center"/>
      <protection locked="0"/>
    </xf>
    <xf numFmtId="38" fontId="9" fillId="35" borderId="46" xfId="49" applyFont="1" applyFill="1" applyBorder="1" applyAlignment="1" applyProtection="1">
      <alignment horizontal="center" vertical="center"/>
      <protection locked="0"/>
    </xf>
    <xf numFmtId="38" fontId="9" fillId="35" borderId="19" xfId="49" applyFont="1" applyFill="1" applyBorder="1" applyAlignment="1" applyProtection="1">
      <alignment horizontal="center" vertical="center"/>
      <protection locked="0"/>
    </xf>
    <xf numFmtId="0" fontId="9" fillId="32" borderId="43" xfId="0" applyNumberFormat="1" applyFont="1" applyFill="1" applyBorder="1" applyAlignment="1" applyProtection="1" quotePrefix="1">
      <alignment horizontal="center" vertical="center"/>
      <protection locked="0"/>
    </xf>
    <xf numFmtId="38" fontId="80" fillId="32" borderId="32" xfId="49" applyFont="1" applyFill="1" applyBorder="1" applyAlignment="1" applyProtection="1">
      <alignment vertical="center"/>
      <protection locked="0"/>
    </xf>
    <xf numFmtId="38" fontId="9" fillId="35" borderId="44" xfId="49" applyFont="1" applyFill="1" applyBorder="1" applyAlignment="1" applyProtection="1">
      <alignment horizontal="center" vertical="center"/>
      <protection locked="0"/>
    </xf>
    <xf numFmtId="38" fontId="9" fillId="35" borderId="18" xfId="49" applyFont="1" applyFill="1" applyBorder="1" applyAlignment="1" applyProtection="1">
      <alignment horizontal="center" vertical="center"/>
      <protection locked="0"/>
    </xf>
    <xf numFmtId="0" fontId="9" fillId="32" borderId="41" xfId="0" applyNumberFormat="1" applyFont="1" applyFill="1" applyBorder="1" applyAlignment="1" applyProtection="1" quotePrefix="1">
      <alignment horizontal="center" vertical="center"/>
      <protection locked="0"/>
    </xf>
    <xf numFmtId="0" fontId="14" fillId="0" borderId="13" xfId="0" applyFont="1" applyBorder="1" applyAlignment="1">
      <alignment horizontal="center" vertical="center"/>
    </xf>
    <xf numFmtId="0" fontId="14" fillId="0" borderId="61"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4" fillId="0" borderId="16" xfId="0" applyFont="1" applyBorder="1" applyAlignment="1" quotePrefix="1">
      <alignment horizontal="center" vertical="center" wrapText="1"/>
    </xf>
    <xf numFmtId="38" fontId="5" fillId="0" borderId="88" xfId="49" applyFont="1" applyFill="1" applyBorder="1" applyAlignment="1">
      <alignment vertical="center"/>
    </xf>
    <xf numFmtId="38" fontId="5" fillId="0" borderId="64" xfId="49" applyFont="1" applyFill="1" applyBorder="1" applyAlignment="1">
      <alignment vertical="center"/>
    </xf>
    <xf numFmtId="38" fontId="5" fillId="0" borderId="89" xfId="49" applyFont="1" applyFill="1" applyBorder="1" applyAlignment="1">
      <alignment vertical="center"/>
    </xf>
    <xf numFmtId="38" fontId="5" fillId="0" borderId="17" xfId="49" applyFont="1" applyFill="1" applyBorder="1" applyAlignment="1">
      <alignment horizontal="center" vertical="center" shrinkToFit="1"/>
    </xf>
    <xf numFmtId="38" fontId="5" fillId="0" borderId="49" xfId="49" applyFont="1" applyFill="1" applyBorder="1" applyAlignment="1">
      <alignment horizontal="center" vertical="center" shrinkToFit="1"/>
    </xf>
    <xf numFmtId="38" fontId="5" fillId="0" borderId="15" xfId="49" applyFont="1" applyFill="1" applyBorder="1" applyAlignment="1">
      <alignment horizontal="center" vertical="center" shrinkToFit="1"/>
    </xf>
    <xf numFmtId="38" fontId="9" fillId="32" borderId="44" xfId="49" applyFont="1" applyFill="1" applyBorder="1" applyAlignment="1" applyProtection="1">
      <alignment horizontal="center" vertical="center" shrinkToFit="1"/>
      <protection locked="0"/>
    </xf>
    <xf numFmtId="38" fontId="9" fillId="32" borderId="46" xfId="49" applyFont="1" applyFill="1" applyBorder="1" applyAlignment="1" applyProtection="1">
      <alignment horizontal="center" vertical="center" shrinkToFit="1"/>
      <protection locked="0"/>
    </xf>
    <xf numFmtId="38" fontId="9" fillId="32" borderId="87" xfId="49" applyFont="1" applyFill="1" applyBorder="1" applyAlignment="1" applyProtection="1">
      <alignment horizontal="center" vertical="center" shrinkToFit="1"/>
      <protection locked="0"/>
    </xf>
    <xf numFmtId="38" fontId="5" fillId="0" borderId="44" xfId="49" applyFont="1" applyFill="1" applyBorder="1" applyAlignment="1">
      <alignment horizontal="center" vertical="center"/>
    </xf>
    <xf numFmtId="38" fontId="5" fillId="0" borderId="46" xfId="49" applyFont="1" applyFill="1" applyBorder="1" applyAlignment="1">
      <alignment horizontal="center" vertical="center"/>
    </xf>
    <xf numFmtId="38" fontId="5" fillId="0" borderId="87" xfId="49" applyFont="1" applyFill="1" applyBorder="1" applyAlignment="1">
      <alignment horizontal="center" vertical="center"/>
    </xf>
    <xf numFmtId="0" fontId="9" fillId="32" borderId="32" xfId="0" applyNumberFormat="1" applyFont="1" applyFill="1" applyBorder="1" applyAlignment="1" applyProtection="1">
      <alignment horizontal="center" vertical="center" shrinkToFit="1"/>
      <protection locked="0"/>
    </xf>
    <xf numFmtId="38" fontId="5" fillId="0" borderId="88" xfId="49" applyFont="1" applyFill="1" applyBorder="1" applyAlignment="1">
      <alignment horizontal="right" vertical="center"/>
    </xf>
    <xf numFmtId="38" fontId="5" fillId="0" borderId="64" xfId="49" applyFont="1" applyFill="1" applyBorder="1" applyAlignment="1">
      <alignment horizontal="right" vertical="center"/>
    </xf>
    <xf numFmtId="38" fontId="5" fillId="0" borderId="89" xfId="49" applyFont="1" applyFill="1" applyBorder="1" applyAlignment="1">
      <alignment horizontal="right" vertical="center"/>
    </xf>
    <xf numFmtId="177" fontId="5" fillId="0" borderId="34"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0" fontId="84" fillId="0" borderId="66" xfId="0" applyFont="1" applyBorder="1" applyAlignment="1" quotePrefix="1">
      <alignment horizontal="center" vertical="center" wrapText="1"/>
    </xf>
    <xf numFmtId="0" fontId="84" fillId="0" borderId="16" xfId="0" applyFont="1" applyBorder="1" applyAlignment="1">
      <alignment horizontal="center" vertical="center" wrapText="1"/>
    </xf>
    <xf numFmtId="0" fontId="84" fillId="0" borderId="1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59" xfId="0" applyFont="1" applyBorder="1" applyAlignment="1">
      <alignment vertical="center" wrapText="1"/>
    </xf>
    <xf numFmtId="0" fontId="0" fillId="0" borderId="83" xfId="0" applyFont="1" applyFill="1" applyBorder="1" applyAlignment="1" applyProtection="1">
      <alignment horizontal="center" vertical="center" shrinkToFit="1"/>
      <protection locked="0"/>
    </xf>
    <xf numFmtId="0" fontId="10" fillId="0" borderId="53" xfId="0" applyFont="1" applyBorder="1" applyAlignment="1" quotePrefix="1">
      <alignment horizontal="center" vertical="center"/>
    </xf>
    <xf numFmtId="3" fontId="5" fillId="0" borderId="32" xfId="64" applyNumberFormat="1" applyFont="1" applyFill="1" applyBorder="1" applyAlignment="1">
      <alignment horizontal="right" vertical="center"/>
      <protection/>
    </xf>
    <xf numFmtId="0" fontId="9" fillId="32" borderId="34" xfId="0" applyNumberFormat="1" applyFont="1" applyFill="1" applyBorder="1" applyAlignment="1" applyProtection="1" quotePrefix="1">
      <alignment horizontal="center" vertical="center"/>
      <protection locked="0"/>
    </xf>
    <xf numFmtId="0" fontId="9" fillId="32" borderId="41" xfId="0" applyFont="1" applyFill="1" applyBorder="1" applyAlignment="1" applyProtection="1">
      <alignment horizontal="center" vertical="center"/>
      <protection locked="0"/>
    </xf>
    <xf numFmtId="38" fontId="9" fillId="32" borderId="34" xfId="49" applyFont="1" applyFill="1" applyBorder="1" applyAlignment="1" applyProtection="1">
      <alignment horizontal="right" vertical="center"/>
      <protection locked="0"/>
    </xf>
    <xf numFmtId="177" fontId="9" fillId="32" borderId="44" xfId="0" applyNumberFormat="1" applyFont="1" applyFill="1" applyBorder="1" applyAlignment="1" applyProtection="1">
      <alignment horizontal="right" vertical="center"/>
      <protection locked="0"/>
    </xf>
    <xf numFmtId="191" fontId="80" fillId="0" borderId="38" xfId="0" applyNumberFormat="1" applyFont="1" applyFill="1" applyBorder="1" applyAlignment="1" applyProtection="1">
      <alignment horizontal="right" vertical="center"/>
      <protection locked="0"/>
    </xf>
    <xf numFmtId="38" fontId="9" fillId="35" borderId="41" xfId="49" applyFont="1" applyFill="1" applyBorder="1" applyAlignment="1" applyProtection="1">
      <alignment horizontal="center" vertical="center"/>
      <protection locked="0"/>
    </xf>
    <xf numFmtId="38" fontId="9" fillId="32" borderId="34" xfId="49" applyFont="1" applyFill="1" applyBorder="1" applyAlignment="1" applyProtection="1">
      <alignment vertical="center"/>
      <protection locked="0"/>
    </xf>
    <xf numFmtId="38" fontId="80" fillId="0" borderId="41" xfId="49" applyFont="1" applyFill="1" applyBorder="1" applyAlignment="1" applyProtection="1">
      <alignment vertical="center"/>
      <protection locked="0"/>
    </xf>
    <xf numFmtId="38" fontId="80" fillId="0" borderId="34" xfId="49" applyFont="1" applyFill="1" applyBorder="1" applyAlignment="1" applyProtection="1">
      <alignment vertical="center"/>
      <protection locked="0"/>
    </xf>
    <xf numFmtId="38" fontId="5" fillId="3" borderId="41" xfId="49" applyFont="1" applyFill="1" applyBorder="1" applyAlignment="1">
      <alignment vertical="center"/>
    </xf>
    <xf numFmtId="3" fontId="5" fillId="0" borderId="28" xfId="64" applyNumberFormat="1" applyFont="1" applyFill="1" applyBorder="1" applyAlignment="1">
      <alignment horizontal="right" vertical="center"/>
      <protection/>
    </xf>
    <xf numFmtId="0" fontId="9" fillId="32" borderId="27" xfId="0" applyNumberFormat="1" applyFont="1" applyFill="1" applyBorder="1" applyAlignment="1" applyProtection="1" quotePrefix="1">
      <alignment horizontal="center" vertical="center"/>
      <protection locked="0"/>
    </xf>
    <xf numFmtId="0" fontId="9" fillId="32" borderId="43" xfId="0" applyFont="1" applyFill="1" applyBorder="1" applyAlignment="1" applyProtection="1">
      <alignment horizontal="center" vertical="center"/>
      <protection locked="0"/>
    </xf>
    <xf numFmtId="177" fontId="9" fillId="32" borderId="46" xfId="0" applyNumberFormat="1" applyFont="1" applyFill="1" applyBorder="1" applyAlignment="1" applyProtection="1">
      <alignment horizontal="right" vertical="center"/>
      <protection locked="0"/>
    </xf>
    <xf numFmtId="191" fontId="80" fillId="0" borderId="40" xfId="0" applyNumberFormat="1" applyFont="1" applyFill="1" applyBorder="1" applyAlignment="1" applyProtection="1">
      <alignment horizontal="right" vertical="center"/>
      <protection locked="0"/>
    </xf>
    <xf numFmtId="38" fontId="9" fillId="35" borderId="43" xfId="49" applyFont="1" applyFill="1" applyBorder="1" applyAlignment="1" applyProtection="1">
      <alignment horizontal="center" vertical="center"/>
      <protection locked="0"/>
    </xf>
    <xf numFmtId="38" fontId="80" fillId="0" borderId="43" xfId="49" applyFont="1" applyFill="1" applyBorder="1" applyAlignment="1" applyProtection="1">
      <alignment vertical="center"/>
      <protection locked="0"/>
    </xf>
    <xf numFmtId="38" fontId="80" fillId="0" borderId="27" xfId="49" applyFont="1" applyFill="1" applyBorder="1" applyAlignment="1" applyProtection="1">
      <alignment vertical="center"/>
      <protection locked="0"/>
    </xf>
    <xf numFmtId="38" fontId="5" fillId="3" borderId="43" xfId="49" applyFont="1" applyFill="1" applyBorder="1" applyAlignment="1">
      <alignment vertical="center"/>
    </xf>
    <xf numFmtId="3" fontId="5" fillId="0" borderId="76" xfId="64" applyNumberFormat="1" applyFont="1" applyFill="1" applyBorder="1" applyAlignment="1">
      <alignment horizontal="right" vertical="center"/>
      <protection/>
    </xf>
    <xf numFmtId="0" fontId="9" fillId="32" borderId="77" xfId="0" applyFont="1" applyFill="1" applyBorder="1" applyAlignment="1" applyProtection="1">
      <alignment horizontal="center" vertical="center"/>
      <protection locked="0"/>
    </xf>
    <xf numFmtId="38" fontId="9" fillId="32" borderId="67" xfId="49" applyFont="1" applyFill="1" applyBorder="1" applyAlignment="1" applyProtection="1">
      <alignment horizontal="right" vertical="center"/>
      <protection locked="0"/>
    </xf>
    <xf numFmtId="177" fontId="9" fillId="32" borderId="87" xfId="0" applyNumberFormat="1" applyFont="1" applyFill="1" applyBorder="1" applyAlignment="1" applyProtection="1">
      <alignment horizontal="right" vertical="center"/>
      <protection locked="0"/>
    </xf>
    <xf numFmtId="191" fontId="80" fillId="0" borderId="85" xfId="0" applyNumberFormat="1" applyFont="1" applyFill="1" applyBorder="1" applyAlignment="1" applyProtection="1">
      <alignment horizontal="right" vertical="center"/>
      <protection locked="0"/>
    </xf>
    <xf numFmtId="38" fontId="9" fillId="35" borderId="77" xfId="49" applyFont="1" applyFill="1" applyBorder="1" applyAlignment="1" applyProtection="1">
      <alignment horizontal="center" vertical="center"/>
      <protection locked="0"/>
    </xf>
    <xf numFmtId="38" fontId="9" fillId="32" borderId="67" xfId="49" applyFont="1" applyFill="1" applyBorder="1" applyAlignment="1" applyProtection="1">
      <alignment vertical="center"/>
      <protection locked="0"/>
    </xf>
    <xf numFmtId="38" fontId="80" fillId="0" borderId="77" xfId="49" applyFont="1" applyFill="1" applyBorder="1" applyAlignment="1" applyProtection="1">
      <alignment vertical="center"/>
      <protection locked="0"/>
    </xf>
    <xf numFmtId="38" fontId="80" fillId="0" borderId="67" xfId="49" applyFont="1" applyFill="1" applyBorder="1" applyAlignment="1" applyProtection="1">
      <alignment vertical="center"/>
      <protection locked="0"/>
    </xf>
    <xf numFmtId="38" fontId="5" fillId="3" borderId="77" xfId="49" applyFont="1" applyFill="1" applyBorder="1" applyAlignment="1">
      <alignment vertical="center"/>
    </xf>
    <xf numFmtId="177" fontId="9" fillId="0" borderId="86" xfId="0" applyNumberFormat="1" applyFont="1" applyFill="1" applyBorder="1" applyAlignment="1">
      <alignment horizontal="right" vertical="center" shrinkToFit="1"/>
    </xf>
    <xf numFmtId="0" fontId="9" fillId="0" borderId="86" xfId="0" applyFont="1" applyFill="1" applyBorder="1" applyAlignment="1">
      <alignment horizontal="center" vertical="center" shrinkToFit="1"/>
    </xf>
    <xf numFmtId="20" fontId="34" fillId="0" borderId="0" xfId="65" applyNumberFormat="1" applyFont="1">
      <alignment/>
      <protection/>
    </xf>
    <xf numFmtId="20" fontId="9" fillId="32" borderId="37" xfId="49" applyNumberFormat="1" applyFont="1" applyFill="1" applyBorder="1" applyAlignment="1" applyProtection="1">
      <alignment horizontal="center" vertical="center" shrinkToFit="1"/>
      <protection locked="0"/>
    </xf>
    <xf numFmtId="20" fontId="5" fillId="0" borderId="27" xfId="49" applyNumberFormat="1" applyFont="1" applyFill="1" applyBorder="1" applyAlignment="1">
      <alignment vertical="center"/>
    </xf>
    <xf numFmtId="20" fontId="5" fillId="0" borderId="43" xfId="49" applyNumberFormat="1" applyFont="1" applyFill="1" applyBorder="1" applyAlignment="1">
      <alignment vertical="center"/>
    </xf>
    <xf numFmtId="20" fontId="5" fillId="0" borderId="27" xfId="0" applyNumberFormat="1" applyFont="1" applyBorder="1" applyAlignment="1">
      <alignment horizontal="center" vertical="center"/>
    </xf>
    <xf numFmtId="20" fontId="10" fillId="0" borderId="0" xfId="0" applyNumberFormat="1" applyFont="1" applyAlignment="1">
      <alignment vertical="center"/>
    </xf>
    <xf numFmtId="20" fontId="5" fillId="0" borderId="64" xfId="49" applyNumberFormat="1" applyFont="1" applyFill="1" applyBorder="1" applyAlignment="1">
      <alignment vertical="center"/>
    </xf>
    <xf numFmtId="20" fontId="5" fillId="0" borderId="34" xfId="0" applyNumberFormat="1" applyFont="1" applyBorder="1" applyAlignment="1">
      <alignment horizontal="center" vertical="center"/>
    </xf>
    <xf numFmtId="20" fontId="5" fillId="0" borderId="40" xfId="49" applyNumberFormat="1" applyFont="1" applyFill="1" applyBorder="1" applyAlignment="1">
      <alignment horizontal="right" vertical="center"/>
    </xf>
    <xf numFmtId="20" fontId="5" fillId="0" borderId="28" xfId="49" applyNumberFormat="1" applyFont="1" applyFill="1" applyBorder="1" applyAlignment="1">
      <alignment vertical="center"/>
    </xf>
    <xf numFmtId="20" fontId="9" fillId="32" borderId="37" xfId="0" applyNumberFormat="1" applyFont="1" applyFill="1" applyBorder="1" applyAlignment="1" applyProtection="1">
      <alignment horizontal="center" vertical="center" shrinkToFit="1"/>
      <protection locked="0"/>
    </xf>
    <xf numFmtId="20" fontId="5" fillId="0" borderId="40" xfId="0" applyNumberFormat="1" applyFont="1" applyFill="1" applyBorder="1" applyAlignment="1">
      <alignment horizontal="right" vertical="center"/>
    </xf>
    <xf numFmtId="20" fontId="5" fillId="0" borderId="27" xfId="0" applyNumberFormat="1" applyFont="1" applyFill="1" applyBorder="1" applyAlignment="1">
      <alignment horizontal="right" vertical="center"/>
    </xf>
    <xf numFmtId="20" fontId="5" fillId="0" borderId="28" xfId="0" applyNumberFormat="1" applyFont="1" applyFill="1" applyBorder="1" applyAlignment="1">
      <alignment horizontal="right" vertical="center"/>
    </xf>
    <xf numFmtId="20" fontId="4" fillId="0" borderId="10" xfId="0" applyNumberFormat="1" applyFont="1" applyBorder="1" applyAlignment="1">
      <alignment vertical="center"/>
    </xf>
    <xf numFmtId="38" fontId="5" fillId="0" borderId="41"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77" xfId="49" applyFont="1" applyFill="1" applyBorder="1" applyAlignment="1">
      <alignment horizontal="right" vertical="center"/>
    </xf>
    <xf numFmtId="0" fontId="28" fillId="39" borderId="0" xfId="65" applyFont="1" applyFill="1" applyAlignment="1">
      <alignment vertical="top" wrapText="1"/>
      <protection/>
    </xf>
    <xf numFmtId="0" fontId="4" fillId="0" borderId="0" xfId="65" applyFont="1" applyAlignment="1">
      <alignment horizontal="distributed"/>
      <protection/>
    </xf>
    <xf numFmtId="0" fontId="35" fillId="0" borderId="0" xfId="62" applyFont="1" applyFill="1" applyBorder="1" applyAlignment="1">
      <alignment horizontal="distributed" vertical="center"/>
      <protection/>
    </xf>
    <xf numFmtId="0" fontId="31" fillId="0" borderId="0" xfId="62" applyFont="1" applyAlignment="1">
      <alignment horizontal="distributed" vertical="center"/>
      <protection/>
    </xf>
    <xf numFmtId="0" fontId="63" fillId="0" borderId="0" xfId="62" applyAlignment="1">
      <alignment horizontal="distributed" vertical="center"/>
      <protection/>
    </xf>
    <xf numFmtId="0" fontId="38" fillId="0" borderId="40" xfId="63" applyFont="1" applyFill="1" applyBorder="1" applyAlignment="1">
      <alignment horizontal="center" vertical="center" wrapText="1"/>
      <protection/>
    </xf>
    <xf numFmtId="0" fontId="38" fillId="0" borderId="43" xfId="63" applyFont="1" applyFill="1" applyBorder="1" applyAlignment="1">
      <alignment horizontal="center" vertical="center" wrapText="1"/>
      <protection/>
    </xf>
    <xf numFmtId="0" fontId="38" fillId="0" borderId="46" xfId="63" applyFont="1" applyFill="1" applyBorder="1" applyAlignment="1">
      <alignment horizontal="center" vertical="center" wrapText="1"/>
      <protection/>
    </xf>
    <xf numFmtId="0" fontId="34" fillId="0" borderId="40" xfId="63" applyFont="1" applyFill="1" applyBorder="1" applyAlignment="1">
      <alignment horizontal="center" vertical="center" wrapText="1"/>
      <protection/>
    </xf>
    <xf numFmtId="0" fontId="34" fillId="0" borderId="43" xfId="63" applyFont="1" applyFill="1" applyBorder="1" applyAlignment="1">
      <alignment horizontal="center" vertical="center" wrapText="1"/>
      <protection/>
    </xf>
    <xf numFmtId="0" fontId="34" fillId="0" borderId="46" xfId="63" applyFont="1" applyFill="1" applyBorder="1" applyAlignment="1">
      <alignment horizontal="center" vertical="center" wrapText="1"/>
      <protection/>
    </xf>
    <xf numFmtId="0" fontId="4" fillId="0" borderId="37" xfId="65" applyFont="1" applyBorder="1" applyAlignment="1">
      <alignment horizontal="distributed" vertical="center"/>
      <protection/>
    </xf>
    <xf numFmtId="0" fontId="36" fillId="0" borderId="81" xfId="65" applyFont="1" applyBorder="1" applyAlignment="1">
      <alignment horizontal="center" vertical="center"/>
      <protection/>
    </xf>
    <xf numFmtId="0" fontId="36" fillId="0" borderId="84" xfId="65" applyFont="1" applyBorder="1" applyAlignment="1">
      <alignment horizontal="center" vertical="center"/>
      <protection/>
    </xf>
    <xf numFmtId="0" fontId="36" fillId="0" borderId="55" xfId="65" applyFont="1" applyBorder="1" applyAlignment="1">
      <alignment horizontal="center" vertical="center"/>
      <protection/>
    </xf>
    <xf numFmtId="0" fontId="36" fillId="0" borderId="65" xfId="65" applyFont="1" applyBorder="1" applyAlignment="1">
      <alignment horizontal="center" vertical="center"/>
      <protection/>
    </xf>
    <xf numFmtId="0" fontId="36" fillId="0" borderId="0" xfId="65" applyFont="1" applyBorder="1" applyAlignment="1">
      <alignment horizontal="center" vertical="center"/>
      <protection/>
    </xf>
    <xf numFmtId="0" fontId="36" fillId="0" borderId="61" xfId="65" applyFont="1" applyBorder="1" applyAlignment="1">
      <alignment horizontal="center" vertical="center"/>
      <protection/>
    </xf>
    <xf numFmtId="0" fontId="36" fillId="0" borderId="39" xfId="65" applyFont="1" applyBorder="1" applyAlignment="1">
      <alignment horizontal="center" vertical="center"/>
      <protection/>
    </xf>
    <xf numFmtId="0" fontId="36" fillId="0" borderId="42" xfId="65" applyFont="1" applyBorder="1" applyAlignment="1">
      <alignment horizontal="center" vertical="center"/>
      <protection/>
    </xf>
    <xf numFmtId="0" fontId="36" fillId="0" borderId="45" xfId="65" applyFont="1" applyBorder="1" applyAlignment="1">
      <alignment horizontal="center" vertical="center"/>
      <protection/>
    </xf>
    <xf numFmtId="0" fontId="34" fillId="0" borderId="65" xfId="65" applyFont="1" applyBorder="1" applyAlignment="1">
      <alignment vertical="distributed"/>
      <protection/>
    </xf>
    <xf numFmtId="0" fontId="34" fillId="0" borderId="61" xfId="65" applyFont="1" applyBorder="1" applyAlignment="1">
      <alignment vertical="distributed"/>
      <protection/>
    </xf>
    <xf numFmtId="0" fontId="4" fillId="0" borderId="0" xfId="65" applyFont="1" applyAlignment="1">
      <alignment horizontal="center"/>
      <protection/>
    </xf>
    <xf numFmtId="38" fontId="4" fillId="0" borderId="40" xfId="49" applyFont="1" applyFill="1" applyBorder="1" applyAlignment="1">
      <alignment horizontal="right" vertical="center" wrapText="1"/>
    </xf>
    <xf numFmtId="38" fontId="4" fillId="0" borderId="43" xfId="49" applyFont="1" applyFill="1" applyBorder="1" applyAlignment="1">
      <alignment horizontal="right" vertical="center" wrapText="1"/>
    </xf>
    <xf numFmtId="38" fontId="4" fillId="0" borderId="40" xfId="49" applyFont="1" applyFill="1" applyBorder="1" applyAlignment="1">
      <alignment horizontal="right" vertical="center"/>
    </xf>
    <xf numFmtId="38" fontId="4" fillId="0" borderId="43" xfId="49" applyFont="1" applyFill="1" applyBorder="1" applyAlignment="1">
      <alignment horizontal="right" vertical="center"/>
    </xf>
    <xf numFmtId="0" fontId="3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76" xfId="0" applyFont="1" applyFill="1" applyBorder="1" applyAlignment="1">
      <alignment vertical="center"/>
    </xf>
    <xf numFmtId="0" fontId="0" fillId="32" borderId="77" xfId="0" applyFill="1" applyBorder="1" applyAlignment="1">
      <alignment vertical="center"/>
    </xf>
    <xf numFmtId="0" fontId="0" fillId="32" borderId="76" xfId="0" applyFill="1" applyBorder="1" applyAlignment="1">
      <alignment vertical="center"/>
    </xf>
    <xf numFmtId="0" fontId="0" fillId="32" borderId="89" xfId="0" applyFill="1" applyBorder="1" applyAlignment="1">
      <alignment vertical="center"/>
    </xf>
    <xf numFmtId="0" fontId="4" fillId="32" borderId="90" xfId="0" applyFont="1" applyFill="1" applyBorder="1" applyAlignment="1" applyProtection="1">
      <alignment horizontal="center" vertical="center"/>
      <protection locked="0"/>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58" fontId="4" fillId="0" borderId="0" xfId="0" applyNumberFormat="1" applyFont="1" applyFill="1" applyBorder="1" applyAlignment="1" applyProtection="1">
      <alignment horizontal="left" vertical="center"/>
      <protection locked="0"/>
    </xf>
    <xf numFmtId="0" fontId="4" fillId="32" borderId="91" xfId="0" applyFont="1" applyFill="1" applyBorder="1" applyAlignment="1" applyProtection="1">
      <alignment horizontal="left" vertical="top" wrapText="1"/>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0"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0" borderId="25" xfId="0" applyFont="1" applyBorder="1" applyAlignment="1">
      <alignment horizontal="center" vertical="center"/>
    </xf>
    <xf numFmtId="0" fontId="4" fillId="0" borderId="67" xfId="0" applyFont="1" applyBorder="1" applyAlignment="1">
      <alignment horizontal="center" vertical="center"/>
    </xf>
    <xf numFmtId="0" fontId="4" fillId="32" borderId="32" xfId="0" applyFont="1" applyFill="1" applyBorder="1" applyAlignment="1" applyProtection="1">
      <alignment horizontal="left" vertical="center" shrinkToFit="1"/>
      <protection locked="0"/>
    </xf>
    <xf numFmtId="0" fontId="0" fillId="0" borderId="41" xfId="0" applyBorder="1" applyAlignment="1">
      <alignment horizontal="left" vertical="center" shrinkToFit="1"/>
    </xf>
    <xf numFmtId="0" fontId="0" fillId="0" borderId="88" xfId="0" applyBorder="1" applyAlignment="1">
      <alignment horizontal="left" vertical="center" shrinkToFit="1"/>
    </xf>
    <xf numFmtId="0" fontId="4" fillId="32" borderId="76" xfId="0" applyFont="1" applyFill="1" applyBorder="1" applyAlignment="1" applyProtection="1">
      <alignment horizontal="left" vertical="center" shrinkToFit="1"/>
      <protection locked="0"/>
    </xf>
    <xf numFmtId="0" fontId="0" fillId="0" borderId="77" xfId="0" applyBorder="1" applyAlignment="1">
      <alignment horizontal="left" vertical="center" shrinkToFit="1"/>
    </xf>
    <xf numFmtId="0" fontId="0" fillId="0" borderId="89" xfId="0" applyBorder="1" applyAlignment="1">
      <alignment horizontal="left" vertical="center" shrinkToFit="1"/>
    </xf>
    <xf numFmtId="0" fontId="4" fillId="0" borderId="76" xfId="0" applyFont="1" applyBorder="1" applyAlignment="1">
      <alignment horizontal="distributed" vertical="center"/>
    </xf>
    <xf numFmtId="0" fontId="4" fillId="0" borderId="77" xfId="0" applyFont="1" applyBorder="1" applyAlignment="1">
      <alignment horizontal="distributed" vertical="center"/>
    </xf>
    <xf numFmtId="0" fontId="4" fillId="0" borderId="89" xfId="0" applyFont="1" applyBorder="1" applyAlignment="1">
      <alignment horizontal="distributed" vertical="center"/>
    </xf>
    <xf numFmtId="0" fontId="4" fillId="0" borderId="25" xfId="0" applyFont="1" applyBorder="1" applyAlignment="1">
      <alignment horizontal="distributed" vertical="center"/>
    </xf>
    <xf numFmtId="0" fontId="14" fillId="0" borderId="68" xfId="0" applyFont="1" applyBorder="1" applyAlignment="1">
      <alignment horizontal="distributed" vertical="center"/>
    </xf>
    <xf numFmtId="0" fontId="14" fillId="0" borderId="48" xfId="0" applyFont="1" applyBorder="1" applyAlignment="1">
      <alignment horizontal="distributed" vertical="center"/>
    </xf>
    <xf numFmtId="0" fontId="14" fillId="0" borderId="17" xfId="0" applyFont="1" applyBorder="1" applyAlignment="1">
      <alignment horizontal="distributed" vertical="center"/>
    </xf>
    <xf numFmtId="0" fontId="14" fillId="0" borderId="15" xfId="0" applyFont="1" applyBorder="1" applyAlignment="1">
      <alignment horizontal="distributed" vertical="center"/>
    </xf>
    <xf numFmtId="0" fontId="15" fillId="0" borderId="51" xfId="0" applyFont="1" applyFill="1" applyBorder="1" applyAlignment="1">
      <alignment horizontal="left" vertical="center" shrinkToFit="1"/>
    </xf>
    <xf numFmtId="0" fontId="15" fillId="0" borderId="48" xfId="0" applyFont="1" applyFill="1" applyBorder="1" applyAlignment="1">
      <alignment horizontal="left" vertical="center" shrinkToFit="1"/>
    </xf>
    <xf numFmtId="180" fontId="9" fillId="0" borderId="98" xfId="49" applyNumberFormat="1" applyFont="1" applyBorder="1" applyAlignment="1">
      <alignment vertical="center"/>
    </xf>
    <xf numFmtId="180" fontId="9" fillId="0" borderId="99" xfId="49" applyNumberFormat="1" applyFont="1" applyBorder="1" applyAlignment="1">
      <alignment vertical="center"/>
    </xf>
    <xf numFmtId="180" fontId="9" fillId="0" borderId="100" xfId="49" applyNumberFormat="1" applyFont="1" applyBorder="1" applyAlignment="1">
      <alignment vertical="center"/>
    </xf>
    <xf numFmtId="0" fontId="14" fillId="0" borderId="68" xfId="0" applyFont="1" applyBorder="1" applyAlignment="1">
      <alignment horizontal="center" vertical="center"/>
    </xf>
    <xf numFmtId="0" fontId="14" fillId="0" borderId="51" xfId="0" applyFont="1" applyBorder="1" applyAlignment="1">
      <alignment horizontal="center"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59" xfId="49" applyNumberFormat="1" applyFont="1" applyBorder="1" applyAlignment="1">
      <alignment vertical="center"/>
    </xf>
    <xf numFmtId="180" fontId="5" fillId="0" borderId="24" xfId="49" applyNumberFormat="1" applyFont="1" applyBorder="1" applyAlignment="1">
      <alignment vertical="center"/>
    </xf>
    <xf numFmtId="180" fontId="9" fillId="0" borderId="101"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59"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32" borderId="20" xfId="49" applyNumberFormat="1" applyFont="1" applyFill="1" applyBorder="1" applyAlignment="1" applyProtection="1">
      <alignment vertical="center"/>
      <protection locked="0"/>
    </xf>
    <xf numFmtId="180" fontId="9" fillId="32" borderId="25" xfId="49" applyNumberFormat="1" applyFont="1" applyFill="1" applyBorder="1" applyAlignment="1" applyProtection="1">
      <alignment vertical="center"/>
      <protection locked="0"/>
    </xf>
    <xf numFmtId="0" fontId="31" fillId="0" borderId="59" xfId="0" applyFont="1" applyBorder="1" applyAlignment="1">
      <alignment vertical="center"/>
    </xf>
    <xf numFmtId="0" fontId="31" fillId="0" borderId="24" xfId="0" applyFont="1" applyBorder="1" applyAlignment="1">
      <alignment vertical="center"/>
    </xf>
    <xf numFmtId="193" fontId="9" fillId="0" borderId="12" xfId="0" applyNumberFormat="1" applyFont="1" applyBorder="1" applyAlignment="1">
      <alignment horizontal="center" vertical="center" textRotation="255"/>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79" fontId="10" fillId="0" borderId="59" xfId="0" applyNumberFormat="1" applyFont="1" applyBorder="1" applyAlignment="1">
      <alignment horizontal="left"/>
    </xf>
    <xf numFmtId="179" fontId="10" fillId="0" borderId="24" xfId="0" applyNumberFormat="1" applyFont="1" applyBorder="1" applyAlignment="1">
      <alignment horizontal="left"/>
    </xf>
    <xf numFmtId="180" fontId="9" fillId="32" borderId="24" xfId="49" applyNumberFormat="1" applyFont="1" applyFill="1" applyBorder="1" applyAlignment="1" applyProtection="1">
      <alignment vertical="center"/>
      <protection locked="0"/>
    </xf>
    <xf numFmtId="180" fontId="9" fillId="32" borderId="59" xfId="49" applyNumberFormat="1" applyFont="1" applyFill="1" applyBorder="1" applyAlignment="1" applyProtection="1">
      <alignment vertical="center"/>
      <protection locked="0"/>
    </xf>
    <xf numFmtId="0" fontId="10" fillId="0" borderId="68" xfId="0" applyFont="1" applyBorder="1" applyAlignment="1">
      <alignment horizontal="center" vertical="center"/>
    </xf>
    <xf numFmtId="0" fontId="10" fillId="0" borderId="51" xfId="0" applyFont="1" applyBorder="1" applyAlignment="1">
      <alignment horizontal="center" vertical="center"/>
    </xf>
    <xf numFmtId="0" fontId="10" fillId="0" borderId="48" xfId="0" applyFont="1" applyBorder="1" applyAlignment="1">
      <alignment horizontal="center" vertical="center"/>
    </xf>
    <xf numFmtId="0" fontId="10" fillId="0" borderId="68"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68"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59"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76" xfId="0" applyFont="1" applyFill="1" applyBorder="1" applyAlignment="1">
      <alignment horizontal="left" vertical="center" shrinkToFit="1"/>
    </xf>
    <xf numFmtId="0" fontId="0" fillId="0" borderId="77" xfId="0" applyBorder="1" applyAlignment="1">
      <alignment vertical="center"/>
    </xf>
    <xf numFmtId="0" fontId="0" fillId="0" borderId="89" xfId="0" applyBorder="1" applyAlignment="1">
      <alignment vertical="center"/>
    </xf>
    <xf numFmtId="0" fontId="10" fillId="0" borderId="59" xfId="0" applyFont="1" applyBorder="1" applyAlignment="1">
      <alignment horizontal="center" vertical="center"/>
    </xf>
    <xf numFmtId="0" fontId="10" fillId="0" borderId="24" xfId="0" applyFont="1" applyBorder="1" applyAlignment="1">
      <alignment horizontal="center" vertical="center"/>
    </xf>
    <xf numFmtId="0" fontId="10" fillId="0" borderId="5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59"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25" xfId="0" applyFont="1" applyBorder="1" applyAlignment="1" quotePrefix="1">
      <alignment horizontal="center" vertical="center" wrapText="1"/>
    </xf>
    <xf numFmtId="0" fontId="14" fillId="0" borderId="59" xfId="0" applyFont="1" applyBorder="1" applyAlignment="1" quotePrefix="1">
      <alignment horizontal="center" vertical="center" wrapText="1"/>
    </xf>
    <xf numFmtId="0" fontId="14" fillId="0" borderId="68" xfId="0" applyFont="1" applyBorder="1" applyAlignment="1" quotePrefix="1">
      <alignment horizontal="center" vertical="center" wrapText="1"/>
    </xf>
    <xf numFmtId="0" fontId="14" fillId="0" borderId="51" xfId="0" applyFont="1" applyBorder="1" applyAlignment="1" quotePrefix="1">
      <alignment horizontal="center" vertical="center" wrapText="1"/>
    </xf>
    <xf numFmtId="0" fontId="14" fillId="0" borderId="48"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1" xfId="0" applyFont="1" applyBorder="1" applyAlignment="1">
      <alignment vertical="center"/>
    </xf>
    <xf numFmtId="0" fontId="14" fillId="0" borderId="48" xfId="0" applyFont="1" applyBorder="1" applyAlignment="1">
      <alignment vertical="center"/>
    </xf>
    <xf numFmtId="0" fontId="10" fillId="3" borderId="25"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7" fillId="34" borderId="34"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102" xfId="0" applyFont="1" applyFill="1" applyBorder="1" applyAlignment="1">
      <alignment horizontal="center" vertical="center" wrapText="1"/>
    </xf>
    <xf numFmtId="0" fontId="17" fillId="34" borderId="67"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74" xfId="0" applyFont="1" applyBorder="1" applyAlignment="1" quotePrefix="1">
      <alignment horizontal="center" vertical="center" wrapText="1"/>
    </xf>
    <xf numFmtId="0" fontId="14" fillId="0" borderId="83" xfId="0" applyFont="1" applyBorder="1" applyAlignment="1" quotePrefix="1">
      <alignment horizontal="center" vertical="center" wrapText="1"/>
    </xf>
    <xf numFmtId="0" fontId="14" fillId="0" borderId="23" xfId="0" applyFont="1" applyBorder="1" applyAlignment="1" quotePrefix="1">
      <alignment horizontal="center" vertical="center" wrapText="1"/>
    </xf>
    <xf numFmtId="0" fontId="14" fillId="0" borderId="60" xfId="0" applyFont="1" applyBorder="1" applyAlignment="1" quotePrefix="1">
      <alignment horizontal="center" vertical="center" wrapText="1"/>
    </xf>
    <xf numFmtId="0" fontId="14" fillId="0" borderId="75"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83" xfId="0" applyFont="1" applyBorder="1" applyAlignment="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0" fillId="0" borderId="23" xfId="0" applyFont="1" applyBorder="1" applyAlignment="1" quotePrefix="1">
      <alignment horizontal="center" vertical="center" wrapText="1"/>
    </xf>
    <xf numFmtId="0" fontId="10" fillId="0" borderId="60" xfId="0" applyFont="1" applyBorder="1" applyAlignment="1" quotePrefix="1">
      <alignment horizontal="center" vertical="center" wrapText="1"/>
    </xf>
    <xf numFmtId="0" fontId="10" fillId="0" borderId="75" xfId="0" applyFont="1" applyFill="1" applyBorder="1" applyAlignment="1" quotePrefix="1">
      <alignment horizontal="center" vertical="center" wrapText="1"/>
    </xf>
    <xf numFmtId="0" fontId="10" fillId="0" borderId="62" xfId="0" applyFont="1" applyFill="1" applyBorder="1" applyAlignment="1" quotePrefix="1">
      <alignment horizontal="center" vertical="center" wrapText="1"/>
    </xf>
    <xf numFmtId="0" fontId="10" fillId="0" borderId="74" xfId="0" applyFont="1" applyBorder="1" applyAlignment="1" quotePrefix="1">
      <alignment horizontal="center" vertical="center" wrapText="1"/>
    </xf>
    <xf numFmtId="0" fontId="10" fillId="0" borderId="83" xfId="0" applyFont="1" applyBorder="1" applyAlignment="1" quotePrefix="1">
      <alignment horizontal="center" vertical="center" wrapText="1"/>
    </xf>
    <xf numFmtId="0" fontId="10" fillId="35" borderId="23" xfId="0" applyFont="1" applyFill="1" applyBorder="1" applyAlignment="1">
      <alignment horizontal="center" vertical="center" textRotation="255"/>
    </xf>
    <xf numFmtId="0" fontId="10" fillId="35" borderId="53" xfId="0" applyFont="1" applyFill="1" applyBorder="1" applyAlignment="1">
      <alignment horizontal="center" vertical="center" textRotation="255"/>
    </xf>
    <xf numFmtId="0" fontId="10" fillId="32" borderId="10" xfId="0" applyFont="1" applyFill="1" applyBorder="1" applyAlignment="1" applyProtection="1">
      <alignment vertical="center" shrinkToFit="1"/>
      <protection locked="0"/>
    </xf>
    <xf numFmtId="0" fontId="10" fillId="32" borderId="11" xfId="0" applyFont="1" applyFill="1" applyBorder="1" applyAlignment="1" applyProtection="1">
      <alignment vertical="center" shrinkToFit="1"/>
      <protection locked="0"/>
    </xf>
    <xf numFmtId="0" fontId="10" fillId="32" borderId="43" xfId="0" applyFont="1" applyFill="1" applyBorder="1" applyAlignment="1" applyProtection="1">
      <alignment vertical="center" shrinkToFit="1"/>
      <protection locked="0"/>
    </xf>
    <xf numFmtId="0" fontId="10" fillId="32" borderId="64" xfId="0" applyFont="1" applyFill="1" applyBorder="1" applyAlignment="1" applyProtection="1">
      <alignment vertical="center" shrinkToFit="1"/>
      <protection locked="0"/>
    </xf>
    <xf numFmtId="0" fontId="10" fillId="32" borderId="77" xfId="0" applyFont="1" applyFill="1" applyBorder="1" applyAlignment="1" applyProtection="1">
      <alignment vertical="center" shrinkToFit="1"/>
      <protection locked="0"/>
    </xf>
    <xf numFmtId="0" fontId="10" fillId="32" borderId="89" xfId="0" applyFont="1" applyFill="1" applyBorder="1" applyAlignment="1" applyProtection="1">
      <alignment vertical="center" shrinkToFit="1"/>
      <protection locked="0"/>
    </xf>
    <xf numFmtId="0" fontId="9" fillId="0" borderId="68"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48" xfId="0" applyBorder="1" applyAlignment="1">
      <alignment horizontal="center" vertical="center" shrinkToFit="1"/>
    </xf>
    <xf numFmtId="0" fontId="10" fillId="0" borderId="68" xfId="0" applyFont="1" applyFill="1" applyBorder="1" applyAlignment="1">
      <alignment horizontal="left" vertical="center" shrinkToFit="1"/>
    </xf>
    <xf numFmtId="0" fontId="10" fillId="0" borderId="51" xfId="0"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67" xfId="0" applyFont="1" applyBorder="1" applyAlignment="1">
      <alignment horizontal="distributed" vertical="center"/>
    </xf>
    <xf numFmtId="0" fontId="15" fillId="0" borderId="77" xfId="0" applyFont="1" applyFill="1" applyBorder="1" applyAlignment="1">
      <alignment horizontal="left" vertical="center" shrinkToFit="1"/>
    </xf>
    <xf numFmtId="0" fontId="15" fillId="0" borderId="89" xfId="0" applyFont="1" applyFill="1" applyBorder="1" applyAlignment="1">
      <alignment horizontal="left" vertical="center" shrinkToFit="1"/>
    </xf>
    <xf numFmtId="0" fontId="15" fillId="0" borderId="76" xfId="0" applyFont="1" applyFill="1" applyBorder="1" applyAlignment="1">
      <alignment horizontal="right" vertical="center"/>
    </xf>
    <xf numFmtId="0" fontId="0" fillId="0" borderId="89" xfId="0" applyBorder="1" applyAlignment="1">
      <alignment horizontal="right" vertical="center"/>
    </xf>
    <xf numFmtId="0" fontId="10" fillId="0" borderId="74"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59" xfId="0"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59"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68" xfId="0" applyFont="1" applyBorder="1" applyAlignment="1">
      <alignment horizontal="distributed" vertical="center" indent="3"/>
    </xf>
    <xf numFmtId="0" fontId="10" fillId="0" borderId="51" xfId="0" applyFont="1" applyBorder="1" applyAlignment="1">
      <alignment horizontal="distributed" vertical="center" indent="3"/>
    </xf>
    <xf numFmtId="0" fontId="10" fillId="0" borderId="48"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68" xfId="0" applyFont="1" applyBorder="1" applyAlignment="1">
      <alignment horizontal="distributed" vertical="center" indent="4"/>
    </xf>
    <xf numFmtId="0" fontId="10" fillId="0" borderId="51" xfId="0" applyFont="1" applyBorder="1" applyAlignment="1">
      <alignment horizontal="distributed" vertical="center" indent="4"/>
    </xf>
    <xf numFmtId="0" fontId="10" fillId="0" borderId="48" xfId="0" applyFont="1" applyBorder="1" applyAlignment="1">
      <alignment horizontal="distributed" vertical="center" indent="4"/>
    </xf>
    <xf numFmtId="0" fontId="10" fillId="0" borderId="17" xfId="0" applyFont="1" applyBorder="1" applyAlignment="1">
      <alignment horizontal="center" vertical="center"/>
    </xf>
    <xf numFmtId="0" fontId="10" fillId="0" borderId="66" xfId="0" applyFont="1" applyBorder="1" applyAlignment="1">
      <alignment horizontal="center" vertical="center"/>
    </xf>
    <xf numFmtId="0" fontId="10" fillId="0" borderId="65" xfId="0" applyFont="1" applyBorder="1" applyAlignment="1">
      <alignment horizontal="center" vertical="center"/>
    </xf>
    <xf numFmtId="0" fontId="10" fillId="0" borderId="86" xfId="0" applyFont="1" applyBorder="1" applyAlignment="1">
      <alignment horizontal="center" vertical="center"/>
    </xf>
    <xf numFmtId="0" fontId="10" fillId="0" borderId="74" xfId="0" applyFont="1" applyBorder="1" applyAlignment="1">
      <alignment horizontal="center" vertical="center"/>
    </xf>
    <xf numFmtId="0" fontId="10" fillId="0" borderId="83" xfId="0" applyFont="1" applyBorder="1" applyAlignment="1">
      <alignment horizontal="center" vertical="center"/>
    </xf>
    <xf numFmtId="0" fontId="10" fillId="0" borderId="52" xfId="0" applyFont="1" applyBorder="1" applyAlignment="1">
      <alignment horizontal="center" vertical="center"/>
    </xf>
    <xf numFmtId="0" fontId="10" fillId="0" borderId="75" xfId="0" applyFont="1" applyBorder="1" applyAlignment="1">
      <alignment horizontal="center" vertical="center"/>
    </xf>
    <xf numFmtId="0" fontId="10" fillId="0" borderId="62" xfId="0" applyFont="1" applyBorder="1" applyAlignment="1">
      <alignment horizontal="center" vertical="center"/>
    </xf>
    <xf numFmtId="0" fontId="10" fillId="0" borderId="72"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58"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23" xfId="0" applyFont="1" applyBorder="1" applyAlignment="1">
      <alignment horizontal="center" vertical="center"/>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10" fillId="0" borderId="60"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18" xfId="0" applyFont="1" applyFill="1" applyBorder="1" applyAlignment="1" applyProtection="1">
      <alignment horizontal="left" vertical="center" shrinkToFit="1"/>
      <protection/>
    </xf>
    <xf numFmtId="0" fontId="18" fillId="0" borderId="35" xfId="0" applyFont="1" applyFill="1" applyBorder="1" applyAlignment="1" applyProtection="1">
      <alignment horizontal="left" vertical="center" shrinkToFit="1"/>
      <protection/>
    </xf>
    <xf numFmtId="0" fontId="18" fillId="0" borderId="33" xfId="0" applyFont="1" applyFill="1" applyBorder="1" applyAlignment="1" applyProtection="1">
      <alignment horizontal="left" vertical="center" shrinkToFit="1"/>
      <protection/>
    </xf>
    <xf numFmtId="0" fontId="18" fillId="0" borderId="19" xfId="0" applyFont="1" applyFill="1" applyBorder="1" applyAlignment="1" applyProtection="1">
      <alignment horizontal="left" vertical="center" shrinkToFit="1"/>
      <protection/>
    </xf>
    <xf numFmtId="0" fontId="18" fillId="0" borderId="37" xfId="0" applyFont="1" applyFill="1" applyBorder="1" applyAlignment="1" applyProtection="1">
      <alignment horizontal="left" vertical="center" shrinkToFit="1"/>
      <protection/>
    </xf>
    <xf numFmtId="0" fontId="18" fillId="0" borderId="29" xfId="0" applyFont="1" applyFill="1" applyBorder="1" applyAlignment="1" applyProtection="1">
      <alignment horizontal="left" vertical="center" shrinkToFit="1"/>
      <protection/>
    </xf>
    <xf numFmtId="0" fontId="18" fillId="0" borderId="78" xfId="0" applyFont="1" applyFill="1" applyBorder="1" applyAlignment="1" applyProtection="1">
      <alignment horizontal="left" vertical="center" shrinkToFit="1"/>
      <protection/>
    </xf>
    <xf numFmtId="0" fontId="18" fillId="0" borderId="73" xfId="0" applyFont="1" applyFill="1" applyBorder="1" applyAlignment="1" applyProtection="1">
      <alignment horizontal="left" vertical="center" shrinkToFit="1"/>
      <protection/>
    </xf>
    <xf numFmtId="0" fontId="18" fillId="0" borderId="54" xfId="0" applyFont="1" applyFill="1" applyBorder="1" applyAlignment="1" applyProtection="1">
      <alignment horizontal="left" vertical="center" shrinkToFit="1"/>
      <protection/>
    </xf>
    <xf numFmtId="0" fontId="9" fillId="0" borderId="51"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10" fillId="0" borderId="17"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5" fillId="0" borderId="32"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88" xfId="0" applyFont="1" applyFill="1" applyBorder="1" applyAlignment="1">
      <alignment horizontal="center" vertical="center" shrinkToFit="1"/>
    </xf>
    <xf numFmtId="0" fontId="14" fillId="0" borderId="48" xfId="0" applyFont="1" applyBorder="1" applyAlignment="1" quotePrefix="1">
      <alignment horizontal="center" vertical="center" wrapText="1"/>
    </xf>
    <xf numFmtId="0" fontId="82" fillId="0" borderId="25" xfId="0" applyFont="1" applyBorder="1" applyAlignment="1">
      <alignment horizontal="center" vertical="center" wrapText="1"/>
    </xf>
    <xf numFmtId="0" fontId="82" fillId="0" borderId="59" xfId="0" applyFont="1" applyBorder="1" applyAlignment="1">
      <alignment horizontal="center" vertical="center" wrapText="1"/>
    </xf>
    <xf numFmtId="0" fontId="15" fillId="0" borderId="68" xfId="0" applyFont="1" applyFill="1" applyBorder="1" applyAlignment="1">
      <alignment horizontal="left" vertical="center" shrinkToFit="1"/>
    </xf>
    <xf numFmtId="0" fontId="15" fillId="0" borderId="68" xfId="0" applyFont="1" applyFill="1" applyBorder="1" applyAlignment="1">
      <alignment horizontal="right" vertical="center"/>
    </xf>
    <xf numFmtId="0" fontId="0" fillId="0" borderId="48" xfId="0" applyBorder="1" applyAlignment="1">
      <alignment horizontal="right" vertical="center"/>
    </xf>
    <xf numFmtId="0" fontId="10" fillId="0" borderId="25" xfId="0" applyFont="1" applyFill="1" applyBorder="1" applyAlignment="1">
      <alignment horizontal="center" vertical="center" textRotation="255"/>
    </xf>
    <xf numFmtId="0" fontId="10" fillId="0" borderId="59"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51"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59" xfId="0"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68" xfId="0" applyFont="1" applyFill="1" applyBorder="1" applyAlignment="1">
      <alignment horizontal="distributed" vertical="center" indent="3"/>
    </xf>
    <xf numFmtId="0" fontId="10" fillId="0" borderId="51" xfId="0" applyFont="1" applyFill="1" applyBorder="1" applyAlignment="1">
      <alignment horizontal="distributed" vertical="center" indent="3"/>
    </xf>
    <xf numFmtId="0" fontId="10" fillId="0" borderId="48"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68" xfId="0" applyFont="1" applyFill="1" applyBorder="1" applyAlignment="1">
      <alignment horizontal="distributed" vertical="center" indent="4"/>
    </xf>
    <xf numFmtId="0" fontId="10" fillId="0" borderId="51" xfId="0" applyFont="1" applyFill="1" applyBorder="1" applyAlignment="1">
      <alignment horizontal="distributed" vertical="center" indent="4"/>
    </xf>
    <xf numFmtId="0" fontId="10" fillId="0" borderId="48" xfId="0" applyFont="1" applyFill="1" applyBorder="1" applyAlignment="1">
      <alignment horizontal="distributed" vertical="center" indent="4"/>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72" xfId="0" applyFont="1" applyFill="1" applyBorder="1" applyAlignment="1">
      <alignment horizontal="center" vertical="center" textRotation="255"/>
    </xf>
    <xf numFmtId="0" fontId="10" fillId="0" borderId="61" xfId="0" applyFont="1" applyFill="1" applyBorder="1" applyAlignment="1">
      <alignment horizontal="center" vertical="center" textRotation="255"/>
    </xf>
    <xf numFmtId="0" fontId="10" fillId="0" borderId="58"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xf>
    <xf numFmtId="0" fontId="10" fillId="0" borderId="60" xfId="0" applyFont="1" applyFill="1" applyBorder="1" applyAlignment="1">
      <alignment horizontal="center" vertical="center"/>
    </xf>
    <xf numFmtId="0" fontId="18" fillId="0" borderId="18" xfId="0" applyFont="1" applyFill="1" applyBorder="1" applyAlignment="1" applyProtection="1">
      <alignment vertical="center" shrinkToFit="1"/>
      <protection/>
    </xf>
    <xf numFmtId="0" fontId="18" fillId="0" borderId="35" xfId="0" applyFont="1" applyFill="1" applyBorder="1" applyAlignment="1" applyProtection="1">
      <alignment vertical="center" shrinkToFit="1"/>
      <protection/>
    </xf>
    <xf numFmtId="0" fontId="18" fillId="0" borderId="33" xfId="0" applyFont="1" applyFill="1" applyBorder="1" applyAlignment="1" applyProtection="1">
      <alignment vertical="center" shrinkToFit="1"/>
      <protection/>
    </xf>
    <xf numFmtId="0" fontId="18" fillId="0" borderId="19" xfId="0" applyFont="1" applyFill="1" applyBorder="1" applyAlignment="1" applyProtection="1">
      <alignment vertical="center" shrinkToFit="1"/>
      <protection/>
    </xf>
    <xf numFmtId="0" fontId="18" fillId="0" borderId="37" xfId="0" applyFont="1" applyFill="1" applyBorder="1" applyAlignment="1" applyProtection="1">
      <alignment vertical="center" shrinkToFit="1"/>
      <protection/>
    </xf>
    <xf numFmtId="0" fontId="18" fillId="0" borderId="29" xfId="0" applyFont="1" applyFill="1" applyBorder="1" applyAlignment="1" applyProtection="1">
      <alignment vertical="center" shrinkToFit="1"/>
      <protection/>
    </xf>
    <xf numFmtId="0" fontId="18" fillId="0" borderId="78" xfId="0" applyFont="1" applyFill="1" applyBorder="1" applyAlignment="1" applyProtection="1">
      <alignment vertical="center" shrinkToFit="1"/>
      <protection/>
    </xf>
    <xf numFmtId="0" fontId="18" fillId="0" borderId="73" xfId="0" applyFont="1" applyFill="1" applyBorder="1" applyAlignment="1" applyProtection="1">
      <alignment vertical="center" shrinkToFit="1"/>
      <protection/>
    </xf>
    <xf numFmtId="0" fontId="18" fillId="0" borderId="54" xfId="0" applyFont="1" applyFill="1" applyBorder="1" applyAlignment="1" applyProtection="1">
      <alignment vertical="center" shrinkToFit="1"/>
      <protection/>
    </xf>
    <xf numFmtId="38" fontId="9" fillId="0" borderId="101" xfId="49" applyFont="1" applyBorder="1" applyAlignment="1">
      <alignment vertical="center"/>
    </xf>
    <xf numFmtId="38" fontId="9" fillId="0" borderId="98" xfId="49" applyFont="1" applyBorder="1" applyAlignment="1">
      <alignment vertical="center"/>
    </xf>
    <xf numFmtId="38" fontId="5" fillId="0" borderId="20" xfId="49" applyFont="1" applyBorder="1" applyAlignment="1">
      <alignment vertical="center"/>
    </xf>
    <xf numFmtId="38" fontId="9" fillId="35" borderId="20" xfId="49" applyFont="1" applyFill="1" applyBorder="1" applyAlignment="1" applyProtection="1">
      <alignment vertical="center"/>
      <protection locked="0"/>
    </xf>
    <xf numFmtId="38" fontId="9" fillId="32" borderId="24" xfId="49" applyFont="1" applyFill="1" applyBorder="1" applyAlignment="1" applyProtection="1">
      <alignment vertical="center"/>
      <protection locked="0"/>
    </xf>
    <xf numFmtId="38" fontId="9" fillId="35" borderId="25" xfId="49" applyFont="1" applyFill="1" applyBorder="1" applyAlignment="1" applyProtection="1">
      <alignment vertical="center"/>
      <protection locked="0"/>
    </xf>
    <xf numFmtId="38" fontId="31" fillId="35" borderId="59" xfId="49" applyFont="1" applyFill="1" applyBorder="1" applyAlignment="1">
      <alignment vertical="center"/>
    </xf>
    <xf numFmtId="38" fontId="31" fillId="35" borderId="24" xfId="49" applyFont="1" applyFill="1" applyBorder="1" applyAlignment="1">
      <alignment vertical="center"/>
    </xf>
    <xf numFmtId="38" fontId="9" fillId="0" borderId="100" xfId="49" applyFont="1" applyBorder="1" applyAlignment="1">
      <alignment vertical="center"/>
    </xf>
    <xf numFmtId="38" fontId="5" fillId="0" borderId="25" xfId="49" applyFont="1" applyBorder="1" applyAlignment="1">
      <alignment vertical="center"/>
    </xf>
    <xf numFmtId="38" fontId="5" fillId="0" borderId="59" xfId="49" applyFont="1" applyBorder="1" applyAlignment="1">
      <alignment vertical="center"/>
    </xf>
    <xf numFmtId="38" fontId="5" fillId="0" borderId="24" xfId="49" applyFont="1" applyBorder="1" applyAlignment="1">
      <alignment vertical="center"/>
    </xf>
    <xf numFmtId="38" fontId="9" fillId="32" borderId="59" xfId="49" applyFont="1" applyFill="1" applyBorder="1" applyAlignment="1" applyProtection="1">
      <alignment vertical="center"/>
      <protection locked="0"/>
    </xf>
    <xf numFmtId="38" fontId="31" fillId="0" borderId="59" xfId="49" applyFont="1" applyBorder="1" applyAlignment="1">
      <alignment vertical="center"/>
    </xf>
    <xf numFmtId="38" fontId="31" fillId="0" borderId="24" xfId="49" applyFont="1" applyBorder="1" applyAlignment="1">
      <alignment vertical="center"/>
    </xf>
    <xf numFmtId="38" fontId="9" fillId="0" borderId="99" xfId="49" applyFont="1" applyBorder="1" applyAlignment="1">
      <alignment vertical="center"/>
    </xf>
    <xf numFmtId="0" fontId="9" fillId="0" borderId="17"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4" fillId="0" borderId="48"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10" fillId="35" borderId="60" xfId="0" applyFont="1" applyFill="1" applyBorder="1" applyAlignment="1">
      <alignment horizontal="center" vertical="center" textRotation="255"/>
    </xf>
    <xf numFmtId="0" fontId="31" fillId="35" borderId="75" xfId="0" applyFont="1" applyFill="1" applyBorder="1" applyAlignment="1" applyProtection="1">
      <alignment horizontal="center" vertical="center" wrapText="1" shrinkToFit="1"/>
      <protection locked="0"/>
    </xf>
    <xf numFmtId="0" fontId="31" fillId="35" borderId="49" xfId="0" applyFont="1" applyFill="1" applyBorder="1" applyAlignment="1" applyProtection="1">
      <alignment horizontal="center" vertical="center" wrapText="1" shrinkToFit="1"/>
      <protection locked="0"/>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3" borderId="59" xfId="0" applyFont="1" applyFill="1" applyBorder="1" applyAlignment="1">
      <alignment horizontal="center" vertical="center"/>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7" fillId="34" borderId="26" xfId="0" applyFont="1" applyFill="1" applyBorder="1" applyAlignment="1">
      <alignment horizontal="center" vertical="center" wrapText="1"/>
    </xf>
    <xf numFmtId="0" fontId="15" fillId="0" borderId="68"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4" fillId="0" borderId="59" xfId="0" applyFont="1" applyBorder="1" applyAlignment="1">
      <alignment horizontal="center" vertical="center" wrapText="1"/>
    </xf>
    <xf numFmtId="0" fontId="10" fillId="0" borderId="25" xfId="0" applyFont="1" applyBorder="1" applyAlignment="1">
      <alignment horizontal="center" vertical="center" wrapText="1" shrinkToFit="1"/>
    </xf>
    <xf numFmtId="0" fontId="10" fillId="0" borderId="59"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0" xfId="0" applyFont="1" applyBorder="1" applyAlignment="1">
      <alignment horizontal="center" vertical="center"/>
    </xf>
    <xf numFmtId="0" fontId="10" fillId="0" borderId="50" xfId="0" applyFont="1" applyBorder="1" applyAlignment="1">
      <alignment horizontal="center" vertical="center"/>
    </xf>
    <xf numFmtId="0" fontId="10" fillId="0" borderId="23" xfId="0" applyFont="1" applyFill="1" applyBorder="1" applyAlignment="1">
      <alignment horizontal="center" vertical="center" textRotation="255"/>
    </xf>
    <xf numFmtId="0" fontId="10" fillId="0" borderId="60" xfId="0" applyFont="1" applyFill="1" applyBorder="1" applyAlignment="1">
      <alignment horizontal="center" vertical="center" textRotation="255"/>
    </xf>
    <xf numFmtId="0" fontId="10" fillId="0" borderId="53"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5"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14" fillId="0" borderId="72" xfId="0" applyFont="1" applyBorder="1" applyAlignment="1" quotePrefix="1">
      <alignment horizontal="center" vertical="center" wrapText="1"/>
    </xf>
    <xf numFmtId="0" fontId="14" fillId="0" borderId="61" xfId="0" applyFont="1" applyBorder="1" applyAlignment="1" quotePrefix="1">
      <alignment horizontal="center" vertical="center" wrapText="1"/>
    </xf>
    <xf numFmtId="0" fontId="10" fillId="32" borderId="44" xfId="0" applyFont="1" applyFill="1" applyBorder="1" applyAlignment="1" applyProtection="1">
      <alignment vertical="center" shrinkToFit="1"/>
      <protection locked="0"/>
    </xf>
    <xf numFmtId="0" fontId="10" fillId="32" borderId="35" xfId="0" applyFont="1" applyFill="1" applyBorder="1" applyAlignment="1" applyProtection="1">
      <alignment vertical="center" shrinkToFit="1"/>
      <protection locked="0"/>
    </xf>
    <xf numFmtId="0" fontId="10" fillId="32" borderId="33" xfId="0" applyFont="1" applyFill="1" applyBorder="1" applyAlignment="1" applyProtection="1">
      <alignment vertical="center" shrinkToFit="1"/>
      <protection locked="0"/>
    </xf>
    <xf numFmtId="0" fontId="10" fillId="32" borderId="46" xfId="0" applyFont="1" applyFill="1" applyBorder="1" applyAlignment="1" applyProtection="1">
      <alignment vertical="center" shrinkToFit="1"/>
      <protection locked="0"/>
    </xf>
    <xf numFmtId="0" fontId="10" fillId="32" borderId="37" xfId="0" applyFont="1" applyFill="1" applyBorder="1" applyAlignment="1" applyProtection="1">
      <alignment vertical="center" shrinkToFit="1"/>
      <protection locked="0"/>
    </xf>
    <xf numFmtId="0" fontId="10" fillId="32" borderId="29" xfId="0" applyFont="1" applyFill="1" applyBorder="1" applyAlignment="1" applyProtection="1">
      <alignment vertical="center" shrinkToFit="1"/>
      <protection locked="0"/>
    </xf>
    <xf numFmtId="0" fontId="10" fillId="32" borderId="87" xfId="0" applyFont="1" applyFill="1" applyBorder="1" applyAlignment="1" applyProtection="1">
      <alignment vertical="center" shrinkToFit="1"/>
      <protection locked="0"/>
    </xf>
    <xf numFmtId="0" fontId="10" fillId="32" borderId="73" xfId="0" applyFont="1" applyFill="1" applyBorder="1" applyAlignment="1" applyProtection="1">
      <alignment vertical="center" shrinkToFit="1"/>
      <protection locked="0"/>
    </xf>
    <xf numFmtId="0" fontId="10" fillId="32" borderId="54" xfId="0" applyFont="1" applyFill="1" applyBorder="1" applyAlignment="1" applyProtection="1">
      <alignment vertical="center" shrinkToFit="1"/>
      <protection locked="0"/>
    </xf>
    <xf numFmtId="0" fontId="10" fillId="0" borderId="23"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32" borderId="19" xfId="0" applyFont="1" applyFill="1" applyBorder="1" applyAlignment="1" applyProtection="1">
      <alignment vertical="center" shrinkToFit="1"/>
      <protection locked="0"/>
    </xf>
    <xf numFmtId="0" fontId="10" fillId="32" borderId="78" xfId="0" applyFont="1" applyFill="1" applyBorder="1" applyAlignment="1" applyProtection="1">
      <alignment vertical="center" shrinkToFit="1"/>
      <protection locked="0"/>
    </xf>
    <xf numFmtId="0" fontId="10" fillId="35" borderId="25" xfId="0" applyFont="1" applyFill="1" applyBorder="1" applyAlignment="1">
      <alignment horizontal="center" vertical="center" textRotation="255"/>
    </xf>
    <xf numFmtId="0" fontId="10" fillId="35" borderId="59" xfId="0" applyFont="1" applyFill="1" applyBorder="1" applyAlignment="1">
      <alignment horizontal="center" vertical="center" textRotation="255"/>
    </xf>
    <xf numFmtId="0" fontId="10" fillId="32" borderId="18" xfId="0" applyFont="1" applyFill="1" applyBorder="1" applyAlignment="1" applyProtection="1">
      <alignment vertical="center" shrinkToFit="1"/>
      <protection locked="0"/>
    </xf>
    <xf numFmtId="0" fontId="85" fillId="0" borderId="25" xfId="0" applyFont="1" applyBorder="1" applyAlignment="1">
      <alignment horizontal="center" vertical="center" wrapText="1"/>
    </xf>
    <xf numFmtId="0" fontId="85" fillId="0" borderId="59" xfId="0" applyFont="1" applyBorder="1" applyAlignment="1">
      <alignment horizontal="center" vertical="center" wrapText="1"/>
    </xf>
    <xf numFmtId="0" fontId="15" fillId="0" borderId="68"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48" xfId="0" applyFont="1" applyFill="1" applyBorder="1" applyAlignment="1">
      <alignment horizontal="center" vertical="center"/>
    </xf>
    <xf numFmtId="0" fontId="0" fillId="0" borderId="51" xfId="0" applyBorder="1" applyAlignment="1">
      <alignment vertical="center"/>
    </xf>
    <xf numFmtId="0" fontId="0" fillId="0" borderId="48" xfId="0"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V50"/>
  <sheetViews>
    <sheetView tabSelected="1" view="pageBreakPreview" zoomScaleSheetLayoutView="100" zoomScalePageLayoutView="0" workbookViewId="0" topLeftCell="A7">
      <selection activeCell="T27" sqref="T27"/>
    </sheetView>
  </sheetViews>
  <sheetFormatPr defaultColWidth="8.00390625" defaultRowHeight="13.5"/>
  <cols>
    <col min="1" max="6" width="8.00390625" style="257" customWidth="1"/>
    <col min="7" max="7" width="12.875" style="257" customWidth="1"/>
    <col min="8" max="8" width="3.875" style="257" customWidth="1"/>
    <col min="9" max="9" width="4.125" style="257" customWidth="1"/>
    <col min="10" max="12" width="3.25390625" style="257" customWidth="1"/>
    <col min="13" max="15" width="3.375" style="257" customWidth="1"/>
    <col min="16" max="16" width="3.75390625" style="257" customWidth="1"/>
    <col min="17" max="16384" width="8.00390625" style="257" customWidth="1"/>
  </cols>
  <sheetData>
    <row r="1" ht="14.25">
      <c r="A1" s="270" t="s">
        <v>213</v>
      </c>
    </row>
    <row r="2" spans="8:15" ht="12">
      <c r="H2" s="269"/>
      <c r="I2" s="268"/>
      <c r="J2" s="787"/>
      <c r="K2" s="788"/>
      <c r="L2" s="788"/>
      <c r="M2" s="788"/>
      <c r="N2" s="788"/>
      <c r="O2" s="789"/>
    </row>
    <row r="3" spans="8:15" ht="12" customHeight="1">
      <c r="H3" s="796" t="s">
        <v>23</v>
      </c>
      <c r="I3" s="797"/>
      <c r="J3" s="790"/>
      <c r="K3" s="791"/>
      <c r="L3" s="791"/>
      <c r="M3" s="791"/>
      <c r="N3" s="791"/>
      <c r="O3" s="792"/>
    </row>
    <row r="4" spans="8:15" ht="12">
      <c r="H4" s="267"/>
      <c r="I4" s="266"/>
      <c r="J4" s="793"/>
      <c r="K4" s="794"/>
      <c r="L4" s="794"/>
      <c r="M4" s="794"/>
      <c r="N4" s="794"/>
      <c r="O4" s="795"/>
    </row>
    <row r="9" spans="9:18" ht="21">
      <c r="I9" s="265"/>
      <c r="J9" s="347"/>
      <c r="K9" s="265"/>
      <c r="L9" s="35"/>
      <c r="M9" s="265"/>
      <c r="N9" s="35"/>
      <c r="O9" s="348" t="s">
        <v>230</v>
      </c>
      <c r="Q9" s="466" t="s">
        <v>229</v>
      </c>
      <c r="R9" s="168"/>
    </row>
    <row r="12" ht="17.25">
      <c r="A12" s="259" t="s">
        <v>191</v>
      </c>
    </row>
    <row r="15" spans="20:21" ht="12">
      <c r="T15" s="757"/>
      <c r="U15" s="757"/>
    </row>
    <row r="16" spans="7:16" ht="16.5" customHeight="1">
      <c r="G16" s="263" t="s">
        <v>65</v>
      </c>
      <c r="I16" s="804"/>
      <c r="J16" s="804"/>
      <c r="K16" s="804"/>
      <c r="L16" s="804"/>
      <c r="M16" s="804"/>
      <c r="N16" s="804"/>
      <c r="O16" s="804"/>
      <c r="P16" s="804"/>
    </row>
    <row r="17" spans="7:16" ht="12">
      <c r="G17" s="264"/>
      <c r="I17" s="296"/>
      <c r="J17" s="296"/>
      <c r="K17" s="296"/>
      <c r="L17" s="296"/>
      <c r="M17" s="296"/>
      <c r="N17" s="296"/>
      <c r="O17" s="296"/>
      <c r="P17" s="296"/>
    </row>
    <row r="18" spans="7:16" ht="17.25">
      <c r="G18" s="263" t="s">
        <v>22</v>
      </c>
      <c r="I18" s="803"/>
      <c r="J18" s="803"/>
      <c r="K18" s="803"/>
      <c r="L18" s="803"/>
      <c r="M18" s="803"/>
      <c r="N18" s="803"/>
      <c r="O18" s="803"/>
      <c r="P18" s="297"/>
    </row>
    <row r="19" spans="9:16" ht="12">
      <c r="I19" s="264"/>
      <c r="J19" s="264"/>
      <c r="K19" s="264"/>
      <c r="L19" s="264"/>
      <c r="M19" s="264"/>
      <c r="N19" s="264"/>
      <c r="O19" s="264"/>
      <c r="P19" s="264"/>
    </row>
    <row r="20" spans="7:16" ht="17.25" customHeight="1">
      <c r="G20" s="263" t="s">
        <v>66</v>
      </c>
      <c r="I20" s="805" t="s">
        <v>190</v>
      </c>
      <c r="J20" s="805"/>
      <c r="K20" s="805"/>
      <c r="L20" s="805"/>
      <c r="M20" s="805"/>
      <c r="N20" s="805"/>
      <c r="O20" s="805"/>
      <c r="P20" s="264"/>
    </row>
    <row r="21" spans="7:14" ht="18.75">
      <c r="G21" s="262"/>
      <c r="I21" s="36"/>
      <c r="J21" s="36"/>
      <c r="K21" s="36"/>
      <c r="L21" s="36"/>
      <c r="M21" s="36"/>
      <c r="N21" s="261"/>
    </row>
    <row r="22" spans="7:14" ht="18.75">
      <c r="G22" s="262"/>
      <c r="I22" s="36"/>
      <c r="J22" s="36"/>
      <c r="K22" s="36"/>
      <c r="L22" s="36"/>
      <c r="M22" s="36"/>
      <c r="N22" s="261"/>
    </row>
    <row r="23" ht="17.25">
      <c r="A23" s="259" t="s">
        <v>396</v>
      </c>
    </row>
    <row r="24" ht="21" customHeight="1"/>
    <row r="25" ht="17.25">
      <c r="A25" s="259" t="s">
        <v>209</v>
      </c>
    </row>
    <row r="26" ht="17.25" customHeight="1"/>
    <row r="27" spans="1:16" ht="18.75" customHeight="1">
      <c r="A27" s="776" t="s">
        <v>210</v>
      </c>
      <c r="B27" s="776"/>
      <c r="C27" s="776"/>
      <c r="D27" s="776"/>
      <c r="E27" s="776"/>
      <c r="F27" s="776"/>
      <c r="G27" s="776"/>
      <c r="H27" s="776"/>
      <c r="I27" s="776"/>
      <c r="J27" s="776"/>
      <c r="K27" s="776"/>
      <c r="L27" s="776"/>
      <c r="M27" s="776"/>
      <c r="N27" s="776"/>
      <c r="O27" s="776"/>
      <c r="P27" s="776"/>
    </row>
    <row r="28" spans="2:16" s="460" customFormat="1" ht="18.75" customHeight="1">
      <c r="B28" s="777" t="s">
        <v>211</v>
      </c>
      <c r="C28" s="778"/>
      <c r="D28" s="778"/>
      <c r="E28" s="778"/>
      <c r="F28" s="778"/>
      <c r="G28" s="778"/>
      <c r="H28" s="778"/>
      <c r="I28" s="778"/>
      <c r="J28" s="778"/>
      <c r="K28" s="778"/>
      <c r="L28" s="778"/>
      <c r="M28" s="778"/>
      <c r="N28" s="778"/>
      <c r="O28" s="778"/>
      <c r="P28" s="779"/>
    </row>
    <row r="29" spans="2:14" s="460" customFormat="1" ht="18.75" customHeight="1">
      <c r="B29" s="461"/>
      <c r="C29" s="461"/>
      <c r="D29" s="461"/>
      <c r="E29" s="461"/>
      <c r="F29" s="461"/>
      <c r="G29" s="461"/>
      <c r="H29" s="461"/>
      <c r="I29" s="461"/>
      <c r="J29" s="461"/>
      <c r="K29" s="461"/>
      <c r="L29" s="461"/>
      <c r="M29" s="461"/>
      <c r="N29" s="461"/>
    </row>
    <row r="30" spans="2:16" s="460" customFormat="1" ht="18.75" customHeight="1">
      <c r="B30" s="777" t="s">
        <v>212</v>
      </c>
      <c r="C30" s="777"/>
      <c r="D30" s="777"/>
      <c r="E30" s="777"/>
      <c r="F30" s="777"/>
      <c r="G30" s="777"/>
      <c r="H30" s="777"/>
      <c r="I30" s="777"/>
      <c r="J30" s="462"/>
      <c r="K30" s="462"/>
      <c r="L30" s="462"/>
      <c r="M30" s="462"/>
      <c r="N30" s="462"/>
      <c r="O30" s="462"/>
      <c r="P30" s="463"/>
    </row>
    <row r="31" spans="1:15" ht="17.25">
      <c r="A31" s="314"/>
      <c r="B31" s="315"/>
      <c r="C31" s="315"/>
      <c r="D31" s="315"/>
      <c r="E31" s="315"/>
      <c r="F31" s="315"/>
      <c r="G31" s="315"/>
      <c r="H31" s="315"/>
      <c r="I31" s="315"/>
      <c r="J31" s="315"/>
      <c r="K31" s="315"/>
      <c r="L31" s="315"/>
      <c r="M31" s="315"/>
      <c r="N31" s="315"/>
      <c r="O31" s="315"/>
    </row>
    <row r="32" spans="1:16" ht="17.25">
      <c r="A32" s="798"/>
      <c r="B32" s="798"/>
      <c r="C32" s="798"/>
      <c r="D32" s="798"/>
      <c r="E32" s="798"/>
      <c r="F32" s="798"/>
      <c r="G32" s="798"/>
      <c r="H32" s="798"/>
      <c r="I32" s="798"/>
      <c r="J32" s="798"/>
      <c r="K32" s="798"/>
      <c r="L32" s="798"/>
      <c r="M32" s="798"/>
      <c r="N32" s="798"/>
      <c r="O32" s="798"/>
      <c r="P32" s="798"/>
    </row>
    <row r="33" spans="1:16" ht="17.25">
      <c r="A33" s="159"/>
      <c r="B33" s="159"/>
      <c r="C33" s="159"/>
      <c r="D33" s="159"/>
      <c r="E33" s="159"/>
      <c r="F33" s="159"/>
      <c r="G33" s="159"/>
      <c r="H33" s="159"/>
      <c r="I33" s="159"/>
      <c r="J33" s="159"/>
      <c r="K33" s="159"/>
      <c r="L33" s="159"/>
      <c r="M33" s="159"/>
      <c r="N33" s="159"/>
      <c r="O33" s="159"/>
      <c r="P33" s="260"/>
    </row>
    <row r="34" spans="1:16" ht="17.25">
      <c r="A34" s="159"/>
      <c r="B34" s="159"/>
      <c r="C34" s="159"/>
      <c r="D34" s="159"/>
      <c r="E34" s="159"/>
      <c r="F34" s="159"/>
      <c r="G34" s="159"/>
      <c r="H34" s="159"/>
      <c r="I34" s="159"/>
      <c r="J34" s="159"/>
      <c r="K34" s="159"/>
      <c r="L34" s="159"/>
      <c r="M34" s="159"/>
      <c r="N34" s="159"/>
      <c r="O34" s="159"/>
      <c r="P34" s="260"/>
    </row>
    <row r="35" spans="1:15" ht="12">
      <c r="A35" s="158"/>
      <c r="B35" s="158"/>
      <c r="C35" s="158"/>
      <c r="D35" s="158"/>
      <c r="E35" s="158"/>
      <c r="F35" s="158"/>
      <c r="G35" s="158"/>
      <c r="H35" s="158"/>
      <c r="I35" s="158"/>
      <c r="J35" s="158"/>
      <c r="K35" s="158"/>
      <c r="L35" s="158"/>
      <c r="M35" s="158"/>
      <c r="N35" s="158"/>
      <c r="O35" s="158"/>
    </row>
    <row r="36" spans="1:22" ht="21" customHeight="1">
      <c r="A36" s="316"/>
      <c r="B36" s="786" t="s">
        <v>220</v>
      </c>
      <c r="C36" s="786"/>
      <c r="D36" s="786"/>
      <c r="E36" s="786"/>
      <c r="F36" s="799">
        <f>'2-1_集計表①(旧々・旧制度)'!N28+'2-1_集計表②(旧々・新制度)'!N28+'2-1_集計表③(旧・旧制度)'!N28+'2-1_集計表④(旧・新制度)'!N32+'2-1_集計表⑤(新・新制度)'!N28</f>
        <v>0</v>
      </c>
      <c r="G36" s="800"/>
      <c r="H36" s="465" t="s">
        <v>17</v>
      </c>
      <c r="J36" s="316"/>
      <c r="K36" s="320"/>
      <c r="Q36" s="167" t="s">
        <v>133</v>
      </c>
      <c r="R36" s="775" t="str">
        <f>IF(F38=+'2-2_算定表④(旧・新制度)'!AE45+'2-2_算定表②(旧々・新制度)'!AG45+'2-2_算定表⑤(新・新制度)'!AE45+'2-2_算定表③(旧・旧制度)'!AG45+'2-2_算定表①(旧々・旧制度)'!AG45,"確認OK です。 2-3 授業料支援補助対象経費算定表①～⑤の「補助金申請額の合計(S)」欄と合計値が一致していますので、このまま申請書を印刷してください。","申請額が不一致です。2-3 授業料支援補助対象経費算定表①～⑤の「補助金申請額の合計(S)」欄と合計値が一致していませんので、もう一度確認してください。")</f>
        <v>確認OK です。 2-3 授業料支援補助対象経費算定表①～⑤の「補助金申請額の合計(S)」欄と合計値が一致していますので、このまま申請書を印刷してください。</v>
      </c>
      <c r="S36" s="775"/>
      <c r="T36" s="775"/>
      <c r="U36" s="775"/>
      <c r="V36" s="775"/>
    </row>
    <row r="37" spans="1:22" ht="16.5" customHeight="1">
      <c r="A37" s="317"/>
      <c r="B37" s="259"/>
      <c r="C37" s="316"/>
      <c r="D37" s="316"/>
      <c r="E37" s="464"/>
      <c r="F37" s="349"/>
      <c r="G37" s="350"/>
      <c r="H37" s="317"/>
      <c r="J37" s="317"/>
      <c r="K37" s="318"/>
      <c r="N37" s="158"/>
      <c r="O37" s="158"/>
      <c r="Q37" s="158"/>
      <c r="R37" s="775"/>
      <c r="S37" s="775"/>
      <c r="T37" s="775"/>
      <c r="U37" s="775"/>
      <c r="V37" s="775"/>
    </row>
    <row r="38" spans="1:22" ht="19.5" customHeight="1">
      <c r="A38" s="316"/>
      <c r="B38" s="786" t="s">
        <v>221</v>
      </c>
      <c r="C38" s="786"/>
      <c r="D38" s="786"/>
      <c r="E38" s="786"/>
      <c r="F38" s="799">
        <f>'2-1_集計表①(旧々・旧制度)'!P28+'2-1_集計表②(旧々・新制度)'!P28+'2-1_集計表③(旧・旧制度)'!P28+'2-1_集計表④(旧・新制度)'!P32+'2-1_集計表⑤(新・新制度)'!P28</f>
        <v>0</v>
      </c>
      <c r="G38" s="800"/>
      <c r="H38" s="465" t="s">
        <v>17</v>
      </c>
      <c r="J38" s="316"/>
      <c r="K38" s="320"/>
      <c r="Q38" s="158"/>
      <c r="R38" s="775"/>
      <c r="S38" s="775"/>
      <c r="T38" s="775"/>
      <c r="U38" s="775"/>
      <c r="V38" s="775"/>
    </row>
    <row r="39" spans="1:22" ht="17.25">
      <c r="A39" s="264"/>
      <c r="B39" s="316"/>
      <c r="C39" s="316"/>
      <c r="D39" s="316"/>
      <c r="E39" s="316"/>
      <c r="F39" s="351"/>
      <c r="G39" s="350"/>
      <c r="H39" s="264"/>
      <c r="J39" s="264"/>
      <c r="K39" s="319"/>
      <c r="Q39" s="158"/>
      <c r="R39" s="775"/>
      <c r="S39" s="775"/>
      <c r="T39" s="775"/>
      <c r="U39" s="775"/>
      <c r="V39" s="775"/>
    </row>
    <row r="40" spans="1:22" ht="21" customHeight="1">
      <c r="A40" s="316"/>
      <c r="B40" s="786" t="s">
        <v>222</v>
      </c>
      <c r="C40" s="786"/>
      <c r="D40" s="786"/>
      <c r="E40" s="786"/>
      <c r="F40" s="801">
        <f>'2-1_集計表①(旧々・旧制度)'!R28+'2-1_集計表②(旧々・新制度)'!R28+'2-1_集計表③(旧・旧制度)'!R28+'2-1_集計表④(旧・新制度)'!R32+'2-1_集計表⑤(新・新制度)'!R28</f>
        <v>0</v>
      </c>
      <c r="G40" s="802"/>
      <c r="H40" s="465" t="s">
        <v>17</v>
      </c>
      <c r="J40" s="316"/>
      <c r="K40" s="321"/>
      <c r="Q40" s="158"/>
      <c r="R40" s="775"/>
      <c r="S40" s="775"/>
      <c r="T40" s="775"/>
      <c r="U40" s="775"/>
      <c r="V40" s="775"/>
    </row>
    <row r="41" spans="1:22" ht="12">
      <c r="A41" s="264"/>
      <c r="B41" s="264"/>
      <c r="C41" s="264"/>
      <c r="D41" s="264"/>
      <c r="E41" s="264"/>
      <c r="F41" s="264"/>
      <c r="G41" s="264"/>
      <c r="H41" s="264"/>
      <c r="I41" s="264"/>
      <c r="J41" s="264"/>
      <c r="K41" s="264"/>
      <c r="L41" s="264"/>
      <c r="M41" s="264"/>
      <c r="Q41" s="158"/>
      <c r="R41" s="775"/>
      <c r="S41" s="775"/>
      <c r="T41" s="775"/>
      <c r="U41" s="775"/>
      <c r="V41" s="775"/>
    </row>
    <row r="42" spans="1:15" ht="21" customHeight="1">
      <c r="A42" s="316"/>
      <c r="B42" s="317"/>
      <c r="C42" s="317"/>
      <c r="D42" s="317"/>
      <c r="E42" s="317"/>
      <c r="F42" s="467"/>
      <c r="G42" s="467"/>
      <c r="H42" s="467"/>
      <c r="I42" s="467"/>
      <c r="J42" s="467"/>
      <c r="K42" s="467"/>
      <c r="L42" s="467"/>
      <c r="M42" s="467"/>
      <c r="N42" s="467"/>
      <c r="O42" s="317"/>
    </row>
    <row r="43" spans="1:15" ht="17.25">
      <c r="A43" s="259"/>
      <c r="B43" s="158"/>
      <c r="C43" s="158"/>
      <c r="D43" s="158"/>
      <c r="E43" s="158"/>
      <c r="F43" s="467"/>
      <c r="G43" s="467"/>
      <c r="H43" s="467"/>
      <c r="I43" s="467"/>
      <c r="J43" s="467"/>
      <c r="K43" s="467"/>
      <c r="L43" s="467"/>
      <c r="M43" s="467"/>
      <c r="N43" s="467"/>
      <c r="O43" s="317"/>
    </row>
    <row r="44" spans="1:15" ht="17.25">
      <c r="A44" s="259"/>
      <c r="B44" s="158"/>
      <c r="C44" s="158"/>
      <c r="D44" s="158"/>
      <c r="E44" s="158"/>
      <c r="F44" s="467"/>
      <c r="G44" s="467"/>
      <c r="H44" s="467"/>
      <c r="I44" s="467"/>
      <c r="J44" s="467"/>
      <c r="K44" s="467"/>
      <c r="L44" s="467"/>
      <c r="M44" s="467"/>
      <c r="N44" s="467"/>
      <c r="O44" s="322"/>
    </row>
    <row r="45" spans="1:15" ht="17.25">
      <c r="A45" s="259"/>
      <c r="B45" s="158"/>
      <c r="C45" s="158"/>
      <c r="D45" s="158"/>
      <c r="E45" s="158"/>
      <c r="F45" s="322"/>
      <c r="G45" s="322"/>
      <c r="H45" s="322"/>
      <c r="I45" s="322"/>
      <c r="J45" s="322"/>
      <c r="K45" s="322"/>
      <c r="L45" s="322"/>
      <c r="M45" s="322"/>
      <c r="N45" s="322"/>
      <c r="O45" s="322"/>
    </row>
    <row r="46" spans="1:15" ht="17.25">
      <c r="A46" s="259"/>
      <c r="B46" s="158"/>
      <c r="C46" s="158"/>
      <c r="D46" s="158"/>
      <c r="E46" s="158"/>
      <c r="F46" s="158"/>
      <c r="G46" s="158"/>
      <c r="H46" s="158"/>
      <c r="I46" s="158"/>
      <c r="J46" s="158"/>
      <c r="K46" s="158"/>
      <c r="L46" s="158"/>
      <c r="M46" s="158"/>
      <c r="N46" s="158"/>
      <c r="O46" s="158"/>
    </row>
    <row r="47" spans="1:15" ht="24.75" customHeight="1">
      <c r="A47" s="158"/>
      <c r="B47" s="158"/>
      <c r="C47" s="158"/>
      <c r="D47" s="158"/>
      <c r="E47" s="158"/>
      <c r="F47" s="158"/>
      <c r="G47" s="258" t="s">
        <v>160</v>
      </c>
      <c r="H47" s="780"/>
      <c r="I47" s="781"/>
      <c r="J47" s="781"/>
      <c r="K47" s="781"/>
      <c r="L47" s="781"/>
      <c r="M47" s="781"/>
      <c r="N47" s="781"/>
      <c r="O47" s="782"/>
    </row>
    <row r="48" spans="1:15" ht="24.75" customHeight="1">
      <c r="A48" s="158"/>
      <c r="B48" s="158"/>
      <c r="C48" s="158"/>
      <c r="D48" s="158"/>
      <c r="E48" s="158"/>
      <c r="F48" s="158"/>
      <c r="G48" s="258" t="s">
        <v>161</v>
      </c>
      <c r="H48" s="783"/>
      <c r="I48" s="784"/>
      <c r="J48" s="784"/>
      <c r="K48" s="784"/>
      <c r="L48" s="784"/>
      <c r="M48" s="784"/>
      <c r="N48" s="784"/>
      <c r="O48" s="785"/>
    </row>
    <row r="49" spans="1:15" ht="24.75" customHeight="1">
      <c r="A49" s="158"/>
      <c r="B49" s="158"/>
      <c r="C49" s="158"/>
      <c r="D49" s="158"/>
      <c r="E49" s="158"/>
      <c r="F49" s="158"/>
      <c r="G49" s="258" t="s">
        <v>162</v>
      </c>
      <c r="H49" s="783"/>
      <c r="I49" s="784"/>
      <c r="J49" s="784"/>
      <c r="K49" s="784"/>
      <c r="L49" s="784"/>
      <c r="M49" s="784"/>
      <c r="N49" s="784"/>
      <c r="O49" s="785"/>
    </row>
    <row r="50" spans="1:15" ht="12">
      <c r="A50" s="158"/>
      <c r="B50" s="158"/>
      <c r="C50" s="158"/>
      <c r="D50" s="158"/>
      <c r="E50" s="158"/>
      <c r="F50" s="158"/>
      <c r="G50" s="158"/>
      <c r="H50" s="158"/>
      <c r="I50" s="158"/>
      <c r="J50" s="158"/>
      <c r="K50" s="158"/>
      <c r="L50" s="158"/>
      <c r="M50" s="158"/>
      <c r="N50" s="158"/>
      <c r="O50" s="158"/>
    </row>
  </sheetData>
  <sheetProtection/>
  <mergeCells count="19">
    <mergeCell ref="J2:O4"/>
    <mergeCell ref="H3:I3"/>
    <mergeCell ref="A32:P32"/>
    <mergeCell ref="F36:G36"/>
    <mergeCell ref="F38:G38"/>
    <mergeCell ref="F40:G40"/>
    <mergeCell ref="I18:O18"/>
    <mergeCell ref="I16:P16"/>
    <mergeCell ref="I20:O20"/>
    <mergeCell ref="R36:V41"/>
    <mergeCell ref="A27:P27"/>
    <mergeCell ref="B28:P28"/>
    <mergeCell ref="H47:O47"/>
    <mergeCell ref="H48:O48"/>
    <mergeCell ref="H49:O49"/>
    <mergeCell ref="B30:I30"/>
    <mergeCell ref="B36:E36"/>
    <mergeCell ref="B38:E38"/>
    <mergeCell ref="B40:E40"/>
  </mergeCells>
  <printOptions/>
  <pageMargins left="0.9055118110236221" right="0.9055118110236221" top="1.141732283464567" bottom="0.7480314960629921" header="0.31496062992125984" footer="0.31496062992125984"/>
  <pageSetup cellComments="asDisplayed" fitToHeight="0" fitToWidth="0"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AP59"/>
  <sheetViews>
    <sheetView tabSelected="1" view="pageBreakPreview" zoomScale="75" zoomScaleNormal="75" zoomScaleSheetLayoutView="75" zoomScalePageLayoutView="0" workbookViewId="0" topLeftCell="A1">
      <selection activeCell="T27" sqref="T27"/>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0.375" style="40" hidden="1" customWidth="1"/>
    <col min="7" max="7" width="12.25390625" style="40" customWidth="1"/>
    <col min="8" max="8" width="12.375" style="40" customWidth="1"/>
    <col min="9" max="9" width="12.25390625" style="40" bestFit="1" customWidth="1"/>
    <col min="10" max="10" width="5.50390625" style="40" bestFit="1" customWidth="1"/>
    <col min="11" max="12" width="11.50390625" style="40" hidden="1" customWidth="1"/>
    <col min="13" max="13" width="14.125" style="40" bestFit="1" customWidth="1"/>
    <col min="14" max="14" width="13.125" style="40" bestFit="1" customWidth="1"/>
    <col min="15" max="15" width="6.125" style="40" customWidth="1"/>
    <col min="16" max="16" width="9.50390625" style="40" hidden="1" customWidth="1"/>
    <col min="17" max="17" width="10.00390625" style="40" customWidth="1"/>
    <col min="18" max="18" width="5.25390625" style="40" customWidth="1"/>
    <col min="19" max="19" width="10.00390625" style="40" hidden="1" customWidth="1"/>
    <col min="20" max="20" width="10.0039062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27" width="11.625" style="40" customWidth="1"/>
    <col min="28" max="30" width="11.625" style="40" hidden="1"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thickBot="1">
      <c r="A1" s="185" t="s">
        <v>398</v>
      </c>
      <c r="B1" s="39"/>
      <c r="AA1" s="160" t="s">
        <v>22</v>
      </c>
      <c r="AB1" s="1027">
        <f>'1_総括表'!E3</f>
        <v>0</v>
      </c>
      <c r="AC1" s="1028"/>
      <c r="AD1" s="1028"/>
      <c r="AE1" s="1028"/>
      <c r="AF1" s="1028"/>
      <c r="AG1" s="1028"/>
      <c r="AH1" s="1029"/>
      <c r="AI1" s="160" t="s">
        <v>23</v>
      </c>
      <c r="AJ1" s="162">
        <f>'1_総括表'!Z3</f>
        <v>0</v>
      </c>
    </row>
    <row r="2" spans="1:36" ht="24.75" customHeight="1" thickBot="1">
      <c r="A2" s="42"/>
      <c r="AA2" s="161" t="s">
        <v>20</v>
      </c>
      <c r="AB2" s="1122">
        <f>'1_総括表'!E4</f>
        <v>0</v>
      </c>
      <c r="AC2" s="1123"/>
      <c r="AD2" s="1123"/>
      <c r="AE2" s="1123"/>
      <c r="AF2" s="1123"/>
      <c r="AG2" s="1123"/>
      <c r="AH2" s="1124"/>
      <c r="AI2" s="161" t="s">
        <v>21</v>
      </c>
      <c r="AJ2" s="157">
        <f>'1_総括表'!Z4</f>
        <v>0</v>
      </c>
    </row>
    <row r="3" spans="1:36" ht="31.5" customHeight="1" thickBot="1">
      <c r="A3" s="275" t="s">
        <v>199</v>
      </c>
      <c r="B3" s="274"/>
      <c r="AI3" s="43"/>
      <c r="AJ3" s="43" t="s">
        <v>25</v>
      </c>
    </row>
    <row r="4" spans="1:39" s="44" customFormat="1" ht="22.5" customHeight="1" thickBot="1">
      <c r="A4" s="883" t="s">
        <v>29</v>
      </c>
      <c r="B4" s="878" t="s">
        <v>145</v>
      </c>
      <c r="C4" s="894" t="s">
        <v>98</v>
      </c>
      <c r="D4" s="897" t="s">
        <v>96</v>
      </c>
      <c r="E4" s="899" t="s">
        <v>84</v>
      </c>
      <c r="F4" s="900"/>
      <c r="G4" s="901"/>
      <c r="H4" s="902" t="s">
        <v>90</v>
      </c>
      <c r="I4" s="903"/>
      <c r="J4" s="903"/>
      <c r="K4" s="903"/>
      <c r="L4" s="903"/>
      <c r="M4" s="903"/>
      <c r="N4" s="901"/>
      <c r="O4" s="848" t="s">
        <v>93</v>
      </c>
      <c r="P4" s="849"/>
      <c r="Q4" s="849"/>
      <c r="R4" s="904"/>
      <c r="S4" s="904"/>
      <c r="T4" s="904"/>
      <c r="U4" s="904"/>
      <c r="V4" s="904"/>
      <c r="W4" s="905"/>
      <c r="X4" s="878" t="s">
        <v>1</v>
      </c>
      <c r="Y4" s="878" t="s">
        <v>94</v>
      </c>
      <c r="Z4" s="878" t="s">
        <v>95</v>
      </c>
      <c r="AA4" s="878" t="s">
        <v>62</v>
      </c>
      <c r="AB4" s="1031" t="s">
        <v>315</v>
      </c>
      <c r="AC4" s="1031" t="s">
        <v>315</v>
      </c>
      <c r="AD4" s="1031" t="s">
        <v>315</v>
      </c>
      <c r="AE4" s="878" t="s">
        <v>28</v>
      </c>
      <c r="AF4" s="878" t="s">
        <v>83</v>
      </c>
      <c r="AG4" s="906" t="s">
        <v>164</v>
      </c>
      <c r="AH4" s="908" t="s">
        <v>4</v>
      </c>
      <c r="AI4" s="909"/>
      <c r="AJ4" s="910"/>
      <c r="AL4" s="917" t="s">
        <v>27</v>
      </c>
      <c r="AM4" s="917" t="s">
        <v>316</v>
      </c>
    </row>
    <row r="5" spans="1:39" s="44" customFormat="1" ht="40.5" customHeight="1" thickBot="1">
      <c r="A5" s="890"/>
      <c r="B5" s="892"/>
      <c r="C5" s="895"/>
      <c r="D5" s="898"/>
      <c r="E5" s="45"/>
      <c r="F5" s="597" t="s">
        <v>317</v>
      </c>
      <c r="G5" s="1112" t="s">
        <v>68</v>
      </c>
      <c r="H5" s="1114" t="s">
        <v>318</v>
      </c>
      <c r="I5" s="927" t="s">
        <v>69</v>
      </c>
      <c r="J5" s="1116" t="s">
        <v>137</v>
      </c>
      <c r="K5" s="483" t="s">
        <v>315</v>
      </c>
      <c r="L5" s="483" t="s">
        <v>232</v>
      </c>
      <c r="M5" s="925" t="s">
        <v>136</v>
      </c>
      <c r="N5" s="1112" t="s">
        <v>0</v>
      </c>
      <c r="O5" s="848" t="s">
        <v>163</v>
      </c>
      <c r="P5" s="849"/>
      <c r="Q5" s="849"/>
      <c r="R5" s="848" t="s">
        <v>157</v>
      </c>
      <c r="S5" s="849"/>
      <c r="T5" s="1104"/>
      <c r="U5" s="1105" t="s">
        <v>319</v>
      </c>
      <c r="V5" s="936" t="s">
        <v>92</v>
      </c>
      <c r="W5" s="1107" t="s">
        <v>91</v>
      </c>
      <c r="X5" s="892"/>
      <c r="Y5" s="892"/>
      <c r="Z5" s="892"/>
      <c r="AA5" s="892"/>
      <c r="AB5" s="1032"/>
      <c r="AC5" s="1032"/>
      <c r="AD5" s="1032"/>
      <c r="AE5" s="892"/>
      <c r="AF5" s="892"/>
      <c r="AG5" s="907"/>
      <c r="AH5" s="1119"/>
      <c r="AI5" s="1120"/>
      <c r="AJ5" s="913"/>
      <c r="AL5" s="1121"/>
      <c r="AM5" s="1121"/>
    </row>
    <row r="6" spans="1:39" s="44" customFormat="1" ht="50.25" customHeight="1">
      <c r="A6" s="890"/>
      <c r="B6" s="892"/>
      <c r="C6" s="895"/>
      <c r="D6" s="1125"/>
      <c r="E6" s="251" t="s">
        <v>125</v>
      </c>
      <c r="F6" s="46" t="s">
        <v>320</v>
      </c>
      <c r="G6" s="1113"/>
      <c r="H6" s="1115"/>
      <c r="I6" s="928"/>
      <c r="J6" s="1117"/>
      <c r="K6" s="486" t="s">
        <v>236</v>
      </c>
      <c r="L6" s="486" t="s">
        <v>321</v>
      </c>
      <c r="M6" s="926"/>
      <c r="N6" s="1113"/>
      <c r="O6" s="940" t="s">
        <v>15</v>
      </c>
      <c r="P6" s="1110" t="s">
        <v>144</v>
      </c>
      <c r="Q6" s="186" t="s">
        <v>147</v>
      </c>
      <c r="R6" s="940" t="s">
        <v>15</v>
      </c>
      <c r="S6" s="1110" t="s">
        <v>150</v>
      </c>
      <c r="T6" s="240" t="s">
        <v>147</v>
      </c>
      <c r="U6" s="1106"/>
      <c r="V6" s="937"/>
      <c r="W6" s="1108"/>
      <c r="X6" s="967"/>
      <c r="Y6" s="890"/>
      <c r="Z6" s="892"/>
      <c r="AA6" s="890"/>
      <c r="AB6" s="469" t="s">
        <v>322</v>
      </c>
      <c r="AC6" s="469" t="s">
        <v>239</v>
      </c>
      <c r="AD6" s="469" t="s">
        <v>240</v>
      </c>
      <c r="AE6" s="890"/>
      <c r="AF6" s="890"/>
      <c r="AG6" s="1118"/>
      <c r="AH6" s="911"/>
      <c r="AI6" s="912"/>
      <c r="AJ6" s="913"/>
      <c r="AL6" s="918"/>
      <c r="AM6" s="918"/>
    </row>
    <row r="7" spans="1:39" s="44" customFormat="1" ht="17.25" customHeight="1" thickBot="1">
      <c r="A7" s="890"/>
      <c r="B7" s="892"/>
      <c r="C7" s="895"/>
      <c r="D7" s="479" t="s">
        <v>323</v>
      </c>
      <c r="E7" s="598" t="s">
        <v>324</v>
      </c>
      <c r="F7" s="486"/>
      <c r="G7" s="478" t="s">
        <v>325</v>
      </c>
      <c r="H7" s="476" t="s">
        <v>326</v>
      </c>
      <c r="I7" s="486" t="s">
        <v>327</v>
      </c>
      <c r="J7" s="470" t="s">
        <v>328</v>
      </c>
      <c r="K7" s="486"/>
      <c r="L7" s="486"/>
      <c r="M7" s="101" t="s">
        <v>329</v>
      </c>
      <c r="N7" s="102" t="s">
        <v>330</v>
      </c>
      <c r="O7" s="1109"/>
      <c r="P7" s="1111"/>
      <c r="Q7" s="599" t="s">
        <v>331</v>
      </c>
      <c r="R7" s="1109"/>
      <c r="S7" s="1111"/>
      <c r="T7" s="600" t="s">
        <v>73</v>
      </c>
      <c r="U7" s="601" t="s">
        <v>332</v>
      </c>
      <c r="V7" s="540" t="s">
        <v>333</v>
      </c>
      <c r="W7" s="477" t="s">
        <v>334</v>
      </c>
      <c r="X7" s="472" t="s">
        <v>82</v>
      </c>
      <c r="Y7" s="472" t="s">
        <v>335</v>
      </c>
      <c r="Z7" s="472" t="s">
        <v>336</v>
      </c>
      <c r="AA7" s="472" t="s">
        <v>337</v>
      </c>
      <c r="AB7" s="472"/>
      <c r="AC7" s="472"/>
      <c r="AD7" s="472"/>
      <c r="AE7" s="472" t="s">
        <v>338</v>
      </c>
      <c r="AF7" s="472" t="s">
        <v>339</v>
      </c>
      <c r="AG7" s="475" t="s">
        <v>340</v>
      </c>
      <c r="AH7" s="911"/>
      <c r="AI7" s="912"/>
      <c r="AJ7" s="913"/>
      <c r="AL7" s="920"/>
      <c r="AM7" s="920"/>
    </row>
    <row r="8" spans="1:42" s="53" customFormat="1" ht="18.75" customHeight="1" thickBot="1">
      <c r="A8" s="602">
        <f>IF(B8="","",ROW($A8)-ROW($A$7))</f>
      </c>
      <c r="B8" s="603"/>
      <c r="C8" s="604"/>
      <c r="D8" s="440"/>
      <c r="E8" s="605"/>
      <c r="F8" s="227"/>
      <c r="G8" s="492">
        <f>IF(A8="","",IF(F8&gt;30,30,F8))</f>
      </c>
      <c r="H8" s="606">
        <f>IF(A8="","",(D8*G8))</f>
      </c>
      <c r="I8" s="607"/>
      <c r="J8" s="608"/>
      <c r="K8" s="609"/>
      <c r="L8" s="610"/>
      <c r="M8" s="397">
        <f>IF(A8="","",ROUNDDOWN((I8*J8/12+H8),0))</f>
      </c>
      <c r="N8" s="611">
        <f>IF(A8="","",ROUNDDOWN(10032*G8*(K8/J8),0))</f>
      </c>
      <c r="O8" s="612"/>
      <c r="P8" s="189"/>
      <c r="Q8" s="613">
        <f>IF($H8="","",IF($O8="Ａ",LOOKUP($D8,{8000,8500,9000,10000,12000},{0,1532,1032,408,408}),IF($O8="Ｂ",LOOKUP($D8,{8000,8500,9000,10000,12000},{782,2814,2814,2814,2814}),IF($O8="Ｃ",LOOKUP($D8,{8000,8500,9000,10000,12000},{3188,5220,5220,5220,5220}),0))))</f>
      </c>
      <c r="R8" s="614"/>
      <c r="S8" s="227"/>
      <c r="T8" s="613">
        <f>IF($H8="","",IF($R8="Ａ",LOOKUP($D8,{8000,8500,9000,10000,12000},{0,1532,1032,408,408}),IF($R8="Ｂ",LOOKUP($D8,{8000,8500,9000,10000,12000},{782,2814,2814,2814,2814}),IF($R8="Ｃ",LOOKUP($D8,{8000,8500,9000,10000,12000},{3188,5220,5220,5220,5220}),0))))</f>
      </c>
      <c r="U8" s="414">
        <f>IF(L8&gt;=7,T8,IF(AND(J8+L8&lt;=7,L8&gt;=4),Q8,IF(ISERROR(ROUNDUP(Q8*3/12+T8*9/12,0)),"",ROUNDUP(Q8*3/12+T8*9/12,0))))</f>
      </c>
      <c r="V8" s="401">
        <f>IF(B8="","",SUMIF('2-3_調整額内訳③(旧・旧制度)'!B:B,$B8,'2-3_調整額内訳③(旧・旧制度)'!AF:AF))</f>
      </c>
      <c r="W8" s="665">
        <f>IF(B8="","",SUM(U8:V8))</f>
      </c>
      <c r="X8" s="615">
        <f>IF(B8="","",ROUNDDOWN(W8*G8,0))</f>
      </c>
      <c r="Y8" s="616">
        <f>IF(M8&gt;=N8,N8,M8)</f>
      </c>
      <c r="Z8" s="617"/>
      <c r="AA8" s="401">
        <f aca="true" t="shared" si="0" ref="AA8:AA44">IF(A8="","",IF((M8-Y8)&lt;Z8,Y8-(M8-Z8),0))</f>
      </c>
      <c r="AB8" s="617"/>
      <c r="AC8" s="414" t="str">
        <f aca="true" t="shared" si="1" ref="AC8:AC44">_xlfn.IFERROR(D8*(E8-F8)*(K8/J8),"0")</f>
        <v>0</v>
      </c>
      <c r="AD8" s="401">
        <f>_xlfn.IFERROR(IF(AC8-AB8&gt;0,0,AC8-AB8),"0")</f>
        <v>0</v>
      </c>
      <c r="AE8" s="618"/>
      <c r="AF8" s="414">
        <f>IF(B8="","",MAX(0,Y8-AA8-AE8))</f>
      </c>
      <c r="AG8" s="619">
        <f>IF(B8="","",IF(MIN(X8,AF8)+AD8&gt;0,MIN(X8,AF8)+AD8,0))</f>
      </c>
      <c r="AH8" s="942"/>
      <c r="AI8" s="942"/>
      <c r="AJ8" s="943"/>
      <c r="AL8" s="54">
        <f aca="true" t="shared" si="2" ref="AL8:AL44">IF(A8&gt;0,ASC(C8&amp;R8),"")</f>
      </c>
      <c r="AM8" s="54">
        <f aca="true" t="shared" si="3" ref="AM8:AM44">IF(B8="","",IF(AG8&gt;0,1,0))</f>
      </c>
      <c r="AO8" s="55" t="s">
        <v>12</v>
      </c>
      <c r="AP8" s="44"/>
    </row>
    <row r="9" spans="1:42" s="53" customFormat="1" ht="18.75" customHeight="1" thickBot="1" thickTop="1">
      <c r="A9" s="177">
        <f aca="true" t="shared" si="4" ref="A9:A44">IF(B9="","",ROW($A9)-ROW($A$7))</f>
      </c>
      <c r="B9" s="620"/>
      <c r="C9" s="56"/>
      <c r="D9" s="442"/>
      <c r="E9" s="234"/>
      <c r="F9" s="198"/>
      <c r="G9" s="187">
        <f aca="true" t="shared" si="5" ref="G9:G44">IF(A9="","",IF(F9&gt;30,30,F9))</f>
      </c>
      <c r="H9" s="606">
        <f aca="true" t="shared" si="6" ref="H9:H44">IF(A9="","",(D9*G9))</f>
      </c>
      <c r="I9" s="621"/>
      <c r="J9" s="622"/>
      <c r="K9" s="623"/>
      <c r="L9" s="105"/>
      <c r="M9" s="395">
        <f aca="true" t="shared" si="7" ref="M9:M44">IF(A9="","",ROUNDDOWN((I9*J9/12+H9),0))</f>
      </c>
      <c r="N9" s="624">
        <f aca="true" t="shared" si="8" ref="N9:N44">IF(A9="","",ROUNDDOWN(10032*G9*(K9/J9),0))</f>
      </c>
      <c r="O9" s="625"/>
      <c r="P9" s="190"/>
      <c r="Q9" s="626">
        <f>IF($H9="","",IF($O9="Ａ",LOOKUP($D9,{8000,8500,9000,10000,12000},{0,1532,1032,408,408}),IF($O9="Ｂ",LOOKUP($D9,{8000,8500,9000,10000,12000},{782,2814,2814,2814,2814}),IF($O9="Ｃ",LOOKUP($D9,{8000,8500,9000,10000,12000},{3188,5220,5220,5220,5220}),0))))</f>
      </c>
      <c r="R9" s="627"/>
      <c r="S9" s="198"/>
      <c r="T9" s="626">
        <f>IF($H9="","",IF($R9="Ａ",LOOKUP($D9,{8000,8500,9000,10000,12000},{0,1532,1032,408,408}),IF($R9="Ｂ",LOOKUP($D9,{8000,8500,9000,10000,12000},{782,2814,2814,2814,2814}),IF($R9="Ｃ",LOOKUP($D9,{8000,8500,9000,10000,12000},{3188,5220,5220,5220,5220}),0))))</f>
      </c>
      <c r="U9" s="402">
        <f aca="true" t="shared" si="9" ref="U9:U44">IF(L9&gt;=7,T9,IF(AND(J9+L9&lt;=7,L9&gt;=4),Q9,IF(ISERROR(ROUNDUP(Q9*3/12+T9*9/12,0)),"",ROUNDUP(Q9*3/12+T9*9/12,0))))</f>
      </c>
      <c r="V9" s="404">
        <f>IF(B9="","",SUMIF('2-3_調整額内訳③(旧・旧制度)'!B:B,$B9,'2-3_調整額内訳③(旧・旧制度)'!AF:AF))</f>
      </c>
      <c r="W9" s="403">
        <f aca="true" t="shared" si="10" ref="W9:W44">IF(B9="","",SUM(U9:V9))</f>
      </c>
      <c r="X9" s="628">
        <f aca="true" t="shared" si="11" ref="X9:X44">IF(B9="","",ROUNDDOWN(W9*G9,0))</f>
      </c>
      <c r="Y9" s="629">
        <f aca="true" t="shared" si="12" ref="Y9:Y44">IF(M9&gt;=N9,N9,M9)</f>
      </c>
      <c r="Z9" s="630"/>
      <c r="AA9" s="404">
        <f t="shared" si="0"/>
      </c>
      <c r="AB9" s="630"/>
      <c r="AC9" s="402" t="str">
        <f t="shared" si="1"/>
        <v>0</v>
      </c>
      <c r="AD9" s="404">
        <f aca="true" t="shared" si="13" ref="AD9:AD44">_xlfn.IFERROR(IF(AC9-AB9&gt;0,0,AC9-AB9),"0")</f>
        <v>0</v>
      </c>
      <c r="AE9" s="631"/>
      <c r="AF9" s="402">
        <f aca="true" t="shared" si="14" ref="AF9:AF44">IF(B9="","",MAX(0,Y9-AA9-AE9))</f>
      </c>
      <c r="AG9" s="632">
        <f aca="true" t="shared" si="15" ref="AG9:AG44">IF(B9="","",IF(MIN(X9,AF9)+AD9&gt;0,MIN(X9,AF9)+AD9,0))</f>
      </c>
      <c r="AH9" s="944"/>
      <c r="AI9" s="944"/>
      <c r="AJ9" s="945"/>
      <c r="AL9" s="61">
        <f t="shared" si="2"/>
      </c>
      <c r="AM9" s="61">
        <f t="shared" si="3"/>
      </c>
      <c r="AO9" s="55" t="s">
        <v>11</v>
      </c>
      <c r="AP9" s="62" t="str">
        <f>IF(V45='2-3_調整額内訳③(旧・旧制度)'!AF39,"OK","ERR")</f>
        <v>OK</v>
      </c>
    </row>
    <row r="10" spans="1:42" s="53" customFormat="1" ht="18.75" customHeight="1" thickTop="1">
      <c r="A10" s="177">
        <f t="shared" si="4"/>
      </c>
      <c r="B10" s="620"/>
      <c r="C10" s="56"/>
      <c r="D10" s="442"/>
      <c r="E10" s="234"/>
      <c r="F10" s="198"/>
      <c r="G10" s="187">
        <f t="shared" si="5"/>
      </c>
      <c r="H10" s="606">
        <f t="shared" si="6"/>
      </c>
      <c r="I10" s="621"/>
      <c r="J10" s="622"/>
      <c r="K10" s="623"/>
      <c r="L10" s="105"/>
      <c r="M10" s="395">
        <f t="shared" si="7"/>
      </c>
      <c r="N10" s="624">
        <f t="shared" si="8"/>
      </c>
      <c r="O10" s="625"/>
      <c r="P10" s="190"/>
      <c r="Q10" s="626">
        <f>IF($H10="","",IF($O10="Ａ",LOOKUP($D10,{8000,8500,9000,10000,12000},{0,1532,1032,408,408}),IF($O10="Ｂ",LOOKUP($D10,{8000,8500,9000,10000,12000},{782,2814,2814,2814,2814}),IF($O10="Ｃ",LOOKUP($D10,{8000,8500,9000,10000,12000},{3188,5220,5220,5220,5220}),0))))</f>
      </c>
      <c r="R10" s="627"/>
      <c r="S10" s="198"/>
      <c r="T10" s="626">
        <f>IF($H10="","",IF($R10="Ａ",LOOKUP($D10,{8000,8500,9000,10000,12000},{0,1532,1032,408,408}),IF($R10="Ｂ",LOOKUP($D10,{8000,8500,9000,10000,12000},{782,2814,2814,2814,2814}),IF($R10="Ｃ",LOOKUP($D10,{8000,8500,9000,10000,12000},{3188,5220,5220,5220,5220}),0))))</f>
      </c>
      <c r="U10" s="402">
        <f t="shared" si="9"/>
      </c>
      <c r="V10" s="404">
        <f>IF(B10="","",SUMIF('2-3_調整額内訳③(旧・旧制度)'!B:B,$B10,'2-3_調整額内訳③(旧・旧制度)'!AF:AF))</f>
      </c>
      <c r="W10" s="403">
        <f t="shared" si="10"/>
      </c>
      <c r="X10" s="628">
        <f t="shared" si="11"/>
      </c>
      <c r="Y10" s="629">
        <f t="shared" si="12"/>
      </c>
      <c r="Z10" s="630"/>
      <c r="AA10" s="404">
        <f t="shared" si="0"/>
      </c>
      <c r="AB10" s="630"/>
      <c r="AC10" s="402" t="str">
        <f t="shared" si="1"/>
        <v>0</v>
      </c>
      <c r="AD10" s="404">
        <f t="shared" si="13"/>
        <v>0</v>
      </c>
      <c r="AE10" s="631"/>
      <c r="AF10" s="402">
        <f t="shared" si="14"/>
      </c>
      <c r="AG10" s="632">
        <f t="shared" si="15"/>
      </c>
      <c r="AH10" s="944"/>
      <c r="AI10" s="944"/>
      <c r="AJ10" s="945"/>
      <c r="AL10" s="61">
        <f t="shared" si="2"/>
      </c>
      <c r="AM10" s="61">
        <f t="shared" si="3"/>
      </c>
      <c r="AO10" s="55"/>
      <c r="AP10" s="63"/>
    </row>
    <row r="11" spans="1:39" s="53" customFormat="1" ht="18.75" customHeight="1">
      <c r="A11" s="177">
        <f t="shared" si="4"/>
      </c>
      <c r="B11" s="620"/>
      <c r="C11" s="56"/>
      <c r="D11" s="442"/>
      <c r="E11" s="234"/>
      <c r="F11" s="198"/>
      <c r="G11" s="187">
        <f t="shared" si="5"/>
      </c>
      <c r="H11" s="606">
        <f t="shared" si="6"/>
      </c>
      <c r="I11" s="621"/>
      <c r="J11" s="622"/>
      <c r="K11" s="623"/>
      <c r="L11" s="105"/>
      <c r="M11" s="395">
        <f t="shared" si="7"/>
      </c>
      <c r="N11" s="624">
        <f t="shared" si="8"/>
      </c>
      <c r="O11" s="625"/>
      <c r="P11" s="190"/>
      <c r="Q11" s="626">
        <f>IF($H11="","",IF($O11="Ａ",LOOKUP($D11,{8000,8500,9000,10000,12000},{0,1532,1032,408,408}),IF($O11="Ｂ",LOOKUP($D11,{8000,8500,9000,10000,12000},{782,2814,2814,2814,2814}),IF($O11="Ｃ",LOOKUP($D11,{8000,8500,9000,10000,12000},{3188,5220,5220,5220,5220}),0))))</f>
      </c>
      <c r="R11" s="627"/>
      <c r="S11" s="198"/>
      <c r="T11" s="626">
        <f>IF($H11="","",IF($R11="Ａ",LOOKUP($D11,{8000,8500,9000,10000,12000},{0,1532,1032,408,408}),IF($R11="Ｂ",LOOKUP($D11,{8000,8500,9000,10000,12000},{782,2814,2814,2814,2814}),IF($R11="Ｃ",LOOKUP($D11,{8000,8500,9000,10000,12000},{3188,5220,5220,5220,5220}),0))))</f>
      </c>
      <c r="U11" s="402">
        <f t="shared" si="9"/>
      </c>
      <c r="V11" s="404">
        <f>IF(B11="","",SUMIF('2-3_調整額内訳③(旧・旧制度)'!B:B,$B11,'2-3_調整額内訳③(旧・旧制度)'!AF:AF))</f>
      </c>
      <c r="W11" s="403">
        <f t="shared" si="10"/>
      </c>
      <c r="X11" s="628">
        <f t="shared" si="11"/>
      </c>
      <c r="Y11" s="629">
        <f t="shared" si="12"/>
      </c>
      <c r="Z11" s="630"/>
      <c r="AA11" s="404">
        <f t="shared" si="0"/>
      </c>
      <c r="AB11" s="630"/>
      <c r="AC11" s="402" t="str">
        <f t="shared" si="1"/>
        <v>0</v>
      </c>
      <c r="AD11" s="404">
        <f t="shared" si="13"/>
        <v>0</v>
      </c>
      <c r="AE11" s="631"/>
      <c r="AF11" s="402">
        <f t="shared" si="14"/>
      </c>
      <c r="AG11" s="632">
        <f t="shared" si="15"/>
      </c>
      <c r="AH11" s="944"/>
      <c r="AI11" s="944"/>
      <c r="AJ11" s="945"/>
      <c r="AL11" s="61">
        <f t="shared" si="2"/>
      </c>
      <c r="AM11" s="61">
        <f t="shared" si="3"/>
      </c>
    </row>
    <row r="12" spans="1:39" s="53" customFormat="1" ht="18.75" customHeight="1">
      <c r="A12" s="177">
        <f t="shared" si="4"/>
      </c>
      <c r="B12" s="620"/>
      <c r="C12" s="56"/>
      <c r="D12" s="442"/>
      <c r="E12" s="234"/>
      <c r="F12" s="198"/>
      <c r="G12" s="187">
        <f t="shared" si="5"/>
      </c>
      <c r="H12" s="606">
        <f t="shared" si="6"/>
      </c>
      <c r="I12" s="621"/>
      <c r="J12" s="622"/>
      <c r="K12" s="623"/>
      <c r="L12" s="105"/>
      <c r="M12" s="395">
        <f t="shared" si="7"/>
      </c>
      <c r="N12" s="624">
        <f t="shared" si="8"/>
      </c>
      <c r="O12" s="625"/>
      <c r="P12" s="190"/>
      <c r="Q12" s="626">
        <f>IF($H12="","",IF($O12="Ａ",LOOKUP($D12,{8000,8500,9000,10000,12000},{0,1532,1032,408,408}),IF($O12="Ｂ",LOOKUP($D12,{8000,8500,9000,10000,12000},{782,2814,2814,2814,2814}),IF($O12="Ｃ",LOOKUP($D12,{8000,8500,9000,10000,12000},{3188,5220,5220,5220,5220}),0))))</f>
      </c>
      <c r="R12" s="627"/>
      <c r="S12" s="198"/>
      <c r="T12" s="626">
        <f>IF($H12="","",IF($R12="Ａ",LOOKUP($D12,{8000,8500,9000,10000,12000},{0,1532,1032,408,408}),IF($R12="Ｂ",LOOKUP($D12,{8000,8500,9000,10000,12000},{782,2814,2814,2814,2814}),IF($R12="Ｃ",LOOKUP($D12,{8000,8500,9000,10000,12000},{3188,5220,5220,5220,5220}),0))))</f>
      </c>
      <c r="U12" s="402">
        <f t="shared" si="9"/>
      </c>
      <c r="V12" s="404">
        <f>IF(B12="","",SUMIF('2-3_調整額内訳③(旧・旧制度)'!B:B,$B12,'2-3_調整額内訳③(旧・旧制度)'!AF:AF))</f>
      </c>
      <c r="W12" s="403">
        <f t="shared" si="10"/>
      </c>
      <c r="X12" s="628">
        <f t="shared" si="11"/>
      </c>
      <c r="Y12" s="629">
        <f t="shared" si="12"/>
      </c>
      <c r="Z12" s="630"/>
      <c r="AA12" s="404">
        <f t="shared" si="0"/>
      </c>
      <c r="AB12" s="630"/>
      <c r="AC12" s="402" t="str">
        <f t="shared" si="1"/>
        <v>0</v>
      </c>
      <c r="AD12" s="404">
        <f t="shared" si="13"/>
        <v>0</v>
      </c>
      <c r="AE12" s="631"/>
      <c r="AF12" s="402">
        <f t="shared" si="14"/>
      </c>
      <c r="AG12" s="632">
        <f t="shared" si="15"/>
      </c>
      <c r="AH12" s="944"/>
      <c r="AI12" s="944"/>
      <c r="AJ12" s="945"/>
      <c r="AL12" s="61">
        <f t="shared" si="2"/>
      </c>
      <c r="AM12" s="61">
        <f t="shared" si="3"/>
      </c>
    </row>
    <row r="13" spans="1:39" s="53" customFormat="1" ht="18.75" customHeight="1">
      <c r="A13" s="177">
        <f t="shared" si="4"/>
      </c>
      <c r="B13" s="620"/>
      <c r="C13" s="56"/>
      <c r="D13" s="442"/>
      <c r="E13" s="234"/>
      <c r="F13" s="198"/>
      <c r="G13" s="187">
        <f t="shared" si="5"/>
      </c>
      <c r="H13" s="606">
        <f t="shared" si="6"/>
      </c>
      <c r="I13" s="621"/>
      <c r="J13" s="622"/>
      <c r="K13" s="623"/>
      <c r="L13" s="105"/>
      <c r="M13" s="395">
        <f t="shared" si="7"/>
      </c>
      <c r="N13" s="624">
        <f t="shared" si="8"/>
      </c>
      <c r="O13" s="625"/>
      <c r="P13" s="190"/>
      <c r="Q13" s="626">
        <f>IF($H13="","",IF($O13="Ａ",LOOKUP($D13,{8000,8500,9000,10000,12000},{0,1532,1032,408,408}),IF($O13="Ｂ",LOOKUP($D13,{8000,8500,9000,10000,12000},{782,2814,2814,2814,2814}),IF($O13="Ｃ",LOOKUP($D13,{8000,8500,9000,10000,12000},{3188,5220,5220,5220,5220}),0))))</f>
      </c>
      <c r="R13" s="627"/>
      <c r="S13" s="198"/>
      <c r="T13" s="626">
        <f>IF($H13="","",IF($R13="Ａ",LOOKUP($D13,{8000,8500,9000,10000,12000},{0,1532,1032,408,408}),IF($R13="Ｂ",LOOKUP($D13,{8000,8500,9000,10000,12000},{782,2814,2814,2814,2814}),IF($R13="Ｃ",LOOKUP($D13,{8000,8500,9000,10000,12000},{3188,5220,5220,5220,5220}),0))))</f>
      </c>
      <c r="U13" s="402">
        <f t="shared" si="9"/>
      </c>
      <c r="V13" s="404">
        <f>IF(B13="","",SUMIF('2-3_調整額内訳③(旧・旧制度)'!B:B,$B13,'2-3_調整額内訳③(旧・旧制度)'!AF:AF))</f>
      </c>
      <c r="W13" s="403">
        <f t="shared" si="10"/>
      </c>
      <c r="X13" s="628">
        <f t="shared" si="11"/>
      </c>
      <c r="Y13" s="629">
        <f t="shared" si="12"/>
      </c>
      <c r="Z13" s="630"/>
      <c r="AA13" s="404">
        <f t="shared" si="0"/>
      </c>
      <c r="AB13" s="630"/>
      <c r="AC13" s="402" t="str">
        <f t="shared" si="1"/>
        <v>0</v>
      </c>
      <c r="AD13" s="404">
        <f t="shared" si="13"/>
        <v>0</v>
      </c>
      <c r="AE13" s="631"/>
      <c r="AF13" s="402">
        <f t="shared" si="14"/>
      </c>
      <c r="AG13" s="632">
        <f t="shared" si="15"/>
      </c>
      <c r="AH13" s="944"/>
      <c r="AI13" s="944"/>
      <c r="AJ13" s="945"/>
      <c r="AL13" s="61">
        <f t="shared" si="2"/>
      </c>
      <c r="AM13" s="61">
        <f t="shared" si="3"/>
      </c>
    </row>
    <row r="14" spans="1:39" s="53" customFormat="1" ht="18.75" customHeight="1">
      <c r="A14" s="177">
        <f t="shared" si="4"/>
      </c>
      <c r="B14" s="620"/>
      <c r="C14" s="56"/>
      <c r="D14" s="442"/>
      <c r="E14" s="234"/>
      <c r="F14" s="198"/>
      <c r="G14" s="187">
        <f t="shared" si="5"/>
      </c>
      <c r="H14" s="606">
        <f t="shared" si="6"/>
      </c>
      <c r="I14" s="621"/>
      <c r="J14" s="622"/>
      <c r="K14" s="623"/>
      <c r="L14" s="105"/>
      <c r="M14" s="395">
        <f t="shared" si="7"/>
      </c>
      <c r="N14" s="624">
        <f t="shared" si="8"/>
      </c>
      <c r="O14" s="625"/>
      <c r="P14" s="190"/>
      <c r="Q14" s="626">
        <f>IF($H14="","",IF($O14="Ａ",LOOKUP($D14,{8000,8500,9000,10000,12000},{0,1532,1032,408,408}),IF($O14="Ｂ",LOOKUP($D14,{8000,8500,9000,10000,12000},{782,2814,2814,2814,2814}),IF($O14="Ｃ",LOOKUP($D14,{8000,8500,9000,10000,12000},{3188,5220,5220,5220,5220}),0))))</f>
      </c>
      <c r="R14" s="627"/>
      <c r="S14" s="198"/>
      <c r="T14" s="626">
        <f>IF($H14="","",IF($R14="Ａ",LOOKUP($D14,{8000,8500,9000,10000,12000},{0,1532,1032,408,408}),IF($R14="Ｂ",LOOKUP($D14,{8000,8500,9000,10000,12000},{782,2814,2814,2814,2814}),IF($R14="Ｃ",LOOKUP($D14,{8000,8500,9000,10000,12000},{3188,5220,5220,5220,5220}),0))))</f>
      </c>
      <c r="U14" s="402">
        <f t="shared" si="9"/>
      </c>
      <c r="V14" s="404">
        <f>IF(B14="","",SUMIF('2-3_調整額内訳③(旧・旧制度)'!B:B,$B14,'2-3_調整額内訳③(旧・旧制度)'!AF:AF))</f>
      </c>
      <c r="W14" s="403">
        <f t="shared" si="10"/>
      </c>
      <c r="X14" s="628">
        <f t="shared" si="11"/>
      </c>
      <c r="Y14" s="629">
        <f t="shared" si="12"/>
      </c>
      <c r="Z14" s="630"/>
      <c r="AA14" s="404">
        <f t="shared" si="0"/>
      </c>
      <c r="AB14" s="630"/>
      <c r="AC14" s="402" t="str">
        <f t="shared" si="1"/>
        <v>0</v>
      </c>
      <c r="AD14" s="404">
        <f t="shared" si="13"/>
        <v>0</v>
      </c>
      <c r="AE14" s="631"/>
      <c r="AF14" s="402">
        <f t="shared" si="14"/>
      </c>
      <c r="AG14" s="632">
        <f t="shared" si="15"/>
      </c>
      <c r="AH14" s="944"/>
      <c r="AI14" s="944"/>
      <c r="AJ14" s="945"/>
      <c r="AL14" s="61">
        <f t="shared" si="2"/>
      </c>
      <c r="AM14" s="61">
        <f t="shared" si="3"/>
      </c>
    </row>
    <row r="15" spans="1:39" s="53" customFormat="1" ht="18.75" customHeight="1">
      <c r="A15" s="177">
        <f t="shared" si="4"/>
      </c>
      <c r="B15" s="620"/>
      <c r="C15" s="56"/>
      <c r="D15" s="442"/>
      <c r="E15" s="234"/>
      <c r="F15" s="198"/>
      <c r="G15" s="187">
        <f t="shared" si="5"/>
      </c>
      <c r="H15" s="606">
        <f t="shared" si="6"/>
      </c>
      <c r="I15" s="621"/>
      <c r="J15" s="622"/>
      <c r="K15" s="623"/>
      <c r="L15" s="105"/>
      <c r="M15" s="395">
        <f t="shared" si="7"/>
      </c>
      <c r="N15" s="624">
        <f t="shared" si="8"/>
      </c>
      <c r="O15" s="625"/>
      <c r="P15" s="190"/>
      <c r="Q15" s="626">
        <f>IF($H15="","",IF($O15="Ａ",LOOKUP($D15,{8000,8500,9000,10000,12000},{0,1532,1032,408,408}),IF($O15="Ｂ",LOOKUP($D15,{8000,8500,9000,10000,12000},{782,2814,2814,2814,2814}),IF($O15="Ｃ",LOOKUP($D15,{8000,8500,9000,10000,12000},{3188,5220,5220,5220,5220}),0))))</f>
      </c>
      <c r="R15" s="627"/>
      <c r="S15" s="198"/>
      <c r="T15" s="765">
        <f>IF($H15="","",IF($R15="Ａ",LOOKUP($D15,{8000,8500,9000,10000,12000},{0,1532,1032,408,408}),IF($R15="Ｂ",LOOKUP($D15,{8000,8500,9000,10000,12000},{782,2814,2814,2814,2814}),IF($R15="Ｃ",LOOKUP($D15,{8000,8500,9000,10000,12000},{3188,5220,5220,5220,5220}),0))))</f>
      </c>
      <c r="U15" s="766">
        <f t="shared" si="9"/>
      </c>
      <c r="V15" s="404">
        <f>IF(B15="","",SUMIF('2-3_調整額内訳③(旧・旧制度)'!B:B,$B15,'2-3_調整額内訳③(旧・旧制度)'!AF:AF))</f>
      </c>
      <c r="W15" s="403">
        <f t="shared" si="10"/>
      </c>
      <c r="X15" s="628">
        <f t="shared" si="11"/>
      </c>
      <c r="Y15" s="629">
        <f t="shared" si="12"/>
      </c>
      <c r="Z15" s="630"/>
      <c r="AA15" s="404">
        <f t="shared" si="0"/>
      </c>
      <c r="AB15" s="630"/>
      <c r="AC15" s="402" t="str">
        <f t="shared" si="1"/>
        <v>0</v>
      </c>
      <c r="AD15" s="404">
        <f t="shared" si="13"/>
        <v>0</v>
      </c>
      <c r="AE15" s="631"/>
      <c r="AF15" s="402">
        <f t="shared" si="14"/>
      </c>
      <c r="AG15" s="632">
        <f t="shared" si="15"/>
      </c>
      <c r="AH15" s="944"/>
      <c r="AI15" s="944"/>
      <c r="AJ15" s="945"/>
      <c r="AL15" s="61">
        <f t="shared" si="2"/>
      </c>
      <c r="AM15" s="61">
        <f t="shared" si="3"/>
      </c>
    </row>
    <row r="16" spans="1:39" s="53" customFormat="1" ht="18.75" customHeight="1">
      <c r="A16" s="177">
        <f t="shared" si="4"/>
      </c>
      <c r="B16" s="620"/>
      <c r="C16" s="56"/>
      <c r="D16" s="442"/>
      <c r="E16" s="234"/>
      <c r="F16" s="198"/>
      <c r="G16" s="187">
        <f t="shared" si="5"/>
      </c>
      <c r="H16" s="606">
        <f t="shared" si="6"/>
      </c>
      <c r="I16" s="621"/>
      <c r="J16" s="622"/>
      <c r="K16" s="623"/>
      <c r="L16" s="105"/>
      <c r="M16" s="395">
        <f t="shared" si="7"/>
      </c>
      <c r="N16" s="624">
        <f t="shared" si="8"/>
      </c>
      <c r="O16" s="625"/>
      <c r="P16" s="190"/>
      <c r="Q16" s="626">
        <f>IF($H16="","",IF($O16="Ａ",LOOKUP($D16,{8000,8500,9000,10000,12000},{0,1532,1032,408,408}),IF($O16="Ｂ",LOOKUP($D16,{8000,8500,9000,10000,12000},{782,2814,2814,2814,2814}),IF($O16="Ｃ",LOOKUP($D16,{8000,8500,9000,10000,12000},{3188,5220,5220,5220,5220}),0))))</f>
      </c>
      <c r="R16" s="627"/>
      <c r="S16" s="198"/>
      <c r="T16" s="626">
        <f>IF($H16="","",IF($R16="Ａ",LOOKUP($D16,{8000,8500,9000,10000,12000},{0,1532,1032,408,408}),IF($R16="Ｂ",LOOKUP($D16,{8000,8500,9000,10000,12000},{782,2814,2814,2814,2814}),IF($R16="Ｃ",LOOKUP($D16,{8000,8500,9000,10000,12000},{3188,5220,5220,5220,5220}),0))))</f>
      </c>
      <c r="U16" s="402">
        <f t="shared" si="9"/>
      </c>
      <c r="V16" s="404">
        <f>IF(B16="","",SUMIF('2-3_調整額内訳③(旧・旧制度)'!B:B,$B16,'2-3_調整額内訳③(旧・旧制度)'!AF:AF))</f>
      </c>
      <c r="W16" s="403">
        <f t="shared" si="10"/>
      </c>
      <c r="X16" s="628">
        <f t="shared" si="11"/>
      </c>
      <c r="Y16" s="629">
        <f t="shared" si="12"/>
      </c>
      <c r="Z16" s="630"/>
      <c r="AA16" s="404">
        <f t="shared" si="0"/>
      </c>
      <c r="AB16" s="630"/>
      <c r="AC16" s="402" t="str">
        <f t="shared" si="1"/>
        <v>0</v>
      </c>
      <c r="AD16" s="404">
        <f t="shared" si="13"/>
        <v>0</v>
      </c>
      <c r="AE16" s="631"/>
      <c r="AF16" s="402">
        <f t="shared" si="14"/>
      </c>
      <c r="AG16" s="632">
        <f t="shared" si="15"/>
      </c>
      <c r="AH16" s="944"/>
      <c r="AI16" s="944"/>
      <c r="AJ16" s="945"/>
      <c r="AL16" s="61">
        <f t="shared" si="2"/>
      </c>
      <c r="AM16" s="61">
        <f t="shared" si="3"/>
      </c>
    </row>
    <row r="17" spans="1:39" s="53" customFormat="1" ht="18.75" customHeight="1">
      <c r="A17" s="177">
        <f t="shared" si="4"/>
      </c>
      <c r="B17" s="620"/>
      <c r="C17" s="56"/>
      <c r="D17" s="442"/>
      <c r="E17" s="234"/>
      <c r="F17" s="198"/>
      <c r="G17" s="187">
        <f t="shared" si="5"/>
      </c>
      <c r="H17" s="606">
        <f t="shared" si="6"/>
      </c>
      <c r="I17" s="621"/>
      <c r="J17" s="622"/>
      <c r="K17" s="623"/>
      <c r="L17" s="105"/>
      <c r="M17" s="395">
        <f t="shared" si="7"/>
      </c>
      <c r="N17" s="624">
        <f t="shared" si="8"/>
      </c>
      <c r="O17" s="625"/>
      <c r="P17" s="190"/>
      <c r="Q17" s="626">
        <f>IF($H17="","",IF($O17="Ａ",LOOKUP($D17,{8000,8500,9000,10000,12000},{0,1532,1032,408,408}),IF($O17="Ｂ",LOOKUP($D17,{8000,8500,9000,10000,12000},{782,2814,2814,2814,2814}),IF($O17="Ｃ",LOOKUP($D17,{8000,8500,9000,10000,12000},{3188,5220,5220,5220,5220}),0))))</f>
      </c>
      <c r="R17" s="627"/>
      <c r="S17" s="198"/>
      <c r="T17" s="626">
        <f>IF($H17="","",IF($R17="Ａ",LOOKUP($D17,{8000,8500,9000,10000,12000},{0,1532,1032,408,408}),IF($R17="Ｂ",LOOKUP($D17,{8000,8500,9000,10000,12000},{782,2814,2814,2814,2814}),IF($R17="Ｃ",LOOKUP($D17,{8000,8500,9000,10000,12000},{3188,5220,5220,5220,5220}),0))))</f>
      </c>
      <c r="U17" s="402">
        <f t="shared" si="9"/>
      </c>
      <c r="V17" s="404">
        <f>IF(B17="","",SUMIF('2-3_調整額内訳③(旧・旧制度)'!B:B,$B17,'2-3_調整額内訳③(旧・旧制度)'!AF:AF))</f>
      </c>
      <c r="W17" s="403">
        <f t="shared" si="10"/>
      </c>
      <c r="X17" s="628">
        <f t="shared" si="11"/>
      </c>
      <c r="Y17" s="629">
        <f t="shared" si="12"/>
      </c>
      <c r="Z17" s="630"/>
      <c r="AA17" s="404">
        <f t="shared" si="0"/>
      </c>
      <c r="AB17" s="630"/>
      <c r="AC17" s="402" t="str">
        <f t="shared" si="1"/>
        <v>0</v>
      </c>
      <c r="AD17" s="404">
        <f t="shared" si="13"/>
        <v>0</v>
      </c>
      <c r="AE17" s="631"/>
      <c r="AF17" s="402">
        <f t="shared" si="14"/>
      </c>
      <c r="AG17" s="632">
        <f t="shared" si="15"/>
      </c>
      <c r="AH17" s="944"/>
      <c r="AI17" s="944"/>
      <c r="AJ17" s="945"/>
      <c r="AL17" s="61">
        <f t="shared" si="2"/>
      </c>
      <c r="AM17" s="61">
        <f t="shared" si="3"/>
      </c>
    </row>
    <row r="18" spans="1:39" s="53" customFormat="1" ht="18.75" customHeight="1">
      <c r="A18" s="177">
        <f t="shared" si="4"/>
      </c>
      <c r="B18" s="620"/>
      <c r="C18" s="56"/>
      <c r="D18" s="442"/>
      <c r="E18" s="234"/>
      <c r="F18" s="198"/>
      <c r="G18" s="187">
        <f t="shared" si="5"/>
      </c>
      <c r="H18" s="606">
        <f t="shared" si="6"/>
      </c>
      <c r="I18" s="621"/>
      <c r="J18" s="622"/>
      <c r="K18" s="623"/>
      <c r="L18" s="105"/>
      <c r="M18" s="395">
        <f t="shared" si="7"/>
      </c>
      <c r="N18" s="624">
        <f t="shared" si="8"/>
      </c>
      <c r="O18" s="625"/>
      <c r="P18" s="190"/>
      <c r="Q18" s="626">
        <f>IF($H18="","",IF($O18="Ａ",LOOKUP($D18,{8000,8500,9000,10000,12000},{0,1532,1032,408,408}),IF($O18="Ｂ",LOOKUP($D18,{8000,8500,9000,10000,12000},{782,2814,2814,2814,2814}),IF($O18="Ｃ",LOOKUP($D18,{8000,8500,9000,10000,12000},{3188,5220,5220,5220,5220}),0))))</f>
      </c>
      <c r="R18" s="627"/>
      <c r="S18" s="198"/>
      <c r="T18" s="626">
        <f>IF($H18="","",IF($R18="Ａ",LOOKUP($D18,{8000,8500,9000,10000,12000},{0,1532,1032,408,408}),IF($R18="Ｂ",LOOKUP($D18,{8000,8500,9000,10000,12000},{782,2814,2814,2814,2814}),IF($R18="Ｃ",LOOKUP($D18,{8000,8500,9000,10000,12000},{3188,5220,5220,5220,5220}),0))))</f>
      </c>
      <c r="U18" s="402">
        <f t="shared" si="9"/>
      </c>
      <c r="V18" s="404">
        <f>IF(B18="","",SUMIF('2-3_調整額内訳③(旧・旧制度)'!B:B,$B18,'2-3_調整額内訳③(旧・旧制度)'!AF:AF))</f>
      </c>
      <c r="W18" s="403">
        <f t="shared" si="10"/>
      </c>
      <c r="X18" s="628">
        <f t="shared" si="11"/>
      </c>
      <c r="Y18" s="629">
        <f t="shared" si="12"/>
      </c>
      <c r="Z18" s="630"/>
      <c r="AA18" s="404">
        <f t="shared" si="0"/>
      </c>
      <c r="AB18" s="630"/>
      <c r="AC18" s="402" t="str">
        <f t="shared" si="1"/>
        <v>0</v>
      </c>
      <c r="AD18" s="404">
        <f t="shared" si="13"/>
        <v>0</v>
      </c>
      <c r="AE18" s="631"/>
      <c r="AF18" s="402">
        <f t="shared" si="14"/>
      </c>
      <c r="AG18" s="632">
        <f t="shared" si="15"/>
      </c>
      <c r="AH18" s="944"/>
      <c r="AI18" s="944"/>
      <c r="AJ18" s="945"/>
      <c r="AL18" s="61">
        <f t="shared" si="2"/>
      </c>
      <c r="AM18" s="61">
        <f t="shared" si="3"/>
      </c>
    </row>
    <row r="19" spans="1:39" s="53" customFormat="1" ht="18.75" customHeight="1">
      <c r="A19" s="177">
        <f t="shared" si="4"/>
      </c>
      <c r="B19" s="620"/>
      <c r="C19" s="56"/>
      <c r="D19" s="442"/>
      <c r="E19" s="234"/>
      <c r="F19" s="198"/>
      <c r="G19" s="187">
        <f t="shared" si="5"/>
      </c>
      <c r="H19" s="606">
        <f t="shared" si="6"/>
      </c>
      <c r="I19" s="621"/>
      <c r="J19" s="622"/>
      <c r="K19" s="623"/>
      <c r="L19" s="105"/>
      <c r="M19" s="395">
        <f t="shared" si="7"/>
      </c>
      <c r="N19" s="624">
        <f t="shared" si="8"/>
      </c>
      <c r="O19" s="625"/>
      <c r="P19" s="190"/>
      <c r="Q19" s="626">
        <f>IF($H19="","",IF($O19="Ａ",LOOKUP($D19,{8000,8500,9000,10000,12000},{0,1532,1032,408,408}),IF($O19="Ｂ",LOOKUP($D19,{8000,8500,9000,10000,12000},{782,2814,2814,2814,2814}),IF($O19="Ｃ",LOOKUP($D19,{8000,8500,9000,10000,12000},{3188,5220,5220,5220,5220}),0))))</f>
      </c>
      <c r="R19" s="627"/>
      <c r="S19" s="198"/>
      <c r="T19" s="626">
        <f>IF($H19="","",IF($R19="Ａ",LOOKUP($D19,{8000,8500,9000,10000,12000},{0,1532,1032,408,408}),IF($R19="Ｂ",LOOKUP($D19,{8000,8500,9000,10000,12000},{782,2814,2814,2814,2814}),IF($R19="Ｃ",LOOKUP($D19,{8000,8500,9000,10000,12000},{3188,5220,5220,5220,5220}),0))))</f>
      </c>
      <c r="U19" s="402">
        <f t="shared" si="9"/>
      </c>
      <c r="V19" s="404">
        <f>IF(B19="","",SUMIF('2-3_調整額内訳③(旧・旧制度)'!B:B,$B19,'2-3_調整額内訳③(旧・旧制度)'!AF:AF))</f>
      </c>
      <c r="W19" s="403">
        <f t="shared" si="10"/>
      </c>
      <c r="X19" s="628">
        <f t="shared" si="11"/>
      </c>
      <c r="Y19" s="629">
        <f t="shared" si="12"/>
      </c>
      <c r="Z19" s="630"/>
      <c r="AA19" s="404">
        <f t="shared" si="0"/>
      </c>
      <c r="AB19" s="630"/>
      <c r="AC19" s="402" t="str">
        <f t="shared" si="1"/>
        <v>0</v>
      </c>
      <c r="AD19" s="404">
        <f t="shared" si="13"/>
        <v>0</v>
      </c>
      <c r="AE19" s="631"/>
      <c r="AF19" s="402">
        <f t="shared" si="14"/>
      </c>
      <c r="AG19" s="632">
        <f t="shared" si="15"/>
      </c>
      <c r="AH19" s="944"/>
      <c r="AI19" s="944"/>
      <c r="AJ19" s="945"/>
      <c r="AL19" s="61">
        <f t="shared" si="2"/>
      </c>
      <c r="AM19" s="61">
        <f t="shared" si="3"/>
      </c>
    </row>
    <row r="20" spans="1:39" s="53" customFormat="1" ht="18.75" customHeight="1">
      <c r="A20" s="177">
        <f t="shared" si="4"/>
      </c>
      <c r="B20" s="620"/>
      <c r="C20" s="56"/>
      <c r="D20" s="442"/>
      <c r="E20" s="234"/>
      <c r="F20" s="198"/>
      <c r="G20" s="187">
        <f t="shared" si="5"/>
      </c>
      <c r="H20" s="606">
        <f t="shared" si="6"/>
      </c>
      <c r="I20" s="621"/>
      <c r="J20" s="622"/>
      <c r="K20" s="623"/>
      <c r="L20" s="105"/>
      <c r="M20" s="395">
        <f t="shared" si="7"/>
      </c>
      <c r="N20" s="624">
        <f t="shared" si="8"/>
      </c>
      <c r="O20" s="625"/>
      <c r="P20" s="190"/>
      <c r="Q20" s="626">
        <f>IF($H20="","",IF($O20="Ａ",LOOKUP($D20,{8000,8500,9000,10000,12000},{0,1532,1032,408,408}),IF($O20="Ｂ",LOOKUP($D20,{8000,8500,9000,10000,12000},{782,2814,2814,2814,2814}),IF($O20="Ｃ",LOOKUP($D20,{8000,8500,9000,10000,12000},{3188,5220,5220,5220,5220}),0))))</f>
      </c>
      <c r="R20" s="627"/>
      <c r="S20" s="198"/>
      <c r="T20" s="626">
        <f>IF($H20="","",IF($R20="Ａ",LOOKUP($D20,{8000,8500,9000,10000,12000},{0,1532,1032,408,408}),IF($R20="Ｂ",LOOKUP($D20,{8000,8500,9000,10000,12000},{782,2814,2814,2814,2814}),IF($R20="Ｃ",LOOKUP($D20,{8000,8500,9000,10000,12000},{3188,5220,5220,5220,5220}),0))))</f>
      </c>
      <c r="U20" s="402">
        <f t="shared" si="9"/>
      </c>
      <c r="V20" s="404">
        <f>IF(B20="","",SUMIF('2-3_調整額内訳③(旧・旧制度)'!B:B,$B20,'2-3_調整額内訳③(旧・旧制度)'!AF:AF))</f>
      </c>
      <c r="W20" s="403">
        <f t="shared" si="10"/>
      </c>
      <c r="X20" s="628">
        <f t="shared" si="11"/>
      </c>
      <c r="Y20" s="629">
        <f t="shared" si="12"/>
      </c>
      <c r="Z20" s="630"/>
      <c r="AA20" s="404">
        <f t="shared" si="0"/>
      </c>
      <c r="AB20" s="630"/>
      <c r="AC20" s="402" t="str">
        <f t="shared" si="1"/>
        <v>0</v>
      </c>
      <c r="AD20" s="404">
        <f t="shared" si="13"/>
        <v>0</v>
      </c>
      <c r="AE20" s="631"/>
      <c r="AF20" s="402">
        <f t="shared" si="14"/>
      </c>
      <c r="AG20" s="632">
        <f t="shared" si="15"/>
      </c>
      <c r="AH20" s="944"/>
      <c r="AI20" s="944"/>
      <c r="AJ20" s="945"/>
      <c r="AL20" s="61">
        <f t="shared" si="2"/>
      </c>
      <c r="AM20" s="61">
        <f t="shared" si="3"/>
      </c>
    </row>
    <row r="21" spans="1:39" s="53" customFormat="1" ht="18.75" customHeight="1">
      <c r="A21" s="177">
        <f t="shared" si="4"/>
      </c>
      <c r="B21" s="620"/>
      <c r="C21" s="56"/>
      <c r="D21" s="442"/>
      <c r="E21" s="234"/>
      <c r="F21" s="198"/>
      <c r="G21" s="187">
        <f t="shared" si="5"/>
      </c>
      <c r="H21" s="606">
        <f t="shared" si="6"/>
      </c>
      <c r="I21" s="621"/>
      <c r="J21" s="622"/>
      <c r="K21" s="623"/>
      <c r="L21" s="105"/>
      <c r="M21" s="395">
        <f t="shared" si="7"/>
      </c>
      <c r="N21" s="624">
        <f t="shared" si="8"/>
      </c>
      <c r="O21" s="625"/>
      <c r="P21" s="190"/>
      <c r="Q21" s="626">
        <f>IF($H21="","",IF($O21="Ａ",LOOKUP($D21,{8000,8500,9000,10000,12000},{0,1532,1032,408,408}),IF($O21="Ｂ",LOOKUP($D21,{8000,8500,9000,10000,12000},{782,2814,2814,2814,2814}),IF($O21="Ｃ",LOOKUP($D21,{8000,8500,9000,10000,12000},{3188,5220,5220,5220,5220}),0))))</f>
      </c>
      <c r="R21" s="627"/>
      <c r="S21" s="198"/>
      <c r="T21" s="626">
        <f>IF($H21="","",IF($R21="Ａ",LOOKUP($D21,{8000,8500,9000,10000,12000},{0,1532,1032,408,408}),IF($R21="Ｂ",LOOKUP($D21,{8000,8500,9000,10000,12000},{782,2814,2814,2814,2814}),IF($R21="Ｃ",LOOKUP($D21,{8000,8500,9000,10000,12000},{3188,5220,5220,5220,5220}),0))))</f>
      </c>
      <c r="U21" s="402">
        <f t="shared" si="9"/>
      </c>
      <c r="V21" s="404">
        <f>IF(B21="","",SUMIF('2-3_調整額内訳③(旧・旧制度)'!B:B,$B21,'2-3_調整額内訳③(旧・旧制度)'!AF:AF))</f>
      </c>
      <c r="W21" s="403">
        <f t="shared" si="10"/>
      </c>
      <c r="X21" s="628">
        <f t="shared" si="11"/>
      </c>
      <c r="Y21" s="629">
        <f t="shared" si="12"/>
      </c>
      <c r="Z21" s="630"/>
      <c r="AA21" s="404">
        <f t="shared" si="0"/>
      </c>
      <c r="AB21" s="630"/>
      <c r="AC21" s="402" t="str">
        <f t="shared" si="1"/>
        <v>0</v>
      </c>
      <c r="AD21" s="404">
        <f t="shared" si="13"/>
        <v>0</v>
      </c>
      <c r="AE21" s="631"/>
      <c r="AF21" s="402">
        <f t="shared" si="14"/>
      </c>
      <c r="AG21" s="632">
        <f t="shared" si="15"/>
      </c>
      <c r="AH21" s="944"/>
      <c r="AI21" s="944"/>
      <c r="AJ21" s="945"/>
      <c r="AL21" s="61">
        <f t="shared" si="2"/>
      </c>
      <c r="AM21" s="61">
        <f t="shared" si="3"/>
      </c>
    </row>
    <row r="22" spans="1:39" s="53" customFormat="1" ht="18.75" customHeight="1">
      <c r="A22" s="177">
        <f t="shared" si="4"/>
      </c>
      <c r="B22" s="620"/>
      <c r="C22" s="56"/>
      <c r="D22" s="442"/>
      <c r="E22" s="234"/>
      <c r="F22" s="198"/>
      <c r="G22" s="187">
        <f t="shared" si="5"/>
      </c>
      <c r="H22" s="606">
        <f t="shared" si="6"/>
      </c>
      <c r="I22" s="621"/>
      <c r="J22" s="622"/>
      <c r="K22" s="623"/>
      <c r="L22" s="105"/>
      <c r="M22" s="395">
        <f t="shared" si="7"/>
      </c>
      <c r="N22" s="624">
        <f t="shared" si="8"/>
      </c>
      <c r="O22" s="625"/>
      <c r="P22" s="190"/>
      <c r="Q22" s="626">
        <f>IF($H22="","",IF($O22="Ａ",LOOKUP($D22,{8000,8500,9000,10000,12000},{0,1532,1032,408,408}),IF($O22="Ｂ",LOOKUP($D22,{8000,8500,9000,10000,12000},{782,2814,2814,2814,2814}),IF($O22="Ｃ",LOOKUP($D22,{8000,8500,9000,10000,12000},{3188,5220,5220,5220,5220}),0))))</f>
      </c>
      <c r="R22" s="627"/>
      <c r="S22" s="198"/>
      <c r="T22" s="626">
        <f>IF($H22="","",IF($R22="Ａ",LOOKUP($D22,{8000,8500,9000,10000,12000},{0,1532,1032,408,408}),IF($R22="Ｂ",LOOKUP($D22,{8000,8500,9000,10000,12000},{782,2814,2814,2814,2814}),IF($R22="Ｃ",LOOKUP($D22,{8000,8500,9000,10000,12000},{3188,5220,5220,5220,5220}),0))))</f>
      </c>
      <c r="U22" s="402">
        <f t="shared" si="9"/>
      </c>
      <c r="V22" s="404">
        <f>IF(B22="","",SUMIF('2-3_調整額内訳③(旧・旧制度)'!B:B,$B22,'2-3_調整額内訳③(旧・旧制度)'!AF:AF))</f>
      </c>
      <c r="W22" s="403">
        <f t="shared" si="10"/>
      </c>
      <c r="X22" s="628">
        <f t="shared" si="11"/>
      </c>
      <c r="Y22" s="629">
        <f t="shared" si="12"/>
      </c>
      <c r="Z22" s="630"/>
      <c r="AA22" s="404">
        <f t="shared" si="0"/>
      </c>
      <c r="AB22" s="630"/>
      <c r="AC22" s="402" t="str">
        <f t="shared" si="1"/>
        <v>0</v>
      </c>
      <c r="AD22" s="404">
        <f t="shared" si="13"/>
        <v>0</v>
      </c>
      <c r="AE22" s="631"/>
      <c r="AF22" s="402">
        <f t="shared" si="14"/>
      </c>
      <c r="AG22" s="632">
        <f t="shared" si="15"/>
      </c>
      <c r="AH22" s="944"/>
      <c r="AI22" s="944"/>
      <c r="AJ22" s="945"/>
      <c r="AL22" s="61">
        <f t="shared" si="2"/>
      </c>
      <c r="AM22" s="61">
        <f t="shared" si="3"/>
      </c>
    </row>
    <row r="23" spans="1:39" s="53" customFormat="1" ht="18.75" customHeight="1">
      <c r="A23" s="177">
        <f t="shared" si="4"/>
      </c>
      <c r="B23" s="620"/>
      <c r="C23" s="56"/>
      <c r="D23" s="442"/>
      <c r="E23" s="234"/>
      <c r="F23" s="198"/>
      <c r="G23" s="187">
        <f t="shared" si="5"/>
      </c>
      <c r="H23" s="606">
        <f t="shared" si="6"/>
      </c>
      <c r="I23" s="621"/>
      <c r="J23" s="622"/>
      <c r="K23" s="623"/>
      <c r="L23" s="105"/>
      <c r="M23" s="395">
        <f t="shared" si="7"/>
      </c>
      <c r="N23" s="624">
        <f t="shared" si="8"/>
      </c>
      <c r="O23" s="625"/>
      <c r="P23" s="190"/>
      <c r="Q23" s="626">
        <f>IF($H23="","",IF($O23="Ａ",LOOKUP($D23,{8000,8500,9000,10000,12000},{0,1532,1032,408,408}),IF($O23="Ｂ",LOOKUP($D23,{8000,8500,9000,10000,12000},{782,2814,2814,2814,2814}),IF($O23="Ｃ",LOOKUP($D23,{8000,8500,9000,10000,12000},{3188,5220,5220,5220,5220}),0))))</f>
      </c>
      <c r="R23" s="627"/>
      <c r="S23" s="198"/>
      <c r="T23" s="626">
        <f>IF($H23="","",IF($R23="Ａ",LOOKUP($D23,{8000,8500,9000,10000,12000},{0,1532,1032,408,408}),IF($R23="Ｂ",LOOKUP($D23,{8000,8500,9000,10000,12000},{782,2814,2814,2814,2814}),IF($R23="Ｃ",LOOKUP($D23,{8000,8500,9000,10000,12000},{3188,5220,5220,5220,5220}),0))))</f>
      </c>
      <c r="U23" s="402">
        <f t="shared" si="9"/>
      </c>
      <c r="V23" s="404">
        <f>IF(B23="","",SUMIF('2-3_調整額内訳③(旧・旧制度)'!B:B,$B23,'2-3_調整額内訳③(旧・旧制度)'!AF:AF))</f>
      </c>
      <c r="W23" s="403">
        <f t="shared" si="10"/>
      </c>
      <c r="X23" s="628">
        <f t="shared" si="11"/>
      </c>
      <c r="Y23" s="629">
        <f t="shared" si="12"/>
      </c>
      <c r="Z23" s="630"/>
      <c r="AA23" s="404">
        <f t="shared" si="0"/>
      </c>
      <c r="AB23" s="630"/>
      <c r="AC23" s="402" t="str">
        <f t="shared" si="1"/>
        <v>0</v>
      </c>
      <c r="AD23" s="404">
        <f t="shared" si="13"/>
        <v>0</v>
      </c>
      <c r="AE23" s="631"/>
      <c r="AF23" s="402">
        <f t="shared" si="14"/>
      </c>
      <c r="AG23" s="632">
        <f t="shared" si="15"/>
      </c>
      <c r="AH23" s="944"/>
      <c r="AI23" s="944"/>
      <c r="AJ23" s="945"/>
      <c r="AL23" s="61">
        <f t="shared" si="2"/>
      </c>
      <c r="AM23" s="61">
        <f t="shared" si="3"/>
      </c>
    </row>
    <row r="24" spans="1:39" s="53" customFormat="1" ht="18.75" customHeight="1">
      <c r="A24" s="177">
        <f t="shared" si="4"/>
      </c>
      <c r="B24" s="620"/>
      <c r="C24" s="56"/>
      <c r="D24" s="442"/>
      <c r="E24" s="234"/>
      <c r="F24" s="198"/>
      <c r="G24" s="187">
        <f t="shared" si="5"/>
      </c>
      <c r="H24" s="606">
        <f t="shared" si="6"/>
      </c>
      <c r="I24" s="621"/>
      <c r="J24" s="622"/>
      <c r="K24" s="623"/>
      <c r="L24" s="105"/>
      <c r="M24" s="395">
        <f t="shared" si="7"/>
      </c>
      <c r="N24" s="624">
        <f t="shared" si="8"/>
      </c>
      <c r="O24" s="625"/>
      <c r="P24" s="190"/>
      <c r="Q24" s="626">
        <f>IF($H24="","",IF($O24="Ａ",LOOKUP($D24,{8000,8500,9000,10000,12000},{0,1532,1032,408,408}),IF($O24="Ｂ",LOOKUP($D24,{8000,8500,9000,10000,12000},{782,2814,2814,2814,2814}),IF($O24="Ｃ",LOOKUP($D24,{8000,8500,9000,10000,12000},{3188,5220,5220,5220,5220}),0))))</f>
      </c>
      <c r="R24" s="627"/>
      <c r="S24" s="198"/>
      <c r="T24" s="626">
        <f>IF($H24="","",IF($R24="Ａ",LOOKUP($D24,{8000,8500,9000,10000,12000},{0,1532,1032,408,408}),IF($R24="Ｂ",LOOKUP($D24,{8000,8500,9000,10000,12000},{782,2814,2814,2814,2814}),IF($R24="Ｃ",LOOKUP($D24,{8000,8500,9000,10000,12000},{3188,5220,5220,5220,5220}),0))))</f>
      </c>
      <c r="U24" s="402">
        <f t="shared" si="9"/>
      </c>
      <c r="V24" s="404">
        <f>IF(B24="","",SUMIF('2-3_調整額内訳③(旧・旧制度)'!B:B,$B24,'2-3_調整額内訳③(旧・旧制度)'!AF:AF))</f>
      </c>
      <c r="W24" s="403">
        <f t="shared" si="10"/>
      </c>
      <c r="X24" s="628">
        <f t="shared" si="11"/>
      </c>
      <c r="Y24" s="629">
        <f t="shared" si="12"/>
      </c>
      <c r="Z24" s="630"/>
      <c r="AA24" s="404">
        <f t="shared" si="0"/>
      </c>
      <c r="AB24" s="630"/>
      <c r="AC24" s="402" t="str">
        <f t="shared" si="1"/>
        <v>0</v>
      </c>
      <c r="AD24" s="404">
        <f t="shared" si="13"/>
        <v>0</v>
      </c>
      <c r="AE24" s="631"/>
      <c r="AF24" s="402">
        <f t="shared" si="14"/>
      </c>
      <c r="AG24" s="632">
        <f t="shared" si="15"/>
      </c>
      <c r="AH24" s="944"/>
      <c r="AI24" s="944"/>
      <c r="AJ24" s="945"/>
      <c r="AL24" s="61">
        <f t="shared" si="2"/>
      </c>
      <c r="AM24" s="61">
        <f t="shared" si="3"/>
      </c>
    </row>
    <row r="25" spans="1:39" s="53" customFormat="1" ht="18.75" customHeight="1">
      <c r="A25" s="177">
        <f t="shared" si="4"/>
      </c>
      <c r="B25" s="620"/>
      <c r="C25" s="56"/>
      <c r="D25" s="442"/>
      <c r="E25" s="234"/>
      <c r="F25" s="198"/>
      <c r="G25" s="187">
        <f t="shared" si="5"/>
      </c>
      <c r="H25" s="606">
        <f t="shared" si="6"/>
      </c>
      <c r="I25" s="621"/>
      <c r="J25" s="622"/>
      <c r="K25" s="623"/>
      <c r="L25" s="105"/>
      <c r="M25" s="395">
        <f t="shared" si="7"/>
      </c>
      <c r="N25" s="624">
        <f t="shared" si="8"/>
      </c>
      <c r="O25" s="625"/>
      <c r="P25" s="190"/>
      <c r="Q25" s="626">
        <f>IF($H25="","",IF($O25="Ａ",LOOKUP($D25,{8000,8500,9000,10000,12000},{0,1532,1032,408,408}),IF($O25="Ｂ",LOOKUP($D25,{8000,8500,9000,10000,12000},{782,2814,2814,2814,2814}),IF($O25="Ｃ",LOOKUP($D25,{8000,8500,9000,10000,12000},{3188,5220,5220,5220,5220}),0))))</f>
      </c>
      <c r="R25" s="627"/>
      <c r="S25" s="198"/>
      <c r="T25" s="626">
        <f>IF($H25="","",IF($R25="Ａ",LOOKUP($D25,{8000,8500,9000,10000,12000},{0,1532,1032,408,408}),IF($R25="Ｂ",LOOKUP($D25,{8000,8500,9000,10000,12000},{782,2814,2814,2814,2814}),IF($R25="Ｃ",LOOKUP($D25,{8000,8500,9000,10000,12000},{3188,5220,5220,5220,5220}),0))))</f>
      </c>
      <c r="U25" s="402">
        <f t="shared" si="9"/>
      </c>
      <c r="V25" s="404">
        <f>IF(B25="","",SUMIF('2-3_調整額内訳③(旧・旧制度)'!B:B,$B25,'2-3_調整額内訳③(旧・旧制度)'!AF:AF))</f>
      </c>
      <c r="W25" s="403">
        <f t="shared" si="10"/>
      </c>
      <c r="X25" s="628">
        <f t="shared" si="11"/>
      </c>
      <c r="Y25" s="629">
        <f t="shared" si="12"/>
      </c>
      <c r="Z25" s="630"/>
      <c r="AA25" s="404">
        <f t="shared" si="0"/>
      </c>
      <c r="AB25" s="630"/>
      <c r="AC25" s="402" t="str">
        <f t="shared" si="1"/>
        <v>0</v>
      </c>
      <c r="AD25" s="404">
        <f t="shared" si="13"/>
        <v>0</v>
      </c>
      <c r="AE25" s="631"/>
      <c r="AF25" s="402">
        <f t="shared" si="14"/>
      </c>
      <c r="AG25" s="632">
        <f t="shared" si="15"/>
      </c>
      <c r="AH25" s="944"/>
      <c r="AI25" s="944"/>
      <c r="AJ25" s="945"/>
      <c r="AL25" s="61">
        <f t="shared" si="2"/>
      </c>
      <c r="AM25" s="61">
        <f t="shared" si="3"/>
      </c>
    </row>
    <row r="26" spans="1:39" s="53" customFormat="1" ht="18.75" customHeight="1">
      <c r="A26" s="177">
        <f t="shared" si="4"/>
      </c>
      <c r="B26" s="620"/>
      <c r="C26" s="56"/>
      <c r="D26" s="442"/>
      <c r="E26" s="234"/>
      <c r="F26" s="198"/>
      <c r="G26" s="187">
        <f t="shared" si="5"/>
      </c>
      <c r="H26" s="606">
        <f t="shared" si="6"/>
      </c>
      <c r="I26" s="621"/>
      <c r="J26" s="622"/>
      <c r="K26" s="623"/>
      <c r="L26" s="105"/>
      <c r="M26" s="395">
        <f t="shared" si="7"/>
      </c>
      <c r="N26" s="624">
        <f t="shared" si="8"/>
      </c>
      <c r="O26" s="625"/>
      <c r="P26" s="190"/>
      <c r="Q26" s="626">
        <f>IF($H26="","",IF($O26="Ａ",LOOKUP($D26,{8000,8500,9000,10000,12000},{0,1532,1032,408,408}),IF($O26="Ｂ",LOOKUP($D26,{8000,8500,9000,10000,12000},{782,2814,2814,2814,2814}),IF($O26="Ｃ",LOOKUP($D26,{8000,8500,9000,10000,12000},{3188,5220,5220,5220,5220}),0))))</f>
      </c>
      <c r="R26" s="627"/>
      <c r="S26" s="198"/>
      <c r="T26" s="626">
        <f>IF($H26="","",IF($R26="Ａ",LOOKUP($D26,{8000,8500,9000,10000,12000},{0,1532,1032,408,408}),IF($R26="Ｂ",LOOKUP($D26,{8000,8500,9000,10000,12000},{782,2814,2814,2814,2814}),IF($R26="Ｃ",LOOKUP($D26,{8000,8500,9000,10000,12000},{3188,5220,5220,5220,5220}),0))))</f>
      </c>
      <c r="U26" s="402">
        <f t="shared" si="9"/>
      </c>
      <c r="V26" s="404">
        <f>IF(B26="","",SUMIF('2-3_調整額内訳③(旧・旧制度)'!B:B,$B26,'2-3_調整額内訳③(旧・旧制度)'!AF:AF))</f>
      </c>
      <c r="W26" s="403">
        <f t="shared" si="10"/>
      </c>
      <c r="X26" s="628">
        <f t="shared" si="11"/>
      </c>
      <c r="Y26" s="629">
        <f t="shared" si="12"/>
      </c>
      <c r="Z26" s="630"/>
      <c r="AA26" s="404">
        <f t="shared" si="0"/>
      </c>
      <c r="AB26" s="630"/>
      <c r="AC26" s="402" t="str">
        <f t="shared" si="1"/>
        <v>0</v>
      </c>
      <c r="AD26" s="404">
        <f t="shared" si="13"/>
        <v>0</v>
      </c>
      <c r="AE26" s="631"/>
      <c r="AF26" s="402">
        <f t="shared" si="14"/>
      </c>
      <c r="AG26" s="632">
        <f t="shared" si="15"/>
      </c>
      <c r="AH26" s="944"/>
      <c r="AI26" s="944"/>
      <c r="AJ26" s="945"/>
      <c r="AL26" s="61">
        <f t="shared" si="2"/>
      </c>
      <c r="AM26" s="61">
        <f t="shared" si="3"/>
      </c>
    </row>
    <row r="27" spans="1:39" s="53" customFormat="1" ht="18.75" customHeight="1">
      <c r="A27" s="177">
        <f t="shared" si="4"/>
      </c>
      <c r="B27" s="620"/>
      <c r="C27" s="56"/>
      <c r="D27" s="442"/>
      <c r="E27" s="234"/>
      <c r="F27" s="198"/>
      <c r="G27" s="187">
        <f t="shared" si="5"/>
      </c>
      <c r="H27" s="606">
        <f t="shared" si="6"/>
      </c>
      <c r="I27" s="621"/>
      <c r="J27" s="622"/>
      <c r="K27" s="623"/>
      <c r="L27" s="105"/>
      <c r="M27" s="395">
        <f t="shared" si="7"/>
      </c>
      <c r="N27" s="624">
        <f t="shared" si="8"/>
      </c>
      <c r="O27" s="625"/>
      <c r="P27" s="190"/>
      <c r="Q27" s="626">
        <f>IF($H27="","",IF($O27="Ａ",LOOKUP($D27,{8000,8500,9000,10000,12000},{0,1532,1032,408,408}),IF($O27="Ｂ",LOOKUP($D27,{8000,8500,9000,10000,12000},{782,2814,2814,2814,2814}),IF($O27="Ｃ",LOOKUP($D27,{8000,8500,9000,10000,12000},{3188,5220,5220,5220,5220}),0))))</f>
      </c>
      <c r="R27" s="627"/>
      <c r="S27" s="198"/>
      <c r="T27" s="626">
        <f>IF($H27="","",IF($R27="Ａ",LOOKUP($D27,{8000,8500,9000,10000,12000},{0,1532,1032,408,408}),IF($R27="Ｂ",LOOKUP($D27,{8000,8500,9000,10000,12000},{782,2814,2814,2814,2814}),IF($R27="Ｃ",LOOKUP($D27,{8000,8500,9000,10000,12000},{3188,5220,5220,5220,5220}),0))))</f>
      </c>
      <c r="U27" s="402">
        <f t="shared" si="9"/>
      </c>
      <c r="V27" s="404">
        <f>IF(B27="","",SUMIF('2-3_調整額内訳③(旧・旧制度)'!B:B,$B27,'2-3_調整額内訳③(旧・旧制度)'!AF:AF))</f>
      </c>
      <c r="W27" s="403">
        <f t="shared" si="10"/>
      </c>
      <c r="X27" s="628">
        <f t="shared" si="11"/>
      </c>
      <c r="Y27" s="629">
        <f t="shared" si="12"/>
      </c>
      <c r="Z27" s="630"/>
      <c r="AA27" s="404">
        <f t="shared" si="0"/>
      </c>
      <c r="AB27" s="630"/>
      <c r="AC27" s="402" t="str">
        <f t="shared" si="1"/>
        <v>0</v>
      </c>
      <c r="AD27" s="404">
        <f t="shared" si="13"/>
        <v>0</v>
      </c>
      <c r="AE27" s="631"/>
      <c r="AF27" s="402">
        <f t="shared" si="14"/>
      </c>
      <c r="AG27" s="632">
        <f t="shared" si="15"/>
      </c>
      <c r="AH27" s="944"/>
      <c r="AI27" s="944"/>
      <c r="AJ27" s="945"/>
      <c r="AL27" s="61">
        <f t="shared" si="2"/>
      </c>
      <c r="AM27" s="61">
        <f t="shared" si="3"/>
      </c>
    </row>
    <row r="28" spans="1:39" s="53" customFormat="1" ht="18.75" customHeight="1">
      <c r="A28" s="177">
        <f t="shared" si="4"/>
      </c>
      <c r="B28" s="620"/>
      <c r="C28" s="56"/>
      <c r="D28" s="442"/>
      <c r="E28" s="234"/>
      <c r="F28" s="198"/>
      <c r="G28" s="187">
        <f t="shared" si="5"/>
      </c>
      <c r="H28" s="606">
        <f t="shared" si="6"/>
      </c>
      <c r="I28" s="621"/>
      <c r="J28" s="622"/>
      <c r="K28" s="623"/>
      <c r="L28" s="105"/>
      <c r="M28" s="395">
        <f t="shared" si="7"/>
      </c>
      <c r="N28" s="624">
        <f t="shared" si="8"/>
      </c>
      <c r="O28" s="625"/>
      <c r="P28" s="190"/>
      <c r="Q28" s="626">
        <f>IF($H28="","",IF($O28="Ａ",LOOKUP($D28,{8000,8500,9000,10000,12000},{0,1532,1032,408,408}),IF($O28="Ｂ",LOOKUP($D28,{8000,8500,9000,10000,12000},{782,2814,2814,2814,2814}),IF($O28="Ｃ",LOOKUP($D28,{8000,8500,9000,10000,12000},{3188,5220,5220,5220,5220}),0))))</f>
      </c>
      <c r="R28" s="627"/>
      <c r="S28" s="198"/>
      <c r="T28" s="626">
        <f>IF($H28="","",IF($R28="Ａ",LOOKUP($D28,{8000,8500,9000,10000,12000},{0,1532,1032,408,408}),IF($R28="Ｂ",LOOKUP($D28,{8000,8500,9000,10000,12000},{782,2814,2814,2814,2814}),IF($R28="Ｃ",LOOKUP($D28,{8000,8500,9000,10000,12000},{3188,5220,5220,5220,5220}),0))))</f>
      </c>
      <c r="U28" s="402">
        <f t="shared" si="9"/>
      </c>
      <c r="V28" s="404">
        <f>IF(B28="","",SUMIF('2-3_調整額内訳③(旧・旧制度)'!B:B,$B28,'2-3_調整額内訳③(旧・旧制度)'!AF:AF))</f>
      </c>
      <c r="W28" s="403">
        <f t="shared" si="10"/>
      </c>
      <c r="X28" s="628">
        <f t="shared" si="11"/>
      </c>
      <c r="Y28" s="629">
        <f t="shared" si="12"/>
      </c>
      <c r="Z28" s="630"/>
      <c r="AA28" s="404">
        <f t="shared" si="0"/>
      </c>
      <c r="AB28" s="630"/>
      <c r="AC28" s="402" t="str">
        <f t="shared" si="1"/>
        <v>0</v>
      </c>
      <c r="AD28" s="404">
        <f t="shared" si="13"/>
        <v>0</v>
      </c>
      <c r="AE28" s="631"/>
      <c r="AF28" s="402">
        <f t="shared" si="14"/>
      </c>
      <c r="AG28" s="632">
        <f t="shared" si="15"/>
      </c>
      <c r="AH28" s="944"/>
      <c r="AI28" s="944"/>
      <c r="AJ28" s="945"/>
      <c r="AL28" s="61">
        <f t="shared" si="2"/>
      </c>
      <c r="AM28" s="61">
        <f t="shared" si="3"/>
      </c>
    </row>
    <row r="29" spans="1:39" s="53" customFormat="1" ht="18.75" customHeight="1">
      <c r="A29" s="177">
        <f t="shared" si="4"/>
      </c>
      <c r="B29" s="620"/>
      <c r="C29" s="56"/>
      <c r="D29" s="442"/>
      <c r="E29" s="234"/>
      <c r="F29" s="198"/>
      <c r="G29" s="187">
        <f t="shared" si="5"/>
      </c>
      <c r="H29" s="606">
        <f t="shared" si="6"/>
      </c>
      <c r="I29" s="621"/>
      <c r="J29" s="622"/>
      <c r="K29" s="623"/>
      <c r="L29" s="105"/>
      <c r="M29" s="395">
        <f t="shared" si="7"/>
      </c>
      <c r="N29" s="624">
        <f t="shared" si="8"/>
      </c>
      <c r="O29" s="625"/>
      <c r="P29" s="190"/>
      <c r="Q29" s="626">
        <f>IF($H29="","",IF($O29="Ａ",LOOKUP($D29,{8000,8500,9000,10000,12000},{0,1532,1032,408,408}),IF($O29="Ｂ",LOOKUP($D29,{8000,8500,9000,10000,12000},{782,2814,2814,2814,2814}),IF($O29="Ｃ",LOOKUP($D29,{8000,8500,9000,10000,12000},{3188,5220,5220,5220,5220}),0))))</f>
      </c>
      <c r="R29" s="627"/>
      <c r="S29" s="198"/>
      <c r="T29" s="626">
        <f>IF($H29="","",IF($R29="Ａ",LOOKUP($D29,{8000,8500,9000,10000,12000},{0,1532,1032,408,408}),IF($R29="Ｂ",LOOKUP($D29,{8000,8500,9000,10000,12000},{782,2814,2814,2814,2814}),IF($R29="Ｃ",LOOKUP($D29,{8000,8500,9000,10000,12000},{3188,5220,5220,5220,5220}),0))))</f>
      </c>
      <c r="U29" s="402">
        <f t="shared" si="9"/>
      </c>
      <c r="V29" s="404">
        <f>IF(B29="","",SUMIF('2-3_調整額内訳③(旧・旧制度)'!B:B,$B29,'2-3_調整額内訳③(旧・旧制度)'!AF:AF))</f>
      </c>
      <c r="W29" s="403">
        <f t="shared" si="10"/>
      </c>
      <c r="X29" s="628">
        <f t="shared" si="11"/>
      </c>
      <c r="Y29" s="629">
        <f t="shared" si="12"/>
      </c>
      <c r="Z29" s="630"/>
      <c r="AA29" s="404">
        <f t="shared" si="0"/>
      </c>
      <c r="AB29" s="630"/>
      <c r="AC29" s="402" t="str">
        <f t="shared" si="1"/>
        <v>0</v>
      </c>
      <c r="AD29" s="404">
        <f t="shared" si="13"/>
        <v>0</v>
      </c>
      <c r="AE29" s="631"/>
      <c r="AF29" s="402">
        <f t="shared" si="14"/>
      </c>
      <c r="AG29" s="632">
        <f t="shared" si="15"/>
      </c>
      <c r="AH29" s="944"/>
      <c r="AI29" s="944"/>
      <c r="AJ29" s="945"/>
      <c r="AL29" s="61">
        <f t="shared" si="2"/>
      </c>
      <c r="AM29" s="61">
        <f t="shared" si="3"/>
      </c>
    </row>
    <row r="30" spans="1:39" s="53" customFormat="1" ht="18.75" customHeight="1">
      <c r="A30" s="177">
        <f t="shared" si="4"/>
      </c>
      <c r="B30" s="620"/>
      <c r="C30" s="56"/>
      <c r="D30" s="442"/>
      <c r="E30" s="234"/>
      <c r="F30" s="198"/>
      <c r="G30" s="187">
        <f t="shared" si="5"/>
      </c>
      <c r="H30" s="606">
        <f t="shared" si="6"/>
      </c>
      <c r="I30" s="621"/>
      <c r="J30" s="622"/>
      <c r="K30" s="623"/>
      <c r="L30" s="105"/>
      <c r="M30" s="395">
        <f t="shared" si="7"/>
      </c>
      <c r="N30" s="624">
        <f t="shared" si="8"/>
      </c>
      <c r="O30" s="625"/>
      <c r="P30" s="190"/>
      <c r="Q30" s="626">
        <f>IF($H30="","",IF($O30="Ａ",LOOKUP($D30,{8000,8500,9000,10000,12000},{0,1532,1032,408,408}),IF($O30="Ｂ",LOOKUP($D30,{8000,8500,9000,10000,12000},{782,2814,2814,2814,2814}),IF($O30="Ｃ",LOOKUP($D30,{8000,8500,9000,10000,12000},{3188,5220,5220,5220,5220}),0))))</f>
      </c>
      <c r="R30" s="627"/>
      <c r="S30" s="198"/>
      <c r="T30" s="626">
        <f>IF($H30="","",IF($R30="Ａ",LOOKUP($D30,{8000,8500,9000,10000,12000},{0,1532,1032,408,408}),IF($R30="Ｂ",LOOKUP($D30,{8000,8500,9000,10000,12000},{782,2814,2814,2814,2814}),IF($R30="Ｃ",LOOKUP($D30,{8000,8500,9000,10000,12000},{3188,5220,5220,5220,5220}),0))))</f>
      </c>
      <c r="U30" s="402">
        <f t="shared" si="9"/>
      </c>
      <c r="V30" s="404">
        <f>IF(B30="","",SUMIF('2-3_調整額内訳③(旧・旧制度)'!B:B,$B30,'2-3_調整額内訳③(旧・旧制度)'!AF:AF))</f>
      </c>
      <c r="W30" s="403">
        <f t="shared" si="10"/>
      </c>
      <c r="X30" s="628">
        <f t="shared" si="11"/>
      </c>
      <c r="Y30" s="629">
        <f t="shared" si="12"/>
      </c>
      <c r="Z30" s="630"/>
      <c r="AA30" s="404">
        <f t="shared" si="0"/>
      </c>
      <c r="AB30" s="630"/>
      <c r="AC30" s="402" t="str">
        <f t="shared" si="1"/>
        <v>0</v>
      </c>
      <c r="AD30" s="404">
        <f t="shared" si="13"/>
        <v>0</v>
      </c>
      <c r="AE30" s="631"/>
      <c r="AF30" s="402">
        <f t="shared" si="14"/>
      </c>
      <c r="AG30" s="632">
        <f t="shared" si="15"/>
      </c>
      <c r="AH30" s="944"/>
      <c r="AI30" s="944"/>
      <c r="AJ30" s="945"/>
      <c r="AL30" s="61">
        <f t="shared" si="2"/>
      </c>
      <c r="AM30" s="61">
        <f t="shared" si="3"/>
      </c>
    </row>
    <row r="31" spans="1:39" s="53" customFormat="1" ht="18.75" customHeight="1">
      <c r="A31" s="177">
        <f t="shared" si="4"/>
      </c>
      <c r="B31" s="620"/>
      <c r="C31" s="56"/>
      <c r="D31" s="442"/>
      <c r="E31" s="234"/>
      <c r="F31" s="198"/>
      <c r="G31" s="187">
        <f t="shared" si="5"/>
      </c>
      <c r="H31" s="606">
        <f t="shared" si="6"/>
      </c>
      <c r="I31" s="621"/>
      <c r="J31" s="622"/>
      <c r="K31" s="623"/>
      <c r="L31" s="105"/>
      <c r="M31" s="395">
        <f t="shared" si="7"/>
      </c>
      <c r="N31" s="624">
        <f t="shared" si="8"/>
      </c>
      <c r="O31" s="625"/>
      <c r="P31" s="190"/>
      <c r="Q31" s="626">
        <f>IF($H31="","",IF($O31="Ａ",LOOKUP($D31,{8000,8500,9000,10000,12000},{0,1532,1032,408,408}),IF($O31="Ｂ",LOOKUP($D31,{8000,8500,9000,10000,12000},{782,2814,2814,2814,2814}),IF($O31="Ｃ",LOOKUP($D31,{8000,8500,9000,10000,12000},{3188,5220,5220,5220,5220}),0))))</f>
      </c>
      <c r="R31" s="627"/>
      <c r="S31" s="198"/>
      <c r="T31" s="626">
        <f>IF($H31="","",IF($R31="Ａ",LOOKUP($D31,{8000,8500,9000,10000,12000},{0,1532,1032,408,408}),IF($R31="Ｂ",LOOKUP($D31,{8000,8500,9000,10000,12000},{782,2814,2814,2814,2814}),IF($R31="Ｃ",LOOKUP($D31,{8000,8500,9000,10000,12000},{3188,5220,5220,5220,5220}),0))))</f>
      </c>
      <c r="U31" s="402">
        <f t="shared" si="9"/>
      </c>
      <c r="V31" s="404">
        <f>IF(B31="","",SUMIF('2-3_調整額内訳③(旧・旧制度)'!B:B,$B31,'2-3_調整額内訳③(旧・旧制度)'!AF:AF))</f>
      </c>
      <c r="W31" s="403">
        <f t="shared" si="10"/>
      </c>
      <c r="X31" s="628">
        <f t="shared" si="11"/>
      </c>
      <c r="Y31" s="629">
        <f t="shared" si="12"/>
      </c>
      <c r="Z31" s="630"/>
      <c r="AA31" s="404">
        <f t="shared" si="0"/>
      </c>
      <c r="AB31" s="630"/>
      <c r="AC31" s="402" t="str">
        <f t="shared" si="1"/>
        <v>0</v>
      </c>
      <c r="AD31" s="404">
        <f t="shared" si="13"/>
        <v>0</v>
      </c>
      <c r="AE31" s="631"/>
      <c r="AF31" s="402">
        <f t="shared" si="14"/>
      </c>
      <c r="AG31" s="632">
        <f t="shared" si="15"/>
      </c>
      <c r="AH31" s="944"/>
      <c r="AI31" s="944"/>
      <c r="AJ31" s="945"/>
      <c r="AL31" s="61">
        <f t="shared" si="2"/>
      </c>
      <c r="AM31" s="61">
        <f t="shared" si="3"/>
      </c>
    </row>
    <row r="32" spans="1:39" s="53" customFormat="1" ht="18.75" customHeight="1">
      <c r="A32" s="177">
        <f t="shared" si="4"/>
      </c>
      <c r="B32" s="620"/>
      <c r="C32" s="56"/>
      <c r="D32" s="442"/>
      <c r="E32" s="234"/>
      <c r="F32" s="198"/>
      <c r="G32" s="187">
        <f t="shared" si="5"/>
      </c>
      <c r="H32" s="606">
        <f t="shared" si="6"/>
      </c>
      <c r="I32" s="621"/>
      <c r="J32" s="622"/>
      <c r="K32" s="623"/>
      <c r="L32" s="105"/>
      <c r="M32" s="395">
        <f t="shared" si="7"/>
      </c>
      <c r="N32" s="624">
        <f t="shared" si="8"/>
      </c>
      <c r="O32" s="625"/>
      <c r="P32" s="190"/>
      <c r="Q32" s="626">
        <f>IF($H32="","",IF($O32="Ａ",LOOKUP($D32,{8000,8500,9000,10000,12000},{0,1532,1032,408,408}),IF($O32="Ｂ",LOOKUP($D32,{8000,8500,9000,10000,12000},{782,2814,2814,2814,2814}),IF($O32="Ｃ",LOOKUP($D32,{8000,8500,9000,10000,12000},{3188,5220,5220,5220,5220}),0))))</f>
      </c>
      <c r="R32" s="627"/>
      <c r="S32" s="198"/>
      <c r="T32" s="626">
        <f>IF($H32="","",IF($R32="Ａ",LOOKUP($D32,{8000,8500,9000,10000,12000},{0,1532,1032,408,408}),IF($R32="Ｂ",LOOKUP($D32,{8000,8500,9000,10000,12000},{782,2814,2814,2814,2814}),IF($R32="Ｃ",LOOKUP($D32,{8000,8500,9000,10000,12000},{3188,5220,5220,5220,5220}),0))))</f>
      </c>
      <c r="U32" s="402">
        <f t="shared" si="9"/>
      </c>
      <c r="V32" s="404">
        <f>IF(B32="","",SUMIF('2-3_調整額内訳③(旧・旧制度)'!B:B,$B32,'2-3_調整額内訳③(旧・旧制度)'!AF:AF))</f>
      </c>
      <c r="W32" s="403">
        <f t="shared" si="10"/>
      </c>
      <c r="X32" s="628">
        <f t="shared" si="11"/>
      </c>
      <c r="Y32" s="629">
        <f t="shared" si="12"/>
      </c>
      <c r="Z32" s="630"/>
      <c r="AA32" s="404">
        <f t="shared" si="0"/>
      </c>
      <c r="AB32" s="630"/>
      <c r="AC32" s="402" t="str">
        <f t="shared" si="1"/>
        <v>0</v>
      </c>
      <c r="AD32" s="404">
        <f t="shared" si="13"/>
        <v>0</v>
      </c>
      <c r="AE32" s="631"/>
      <c r="AF32" s="402">
        <f t="shared" si="14"/>
      </c>
      <c r="AG32" s="632">
        <f t="shared" si="15"/>
      </c>
      <c r="AH32" s="944"/>
      <c r="AI32" s="944"/>
      <c r="AJ32" s="945"/>
      <c r="AL32" s="61">
        <f t="shared" si="2"/>
      </c>
      <c r="AM32" s="61">
        <f t="shared" si="3"/>
      </c>
    </row>
    <row r="33" spans="1:39" s="53" customFormat="1" ht="18.75" customHeight="1">
      <c r="A33" s="177">
        <f t="shared" si="4"/>
      </c>
      <c r="B33" s="620"/>
      <c r="C33" s="56"/>
      <c r="D33" s="442"/>
      <c r="E33" s="234"/>
      <c r="F33" s="198"/>
      <c r="G33" s="187">
        <f t="shared" si="5"/>
      </c>
      <c r="H33" s="606">
        <f t="shared" si="6"/>
      </c>
      <c r="I33" s="621"/>
      <c r="J33" s="622"/>
      <c r="K33" s="623"/>
      <c r="L33" s="105"/>
      <c r="M33" s="395">
        <f t="shared" si="7"/>
      </c>
      <c r="N33" s="624">
        <f t="shared" si="8"/>
      </c>
      <c r="O33" s="625"/>
      <c r="P33" s="190"/>
      <c r="Q33" s="626">
        <f>IF($H33="","",IF($O33="Ａ",LOOKUP($D33,{8000,8500,9000,10000,12000},{0,1532,1032,408,408}),IF($O33="Ｂ",LOOKUP($D33,{8000,8500,9000,10000,12000},{782,2814,2814,2814,2814}),IF($O33="Ｃ",LOOKUP($D33,{8000,8500,9000,10000,12000},{3188,5220,5220,5220,5220}),0))))</f>
      </c>
      <c r="R33" s="627"/>
      <c r="S33" s="198"/>
      <c r="T33" s="626">
        <f>IF($H33="","",IF($R33="Ａ",LOOKUP($D33,{8000,8500,9000,10000,12000},{0,1532,1032,408,408}),IF($R33="Ｂ",LOOKUP($D33,{8000,8500,9000,10000,12000},{782,2814,2814,2814,2814}),IF($R33="Ｃ",LOOKUP($D33,{8000,8500,9000,10000,12000},{3188,5220,5220,5220,5220}),0))))</f>
      </c>
      <c r="U33" s="402">
        <f t="shared" si="9"/>
      </c>
      <c r="V33" s="404">
        <f>IF(B33="","",SUMIF('2-3_調整額内訳③(旧・旧制度)'!B:B,$B33,'2-3_調整額内訳③(旧・旧制度)'!AF:AF))</f>
      </c>
      <c r="W33" s="403">
        <f t="shared" si="10"/>
      </c>
      <c r="X33" s="628">
        <f t="shared" si="11"/>
      </c>
      <c r="Y33" s="629">
        <f t="shared" si="12"/>
      </c>
      <c r="Z33" s="630"/>
      <c r="AA33" s="404">
        <f t="shared" si="0"/>
      </c>
      <c r="AB33" s="630"/>
      <c r="AC33" s="402" t="str">
        <f t="shared" si="1"/>
        <v>0</v>
      </c>
      <c r="AD33" s="404">
        <f t="shared" si="13"/>
        <v>0</v>
      </c>
      <c r="AE33" s="631"/>
      <c r="AF33" s="402">
        <f t="shared" si="14"/>
      </c>
      <c r="AG33" s="632">
        <f t="shared" si="15"/>
      </c>
      <c r="AH33" s="944"/>
      <c r="AI33" s="944"/>
      <c r="AJ33" s="945"/>
      <c r="AL33" s="61">
        <f t="shared" si="2"/>
      </c>
      <c r="AM33" s="61">
        <f t="shared" si="3"/>
      </c>
    </row>
    <row r="34" spans="1:39" s="53" customFormat="1" ht="18.75" customHeight="1">
      <c r="A34" s="177">
        <f t="shared" si="4"/>
      </c>
      <c r="B34" s="620"/>
      <c r="C34" s="56"/>
      <c r="D34" s="442"/>
      <c r="E34" s="234"/>
      <c r="F34" s="198"/>
      <c r="G34" s="187">
        <f t="shared" si="5"/>
      </c>
      <c r="H34" s="606">
        <f t="shared" si="6"/>
      </c>
      <c r="I34" s="621"/>
      <c r="J34" s="622"/>
      <c r="K34" s="623"/>
      <c r="L34" s="105"/>
      <c r="M34" s="395">
        <f t="shared" si="7"/>
      </c>
      <c r="N34" s="624">
        <f t="shared" si="8"/>
      </c>
      <c r="O34" s="625"/>
      <c r="P34" s="190"/>
      <c r="Q34" s="626">
        <f>IF($H34="","",IF($O34="Ａ",LOOKUP($D34,{8000,8500,9000,10000,12000},{0,1532,1032,408,408}),IF($O34="Ｂ",LOOKUP($D34,{8000,8500,9000,10000,12000},{782,2814,2814,2814,2814}),IF($O34="Ｃ",LOOKUP($D34,{8000,8500,9000,10000,12000},{3188,5220,5220,5220,5220}),0))))</f>
      </c>
      <c r="R34" s="627"/>
      <c r="S34" s="198"/>
      <c r="T34" s="626">
        <f>IF($H34="","",IF($R34="Ａ",LOOKUP($D34,{8000,8500,9000,10000,12000},{0,1532,1032,408,408}),IF($R34="Ｂ",LOOKUP($D34,{8000,8500,9000,10000,12000},{782,2814,2814,2814,2814}),IF($R34="Ｃ",LOOKUP($D34,{8000,8500,9000,10000,12000},{3188,5220,5220,5220,5220}),0))))</f>
      </c>
      <c r="U34" s="402">
        <f t="shared" si="9"/>
      </c>
      <c r="V34" s="404">
        <f>IF(B34="","",SUMIF('2-3_調整額内訳③(旧・旧制度)'!B:B,$B34,'2-3_調整額内訳③(旧・旧制度)'!AF:AF))</f>
      </c>
      <c r="W34" s="403">
        <f t="shared" si="10"/>
      </c>
      <c r="X34" s="628">
        <f t="shared" si="11"/>
      </c>
      <c r="Y34" s="629">
        <f t="shared" si="12"/>
      </c>
      <c r="Z34" s="630"/>
      <c r="AA34" s="404">
        <f t="shared" si="0"/>
      </c>
      <c r="AB34" s="630"/>
      <c r="AC34" s="402" t="str">
        <f t="shared" si="1"/>
        <v>0</v>
      </c>
      <c r="AD34" s="404">
        <f t="shared" si="13"/>
        <v>0</v>
      </c>
      <c r="AE34" s="631"/>
      <c r="AF34" s="402">
        <f t="shared" si="14"/>
      </c>
      <c r="AG34" s="632">
        <f t="shared" si="15"/>
      </c>
      <c r="AH34" s="944"/>
      <c r="AI34" s="944"/>
      <c r="AJ34" s="945"/>
      <c r="AL34" s="61">
        <f t="shared" si="2"/>
      </c>
      <c r="AM34" s="61">
        <f t="shared" si="3"/>
      </c>
    </row>
    <row r="35" spans="1:39" s="53" customFormat="1" ht="18.75" customHeight="1">
      <c r="A35" s="177">
        <f t="shared" si="4"/>
      </c>
      <c r="B35" s="620"/>
      <c r="C35" s="56"/>
      <c r="D35" s="442"/>
      <c r="E35" s="633"/>
      <c r="F35" s="507"/>
      <c r="G35" s="187">
        <f t="shared" si="5"/>
      </c>
      <c r="H35" s="606">
        <f t="shared" si="6"/>
      </c>
      <c r="I35" s="621"/>
      <c r="J35" s="634"/>
      <c r="K35" s="635"/>
      <c r="L35" s="636"/>
      <c r="M35" s="395">
        <f t="shared" si="7"/>
      </c>
      <c r="N35" s="624">
        <f t="shared" si="8"/>
      </c>
      <c r="O35" s="625"/>
      <c r="P35" s="190"/>
      <c r="Q35" s="626">
        <f>IF($H35="","",IF($O35="Ａ",LOOKUP($D35,{8000,8500,9000,10000,12000},{0,1532,1032,408,408}),IF($O35="Ｂ",LOOKUP($D35,{8000,8500,9000,10000,12000},{782,2814,2814,2814,2814}),IF($O35="Ｃ",LOOKUP($D35,{8000,8500,9000,10000,12000},{3188,5220,5220,5220,5220}),0))))</f>
      </c>
      <c r="R35" s="627"/>
      <c r="S35" s="198"/>
      <c r="T35" s="626">
        <f>IF($H35="","",IF($R35="Ａ",LOOKUP($D35,{8000,8500,9000,10000,12000},{0,1532,1032,408,408}),IF($R35="Ｂ",LOOKUP($D35,{8000,8500,9000,10000,12000},{782,2814,2814,2814,2814}),IF($R35="Ｃ",LOOKUP($D35,{8000,8500,9000,10000,12000},{3188,5220,5220,5220,5220}),0))))</f>
      </c>
      <c r="U35" s="402">
        <f t="shared" si="9"/>
      </c>
      <c r="V35" s="404">
        <f>IF(B35="","",SUMIF('2-3_調整額内訳③(旧・旧制度)'!B:B,$B35,'2-3_調整額内訳③(旧・旧制度)'!AF:AF))</f>
      </c>
      <c r="W35" s="403">
        <f t="shared" si="10"/>
      </c>
      <c r="X35" s="628">
        <f t="shared" si="11"/>
      </c>
      <c r="Y35" s="629">
        <f t="shared" si="12"/>
      </c>
      <c r="Z35" s="630"/>
      <c r="AA35" s="404">
        <f t="shared" si="0"/>
      </c>
      <c r="AB35" s="630"/>
      <c r="AC35" s="402" t="str">
        <f t="shared" si="1"/>
        <v>0</v>
      </c>
      <c r="AD35" s="404">
        <f t="shared" si="13"/>
        <v>0</v>
      </c>
      <c r="AE35" s="631"/>
      <c r="AF35" s="402">
        <f t="shared" si="14"/>
      </c>
      <c r="AG35" s="632">
        <f t="shared" si="15"/>
      </c>
      <c r="AH35" s="944"/>
      <c r="AI35" s="944"/>
      <c r="AJ35" s="945"/>
      <c r="AL35" s="61">
        <f t="shared" si="2"/>
      </c>
      <c r="AM35" s="61">
        <f t="shared" si="3"/>
      </c>
    </row>
    <row r="36" spans="1:39" s="53" customFormat="1" ht="18.75" customHeight="1">
      <c r="A36" s="177">
        <f t="shared" si="4"/>
      </c>
      <c r="B36" s="620"/>
      <c r="C36" s="56"/>
      <c r="D36" s="442"/>
      <c r="E36" s="234"/>
      <c r="F36" s="198"/>
      <c r="G36" s="187">
        <f t="shared" si="5"/>
      </c>
      <c r="H36" s="606">
        <f t="shared" si="6"/>
      </c>
      <c r="I36" s="621"/>
      <c r="J36" s="622"/>
      <c r="K36" s="623"/>
      <c r="L36" s="105"/>
      <c r="M36" s="395">
        <f t="shared" si="7"/>
      </c>
      <c r="N36" s="624">
        <f t="shared" si="8"/>
      </c>
      <c r="O36" s="625"/>
      <c r="P36" s="190"/>
      <c r="Q36" s="626">
        <f>IF($H36="","",IF($O36="Ａ",LOOKUP($D36,{8000,8500,9000,10000,12000},{0,1532,1032,408,408}),IF($O36="Ｂ",LOOKUP($D36,{8000,8500,9000,10000,12000},{782,2814,2814,2814,2814}),IF($O36="Ｃ",LOOKUP($D36,{8000,8500,9000,10000,12000},{3188,5220,5220,5220,5220}),0))))</f>
      </c>
      <c r="R36" s="627"/>
      <c r="S36" s="198"/>
      <c r="T36" s="626">
        <f>IF($H36="","",IF($R36="Ａ",LOOKUP($D36,{8000,8500,9000,10000,12000},{0,1532,1032,408,408}),IF($R36="Ｂ",LOOKUP($D36,{8000,8500,9000,10000,12000},{782,2814,2814,2814,2814}),IF($R36="Ｃ",LOOKUP($D36,{8000,8500,9000,10000,12000},{3188,5220,5220,5220,5220}),0))))</f>
      </c>
      <c r="U36" s="402">
        <f t="shared" si="9"/>
      </c>
      <c r="V36" s="404">
        <f>IF(B36="","",SUMIF('2-3_調整額内訳③(旧・旧制度)'!B:B,$B36,'2-3_調整額内訳③(旧・旧制度)'!AF:AF))</f>
      </c>
      <c r="W36" s="403">
        <f t="shared" si="10"/>
      </c>
      <c r="X36" s="628">
        <f t="shared" si="11"/>
      </c>
      <c r="Y36" s="629">
        <f t="shared" si="12"/>
      </c>
      <c r="Z36" s="630"/>
      <c r="AA36" s="404">
        <f t="shared" si="0"/>
      </c>
      <c r="AB36" s="630"/>
      <c r="AC36" s="402" t="str">
        <f t="shared" si="1"/>
        <v>0</v>
      </c>
      <c r="AD36" s="404">
        <f t="shared" si="13"/>
        <v>0</v>
      </c>
      <c r="AE36" s="631"/>
      <c r="AF36" s="402">
        <f t="shared" si="14"/>
      </c>
      <c r="AG36" s="632">
        <f t="shared" si="15"/>
      </c>
      <c r="AH36" s="944"/>
      <c r="AI36" s="944"/>
      <c r="AJ36" s="945"/>
      <c r="AL36" s="61">
        <f t="shared" si="2"/>
      </c>
      <c r="AM36" s="61">
        <f t="shared" si="3"/>
      </c>
    </row>
    <row r="37" spans="1:39" s="53" customFormat="1" ht="18.75" customHeight="1">
      <c r="A37" s="177">
        <f t="shared" si="4"/>
      </c>
      <c r="B37" s="620"/>
      <c r="C37" s="56"/>
      <c r="D37" s="442"/>
      <c r="E37" s="234"/>
      <c r="F37" s="198"/>
      <c r="G37" s="187">
        <f t="shared" si="5"/>
      </c>
      <c r="H37" s="606">
        <f t="shared" si="6"/>
      </c>
      <c r="I37" s="621"/>
      <c r="J37" s="622"/>
      <c r="K37" s="623"/>
      <c r="L37" s="105"/>
      <c r="M37" s="395">
        <f t="shared" si="7"/>
      </c>
      <c r="N37" s="624">
        <f t="shared" si="8"/>
      </c>
      <c r="O37" s="625"/>
      <c r="P37" s="190"/>
      <c r="Q37" s="626">
        <f>IF($H37="","",IF($O37="Ａ",LOOKUP($D37,{8000,8500,9000,10000,12000},{0,1532,1032,408,408}),IF($O37="Ｂ",LOOKUP($D37,{8000,8500,9000,10000,12000},{782,2814,2814,2814,2814}),IF($O37="Ｃ",LOOKUP($D37,{8000,8500,9000,10000,12000},{3188,5220,5220,5220,5220}),0))))</f>
      </c>
      <c r="R37" s="627"/>
      <c r="S37" s="198"/>
      <c r="T37" s="626">
        <f>IF($H37="","",IF($R37="Ａ",LOOKUP($D37,{8000,8500,9000,10000,12000},{0,1532,1032,408,408}),IF($R37="Ｂ",LOOKUP($D37,{8000,8500,9000,10000,12000},{782,2814,2814,2814,2814}),IF($R37="Ｃ",LOOKUP($D37,{8000,8500,9000,10000,12000},{3188,5220,5220,5220,5220}),0))))</f>
      </c>
      <c r="U37" s="402">
        <f t="shared" si="9"/>
      </c>
      <c r="V37" s="404">
        <f>IF(B37="","",SUMIF('2-3_調整額内訳③(旧・旧制度)'!B:B,$B37,'2-3_調整額内訳③(旧・旧制度)'!AF:AF))</f>
      </c>
      <c r="W37" s="403">
        <f t="shared" si="10"/>
      </c>
      <c r="X37" s="628">
        <f t="shared" si="11"/>
      </c>
      <c r="Y37" s="629">
        <f t="shared" si="12"/>
      </c>
      <c r="Z37" s="630"/>
      <c r="AA37" s="404">
        <f t="shared" si="0"/>
      </c>
      <c r="AB37" s="630"/>
      <c r="AC37" s="402" t="str">
        <f t="shared" si="1"/>
        <v>0</v>
      </c>
      <c r="AD37" s="404">
        <f t="shared" si="13"/>
        <v>0</v>
      </c>
      <c r="AE37" s="631"/>
      <c r="AF37" s="402">
        <f t="shared" si="14"/>
      </c>
      <c r="AG37" s="632">
        <f t="shared" si="15"/>
      </c>
      <c r="AH37" s="944"/>
      <c r="AI37" s="944"/>
      <c r="AJ37" s="945"/>
      <c r="AL37" s="61">
        <f t="shared" si="2"/>
      </c>
      <c r="AM37" s="61">
        <f t="shared" si="3"/>
      </c>
    </row>
    <row r="38" spans="1:39" s="53" customFormat="1" ht="18.75" customHeight="1">
      <c r="A38" s="177">
        <f t="shared" si="4"/>
      </c>
      <c r="B38" s="620"/>
      <c r="C38" s="56"/>
      <c r="D38" s="442"/>
      <c r="E38" s="234"/>
      <c r="F38" s="198"/>
      <c r="G38" s="187">
        <f t="shared" si="5"/>
      </c>
      <c r="H38" s="606">
        <f t="shared" si="6"/>
      </c>
      <c r="I38" s="621"/>
      <c r="J38" s="622"/>
      <c r="K38" s="623"/>
      <c r="L38" s="105"/>
      <c r="M38" s="395">
        <f t="shared" si="7"/>
      </c>
      <c r="N38" s="624">
        <f t="shared" si="8"/>
      </c>
      <c r="O38" s="625"/>
      <c r="P38" s="190"/>
      <c r="Q38" s="626">
        <f>IF($H38="","",IF($O38="Ａ",LOOKUP($D38,{8000,8500,9000,10000,12000},{0,1532,1032,408,408}),IF($O38="Ｂ",LOOKUP($D38,{8000,8500,9000,10000,12000},{782,2814,2814,2814,2814}),IF($O38="Ｃ",LOOKUP($D38,{8000,8500,9000,10000,12000},{3188,5220,5220,5220,5220}),0))))</f>
      </c>
      <c r="R38" s="627"/>
      <c r="S38" s="198"/>
      <c r="T38" s="626">
        <f>IF($H38="","",IF($R38="Ａ",LOOKUP($D38,{8000,8500,9000,10000,12000},{0,1532,1032,408,408}),IF($R38="Ｂ",LOOKUP($D38,{8000,8500,9000,10000,12000},{782,2814,2814,2814,2814}),IF($R38="Ｃ",LOOKUP($D38,{8000,8500,9000,10000,12000},{3188,5220,5220,5220,5220}),0))))</f>
      </c>
      <c r="U38" s="402">
        <f t="shared" si="9"/>
      </c>
      <c r="V38" s="404">
        <f>IF(B38="","",SUMIF('2-3_調整額内訳③(旧・旧制度)'!B:B,$B38,'2-3_調整額内訳③(旧・旧制度)'!AF:AF))</f>
      </c>
      <c r="W38" s="403">
        <f t="shared" si="10"/>
      </c>
      <c r="X38" s="628">
        <f t="shared" si="11"/>
      </c>
      <c r="Y38" s="629">
        <f t="shared" si="12"/>
      </c>
      <c r="Z38" s="630"/>
      <c r="AA38" s="404">
        <f t="shared" si="0"/>
      </c>
      <c r="AB38" s="630"/>
      <c r="AC38" s="402" t="str">
        <f t="shared" si="1"/>
        <v>0</v>
      </c>
      <c r="AD38" s="404">
        <f t="shared" si="13"/>
        <v>0</v>
      </c>
      <c r="AE38" s="631"/>
      <c r="AF38" s="402">
        <f t="shared" si="14"/>
      </c>
      <c r="AG38" s="632">
        <f t="shared" si="15"/>
      </c>
      <c r="AH38" s="944"/>
      <c r="AI38" s="944"/>
      <c r="AJ38" s="945"/>
      <c r="AL38" s="61">
        <f t="shared" si="2"/>
      </c>
      <c r="AM38" s="61">
        <f t="shared" si="3"/>
      </c>
    </row>
    <row r="39" spans="1:39" s="53" customFormat="1" ht="18.75" customHeight="1">
      <c r="A39" s="177">
        <f t="shared" si="4"/>
      </c>
      <c r="B39" s="620"/>
      <c r="C39" s="56"/>
      <c r="D39" s="442"/>
      <c r="E39" s="234"/>
      <c r="F39" s="198"/>
      <c r="G39" s="187">
        <f t="shared" si="5"/>
      </c>
      <c r="H39" s="606">
        <f t="shared" si="6"/>
      </c>
      <c r="I39" s="621"/>
      <c r="J39" s="622"/>
      <c r="K39" s="623"/>
      <c r="L39" s="105"/>
      <c r="M39" s="395">
        <f t="shared" si="7"/>
      </c>
      <c r="N39" s="624">
        <f t="shared" si="8"/>
      </c>
      <c r="O39" s="625"/>
      <c r="P39" s="190"/>
      <c r="Q39" s="626">
        <f>IF($H39="","",IF($O39="Ａ",LOOKUP($D39,{8000,8500,9000,10000,12000},{0,1532,1032,408,408}),IF($O39="Ｂ",LOOKUP($D39,{8000,8500,9000,10000,12000},{782,2814,2814,2814,2814}),IF($O39="Ｃ",LOOKUP($D39,{8000,8500,9000,10000,12000},{3188,5220,5220,5220,5220}),0))))</f>
      </c>
      <c r="R39" s="627"/>
      <c r="S39" s="198"/>
      <c r="T39" s="626">
        <f>IF($H39="","",IF($R39="Ａ",LOOKUP($D39,{8000,8500,9000,10000,12000},{0,1532,1032,408,408}),IF($R39="Ｂ",LOOKUP($D39,{8000,8500,9000,10000,12000},{782,2814,2814,2814,2814}),IF($R39="Ｃ",LOOKUP($D39,{8000,8500,9000,10000,12000},{3188,5220,5220,5220,5220}),0))))</f>
      </c>
      <c r="U39" s="402">
        <f t="shared" si="9"/>
      </c>
      <c r="V39" s="404">
        <f>IF(B39="","",SUMIF('2-3_調整額内訳③(旧・旧制度)'!B:B,$B39,'2-3_調整額内訳③(旧・旧制度)'!AF:AF))</f>
      </c>
      <c r="W39" s="403">
        <f t="shared" si="10"/>
      </c>
      <c r="X39" s="628">
        <f t="shared" si="11"/>
      </c>
      <c r="Y39" s="629">
        <f t="shared" si="12"/>
      </c>
      <c r="Z39" s="630"/>
      <c r="AA39" s="404">
        <f t="shared" si="0"/>
      </c>
      <c r="AB39" s="630"/>
      <c r="AC39" s="402" t="str">
        <f t="shared" si="1"/>
        <v>0</v>
      </c>
      <c r="AD39" s="404">
        <f t="shared" si="13"/>
        <v>0</v>
      </c>
      <c r="AE39" s="631"/>
      <c r="AF39" s="402">
        <f t="shared" si="14"/>
      </c>
      <c r="AG39" s="632">
        <f t="shared" si="15"/>
      </c>
      <c r="AH39" s="944"/>
      <c r="AI39" s="944"/>
      <c r="AJ39" s="945"/>
      <c r="AL39" s="61">
        <f t="shared" si="2"/>
      </c>
      <c r="AM39" s="61">
        <f t="shared" si="3"/>
      </c>
    </row>
    <row r="40" spans="1:39" s="53" customFormat="1" ht="18.75" customHeight="1">
      <c r="A40" s="177">
        <f t="shared" si="4"/>
      </c>
      <c r="B40" s="620"/>
      <c r="C40" s="56"/>
      <c r="D40" s="442"/>
      <c r="E40" s="234"/>
      <c r="F40" s="198"/>
      <c r="G40" s="187">
        <f t="shared" si="5"/>
      </c>
      <c r="H40" s="606">
        <f t="shared" si="6"/>
      </c>
      <c r="I40" s="621"/>
      <c r="J40" s="622"/>
      <c r="K40" s="623"/>
      <c r="L40" s="105"/>
      <c r="M40" s="395">
        <f t="shared" si="7"/>
      </c>
      <c r="N40" s="624">
        <f t="shared" si="8"/>
      </c>
      <c r="O40" s="625"/>
      <c r="P40" s="190"/>
      <c r="Q40" s="626">
        <f>IF($H40="","",IF($O40="Ａ",LOOKUP($D40,{8000,8500,9000,10000,12000},{0,1532,1032,408,408}),IF($O40="Ｂ",LOOKUP($D40,{8000,8500,9000,10000,12000},{782,2814,2814,2814,2814}),IF($O40="Ｃ",LOOKUP($D40,{8000,8500,9000,10000,12000},{3188,5220,5220,5220,5220}),0))))</f>
      </c>
      <c r="R40" s="627"/>
      <c r="S40" s="198"/>
      <c r="T40" s="626">
        <f>IF($H40="","",IF($R40="Ａ",LOOKUP($D40,{8000,8500,9000,10000,12000},{0,1532,1032,408,408}),IF($R40="Ｂ",LOOKUP($D40,{8000,8500,9000,10000,12000},{782,2814,2814,2814,2814}),IF($R40="Ｃ",LOOKUP($D40,{8000,8500,9000,10000,12000},{3188,5220,5220,5220,5220}),0))))</f>
      </c>
      <c r="U40" s="402">
        <f t="shared" si="9"/>
      </c>
      <c r="V40" s="404">
        <f>IF(B40="","",SUMIF('2-3_調整額内訳③(旧・旧制度)'!B:B,$B40,'2-3_調整額内訳③(旧・旧制度)'!AF:AF))</f>
      </c>
      <c r="W40" s="403">
        <f t="shared" si="10"/>
      </c>
      <c r="X40" s="628">
        <f t="shared" si="11"/>
      </c>
      <c r="Y40" s="629">
        <f t="shared" si="12"/>
      </c>
      <c r="Z40" s="630"/>
      <c r="AA40" s="404">
        <f t="shared" si="0"/>
      </c>
      <c r="AB40" s="630"/>
      <c r="AC40" s="402" t="str">
        <f t="shared" si="1"/>
        <v>0</v>
      </c>
      <c r="AD40" s="404">
        <f t="shared" si="13"/>
        <v>0</v>
      </c>
      <c r="AE40" s="631"/>
      <c r="AF40" s="402">
        <f t="shared" si="14"/>
      </c>
      <c r="AG40" s="632">
        <f t="shared" si="15"/>
      </c>
      <c r="AH40" s="944"/>
      <c r="AI40" s="944"/>
      <c r="AJ40" s="945"/>
      <c r="AL40" s="61">
        <f t="shared" si="2"/>
      </c>
      <c r="AM40" s="61">
        <f t="shared" si="3"/>
      </c>
    </row>
    <row r="41" spans="1:39" s="53" customFormat="1" ht="18.75" customHeight="1">
      <c r="A41" s="177">
        <f t="shared" si="4"/>
      </c>
      <c r="B41" s="620"/>
      <c r="C41" s="56"/>
      <c r="D41" s="442"/>
      <c r="E41" s="234"/>
      <c r="F41" s="198"/>
      <c r="G41" s="187">
        <f t="shared" si="5"/>
      </c>
      <c r="H41" s="606">
        <f t="shared" si="6"/>
      </c>
      <c r="I41" s="621"/>
      <c r="J41" s="622"/>
      <c r="K41" s="623"/>
      <c r="L41" s="105"/>
      <c r="M41" s="395">
        <f t="shared" si="7"/>
      </c>
      <c r="N41" s="624">
        <f t="shared" si="8"/>
      </c>
      <c r="O41" s="625"/>
      <c r="P41" s="190"/>
      <c r="Q41" s="626">
        <f>IF($H41="","",IF($O41="Ａ",LOOKUP($D41,{8000,8500,9000,10000,12000},{0,1532,1032,408,408}),IF($O41="Ｂ",LOOKUP($D41,{8000,8500,9000,10000,12000},{782,2814,2814,2814,2814}),IF($O41="Ｃ",LOOKUP($D41,{8000,8500,9000,10000,12000},{3188,5220,5220,5220,5220}),0))))</f>
      </c>
      <c r="R41" s="627"/>
      <c r="S41" s="198"/>
      <c r="T41" s="626">
        <f>IF($H41="","",IF($R41="Ａ",LOOKUP($D41,{8000,8500,9000,10000,12000},{0,1532,1032,408,408}),IF($R41="Ｂ",LOOKUP($D41,{8000,8500,9000,10000,12000},{782,2814,2814,2814,2814}),IF($R41="Ｃ",LOOKUP($D41,{8000,8500,9000,10000,12000},{3188,5220,5220,5220,5220}),0))))</f>
      </c>
      <c r="U41" s="402">
        <f t="shared" si="9"/>
      </c>
      <c r="V41" s="404">
        <f>IF(B41="","",SUMIF('2-3_調整額内訳③(旧・旧制度)'!B:B,$B41,'2-3_調整額内訳③(旧・旧制度)'!AF:AF))</f>
      </c>
      <c r="W41" s="403">
        <f t="shared" si="10"/>
      </c>
      <c r="X41" s="628">
        <f t="shared" si="11"/>
      </c>
      <c r="Y41" s="629">
        <f t="shared" si="12"/>
      </c>
      <c r="Z41" s="630"/>
      <c r="AA41" s="404">
        <f t="shared" si="0"/>
      </c>
      <c r="AB41" s="630"/>
      <c r="AC41" s="402" t="str">
        <f t="shared" si="1"/>
        <v>0</v>
      </c>
      <c r="AD41" s="404">
        <f t="shared" si="13"/>
        <v>0</v>
      </c>
      <c r="AE41" s="631"/>
      <c r="AF41" s="402">
        <f t="shared" si="14"/>
      </c>
      <c r="AG41" s="632">
        <f t="shared" si="15"/>
      </c>
      <c r="AH41" s="944"/>
      <c r="AI41" s="944"/>
      <c r="AJ41" s="945"/>
      <c r="AL41" s="61">
        <f t="shared" si="2"/>
      </c>
      <c r="AM41" s="61">
        <f t="shared" si="3"/>
      </c>
    </row>
    <row r="42" spans="1:39" s="53" customFormat="1" ht="18.75" customHeight="1">
      <c r="A42" s="177">
        <f t="shared" si="4"/>
      </c>
      <c r="B42" s="620"/>
      <c r="C42" s="56"/>
      <c r="D42" s="442"/>
      <c r="E42" s="234"/>
      <c r="F42" s="198"/>
      <c r="G42" s="187">
        <f t="shared" si="5"/>
      </c>
      <c r="H42" s="606">
        <f t="shared" si="6"/>
      </c>
      <c r="I42" s="621"/>
      <c r="J42" s="622"/>
      <c r="K42" s="623"/>
      <c r="L42" s="105"/>
      <c r="M42" s="395">
        <f t="shared" si="7"/>
      </c>
      <c r="N42" s="624">
        <f t="shared" si="8"/>
      </c>
      <c r="O42" s="625"/>
      <c r="P42" s="190"/>
      <c r="Q42" s="626">
        <f>IF($H42="","",IF($O42="Ａ",LOOKUP($D42,{8000,8500,9000,10000,12000},{0,1532,1032,408,408}),IF($O42="Ｂ",LOOKUP($D42,{8000,8500,9000,10000,12000},{782,2814,2814,2814,2814}),IF($O42="Ｃ",LOOKUP($D42,{8000,8500,9000,10000,12000},{3188,5220,5220,5220,5220}),0))))</f>
      </c>
      <c r="R42" s="627"/>
      <c r="S42" s="198"/>
      <c r="T42" s="626">
        <f>IF($H42="","",IF($R42="Ａ",LOOKUP($D42,{8000,8500,9000,10000,12000},{0,1532,1032,408,408}),IF($R42="Ｂ",LOOKUP($D42,{8000,8500,9000,10000,12000},{782,2814,2814,2814,2814}),IF($R42="Ｃ",LOOKUP($D42,{8000,8500,9000,10000,12000},{3188,5220,5220,5220,5220}),0))))</f>
      </c>
      <c r="U42" s="402">
        <f t="shared" si="9"/>
      </c>
      <c r="V42" s="404">
        <f>IF(B42="","",SUMIF('2-3_調整額内訳③(旧・旧制度)'!B:B,$B42,'2-3_調整額内訳③(旧・旧制度)'!AF:AF))</f>
      </c>
      <c r="W42" s="403">
        <f t="shared" si="10"/>
      </c>
      <c r="X42" s="628">
        <f t="shared" si="11"/>
      </c>
      <c r="Y42" s="629">
        <f t="shared" si="12"/>
      </c>
      <c r="Z42" s="630"/>
      <c r="AA42" s="404">
        <f t="shared" si="0"/>
      </c>
      <c r="AB42" s="630"/>
      <c r="AC42" s="402" t="str">
        <f t="shared" si="1"/>
        <v>0</v>
      </c>
      <c r="AD42" s="404">
        <f t="shared" si="13"/>
        <v>0</v>
      </c>
      <c r="AE42" s="631"/>
      <c r="AF42" s="402">
        <f t="shared" si="14"/>
      </c>
      <c r="AG42" s="632">
        <f t="shared" si="15"/>
      </c>
      <c r="AH42" s="944"/>
      <c r="AI42" s="944"/>
      <c r="AJ42" s="945"/>
      <c r="AL42" s="61">
        <f t="shared" si="2"/>
      </c>
      <c r="AM42" s="61">
        <f t="shared" si="3"/>
      </c>
    </row>
    <row r="43" spans="1:39" s="53" customFormat="1" ht="18.75" customHeight="1">
      <c r="A43" s="177">
        <f t="shared" si="4"/>
      </c>
      <c r="B43" s="620"/>
      <c r="C43" s="56"/>
      <c r="D43" s="442"/>
      <c r="E43" s="234"/>
      <c r="F43" s="198"/>
      <c r="G43" s="187">
        <f t="shared" si="5"/>
      </c>
      <c r="H43" s="606">
        <f t="shared" si="6"/>
      </c>
      <c r="I43" s="621"/>
      <c r="J43" s="622"/>
      <c r="K43" s="623"/>
      <c r="L43" s="105"/>
      <c r="M43" s="395">
        <f t="shared" si="7"/>
      </c>
      <c r="N43" s="624">
        <f t="shared" si="8"/>
      </c>
      <c r="O43" s="625"/>
      <c r="P43" s="190"/>
      <c r="Q43" s="626">
        <f>IF($H43="","",IF($O43="Ａ",LOOKUP($D43,{8000,8500,9000,10000,12000},{0,1532,1032,408,408}),IF($O43="Ｂ",LOOKUP($D43,{8000,8500,9000,10000,12000},{782,2814,2814,2814,2814}),IF($O43="Ｃ",LOOKUP($D43,{8000,8500,9000,10000,12000},{3188,5220,5220,5220,5220}),0))))</f>
      </c>
      <c r="R43" s="627"/>
      <c r="S43" s="198"/>
      <c r="T43" s="626">
        <f>IF($H43="","",IF($R43="Ａ",LOOKUP($D43,{8000,8500,9000,10000,12000},{0,1532,1032,408,408}),IF($R43="Ｂ",LOOKUP($D43,{8000,8500,9000,10000,12000},{782,2814,2814,2814,2814}),IF($R43="Ｃ",LOOKUP($D43,{8000,8500,9000,10000,12000},{3188,5220,5220,5220,5220}),0))))</f>
      </c>
      <c r="U43" s="402">
        <f t="shared" si="9"/>
      </c>
      <c r="V43" s="404">
        <f>IF(B43="","",SUMIF('2-3_調整額内訳③(旧・旧制度)'!B:B,$B43,'2-3_調整額内訳③(旧・旧制度)'!AF:AF))</f>
      </c>
      <c r="W43" s="403">
        <f t="shared" si="10"/>
      </c>
      <c r="X43" s="628">
        <f t="shared" si="11"/>
      </c>
      <c r="Y43" s="629">
        <f t="shared" si="12"/>
      </c>
      <c r="Z43" s="630"/>
      <c r="AA43" s="404">
        <f t="shared" si="0"/>
      </c>
      <c r="AB43" s="630"/>
      <c r="AC43" s="402" t="str">
        <f t="shared" si="1"/>
        <v>0</v>
      </c>
      <c r="AD43" s="404">
        <f t="shared" si="13"/>
        <v>0</v>
      </c>
      <c r="AE43" s="631"/>
      <c r="AF43" s="402">
        <f t="shared" si="14"/>
      </c>
      <c r="AG43" s="632">
        <f t="shared" si="15"/>
      </c>
      <c r="AH43" s="944"/>
      <c r="AI43" s="944"/>
      <c r="AJ43" s="945"/>
      <c r="AL43" s="61">
        <f t="shared" si="2"/>
      </c>
      <c r="AM43" s="61">
        <f t="shared" si="3"/>
      </c>
    </row>
    <row r="44" spans="1:39" s="53" customFormat="1" ht="18.75" customHeight="1" thickBot="1">
      <c r="A44" s="637">
        <f t="shared" si="4"/>
      </c>
      <c r="B44" s="638"/>
      <c r="C44" s="639"/>
      <c r="D44" s="444"/>
      <c r="E44" s="640"/>
      <c r="F44" s="199"/>
      <c r="G44" s="188">
        <f t="shared" si="5"/>
      </c>
      <c r="H44" s="606">
        <f t="shared" si="6"/>
      </c>
      <c r="I44" s="641"/>
      <c r="J44" s="642"/>
      <c r="K44" s="643"/>
      <c r="L44" s="106"/>
      <c r="M44" s="396">
        <f t="shared" si="7"/>
      </c>
      <c r="N44" s="644">
        <f t="shared" si="8"/>
      </c>
      <c r="O44" s="645"/>
      <c r="P44" s="191"/>
      <c r="Q44" s="646">
        <f>IF($H44="","",IF($O44="Ａ",LOOKUP($D44,{8000,8500,9000,10000,12000},{0,1532,1032,408,408}),IF($O44="Ｂ",LOOKUP($D44,{8000,8500,9000,10000,12000},{782,2814,2814,2814,2814}),IF($O44="Ｃ",LOOKUP($D44,{8000,8500,9000,10000,12000},{3188,5220,5220,5220,5220}),0))))</f>
      </c>
      <c r="R44" s="647"/>
      <c r="S44" s="199"/>
      <c r="T44" s="646">
        <f>IF($H44="","",IF($R44="Ａ",LOOKUP($D44,{8000,8500,9000,10000,12000},{0,1532,1032,408,408}),IF($R44="Ｂ",LOOKUP($D44,{8000,8500,9000,10000,12000},{782,2814,2814,2814,2814}),IF($R44="Ｃ",LOOKUP($D44,{8000,8500,9000,10000,12000},{3188,5220,5220,5220,5220}),0))))</f>
      </c>
      <c r="U44" s="651">
        <f t="shared" si="9"/>
      </c>
      <c r="V44" s="406">
        <f>IF(B44="","",SUMIF('2-3_調整額内訳③(旧・旧制度)'!B:B,$B44,'2-3_調整額内訳③(旧・旧制度)'!AF:AF))</f>
      </c>
      <c r="W44" s="666">
        <f t="shared" si="10"/>
      </c>
      <c r="X44" s="648">
        <f t="shared" si="11"/>
      </c>
      <c r="Y44" s="649">
        <f t="shared" si="12"/>
      </c>
      <c r="Z44" s="650"/>
      <c r="AA44" s="406">
        <f t="shared" si="0"/>
      </c>
      <c r="AB44" s="650"/>
      <c r="AC44" s="651" t="str">
        <f t="shared" si="1"/>
        <v>0</v>
      </c>
      <c r="AD44" s="406">
        <f t="shared" si="13"/>
        <v>0</v>
      </c>
      <c r="AE44" s="652"/>
      <c r="AF44" s="651">
        <f t="shared" si="14"/>
      </c>
      <c r="AG44" s="653">
        <f t="shared" si="15"/>
      </c>
      <c r="AH44" s="946"/>
      <c r="AI44" s="946"/>
      <c r="AJ44" s="947"/>
      <c r="AL44" s="61">
        <f t="shared" si="2"/>
      </c>
      <c r="AM44" s="61">
        <f t="shared" si="3"/>
      </c>
    </row>
    <row r="45" spans="1:39" s="66" customFormat="1" ht="25.5" customHeight="1" thickBot="1">
      <c r="A45" s="1101" t="s">
        <v>140</v>
      </c>
      <c r="B45" s="1102"/>
      <c r="C45" s="1102"/>
      <c r="D45" s="1103"/>
      <c r="E45" s="517">
        <f>SUM(E8:E44)</f>
        <v>0</v>
      </c>
      <c r="F45" s="517">
        <f>SUM(F8:F44)</f>
        <v>0</v>
      </c>
      <c r="G45" s="655">
        <f>SUM(G8:G44)</f>
        <v>0</v>
      </c>
      <c r="H45" s="445" t="s">
        <v>134</v>
      </c>
      <c r="I45" s="656" t="s">
        <v>341</v>
      </c>
      <c r="J45" s="657" t="s">
        <v>342</v>
      </c>
      <c r="K45" s="535"/>
      <c r="L45" s="535"/>
      <c r="M45" s="658">
        <f>SUM(M8:M44)</f>
        <v>0</v>
      </c>
      <c r="N45" s="659" t="s">
        <v>341</v>
      </c>
      <c r="O45" s="535" t="s">
        <v>342</v>
      </c>
      <c r="P45" s="535"/>
      <c r="Q45" s="659"/>
      <c r="R45" s="654" t="s">
        <v>342</v>
      </c>
      <c r="S45" s="535"/>
      <c r="T45" s="659"/>
      <c r="U45" s="660">
        <f aca="true" t="shared" si="16" ref="U45:AG45">SUM(U8:U44)</f>
        <v>0</v>
      </c>
      <c r="V45" s="661">
        <f t="shared" si="16"/>
        <v>0</v>
      </c>
      <c r="W45" s="662">
        <f t="shared" si="16"/>
        <v>0</v>
      </c>
      <c r="X45" s="663">
        <f t="shared" si="16"/>
        <v>0</v>
      </c>
      <c r="Y45" s="663">
        <f>SUM(Y8:Y44)</f>
        <v>0</v>
      </c>
      <c r="Z45" s="663">
        <f t="shared" si="16"/>
        <v>0</v>
      </c>
      <c r="AA45" s="663">
        <f t="shared" si="16"/>
        <v>0</v>
      </c>
      <c r="AB45" s="663">
        <f t="shared" si="16"/>
        <v>0</v>
      </c>
      <c r="AC45" s="663">
        <f t="shared" si="16"/>
        <v>0</v>
      </c>
      <c r="AD45" s="663">
        <f t="shared" si="16"/>
        <v>0</v>
      </c>
      <c r="AE45" s="663">
        <f t="shared" si="16"/>
        <v>0</v>
      </c>
      <c r="AF45" s="663">
        <f t="shared" si="16"/>
        <v>0</v>
      </c>
      <c r="AG45" s="664">
        <f t="shared" si="16"/>
        <v>0</v>
      </c>
      <c r="AH45" s="1024"/>
      <c r="AI45" s="1025"/>
      <c r="AJ45" s="1026"/>
      <c r="AL45" s="67"/>
      <c r="AM45" s="67"/>
    </row>
    <row r="46" spans="1:39" s="287" customFormat="1" ht="15.75" customHeight="1">
      <c r="A46" s="287" t="s">
        <v>26</v>
      </c>
      <c r="O46" s="288"/>
      <c r="R46" s="288"/>
      <c r="AL46" s="289"/>
      <c r="AM46" s="289"/>
    </row>
    <row r="47" spans="1:39" s="287" customFormat="1" ht="15.75" customHeight="1">
      <c r="A47" s="287" t="s">
        <v>132</v>
      </c>
      <c r="O47" s="288"/>
      <c r="R47" s="288"/>
      <c r="AL47" s="289"/>
      <c r="AM47" s="289"/>
    </row>
    <row r="48" spans="1:39" s="287" customFormat="1" ht="15.75" customHeight="1">
      <c r="A48" s="287" t="s">
        <v>146</v>
      </c>
      <c r="O48" s="288"/>
      <c r="R48" s="288"/>
      <c r="AL48" s="289"/>
      <c r="AM48" s="289"/>
    </row>
    <row r="49" spans="1:39" s="287" customFormat="1" ht="15.75" customHeight="1">
      <c r="A49" s="287" t="s">
        <v>138</v>
      </c>
      <c r="O49" s="288"/>
      <c r="R49" s="288"/>
      <c r="AL49" s="289"/>
      <c r="AM49" s="289"/>
    </row>
    <row r="50" spans="1:39" s="287" customFormat="1" ht="15.75" customHeight="1">
      <c r="A50" s="287" t="s">
        <v>263</v>
      </c>
      <c r="O50" s="288"/>
      <c r="R50" s="288"/>
      <c r="AL50" s="289"/>
      <c r="AM50" s="289"/>
    </row>
    <row r="51" spans="1:39" s="287" customFormat="1" ht="15.75" customHeight="1">
      <c r="A51" s="287" t="s">
        <v>228</v>
      </c>
      <c r="O51" s="288"/>
      <c r="R51" s="288"/>
      <c r="AL51" s="289"/>
      <c r="AM51" s="289"/>
    </row>
    <row r="52" spans="1:39" s="287" customFormat="1" ht="15.75" customHeight="1">
      <c r="A52" s="287" t="s">
        <v>154</v>
      </c>
      <c r="O52" s="288"/>
      <c r="R52" s="288"/>
      <c r="AL52" s="289"/>
      <c r="AM52" s="289"/>
    </row>
    <row r="53" spans="1:39" s="287" customFormat="1" ht="15.75" customHeight="1">
      <c r="A53" s="287" t="s">
        <v>155</v>
      </c>
      <c r="O53" s="288"/>
      <c r="R53" s="288"/>
      <c r="AL53" s="289"/>
      <c r="AM53" s="289"/>
    </row>
    <row r="54" spans="1:39" s="287" customFormat="1" ht="15.75" customHeight="1">
      <c r="A54" s="287" t="s">
        <v>264</v>
      </c>
      <c r="O54" s="288"/>
      <c r="R54" s="288"/>
      <c r="AL54" s="289"/>
      <c r="AM54" s="289"/>
    </row>
    <row r="55" spans="1:39" s="287" customFormat="1" ht="15.75" customHeight="1">
      <c r="A55" s="287" t="s">
        <v>202</v>
      </c>
      <c r="O55" s="288"/>
      <c r="R55" s="288"/>
      <c r="AL55" s="289"/>
      <c r="AM55" s="289"/>
    </row>
    <row r="56" spans="1:38" s="287" customFormat="1" ht="15.75" customHeight="1">
      <c r="A56" s="287" t="s">
        <v>203</v>
      </c>
      <c r="O56" s="288"/>
      <c r="R56" s="288"/>
      <c r="AK56" s="289"/>
      <c r="AL56" s="289"/>
    </row>
    <row r="57" spans="1:39" s="287" customFormat="1" ht="15.75" customHeight="1">
      <c r="A57" s="287" t="s">
        <v>141</v>
      </c>
      <c r="O57" s="288"/>
      <c r="R57" s="288"/>
      <c r="AL57" s="289"/>
      <c r="AM57" s="289"/>
    </row>
    <row r="58" spans="1:39" s="287" customFormat="1" ht="15.75" customHeight="1">
      <c r="A58" s="287" t="s">
        <v>142</v>
      </c>
      <c r="O58" s="288"/>
      <c r="R58" s="288"/>
      <c r="AL58" s="289"/>
      <c r="AM58" s="289"/>
    </row>
    <row r="59" spans="1:39" s="287" customFormat="1" ht="15.75" customHeight="1">
      <c r="A59" s="287" t="s">
        <v>143</v>
      </c>
      <c r="O59" s="288"/>
      <c r="R59" s="288"/>
      <c r="AL59" s="289"/>
      <c r="AM59" s="28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6">
    <mergeCell ref="AB1:AH1"/>
    <mergeCell ref="AB2:AH2"/>
    <mergeCell ref="A4:A7"/>
    <mergeCell ref="B4:B7"/>
    <mergeCell ref="C4:C7"/>
    <mergeCell ref="D4:D6"/>
    <mergeCell ref="E4:G4"/>
    <mergeCell ref="H4:N4"/>
    <mergeCell ref="O4:W4"/>
    <mergeCell ref="X4:X6"/>
    <mergeCell ref="Y4:Y6"/>
    <mergeCell ref="Z4:Z6"/>
    <mergeCell ref="AA4:AA6"/>
    <mergeCell ref="AB4:AB5"/>
    <mergeCell ref="AC4:AC5"/>
    <mergeCell ref="AD4:AD5"/>
    <mergeCell ref="AE4:AE6"/>
    <mergeCell ref="AF4:AF6"/>
    <mergeCell ref="AG4:AG6"/>
    <mergeCell ref="AH4:AJ7"/>
    <mergeCell ref="AL4:AL7"/>
    <mergeCell ref="AM4:AM7"/>
    <mergeCell ref="G5:G6"/>
    <mergeCell ref="H5:H6"/>
    <mergeCell ref="I5:I6"/>
    <mergeCell ref="J5:J6"/>
    <mergeCell ref="M5:M6"/>
    <mergeCell ref="N5:N6"/>
    <mergeCell ref="O5:Q5"/>
    <mergeCell ref="R5:T5"/>
    <mergeCell ref="U5:U6"/>
    <mergeCell ref="V5:V6"/>
    <mergeCell ref="W5:W6"/>
    <mergeCell ref="O6:O7"/>
    <mergeCell ref="P6:P7"/>
    <mergeCell ref="R6:R7"/>
    <mergeCell ref="S6:S7"/>
    <mergeCell ref="AH8:AJ8"/>
    <mergeCell ref="AH9:AJ9"/>
    <mergeCell ref="AH10:AJ10"/>
    <mergeCell ref="AH11:AJ11"/>
    <mergeCell ref="AH12:AJ12"/>
    <mergeCell ref="AH13:AJ13"/>
    <mergeCell ref="AH14:AJ14"/>
    <mergeCell ref="AH15:AJ15"/>
    <mergeCell ref="AH16:AJ16"/>
    <mergeCell ref="AH17:AJ17"/>
    <mergeCell ref="AH18:AJ18"/>
    <mergeCell ref="AH19:AJ19"/>
    <mergeCell ref="AH20:AJ20"/>
    <mergeCell ref="AH21:AJ21"/>
    <mergeCell ref="AH22:AJ22"/>
    <mergeCell ref="AH23:AJ23"/>
    <mergeCell ref="AH24:AJ24"/>
    <mergeCell ref="AH25:AJ25"/>
    <mergeCell ref="AH26:AJ26"/>
    <mergeCell ref="AH27:AJ27"/>
    <mergeCell ref="AH28:AJ28"/>
    <mergeCell ref="AH29:AJ29"/>
    <mergeCell ref="AH30:AJ30"/>
    <mergeCell ref="AH31:AJ31"/>
    <mergeCell ref="AH32:AJ32"/>
    <mergeCell ref="AH33:AJ33"/>
    <mergeCell ref="AH34:AJ34"/>
    <mergeCell ref="AH35:AJ35"/>
    <mergeCell ref="AH36:AJ36"/>
    <mergeCell ref="AH37:AJ37"/>
    <mergeCell ref="AH44:AJ44"/>
    <mergeCell ref="A45:D45"/>
    <mergeCell ref="AH45:AJ45"/>
    <mergeCell ref="AH38:AJ38"/>
    <mergeCell ref="AH39:AJ39"/>
    <mergeCell ref="AH40:AJ40"/>
    <mergeCell ref="AH41:AJ41"/>
    <mergeCell ref="AH42:AJ42"/>
    <mergeCell ref="AH43:AJ43"/>
  </mergeCells>
  <dataValidations count="4">
    <dataValidation type="list" allowBlank="1" showInputMessage="1" showErrorMessage="1" sqref="R8:R44 O8">
      <formula1>"Ａ,Ｂ,Ｃ,Ｄ"</formula1>
    </dataValidation>
    <dataValidation type="list" allowBlank="1" showInputMessage="1" showErrorMessage="1" sqref="O9:O44">
      <formula1>"Ａ,Ｂ,Ｃ,,Ｄ"</formula1>
    </dataValidation>
    <dataValidation type="whole" allowBlank="1" showInputMessage="1" showErrorMessage="1" sqref="C8:C44">
      <formula1>1</formula1>
      <formula2>4</formula2>
    </dataValidation>
    <dataValidation type="whole" allowBlank="1" showInputMessage="1" showErrorMessage="1" sqref="M8:M44 Z8:Z44 AB8:AB44 H8:I44">
      <formula1>0</formula1>
      <formula2>9999999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O44"/>
  <sheetViews>
    <sheetView tabSelected="1" view="pageBreakPreview" zoomScale="75" zoomScaleNormal="75" zoomScaleSheetLayoutView="75" zoomScalePageLayoutView="0" workbookViewId="0" topLeftCell="A1">
      <selection activeCell="T27" sqref="T27"/>
    </sheetView>
  </sheetViews>
  <sheetFormatPr defaultColWidth="9.625" defaultRowHeight="13.5"/>
  <cols>
    <col min="1" max="1" width="6.25390625" style="40" customWidth="1"/>
    <col min="2" max="2" width="15.625" style="223" customWidth="1"/>
    <col min="3" max="3" width="6.00390625" style="241"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216</v>
      </c>
      <c r="B1" s="222"/>
      <c r="W1" s="954" t="s">
        <v>22</v>
      </c>
      <c r="X1" s="954"/>
      <c r="Y1" s="954"/>
      <c r="Z1" s="884">
        <f>'1_総括表'!E3</f>
        <v>0</v>
      </c>
      <c r="AA1" s="955"/>
      <c r="AB1" s="955"/>
      <c r="AC1" s="955"/>
      <c r="AD1" s="955"/>
      <c r="AE1" s="955"/>
      <c r="AF1" s="956"/>
      <c r="AG1" s="160" t="s">
        <v>23</v>
      </c>
      <c r="AH1" s="957">
        <f>'1_総括表'!Z3</f>
        <v>0</v>
      </c>
      <c r="AI1" s="958"/>
      <c r="AK1" s="46"/>
      <c r="AL1" s="46"/>
    </row>
    <row r="2" spans="1:38" ht="24.75" customHeight="1" thickBot="1">
      <c r="A2" s="42"/>
      <c r="W2" s="959" t="s">
        <v>20</v>
      </c>
      <c r="X2" s="959"/>
      <c r="Y2" s="959"/>
      <c r="Z2" s="887">
        <f>'1_総括表'!E4</f>
        <v>0</v>
      </c>
      <c r="AA2" s="960"/>
      <c r="AB2" s="960"/>
      <c r="AC2" s="960"/>
      <c r="AD2" s="960"/>
      <c r="AE2" s="960"/>
      <c r="AF2" s="961"/>
      <c r="AG2" s="161" t="s">
        <v>21</v>
      </c>
      <c r="AH2" s="962">
        <f>'1_総括表'!Z4</f>
        <v>0</v>
      </c>
      <c r="AI2" s="963"/>
      <c r="AK2" s="70"/>
      <c r="AL2" s="71"/>
    </row>
    <row r="3" spans="1:38" ht="19.5" thickBot="1">
      <c r="A3" s="273" t="s">
        <v>196</v>
      </c>
      <c r="B3" s="224"/>
      <c r="AH3" s="43"/>
      <c r="AI3" s="43" t="s">
        <v>25</v>
      </c>
      <c r="AK3" s="70"/>
      <c r="AL3" s="71"/>
    </row>
    <row r="4" spans="1:38" s="44" customFormat="1" ht="18.75" customHeight="1" thickBot="1">
      <c r="A4" s="883" t="s">
        <v>29</v>
      </c>
      <c r="B4" s="1126" t="s">
        <v>148</v>
      </c>
      <c r="C4" s="894" t="s">
        <v>13</v>
      </c>
      <c r="D4" s="878" t="s">
        <v>67</v>
      </c>
      <c r="E4" s="878" t="s">
        <v>87</v>
      </c>
      <c r="F4" s="872" t="s">
        <v>227</v>
      </c>
      <c r="G4" s="873"/>
      <c r="H4" s="873"/>
      <c r="I4" s="873"/>
      <c r="J4" s="874"/>
      <c r="K4" s="968" t="s">
        <v>58</v>
      </c>
      <c r="L4" s="969"/>
      <c r="M4" s="969"/>
      <c r="N4" s="969"/>
      <c r="O4" s="969"/>
      <c r="P4" s="969"/>
      <c r="Q4" s="969"/>
      <c r="R4" s="969"/>
      <c r="S4" s="969"/>
      <c r="T4" s="969"/>
      <c r="U4" s="969"/>
      <c r="V4" s="969"/>
      <c r="W4" s="969"/>
      <c r="X4" s="969"/>
      <c r="Y4" s="969"/>
      <c r="Z4" s="969"/>
      <c r="AA4" s="969"/>
      <c r="AB4" s="969"/>
      <c r="AC4" s="969"/>
      <c r="AD4" s="975"/>
      <c r="AE4" s="878" t="s">
        <v>56</v>
      </c>
      <c r="AF4" s="970" t="s">
        <v>57</v>
      </c>
      <c r="AG4" s="973" t="s">
        <v>59</v>
      </c>
      <c r="AH4" s="974"/>
      <c r="AI4" s="975"/>
      <c r="AK4" s="70"/>
      <c r="AL4" s="71"/>
    </row>
    <row r="5" spans="1:38" s="44" customFormat="1" ht="18.75" customHeight="1" thickBot="1">
      <c r="A5" s="890"/>
      <c r="B5" s="1127"/>
      <c r="C5" s="895"/>
      <c r="D5" s="892"/>
      <c r="E5" s="892"/>
      <c r="F5" s="968" t="s">
        <v>88</v>
      </c>
      <c r="G5" s="981"/>
      <c r="H5" s="982"/>
      <c r="I5" s="982"/>
      <c r="J5" s="983"/>
      <c r="K5" s="984" t="s">
        <v>55</v>
      </c>
      <c r="L5" s="985"/>
      <c r="M5" s="985"/>
      <c r="N5" s="985"/>
      <c r="O5" s="985"/>
      <c r="P5" s="985"/>
      <c r="Q5" s="985"/>
      <c r="R5" s="985"/>
      <c r="S5" s="985"/>
      <c r="T5" s="985"/>
      <c r="U5" s="985"/>
      <c r="V5" s="986"/>
      <c r="W5" s="872" t="s">
        <v>97</v>
      </c>
      <c r="X5" s="873"/>
      <c r="Y5" s="873"/>
      <c r="Z5" s="873"/>
      <c r="AA5" s="873"/>
      <c r="AB5" s="873"/>
      <c r="AC5" s="873"/>
      <c r="AD5" s="874"/>
      <c r="AE5" s="892"/>
      <c r="AF5" s="971"/>
      <c r="AG5" s="976"/>
      <c r="AH5" s="977"/>
      <c r="AI5" s="978"/>
      <c r="AK5" s="70"/>
      <c r="AL5" s="71"/>
    </row>
    <row r="6" spans="1:38" s="44" customFormat="1" ht="21.75" customHeight="1" thickBot="1">
      <c r="A6" s="890"/>
      <c r="B6" s="1127"/>
      <c r="C6" s="895"/>
      <c r="D6" s="892"/>
      <c r="E6" s="892"/>
      <c r="F6" s="987" t="s">
        <v>15</v>
      </c>
      <c r="G6" s="964" t="s">
        <v>43</v>
      </c>
      <c r="H6" s="987" t="s">
        <v>15</v>
      </c>
      <c r="I6" s="964" t="s">
        <v>43</v>
      </c>
      <c r="J6" s="966" t="s">
        <v>167</v>
      </c>
      <c r="K6" s="1129" t="s">
        <v>53</v>
      </c>
      <c r="L6" s="1129"/>
      <c r="M6" s="1129"/>
      <c r="N6" s="989" t="s">
        <v>54</v>
      </c>
      <c r="O6" s="990"/>
      <c r="P6" s="990"/>
      <c r="Q6" s="990"/>
      <c r="R6" s="990"/>
      <c r="S6" s="990"/>
      <c r="T6" s="990"/>
      <c r="U6" s="990"/>
      <c r="V6" s="991"/>
      <c r="W6" s="968" t="s">
        <v>168</v>
      </c>
      <c r="X6" s="993" t="s">
        <v>168</v>
      </c>
      <c r="Y6" s="968" t="s">
        <v>169</v>
      </c>
      <c r="Z6" s="996" t="s">
        <v>169</v>
      </c>
      <c r="AA6" s="1068" t="s">
        <v>170</v>
      </c>
      <c r="AB6" s="1071" t="s">
        <v>170</v>
      </c>
      <c r="AC6" s="1131" t="s">
        <v>171</v>
      </c>
      <c r="AD6" s="1134" t="s">
        <v>171</v>
      </c>
      <c r="AE6" s="892"/>
      <c r="AF6" s="972"/>
      <c r="AG6" s="979"/>
      <c r="AH6" s="980"/>
      <c r="AI6" s="978"/>
      <c r="AK6" s="70"/>
      <c r="AL6" s="72"/>
    </row>
    <row r="7" spans="1:41" s="44" customFormat="1" ht="20.25" customHeight="1" thickBot="1">
      <c r="A7" s="890"/>
      <c r="B7" s="1127"/>
      <c r="C7" s="895"/>
      <c r="D7" s="892"/>
      <c r="E7" s="892"/>
      <c r="F7" s="988"/>
      <c r="G7" s="965"/>
      <c r="H7" s="988"/>
      <c r="I7" s="965"/>
      <c r="J7" s="967"/>
      <c r="K7" s="872" t="s">
        <v>47</v>
      </c>
      <c r="L7" s="1130" t="s">
        <v>48</v>
      </c>
      <c r="M7" s="874" t="s">
        <v>49</v>
      </c>
      <c r="N7" s="872" t="s">
        <v>44</v>
      </c>
      <c r="O7" s="1130" t="s">
        <v>172</v>
      </c>
      <c r="P7" s="1130" t="s">
        <v>173</v>
      </c>
      <c r="Q7" s="1130" t="s">
        <v>174</v>
      </c>
      <c r="R7" s="1130" t="s">
        <v>45</v>
      </c>
      <c r="S7" s="1130" t="s">
        <v>46</v>
      </c>
      <c r="T7" s="1130" t="s">
        <v>50</v>
      </c>
      <c r="U7" s="1130" t="s">
        <v>51</v>
      </c>
      <c r="V7" s="874" t="s">
        <v>52</v>
      </c>
      <c r="W7" s="979"/>
      <c r="X7" s="994"/>
      <c r="Y7" s="979"/>
      <c r="Z7" s="997"/>
      <c r="AA7" s="1069"/>
      <c r="AB7" s="1072"/>
      <c r="AC7" s="1132"/>
      <c r="AD7" s="1135"/>
      <c r="AE7" s="892"/>
      <c r="AF7" s="972"/>
      <c r="AG7" s="979"/>
      <c r="AH7" s="980"/>
      <c r="AI7" s="978"/>
      <c r="AK7" s="1011" t="s">
        <v>27</v>
      </c>
      <c r="AL7" s="1011" t="s">
        <v>175</v>
      </c>
      <c r="AM7" s="73"/>
      <c r="AN7" s="73"/>
      <c r="AO7" s="73"/>
    </row>
    <row r="8" spans="1:38" s="44" customFormat="1" ht="18.75" customHeight="1" thickBot="1">
      <c r="A8" s="891"/>
      <c r="B8" s="1128"/>
      <c r="C8" s="895"/>
      <c r="D8" s="892"/>
      <c r="E8" s="892"/>
      <c r="F8" s="988"/>
      <c r="G8" s="473" t="s">
        <v>176</v>
      </c>
      <c r="H8" s="988"/>
      <c r="I8" s="473" t="s">
        <v>177</v>
      </c>
      <c r="J8" s="472" t="s">
        <v>178</v>
      </c>
      <c r="K8" s="968"/>
      <c r="L8" s="999"/>
      <c r="M8" s="975"/>
      <c r="N8" s="968"/>
      <c r="O8" s="999"/>
      <c r="P8" s="999"/>
      <c r="Q8" s="999"/>
      <c r="R8" s="999"/>
      <c r="S8" s="999"/>
      <c r="T8" s="999"/>
      <c r="U8" s="999"/>
      <c r="V8" s="975"/>
      <c r="W8" s="992"/>
      <c r="X8" s="995"/>
      <c r="Y8" s="992"/>
      <c r="Z8" s="998"/>
      <c r="AA8" s="1070"/>
      <c r="AB8" s="1073"/>
      <c r="AC8" s="1133"/>
      <c r="AD8" s="1136"/>
      <c r="AE8" s="472" t="s">
        <v>179</v>
      </c>
      <c r="AF8" s="74" t="s">
        <v>180</v>
      </c>
      <c r="AG8" s="979"/>
      <c r="AH8" s="980"/>
      <c r="AI8" s="978"/>
      <c r="AK8" s="1012"/>
      <c r="AL8" s="1012"/>
    </row>
    <row r="9" spans="1:38" s="53" customFormat="1" ht="18.75" customHeight="1">
      <c r="A9" s="26">
        <f>IF(B9="","",ROW($A9)-ROW($A$8))</f>
      </c>
      <c r="B9" s="711"/>
      <c r="C9" s="715">
        <f>IF(B9="","",VLOOKUP($B9,'2-2_算定表③(旧・旧制度)'!$B$8:$U$65536,2,FALSE))</f>
      </c>
      <c r="D9" s="712">
        <f>IF(B9="","",VLOOKUP($B9,'2-2_算定表③(旧・旧制度)'!$B$8:$U$65536,3,FALSE))</f>
      </c>
      <c r="E9" s="772">
        <f>IF(B9="","",VLOOKUP($B9,'2-2_算定表③(旧・旧制度)'!$B$8:$U$65536,6,FALSE))</f>
      </c>
      <c r="F9" s="667">
        <f>IF(B9="","",VLOOKUP($B9,'2-2_算定表③(旧・旧制度)'!$B$8:$U$65536,14,FALSE))</f>
      </c>
      <c r="G9" s="613">
        <f>IF(B9="","",VLOOKUP($B9,'2-2_算定表③(旧・旧制度)'!$B$8:$U$65536,16,FALSE))</f>
      </c>
      <c r="H9" s="667">
        <f>IF(B9="","",VLOOKUP($B9,'2-2_算定表③(旧・旧制度)'!$B$8:$U$65536,17,FALSE))</f>
      </c>
      <c r="I9" s="613">
        <f>IF(B9="","",VLOOKUP($B9,'2-2_算定表③(旧・旧制度)'!$B$8:$U$65536,19,FALSE))</f>
      </c>
      <c r="J9" s="414">
        <f>IF(B9="","",VLOOKUP($B9,'2-2_算定表③(旧・旧制度)'!$B$8:$U$65536,20,FALSE))</f>
      </c>
      <c r="K9" s="670">
        <f>IF($B9="","",VLOOKUP($B9,'2-2_算定表③(旧・旧制度)'!$B$8:$U$65536,14,FALSE))</f>
      </c>
      <c r="L9" s="408">
        <f>IF($B9="","",VLOOKUP($B9,'2-2_算定表③(旧・旧制度)'!$B$8:$U$65536,14,FALSE))</f>
      </c>
      <c r="M9" s="677">
        <f>IF($B9="","",VLOOKUP($B9,'2-2_算定表③(旧・旧制度)'!$B$8:$U$65536,14,FALSE))</f>
      </c>
      <c r="N9" s="670">
        <f>IF($B9="","",VLOOKUP($B9,'2-2_算定表③(旧・旧制度)'!$B$8:$U$65536,17,FALSE))</f>
      </c>
      <c r="O9" s="408">
        <f>IF($B9="","",VLOOKUP($B9,'2-2_算定表③(旧・旧制度)'!$B$8:$U$65536,17,FALSE))</f>
      </c>
      <c r="P9" s="408">
        <f>IF($B9="","",VLOOKUP($B9,'2-2_算定表③(旧・旧制度)'!$B$8:$U$65536,17,FALSE))</f>
      </c>
      <c r="Q9" s="408">
        <f>IF($B9="","",VLOOKUP($B9,'2-2_算定表③(旧・旧制度)'!$B$8:$U$65536,17,FALSE))</f>
      </c>
      <c r="R9" s="408">
        <f>IF($B9="","",VLOOKUP($B9,'2-2_算定表③(旧・旧制度)'!$B$8:$U$65536,17,FALSE))</f>
      </c>
      <c r="S9" s="408">
        <f>IF($B9="","",VLOOKUP($B9,'2-2_算定表③(旧・旧制度)'!$B$8:$U$65536,17,FALSE))</f>
      </c>
      <c r="T9" s="408">
        <f>IF($B9="","",VLOOKUP($B9,'2-2_算定表③(旧・旧制度)'!$B$8:$U$65536,17,FALSE))</f>
      </c>
      <c r="U9" s="408">
        <f>IF($B9="","",VLOOKUP($B9,'2-2_算定表③(旧・旧制度)'!$B$8:$U$65536,17,FALSE))</f>
      </c>
      <c r="V9" s="671">
        <f>IF($B9="","",VLOOKUP($B9,'2-2_算定表③(旧・旧制度)'!$B$8:$U$65536,17,FALSE))</f>
      </c>
      <c r="W9" s="413">
        <f>IF($B9="","",COUNTIF($K9:$M9,W$6))</f>
      </c>
      <c r="X9" s="410">
        <f>IF($B9="","",COUNTIF($N9:$V9,X$6))</f>
      </c>
      <c r="Y9" s="409">
        <f>IF($B9="","",COUNTIF($K9:$M9,Y$6))</f>
      </c>
      <c r="Z9" s="411">
        <f>IF($B9="","",COUNTIF($N9:$V9,Z$6))</f>
      </c>
      <c r="AA9" s="412">
        <f>IF($B9="","",COUNTIF($K9:$M9,AA$6))</f>
      </c>
      <c r="AB9" s="413">
        <f>IF($B9="","",COUNTIF($N9:$V9,AB$6))</f>
      </c>
      <c r="AC9" s="412">
        <f>IF($B9="","",COUNTIF($K9:$M9,AC$6))</f>
      </c>
      <c r="AD9" s="413">
        <f>IF($B9="","",COUNTIF($N9:$V9,AD$6))</f>
      </c>
      <c r="AE9" s="401">
        <f>IF(B9="","",ROUNDUP((G9/VLOOKUP($B9,'2-2_算定表③(旧・旧制度)'!$B$8:$AJ$44,9,FALSE)*W9)+(I9/VLOOKUP($B9,'2-2_算定表③(旧・旧制度)'!$B$8:$AJ$44,9,FALSE)*X9)+(G9/VLOOKUP($B9,'2-2_算定表③(旧・旧制度)'!$B$8:$AJ$44,9,FALSE)*Y9)+(I9/VLOOKUP($B9,'2-2_算定表③(旧・旧制度)'!$B$8:$AJ$44,9,FALSE)*Z9)+(G9/VLOOKUP($B9,'2-2_算定表③(旧・旧制度)'!$B$8:$AJ$44,9,FALSE)*AA9)+(I9/VLOOKUP($B9,'2-2_算定表③(旧・旧制度)'!$B$8:$AJ$44,9,FALSE)*AB9),0))</f>
      </c>
      <c r="AF9" s="665">
        <f>IF(B9="","",AE9-J9)</f>
      </c>
      <c r="AG9" s="1076">
        <f>IF(B9="","",VLOOKUP($B9,'2-2_算定表③(旧・旧制度)'!$B$8:$AH$65536,33,FALSE))</f>
      </c>
      <c r="AH9" s="1077" t="s">
        <v>182</v>
      </c>
      <c r="AI9" s="1078" t="s">
        <v>182</v>
      </c>
      <c r="AK9" s="61">
        <f>IF(A9&gt;0,ASC(C9&amp;H9),"")</f>
      </c>
      <c r="AL9" s="61">
        <f>IF(B9="","",IF(AF9=0,0,1))</f>
      </c>
    </row>
    <row r="10" spans="1:38" s="53" customFormat="1" ht="18.75" customHeight="1">
      <c r="A10" s="34">
        <f aca="true" t="shared" si="0" ref="A10:A38">IF(B10="","",ROW($A10)-ROW($A$8))</f>
      </c>
      <c r="B10" s="577"/>
      <c r="C10" s="716">
        <f>IF(B10="","",VLOOKUP($B10,'2-2_算定表③(旧・旧制度)'!$B$8:$U$65536,2,FALSE))</f>
      </c>
      <c r="D10" s="713">
        <f>IF(B10="","",VLOOKUP($B10,'2-2_算定表③(旧・旧制度)'!$B$8:$U$65536,3,FALSE))</f>
      </c>
      <c r="E10" s="773">
        <f>IF(B10="","",VLOOKUP($B10,'2-2_算定表③(旧・旧制度)'!$B$8:$U$65536,6,FALSE))</f>
      </c>
      <c r="F10" s="668">
        <f>IF(B10="","",VLOOKUP($B10,'2-2_算定表③(旧・旧制度)'!$B$8:$U$65536,14,FALSE))</f>
      </c>
      <c r="G10" s="626">
        <f>IF(B10="","",VLOOKUP($B10,'2-2_算定表③(旧・旧制度)'!$B$8:$U$65536,16,FALSE))</f>
      </c>
      <c r="H10" s="668">
        <f>IF(B10="","",VLOOKUP($B10,'2-2_算定表③(旧・旧制度)'!$B$8:$U$65536,17,FALSE))</f>
      </c>
      <c r="I10" s="626">
        <f>IF(B10="","",VLOOKUP($B10,'2-2_算定表③(旧・旧制度)'!$B$8:$U$65536,19,FALSE))</f>
      </c>
      <c r="J10" s="402">
        <f>IF(B10="","",VLOOKUP($B10,'2-2_算定表③(旧・旧制度)'!$B$8:$U$65536,20,FALSE))</f>
      </c>
      <c r="K10" s="672">
        <f>IF($B10="","",VLOOKUP($B10,'2-2_算定表③(旧・旧制度)'!$B$8:$U$65536,14,FALSE))</f>
      </c>
      <c r="L10" s="421">
        <f>IF($B10="","",VLOOKUP($B10,'2-2_算定表③(旧・旧制度)'!$B$8:$U$65536,14,FALSE))</f>
      </c>
      <c r="M10" s="678">
        <f>IF($B10="","",VLOOKUP($B10,'2-2_算定表③(旧・旧制度)'!$B$8:$U$65536,14,FALSE))</f>
      </c>
      <c r="N10" s="672">
        <f>IF($B10="","",VLOOKUP($B10,'2-2_算定表③(旧・旧制度)'!$B$8:$U$65536,17,FALSE))</f>
      </c>
      <c r="O10" s="421">
        <f>IF($B10="","",VLOOKUP($B10,'2-2_算定表③(旧・旧制度)'!$B$8:$U$65536,17,FALSE))</f>
      </c>
      <c r="P10" s="421">
        <f>IF($B10="","",VLOOKUP($B10,'2-2_算定表③(旧・旧制度)'!$B$8:$U$65536,17,FALSE))</f>
      </c>
      <c r="Q10" s="421">
        <f>IF($B10="","",VLOOKUP($B10,'2-2_算定表③(旧・旧制度)'!$B$8:$U$65536,17,FALSE))</f>
      </c>
      <c r="R10" s="421">
        <f>IF($B10="","",VLOOKUP($B10,'2-2_算定表③(旧・旧制度)'!$B$8:$U$65536,17,FALSE))</f>
      </c>
      <c r="S10" s="421">
        <f>IF($B10="","",VLOOKUP($B10,'2-2_算定表③(旧・旧制度)'!$B$8:$U$65536,17,FALSE))</f>
      </c>
      <c r="T10" s="421">
        <f>IF($B10="","",VLOOKUP($B10,'2-2_算定表③(旧・旧制度)'!$B$8:$U$65536,17,FALSE))</f>
      </c>
      <c r="U10" s="421">
        <f>IF($B10="","",VLOOKUP($B10,'2-2_算定表③(旧・旧制度)'!$B$8:$U$65536,17,FALSE))</f>
      </c>
      <c r="V10" s="673">
        <f>IF($B10="","",VLOOKUP($B10,'2-2_算定表③(旧・旧制度)'!$B$8:$U$65536,17,FALSE))</f>
      </c>
      <c r="W10" s="429">
        <f aca="true" t="shared" si="1" ref="W10:W38">IF($B10="","",COUNTIF($K10:$M10,W$6))</f>
      </c>
      <c r="X10" s="416">
        <f aca="true" t="shared" si="2" ref="X10:X38">IF($B10="","",COUNTIF($N10:$V10,X$6))</f>
      </c>
      <c r="Y10" s="415">
        <f aca="true" t="shared" si="3" ref="Y10:Y38">IF($B10="","",COUNTIF($K10:$M10,Y$6))</f>
      </c>
      <c r="Z10" s="417">
        <f aca="true" t="shared" si="4" ref="Z10:Z38">IF($B10="","",COUNTIF($N10:$V10,Z$6))</f>
      </c>
      <c r="AA10" s="418">
        <f aca="true" t="shared" si="5" ref="AA10:AA38">IF($B10="","",COUNTIF($K10:$M10,AA$6))</f>
      </c>
      <c r="AB10" s="419">
        <f aca="true" t="shared" si="6" ref="AB10:AB38">IF($B10="","",COUNTIF($N10:$V10,AB$6))</f>
      </c>
      <c r="AC10" s="418">
        <f aca="true" t="shared" si="7" ref="AC10:AC38">IF($B10="","",COUNTIF($K10:$M10,AC$6))</f>
      </c>
      <c r="AD10" s="419">
        <f aca="true" t="shared" si="8" ref="AD10:AD38">IF($B10="","",COUNTIF($N10:$V10,AD$6))</f>
      </c>
      <c r="AE10" s="404">
        <f>IF(B10="","",ROUNDUP((G10/VLOOKUP($B10,'2-2_算定表③(旧・旧制度)'!$B$8:$AJ$44,9,FALSE)*W10)+(I10/VLOOKUP($B10,'2-2_算定表③(旧・旧制度)'!$B$8:$AJ$44,9,FALSE)*X10)+(G10/VLOOKUP($B10,'2-2_算定表③(旧・旧制度)'!$B$8:$AJ$44,9,FALSE)*Y10)+(I10/VLOOKUP($B10,'2-2_算定表③(旧・旧制度)'!$B$8:$AJ$44,9,FALSE)*Z10)+(G10/VLOOKUP($B10,'2-2_算定表③(旧・旧制度)'!$B$8:$AJ$44,9,FALSE)*AA10)+(I10/VLOOKUP($B10,'2-2_算定表③(旧・旧制度)'!$B$8:$AJ$44,9,FALSE)*AB10),0))</f>
      </c>
      <c r="AF10" s="680">
        <f>IF(B10="","",AE10-J10)</f>
      </c>
      <c r="AG10" s="1079">
        <f>IF(B10="","",VLOOKUP($B10,'2-2_算定表③(旧・旧制度)'!$B$8:$AH$65536,33,FALSE))</f>
      </c>
      <c r="AH10" s="1080" t="s">
        <v>182</v>
      </c>
      <c r="AI10" s="1081" t="s">
        <v>182</v>
      </c>
      <c r="AK10" s="54">
        <f>IF(A10&gt;0,ASC(C10&amp;H10),"")</f>
      </c>
      <c r="AL10" s="54">
        <f aca="true" t="shared" si="9" ref="AL10:AL38">IF(B10="","",IF(AF10=0,0,1))</f>
      </c>
    </row>
    <row r="11" spans="1:38" s="53" customFormat="1" ht="18.75" customHeight="1">
      <c r="A11" s="27">
        <f t="shared" si="0"/>
      </c>
      <c r="B11" s="577"/>
      <c r="C11" s="716">
        <f>IF(B11="","",VLOOKUP($B11,'2-2_算定表③(旧・旧制度)'!$B$8:$U$65536,2,FALSE))</f>
      </c>
      <c r="D11" s="713">
        <f>IF(B11="","",VLOOKUP($B11,'2-2_算定表③(旧・旧制度)'!$B$8:$U$65536,3,FALSE))</f>
      </c>
      <c r="E11" s="773">
        <f>IF(B11="","",VLOOKUP($B11,'2-2_算定表③(旧・旧制度)'!$B$8:$U$65536,6,FALSE))</f>
      </c>
      <c r="F11" s="668">
        <f>IF(B11="","",VLOOKUP($B11,'2-2_算定表③(旧・旧制度)'!$B$8:$U$65536,14,FALSE))</f>
      </c>
      <c r="G11" s="626">
        <f>IF(B11="","",VLOOKUP($B11,'2-2_算定表③(旧・旧制度)'!$B$8:$U$65536,16,FALSE))</f>
      </c>
      <c r="H11" s="668">
        <f>IF(B11="","",VLOOKUP($B11,'2-2_算定表③(旧・旧制度)'!$B$8:$U$65536,17,FALSE))</f>
      </c>
      <c r="I11" s="626">
        <f>IF(B11="","",VLOOKUP($B11,'2-2_算定表③(旧・旧制度)'!$B$8:$U$65536,19,FALSE))</f>
      </c>
      <c r="J11" s="402">
        <f>IF(B11="","",VLOOKUP($B11,'2-2_算定表③(旧・旧制度)'!$B$8:$U$65536,20,FALSE))</f>
      </c>
      <c r="K11" s="672">
        <f>IF($B11="","",VLOOKUP($B11,'2-2_算定表③(旧・旧制度)'!$B$8:$U$65536,14,FALSE))</f>
      </c>
      <c r="L11" s="421">
        <f>IF($B11="","",VLOOKUP($B11,'2-2_算定表③(旧・旧制度)'!$B$8:$U$65536,14,FALSE))</f>
      </c>
      <c r="M11" s="678">
        <f>IF($B11="","",VLOOKUP($B11,'2-2_算定表③(旧・旧制度)'!$B$8:$U$65536,14,FALSE))</f>
      </c>
      <c r="N11" s="672">
        <f>IF($B11="","",VLOOKUP($B11,'2-2_算定表③(旧・旧制度)'!$B$8:$U$65536,17,FALSE))</f>
      </c>
      <c r="O11" s="421">
        <f>IF($B11="","",VLOOKUP($B11,'2-2_算定表③(旧・旧制度)'!$B$8:$U$65536,17,FALSE))</f>
      </c>
      <c r="P11" s="421">
        <f>IF($B11="","",VLOOKUP($B11,'2-2_算定表③(旧・旧制度)'!$B$8:$U$65536,17,FALSE))</f>
      </c>
      <c r="Q11" s="421">
        <f>IF($B11="","",VLOOKUP($B11,'2-2_算定表③(旧・旧制度)'!$B$8:$U$65536,17,FALSE))</f>
      </c>
      <c r="R11" s="421">
        <f>IF($B11="","",VLOOKUP($B11,'2-2_算定表③(旧・旧制度)'!$B$8:$U$65536,17,FALSE))</f>
      </c>
      <c r="S11" s="421">
        <f>IF($B11="","",VLOOKUP($B11,'2-2_算定表③(旧・旧制度)'!$B$8:$U$65536,17,FALSE))</f>
      </c>
      <c r="T11" s="421">
        <f>IF($B11="","",VLOOKUP($B11,'2-2_算定表③(旧・旧制度)'!$B$8:$U$65536,17,FALSE))</f>
      </c>
      <c r="U11" s="421">
        <f>IF($B11="","",VLOOKUP($B11,'2-2_算定表③(旧・旧制度)'!$B$8:$U$65536,17,FALSE))</f>
      </c>
      <c r="V11" s="673">
        <f>IF($B11="","",VLOOKUP($B11,'2-2_算定表③(旧・旧制度)'!$B$8:$U$65536,17,FALSE))</f>
      </c>
      <c r="W11" s="429">
        <f t="shared" si="1"/>
      </c>
      <c r="X11" s="416">
        <f t="shared" si="2"/>
      </c>
      <c r="Y11" s="415">
        <f t="shared" si="3"/>
      </c>
      <c r="Z11" s="417">
        <f t="shared" si="4"/>
      </c>
      <c r="AA11" s="418">
        <f t="shared" si="5"/>
      </c>
      <c r="AB11" s="419">
        <f t="shared" si="6"/>
      </c>
      <c r="AC11" s="418">
        <f t="shared" si="7"/>
      </c>
      <c r="AD11" s="419">
        <f t="shared" si="8"/>
      </c>
      <c r="AE11" s="404">
        <f>IF(B11="","",ROUNDUP((G11/VLOOKUP($B11,'2-2_算定表③(旧・旧制度)'!$B$8:$AJ$44,9,FALSE)*W11)+(I11/VLOOKUP($B11,'2-2_算定表③(旧・旧制度)'!$B$8:$AJ$44,9,FALSE)*X11)+(G11/VLOOKUP($B11,'2-2_算定表③(旧・旧制度)'!$B$8:$AJ$44,9,FALSE)*Y11)+(I11/VLOOKUP($B11,'2-2_算定表③(旧・旧制度)'!$B$8:$AJ$44,9,FALSE)*Z11)+(G11/VLOOKUP($B11,'2-2_算定表③(旧・旧制度)'!$B$8:$AJ$44,9,FALSE)*AA11)+(I11/VLOOKUP($B11,'2-2_算定表③(旧・旧制度)'!$B$8:$AJ$44,9,FALSE)*AB11),0))</f>
      </c>
      <c r="AF11" s="403">
        <f aca="true" t="shared" si="10" ref="AF11:AF38">IF(B11="","",AE11-J11)</f>
      </c>
      <c r="AG11" s="1079">
        <f>IF(B11="","",VLOOKUP($B11,'2-2_算定表③(旧・旧制度)'!$B$8:$AH$65536,33,FALSE))</f>
      </c>
      <c r="AH11" s="1080" t="s">
        <v>182</v>
      </c>
      <c r="AI11" s="1081" t="s">
        <v>182</v>
      </c>
      <c r="AK11" s="61">
        <f aca="true" t="shared" si="11" ref="AK11:AK38">IF(A11&gt;0,ASC(C11&amp;H11),"")</f>
      </c>
      <c r="AL11" s="61">
        <f t="shared" si="9"/>
      </c>
    </row>
    <row r="12" spans="1:38" s="53" customFormat="1" ht="18.75" customHeight="1">
      <c r="A12" s="27">
        <f t="shared" si="0"/>
      </c>
      <c r="B12" s="577"/>
      <c r="C12" s="716">
        <f>IF(B12="","",VLOOKUP($B12,'2-2_算定表③(旧・旧制度)'!$B$8:$U$65536,2,FALSE))</f>
      </c>
      <c r="D12" s="713">
        <f>IF(B12="","",VLOOKUP($B12,'2-2_算定表③(旧・旧制度)'!$B$8:$U$65536,3,FALSE))</f>
      </c>
      <c r="E12" s="773">
        <f>IF(B12="","",VLOOKUP($B12,'2-2_算定表③(旧・旧制度)'!$B$8:$U$65536,6,FALSE))</f>
      </c>
      <c r="F12" s="668">
        <f>IF(B12="","",VLOOKUP($B12,'2-2_算定表③(旧・旧制度)'!$B$8:$U$65536,14,FALSE))</f>
      </c>
      <c r="G12" s="626">
        <f>IF(B12="","",VLOOKUP($B12,'2-2_算定表③(旧・旧制度)'!$B$8:$U$65536,16,FALSE))</f>
      </c>
      <c r="H12" s="668">
        <f>IF(B12="","",VLOOKUP($B12,'2-2_算定表③(旧・旧制度)'!$B$8:$U$65536,17,FALSE))</f>
      </c>
      <c r="I12" s="626">
        <f>IF(B12="","",VLOOKUP($B12,'2-2_算定表③(旧・旧制度)'!$B$8:$U$65536,19,FALSE))</f>
      </c>
      <c r="J12" s="402">
        <f>IF(B12="","",VLOOKUP($B12,'2-2_算定表③(旧・旧制度)'!$B$8:$U$65536,20,FALSE))</f>
      </c>
      <c r="K12" s="672">
        <f>IF($B12="","",VLOOKUP($B12,'2-2_算定表③(旧・旧制度)'!$B$8:$U$65536,14,FALSE))</f>
      </c>
      <c r="L12" s="421">
        <f>IF($B12="","",VLOOKUP($B12,'2-2_算定表③(旧・旧制度)'!$B$8:$U$65536,14,FALSE))</f>
      </c>
      <c r="M12" s="678">
        <f>IF($B12="","",VLOOKUP($B12,'2-2_算定表③(旧・旧制度)'!$B$8:$U$65536,14,FALSE))</f>
      </c>
      <c r="N12" s="672">
        <f>IF($B12="","",VLOOKUP($B12,'2-2_算定表③(旧・旧制度)'!$B$8:$U$65536,17,FALSE))</f>
      </c>
      <c r="O12" s="421">
        <f>IF($B12="","",VLOOKUP($B12,'2-2_算定表③(旧・旧制度)'!$B$8:$U$65536,17,FALSE))</f>
      </c>
      <c r="P12" s="421">
        <f>IF($B12="","",VLOOKUP($B12,'2-2_算定表③(旧・旧制度)'!$B$8:$U$65536,17,FALSE))</f>
      </c>
      <c r="Q12" s="421">
        <f>IF($B12="","",VLOOKUP($B12,'2-2_算定表③(旧・旧制度)'!$B$8:$U$65536,17,FALSE))</f>
      </c>
      <c r="R12" s="421">
        <f>IF($B12="","",VLOOKUP($B12,'2-2_算定表③(旧・旧制度)'!$B$8:$U$65536,17,FALSE))</f>
      </c>
      <c r="S12" s="421">
        <f>IF($B12="","",VLOOKUP($B12,'2-2_算定表③(旧・旧制度)'!$B$8:$U$65536,17,FALSE))</f>
      </c>
      <c r="T12" s="421">
        <f>IF($B12="","",VLOOKUP($B12,'2-2_算定表③(旧・旧制度)'!$B$8:$U$65536,17,FALSE))</f>
      </c>
      <c r="U12" s="421">
        <f>IF($B12="","",VLOOKUP($B12,'2-2_算定表③(旧・旧制度)'!$B$8:$U$65536,17,FALSE))</f>
      </c>
      <c r="V12" s="673">
        <f>IF($B12="","",VLOOKUP($B12,'2-2_算定表③(旧・旧制度)'!$B$8:$U$65536,17,FALSE))</f>
      </c>
      <c r="W12" s="419">
        <f t="shared" si="1"/>
      </c>
      <c r="X12" s="423">
        <f t="shared" si="2"/>
      </c>
      <c r="Y12" s="422">
        <f t="shared" si="3"/>
      </c>
      <c r="Z12" s="424">
        <f t="shared" si="4"/>
      </c>
      <c r="AA12" s="418">
        <f t="shared" si="5"/>
      </c>
      <c r="AB12" s="419">
        <f t="shared" si="6"/>
      </c>
      <c r="AC12" s="418">
        <f t="shared" si="7"/>
      </c>
      <c r="AD12" s="419">
        <f t="shared" si="8"/>
      </c>
      <c r="AE12" s="404">
        <f>IF(B12="","",ROUNDUP((G12/VLOOKUP($B12,'2-2_算定表③(旧・旧制度)'!$B$8:$AJ$44,9,FALSE)*W12)+(I12/VLOOKUP($B12,'2-2_算定表③(旧・旧制度)'!$B$8:$AJ$44,9,FALSE)*X12)+(G12/VLOOKUP($B12,'2-2_算定表③(旧・旧制度)'!$B$8:$AJ$44,9,FALSE)*Y12)+(I12/VLOOKUP($B12,'2-2_算定表③(旧・旧制度)'!$B$8:$AJ$44,9,FALSE)*Z12)+(G12/VLOOKUP($B12,'2-2_算定表③(旧・旧制度)'!$B$8:$AJ$44,9,FALSE)*AA12)+(I12/VLOOKUP($B12,'2-2_算定表③(旧・旧制度)'!$B$8:$AJ$44,9,FALSE)*AB12),0))</f>
      </c>
      <c r="AF12" s="403">
        <f t="shared" si="10"/>
      </c>
      <c r="AG12" s="1079">
        <f>IF(B12="","",VLOOKUP($B12,'2-2_算定表③(旧・旧制度)'!$B$8:$AH$65536,33,FALSE))</f>
      </c>
      <c r="AH12" s="1080" t="s">
        <v>182</v>
      </c>
      <c r="AI12" s="1081" t="s">
        <v>182</v>
      </c>
      <c r="AK12" s="61">
        <f t="shared" si="11"/>
      </c>
      <c r="AL12" s="61">
        <f t="shared" si="9"/>
      </c>
    </row>
    <row r="13" spans="1:38" s="53" customFormat="1" ht="18.75" customHeight="1">
      <c r="A13" s="27">
        <f t="shared" si="0"/>
      </c>
      <c r="B13" s="577"/>
      <c r="C13" s="716">
        <f>IF(B13="","",VLOOKUP($B13,'2-2_算定表③(旧・旧制度)'!$B$8:$U$65536,2,FALSE))</f>
      </c>
      <c r="D13" s="713">
        <f>IF(B13="","",VLOOKUP($B13,'2-2_算定表③(旧・旧制度)'!$B$8:$U$65536,3,FALSE))</f>
      </c>
      <c r="E13" s="773">
        <f>IF(B13="","",VLOOKUP($B13,'2-2_算定表③(旧・旧制度)'!$B$8:$U$65536,6,FALSE))</f>
      </c>
      <c r="F13" s="668">
        <f>IF(B13="","",VLOOKUP($B13,'2-2_算定表③(旧・旧制度)'!$B$8:$U$65536,14,FALSE))</f>
      </c>
      <c r="G13" s="626">
        <f>IF(B13="","",VLOOKUP($B13,'2-2_算定表③(旧・旧制度)'!$B$8:$U$65536,16,FALSE))</f>
      </c>
      <c r="H13" s="668">
        <f>IF(B13="","",VLOOKUP($B13,'2-2_算定表③(旧・旧制度)'!$B$8:$U$65536,17,FALSE))</f>
      </c>
      <c r="I13" s="626">
        <f>IF(B13="","",VLOOKUP($B13,'2-2_算定表③(旧・旧制度)'!$B$8:$U$65536,19,FALSE))</f>
      </c>
      <c r="J13" s="402">
        <f>IF(B13="","",VLOOKUP($B13,'2-2_算定表③(旧・旧制度)'!$B$8:$U$65536,20,FALSE))</f>
      </c>
      <c r="K13" s="672">
        <f>IF($B13="","",VLOOKUP($B13,'2-2_算定表③(旧・旧制度)'!$B$8:$U$65536,14,FALSE))</f>
      </c>
      <c r="L13" s="421">
        <f>IF($B13="","",VLOOKUP($B13,'2-2_算定表③(旧・旧制度)'!$B$8:$U$65536,14,FALSE))</f>
      </c>
      <c r="M13" s="678">
        <f>IF($B13="","",VLOOKUP($B13,'2-2_算定表③(旧・旧制度)'!$B$8:$U$65536,14,FALSE))</f>
      </c>
      <c r="N13" s="672">
        <f>IF($B13="","",VLOOKUP($B13,'2-2_算定表③(旧・旧制度)'!$B$8:$U$65536,17,FALSE))</f>
      </c>
      <c r="O13" s="421">
        <f>IF($B13="","",VLOOKUP($B13,'2-2_算定表③(旧・旧制度)'!$B$8:$U$65536,17,FALSE))</f>
      </c>
      <c r="P13" s="421">
        <f>IF($B13="","",VLOOKUP($B13,'2-2_算定表③(旧・旧制度)'!$B$8:$U$65536,17,FALSE))</f>
      </c>
      <c r="Q13" s="421">
        <f>IF($B13="","",VLOOKUP($B13,'2-2_算定表③(旧・旧制度)'!$B$8:$U$65536,17,FALSE))</f>
      </c>
      <c r="R13" s="421">
        <f>IF($B13="","",VLOOKUP($B13,'2-2_算定表③(旧・旧制度)'!$B$8:$U$65536,17,FALSE))</f>
      </c>
      <c r="S13" s="421">
        <f>IF($B13="","",VLOOKUP($B13,'2-2_算定表③(旧・旧制度)'!$B$8:$U$65536,17,FALSE))</f>
      </c>
      <c r="T13" s="421">
        <f>IF($B13="","",VLOOKUP($B13,'2-2_算定表③(旧・旧制度)'!$B$8:$U$65536,17,FALSE))</f>
      </c>
      <c r="U13" s="421">
        <f>IF($B13="","",VLOOKUP($B13,'2-2_算定表③(旧・旧制度)'!$B$8:$U$65536,17,FALSE))</f>
      </c>
      <c r="V13" s="673">
        <f>IF($B13="","",VLOOKUP($B13,'2-2_算定表③(旧・旧制度)'!$B$8:$U$65536,17,FALSE))</f>
      </c>
      <c r="W13" s="419">
        <f t="shared" si="1"/>
      </c>
      <c r="X13" s="423">
        <f t="shared" si="2"/>
      </c>
      <c r="Y13" s="422">
        <f t="shared" si="3"/>
      </c>
      <c r="Z13" s="424">
        <f t="shared" si="4"/>
      </c>
      <c r="AA13" s="418">
        <f t="shared" si="5"/>
      </c>
      <c r="AB13" s="419">
        <f t="shared" si="6"/>
      </c>
      <c r="AC13" s="418">
        <f t="shared" si="7"/>
      </c>
      <c r="AD13" s="419">
        <f t="shared" si="8"/>
      </c>
      <c r="AE13" s="404">
        <f>IF(B13="","",ROUNDUP((G13/VLOOKUP($B13,'2-2_算定表③(旧・旧制度)'!$B$8:$AJ$44,9,FALSE)*W13)+(I13/VLOOKUP($B13,'2-2_算定表③(旧・旧制度)'!$B$8:$AJ$44,9,FALSE)*X13)+(G13/VLOOKUP($B13,'2-2_算定表③(旧・旧制度)'!$B$8:$AJ$44,9,FALSE)*Y13)+(I13/VLOOKUP($B13,'2-2_算定表③(旧・旧制度)'!$B$8:$AJ$44,9,FALSE)*Z13)+(G13/VLOOKUP($B13,'2-2_算定表③(旧・旧制度)'!$B$8:$AJ$44,9,FALSE)*AA13)+(I13/VLOOKUP($B13,'2-2_算定表③(旧・旧制度)'!$B$8:$AJ$44,9,FALSE)*AB13),0))</f>
      </c>
      <c r="AF13" s="403">
        <f>IF(B13="","",AE13-J13)</f>
      </c>
      <c r="AG13" s="1079">
        <f>IF(B13="","",VLOOKUP($B13,'2-2_算定表③(旧・旧制度)'!$B$8:$AH$65536,33,FALSE))</f>
      </c>
      <c r="AH13" s="1080" t="s">
        <v>182</v>
      </c>
      <c r="AI13" s="1081" t="s">
        <v>182</v>
      </c>
      <c r="AK13" s="61">
        <f t="shared" si="11"/>
      </c>
      <c r="AL13" s="61">
        <f t="shared" si="9"/>
      </c>
    </row>
    <row r="14" spans="1:38" s="53" customFormat="1" ht="18.75" customHeight="1">
      <c r="A14" s="27">
        <f t="shared" si="0"/>
      </c>
      <c r="B14" s="577"/>
      <c r="C14" s="716">
        <f>IF(B14="","",VLOOKUP($B14,'2-2_算定表③(旧・旧制度)'!$B$8:$U$65536,2,FALSE))</f>
      </c>
      <c r="D14" s="713">
        <f>IF(B14="","",VLOOKUP($B14,'2-2_算定表③(旧・旧制度)'!$B$8:$U$65536,3,FALSE))</f>
      </c>
      <c r="E14" s="773">
        <f>IF(B14="","",VLOOKUP($B14,'2-2_算定表③(旧・旧制度)'!$B$8:$U$65536,6,FALSE))</f>
      </c>
      <c r="F14" s="668">
        <f>IF(B14="","",VLOOKUP($B14,'2-2_算定表③(旧・旧制度)'!$B$8:$U$65536,14,FALSE))</f>
      </c>
      <c r="G14" s="626">
        <f>IF(B14="","",VLOOKUP($B14,'2-2_算定表③(旧・旧制度)'!$B$8:$U$65536,16,FALSE))</f>
      </c>
      <c r="H14" s="668">
        <f>IF(B14="","",VLOOKUP($B14,'2-2_算定表③(旧・旧制度)'!$B$8:$U$65536,17,FALSE))</f>
      </c>
      <c r="I14" s="626">
        <f>IF(B14="","",VLOOKUP($B14,'2-2_算定表③(旧・旧制度)'!$B$8:$U$65536,19,FALSE))</f>
      </c>
      <c r="J14" s="402">
        <f>IF(B14="","",VLOOKUP($B14,'2-2_算定表③(旧・旧制度)'!$B$8:$U$65536,20,FALSE))</f>
      </c>
      <c r="K14" s="672">
        <f>IF($B14="","",VLOOKUP($B14,'2-2_算定表③(旧・旧制度)'!$B$8:$U$65536,14,FALSE))</f>
      </c>
      <c r="L14" s="421">
        <f>IF($B14="","",VLOOKUP($B14,'2-2_算定表③(旧・旧制度)'!$B$8:$U$65536,14,FALSE))</f>
      </c>
      <c r="M14" s="678">
        <f>IF($B14="","",VLOOKUP($B14,'2-2_算定表③(旧・旧制度)'!$B$8:$U$65536,14,FALSE))</f>
      </c>
      <c r="N14" s="672">
        <f>IF($B14="","",VLOOKUP($B14,'2-2_算定表③(旧・旧制度)'!$B$8:$U$65536,17,FALSE))</f>
      </c>
      <c r="O14" s="421">
        <f>IF($B14="","",VLOOKUP($B14,'2-2_算定表③(旧・旧制度)'!$B$8:$U$65536,17,FALSE))</f>
      </c>
      <c r="P14" s="421">
        <f>IF($B14="","",VLOOKUP($B14,'2-2_算定表③(旧・旧制度)'!$B$8:$U$65536,17,FALSE))</f>
      </c>
      <c r="Q14" s="421">
        <f>IF($B14="","",VLOOKUP($B14,'2-2_算定表③(旧・旧制度)'!$B$8:$U$65536,17,FALSE))</f>
      </c>
      <c r="R14" s="421">
        <f>IF($B14="","",VLOOKUP($B14,'2-2_算定表③(旧・旧制度)'!$B$8:$U$65536,17,FALSE))</f>
      </c>
      <c r="S14" s="421">
        <f>IF($B14="","",VLOOKUP($B14,'2-2_算定表③(旧・旧制度)'!$B$8:$U$65536,17,FALSE))</f>
      </c>
      <c r="T14" s="421">
        <f>IF($B14="","",VLOOKUP($B14,'2-2_算定表③(旧・旧制度)'!$B$8:$U$65536,17,FALSE))</f>
      </c>
      <c r="U14" s="421">
        <f>IF($B14="","",VLOOKUP($B14,'2-2_算定表③(旧・旧制度)'!$B$8:$U$65536,17,FALSE))</f>
      </c>
      <c r="V14" s="673">
        <f>IF($B14="","",VLOOKUP($B14,'2-2_算定表③(旧・旧制度)'!$B$8:$U$65536,17,FALSE))</f>
      </c>
      <c r="W14" s="419">
        <f t="shared" si="1"/>
      </c>
      <c r="X14" s="423">
        <f t="shared" si="2"/>
      </c>
      <c r="Y14" s="422">
        <f t="shared" si="3"/>
      </c>
      <c r="Z14" s="424">
        <f t="shared" si="4"/>
      </c>
      <c r="AA14" s="418">
        <f t="shared" si="5"/>
      </c>
      <c r="AB14" s="419">
        <f t="shared" si="6"/>
      </c>
      <c r="AC14" s="418">
        <f t="shared" si="7"/>
      </c>
      <c r="AD14" s="419">
        <f t="shared" si="8"/>
      </c>
      <c r="AE14" s="404">
        <f>IF(B14="","",ROUNDUP((G14/VLOOKUP($B14,'2-2_算定表③(旧・旧制度)'!$B$8:$AJ$44,9,FALSE)*W14)+(I14/VLOOKUP($B14,'2-2_算定表③(旧・旧制度)'!$B$8:$AJ$44,9,FALSE)*X14)+(G14/VLOOKUP($B14,'2-2_算定表③(旧・旧制度)'!$B$8:$AJ$44,9,FALSE)*Y14)+(I14/VLOOKUP($B14,'2-2_算定表③(旧・旧制度)'!$B$8:$AJ$44,9,FALSE)*Z14)+(G14/VLOOKUP($B14,'2-2_算定表③(旧・旧制度)'!$B$8:$AJ$44,9,FALSE)*AA14)+(I14/VLOOKUP($B14,'2-2_算定表③(旧・旧制度)'!$B$8:$AJ$44,9,FALSE)*AB14),0))</f>
      </c>
      <c r="AF14" s="403">
        <f t="shared" si="10"/>
      </c>
      <c r="AG14" s="1079">
        <f>IF(B14="","",VLOOKUP($B14,'2-2_算定表③(旧・旧制度)'!$B$8:$AH$65536,33,FALSE))</f>
      </c>
      <c r="AH14" s="1080" t="s">
        <v>182</v>
      </c>
      <c r="AI14" s="1081" t="s">
        <v>182</v>
      </c>
      <c r="AK14" s="61">
        <f t="shared" si="11"/>
      </c>
      <c r="AL14" s="61">
        <f t="shared" si="9"/>
      </c>
    </row>
    <row r="15" spans="1:38" s="53" customFormat="1" ht="18.75" customHeight="1">
      <c r="A15" s="27">
        <f t="shared" si="0"/>
      </c>
      <c r="B15" s="577"/>
      <c r="C15" s="716">
        <f>IF(B15="","",VLOOKUP($B15,'2-2_算定表③(旧・旧制度)'!$B$8:$U$65536,2,FALSE))</f>
      </c>
      <c r="D15" s="713">
        <f>IF(B15="","",VLOOKUP($B15,'2-2_算定表③(旧・旧制度)'!$B$8:$U$65536,3,FALSE))</f>
      </c>
      <c r="E15" s="773">
        <f>IF(B15="","",VLOOKUP($B15,'2-2_算定表③(旧・旧制度)'!$B$8:$U$65536,6,FALSE))</f>
      </c>
      <c r="F15" s="668">
        <f>IF(B15="","",VLOOKUP($B15,'2-2_算定表③(旧・旧制度)'!$B$8:$U$65536,14,FALSE))</f>
      </c>
      <c r="G15" s="626">
        <f>IF(B15="","",VLOOKUP($B15,'2-2_算定表③(旧・旧制度)'!$B$8:$U$65536,16,FALSE))</f>
      </c>
      <c r="H15" s="668">
        <f>IF(B15="","",VLOOKUP($B15,'2-2_算定表③(旧・旧制度)'!$B$8:$U$65536,17,FALSE))</f>
      </c>
      <c r="I15" s="626">
        <f>IF(B15="","",VLOOKUP($B15,'2-2_算定表③(旧・旧制度)'!$B$8:$U$65536,19,FALSE))</f>
      </c>
      <c r="J15" s="402">
        <f>IF(B15="","",VLOOKUP($B15,'2-2_算定表③(旧・旧制度)'!$B$8:$U$65536,20,FALSE))</f>
      </c>
      <c r="K15" s="672">
        <f>IF($B15="","",VLOOKUP($B15,'2-2_算定表③(旧・旧制度)'!$B$8:$U$65536,14,FALSE))</f>
      </c>
      <c r="L15" s="421">
        <f>IF($B15="","",VLOOKUP($B15,'2-2_算定表③(旧・旧制度)'!$B$8:$U$65536,14,FALSE))</f>
      </c>
      <c r="M15" s="678">
        <f>IF($B15="","",VLOOKUP($B15,'2-2_算定表③(旧・旧制度)'!$B$8:$U$65536,14,FALSE))</f>
      </c>
      <c r="N15" s="672">
        <f>IF($B15="","",VLOOKUP($B15,'2-2_算定表③(旧・旧制度)'!$B$8:$U$65536,17,FALSE))</f>
      </c>
      <c r="O15" s="421">
        <f>IF($B15="","",VLOOKUP($B15,'2-2_算定表③(旧・旧制度)'!$B$8:$U$65536,17,FALSE))</f>
      </c>
      <c r="P15" s="421">
        <f>IF($B15="","",VLOOKUP($B15,'2-2_算定表③(旧・旧制度)'!$B$8:$U$65536,17,FALSE))</f>
      </c>
      <c r="Q15" s="421">
        <f>IF($B15="","",VLOOKUP($B15,'2-2_算定表③(旧・旧制度)'!$B$8:$U$65536,17,FALSE))</f>
      </c>
      <c r="R15" s="421">
        <f>IF($B15="","",VLOOKUP($B15,'2-2_算定表③(旧・旧制度)'!$B$8:$U$65536,17,FALSE))</f>
      </c>
      <c r="S15" s="421">
        <f>IF($B15="","",VLOOKUP($B15,'2-2_算定表③(旧・旧制度)'!$B$8:$U$65536,17,FALSE))</f>
      </c>
      <c r="T15" s="758">
        <f>IF($B15="","",VLOOKUP($B15,'2-2_算定表③(旧・旧制度)'!$B$8:$U$65536,17,FALSE))</f>
      </c>
      <c r="U15" s="758">
        <f>IF($B15="","",VLOOKUP($B15,'2-2_算定表③(旧・旧制度)'!$B$8:$U$65536,17,FALSE))</f>
      </c>
      <c r="V15" s="673">
        <f>IF($B15="","",VLOOKUP($B15,'2-2_算定表③(旧・旧制度)'!$B$8:$U$65536,17,FALSE))</f>
      </c>
      <c r="W15" s="419">
        <f t="shared" si="1"/>
      </c>
      <c r="X15" s="423">
        <f t="shared" si="2"/>
      </c>
      <c r="Y15" s="422">
        <f>IF($B15="","",COUNTIF($K15:$M15,Y$6))</f>
      </c>
      <c r="Z15" s="424">
        <f t="shared" si="4"/>
      </c>
      <c r="AA15" s="418">
        <f t="shared" si="5"/>
      </c>
      <c r="AB15" s="419">
        <f t="shared" si="6"/>
      </c>
      <c r="AC15" s="418">
        <f t="shared" si="7"/>
      </c>
      <c r="AD15" s="419">
        <f t="shared" si="8"/>
      </c>
      <c r="AE15" s="404">
        <f>IF(B15="","",ROUNDUP((G15/VLOOKUP($B15,'2-2_算定表③(旧・旧制度)'!$B$8:$AJ$44,9,FALSE)*W15)+(I15/VLOOKUP($B15,'2-2_算定表③(旧・旧制度)'!$B$8:$AJ$44,9,FALSE)*X15)+(G15/VLOOKUP($B15,'2-2_算定表③(旧・旧制度)'!$B$8:$AJ$44,9,FALSE)*Y15)+(I15/VLOOKUP($B15,'2-2_算定表③(旧・旧制度)'!$B$8:$AJ$44,9,FALSE)*Z15)+(G15/VLOOKUP($B15,'2-2_算定表③(旧・旧制度)'!$B$8:$AJ$44,9,FALSE)*AA15)+(I15/VLOOKUP($B15,'2-2_算定表③(旧・旧制度)'!$B$8:$AJ$44,9,FALSE)*AB15),0))</f>
      </c>
      <c r="AF15" s="403">
        <f t="shared" si="10"/>
      </c>
      <c r="AG15" s="1079">
        <f>IF(B15="","",VLOOKUP($B15,'2-2_算定表③(旧・旧制度)'!$B$8:$AH$65536,33,FALSE))</f>
      </c>
      <c r="AH15" s="1080" t="s">
        <v>182</v>
      </c>
      <c r="AI15" s="1081" t="s">
        <v>182</v>
      </c>
      <c r="AK15" s="61">
        <f t="shared" si="11"/>
      </c>
      <c r="AL15" s="61">
        <f t="shared" si="9"/>
      </c>
    </row>
    <row r="16" spans="1:38" s="53" customFormat="1" ht="18.75" customHeight="1">
      <c r="A16" s="27">
        <f t="shared" si="0"/>
      </c>
      <c r="B16" s="577"/>
      <c r="C16" s="716">
        <f>IF(B16="","",VLOOKUP($B16,'2-2_算定表③(旧・旧制度)'!$B$8:$U$65536,2,FALSE))</f>
      </c>
      <c r="D16" s="713">
        <f>IF(B16="","",VLOOKUP($B16,'2-2_算定表③(旧・旧制度)'!$B$8:$U$65536,3,FALSE))</f>
      </c>
      <c r="E16" s="773">
        <f>IF(B16="","",VLOOKUP($B16,'2-2_算定表③(旧・旧制度)'!$B$8:$U$65536,6,FALSE))</f>
      </c>
      <c r="F16" s="668">
        <f>IF(B16="","",VLOOKUP($B16,'2-2_算定表③(旧・旧制度)'!$B$8:$U$65536,14,FALSE))</f>
      </c>
      <c r="G16" s="626">
        <f>IF(B16="","",VLOOKUP($B16,'2-2_算定表③(旧・旧制度)'!$B$8:$U$65536,16,FALSE))</f>
      </c>
      <c r="H16" s="668">
        <f>IF(B16="","",VLOOKUP($B16,'2-2_算定表③(旧・旧制度)'!$B$8:$U$65536,17,FALSE))</f>
      </c>
      <c r="I16" s="626">
        <f>IF(B16="","",VLOOKUP($B16,'2-2_算定表③(旧・旧制度)'!$B$8:$U$65536,19,FALSE))</f>
      </c>
      <c r="J16" s="402">
        <f>IF(B16="","",VLOOKUP($B16,'2-2_算定表③(旧・旧制度)'!$B$8:$U$65536,20,FALSE))</f>
      </c>
      <c r="K16" s="672">
        <f>IF($B16="","",VLOOKUP($B16,'2-2_算定表③(旧・旧制度)'!$B$8:$U$65536,14,FALSE))</f>
      </c>
      <c r="L16" s="421">
        <f>IF($B16="","",VLOOKUP($B16,'2-2_算定表③(旧・旧制度)'!$B$8:$U$65536,14,FALSE))</f>
      </c>
      <c r="M16" s="678">
        <f>IF($B16="","",VLOOKUP($B16,'2-2_算定表③(旧・旧制度)'!$B$8:$U$65536,14,FALSE))</f>
      </c>
      <c r="N16" s="672">
        <f>IF($B16="","",VLOOKUP($B16,'2-2_算定表③(旧・旧制度)'!$B$8:$U$65536,17,FALSE))</f>
      </c>
      <c r="O16" s="421">
        <f>IF($B16="","",VLOOKUP($B16,'2-2_算定表③(旧・旧制度)'!$B$8:$U$65536,17,FALSE))</f>
      </c>
      <c r="P16" s="421">
        <f>IF($B16="","",VLOOKUP($B16,'2-2_算定表③(旧・旧制度)'!$B$8:$U$65536,17,FALSE))</f>
      </c>
      <c r="Q16" s="421">
        <f>IF($B16="","",VLOOKUP($B16,'2-2_算定表③(旧・旧制度)'!$B$8:$U$65536,17,FALSE))</f>
      </c>
      <c r="R16" s="421">
        <f>IF($B16="","",VLOOKUP($B16,'2-2_算定表③(旧・旧制度)'!$B$8:$U$65536,17,FALSE))</f>
      </c>
      <c r="S16" s="421">
        <f>IF($B16="","",VLOOKUP($B16,'2-2_算定表③(旧・旧制度)'!$B$8:$U$65536,17,FALSE))</f>
      </c>
      <c r="T16" s="421">
        <f>IF($B16="","",VLOOKUP($B16,'2-2_算定表③(旧・旧制度)'!$B$8:$U$65536,17,FALSE))</f>
      </c>
      <c r="U16" s="421">
        <f>IF($B16="","",VLOOKUP($B16,'2-2_算定表③(旧・旧制度)'!$B$8:$U$65536,17,FALSE))</f>
      </c>
      <c r="V16" s="673">
        <f>IF($B16="","",VLOOKUP($B16,'2-2_算定表③(旧・旧制度)'!$B$8:$U$65536,17,FALSE))</f>
      </c>
      <c r="W16" s="419">
        <f t="shared" si="1"/>
      </c>
      <c r="X16" s="423">
        <f t="shared" si="2"/>
      </c>
      <c r="Y16" s="422">
        <f t="shared" si="3"/>
      </c>
      <c r="Z16" s="424">
        <f t="shared" si="4"/>
      </c>
      <c r="AA16" s="418">
        <f t="shared" si="5"/>
      </c>
      <c r="AB16" s="419">
        <f t="shared" si="6"/>
      </c>
      <c r="AC16" s="418">
        <f t="shared" si="7"/>
      </c>
      <c r="AD16" s="419">
        <f t="shared" si="8"/>
      </c>
      <c r="AE16" s="404">
        <f>IF(B16="","",ROUNDUP((G16/VLOOKUP($B16,'2-2_算定表③(旧・旧制度)'!$B$8:$AJ$44,9,FALSE)*W16)+(I16/VLOOKUP($B16,'2-2_算定表③(旧・旧制度)'!$B$8:$AJ$44,9,FALSE)*X16)+(G16/VLOOKUP($B16,'2-2_算定表③(旧・旧制度)'!$B$8:$AJ$44,9,FALSE)*Y16)+(I16/VLOOKUP($B16,'2-2_算定表③(旧・旧制度)'!$B$8:$AJ$44,9,FALSE)*Z16)+(G16/VLOOKUP($B16,'2-2_算定表③(旧・旧制度)'!$B$8:$AJ$44,9,FALSE)*AA16)+(I16/VLOOKUP($B16,'2-2_算定表③(旧・旧制度)'!$B$8:$AJ$44,9,FALSE)*AB16),0))</f>
      </c>
      <c r="AF16" s="403">
        <f t="shared" si="10"/>
      </c>
      <c r="AG16" s="1079">
        <f>IF(B16="","",VLOOKUP($B16,'2-2_算定表③(旧・旧制度)'!$B$8:$AH$65536,33,FALSE))</f>
      </c>
      <c r="AH16" s="1080" t="s">
        <v>182</v>
      </c>
      <c r="AI16" s="1081" t="s">
        <v>182</v>
      </c>
      <c r="AK16" s="61">
        <f t="shared" si="11"/>
      </c>
      <c r="AL16" s="61">
        <f t="shared" si="9"/>
      </c>
    </row>
    <row r="17" spans="1:38" s="53" customFormat="1" ht="18.75" customHeight="1">
      <c r="A17" s="27">
        <f t="shared" si="0"/>
      </c>
      <c r="B17" s="577"/>
      <c r="C17" s="716">
        <f>IF(B17="","",VLOOKUP($B17,'2-2_算定表③(旧・旧制度)'!$B$8:$U$65536,2,FALSE))</f>
      </c>
      <c r="D17" s="713">
        <f>IF(B17="","",VLOOKUP($B17,'2-2_算定表③(旧・旧制度)'!$B$8:$U$65536,3,FALSE))</f>
      </c>
      <c r="E17" s="773">
        <f>IF(B17="","",VLOOKUP($B17,'2-2_算定表③(旧・旧制度)'!$B$8:$U$65536,6,FALSE))</f>
      </c>
      <c r="F17" s="668">
        <f>IF(B17="","",VLOOKUP($B17,'2-2_算定表③(旧・旧制度)'!$B$8:$U$65536,14,FALSE))</f>
      </c>
      <c r="G17" s="626">
        <f>IF(B17="","",VLOOKUP($B17,'2-2_算定表③(旧・旧制度)'!$B$8:$U$65536,16,FALSE))</f>
      </c>
      <c r="H17" s="668">
        <f>IF(B17="","",VLOOKUP($B17,'2-2_算定表③(旧・旧制度)'!$B$8:$U$65536,17,FALSE))</f>
      </c>
      <c r="I17" s="626">
        <f>IF(B17="","",VLOOKUP($B17,'2-2_算定表③(旧・旧制度)'!$B$8:$U$65536,19,FALSE))</f>
      </c>
      <c r="J17" s="402">
        <f>IF(B17="","",VLOOKUP($B17,'2-2_算定表③(旧・旧制度)'!$B$8:$U$65536,20,FALSE))</f>
      </c>
      <c r="K17" s="672">
        <f>IF($B17="","",VLOOKUP($B17,'2-2_算定表③(旧・旧制度)'!$B$8:$U$65536,14,FALSE))</f>
      </c>
      <c r="L17" s="421">
        <f>IF($B17="","",VLOOKUP($B17,'2-2_算定表③(旧・旧制度)'!$B$8:$U$65536,14,FALSE))</f>
      </c>
      <c r="M17" s="678">
        <f>IF($B17="","",VLOOKUP($B17,'2-2_算定表③(旧・旧制度)'!$B$8:$U$65536,14,FALSE))</f>
      </c>
      <c r="N17" s="672">
        <f>IF($B17="","",VLOOKUP($B17,'2-2_算定表③(旧・旧制度)'!$B$8:$U$65536,17,FALSE))</f>
      </c>
      <c r="O17" s="421">
        <f>IF($B17="","",VLOOKUP($B17,'2-2_算定表③(旧・旧制度)'!$B$8:$U$65536,17,FALSE))</f>
      </c>
      <c r="P17" s="421">
        <f>IF($B17="","",VLOOKUP($B17,'2-2_算定表③(旧・旧制度)'!$B$8:$U$65536,17,FALSE))</f>
      </c>
      <c r="Q17" s="421">
        <f>IF($B17="","",VLOOKUP($B17,'2-2_算定表③(旧・旧制度)'!$B$8:$U$65536,17,FALSE))</f>
      </c>
      <c r="R17" s="421">
        <f>IF($B17="","",VLOOKUP($B17,'2-2_算定表③(旧・旧制度)'!$B$8:$U$65536,17,FALSE))</f>
      </c>
      <c r="S17" s="421">
        <f>IF($B17="","",VLOOKUP($B17,'2-2_算定表③(旧・旧制度)'!$B$8:$U$65536,17,FALSE))</f>
      </c>
      <c r="T17" s="421">
        <f>IF($B17="","",VLOOKUP($B17,'2-2_算定表③(旧・旧制度)'!$B$8:$U$65536,17,FALSE))</f>
      </c>
      <c r="U17" s="421">
        <f>IF($B17="","",VLOOKUP($B17,'2-2_算定表③(旧・旧制度)'!$B$8:$U$65536,17,FALSE))</f>
      </c>
      <c r="V17" s="673">
        <f>IF($B17="","",VLOOKUP($B17,'2-2_算定表③(旧・旧制度)'!$B$8:$U$65536,17,FALSE))</f>
      </c>
      <c r="W17" s="419">
        <f t="shared" si="1"/>
      </c>
      <c r="X17" s="423">
        <f t="shared" si="2"/>
      </c>
      <c r="Y17" s="422">
        <f t="shared" si="3"/>
      </c>
      <c r="Z17" s="424">
        <f t="shared" si="4"/>
      </c>
      <c r="AA17" s="418">
        <f t="shared" si="5"/>
      </c>
      <c r="AB17" s="419">
        <f t="shared" si="6"/>
      </c>
      <c r="AC17" s="418">
        <f t="shared" si="7"/>
      </c>
      <c r="AD17" s="419">
        <f t="shared" si="8"/>
      </c>
      <c r="AE17" s="404">
        <f>IF(B17="","",ROUNDUP((G17/VLOOKUP($B17,'2-2_算定表③(旧・旧制度)'!$B$8:$AJ$44,9,FALSE)*W17)+(I17/VLOOKUP($B17,'2-2_算定表③(旧・旧制度)'!$B$8:$AJ$44,9,FALSE)*X17)+(G17/VLOOKUP($B17,'2-2_算定表③(旧・旧制度)'!$B$8:$AJ$44,9,FALSE)*Y17)+(I17/VLOOKUP($B17,'2-2_算定表③(旧・旧制度)'!$B$8:$AJ$44,9,FALSE)*Z17)+(G17/VLOOKUP($B17,'2-2_算定表③(旧・旧制度)'!$B$8:$AJ$44,9,FALSE)*AA17)+(I17/VLOOKUP($B17,'2-2_算定表③(旧・旧制度)'!$B$8:$AJ$44,9,FALSE)*AB17),0))</f>
      </c>
      <c r="AF17" s="403">
        <f t="shared" si="10"/>
      </c>
      <c r="AG17" s="1079">
        <f>IF(B17="","",VLOOKUP($B17,'2-2_算定表③(旧・旧制度)'!$B$8:$AH$65536,33,FALSE))</f>
      </c>
      <c r="AH17" s="1080" t="s">
        <v>182</v>
      </c>
      <c r="AI17" s="1081" t="s">
        <v>182</v>
      </c>
      <c r="AK17" s="61">
        <f t="shared" si="11"/>
      </c>
      <c r="AL17" s="61">
        <f t="shared" si="9"/>
      </c>
    </row>
    <row r="18" spans="1:38" s="53" customFormat="1" ht="18.75" customHeight="1">
      <c r="A18" s="27">
        <f t="shared" si="0"/>
      </c>
      <c r="B18" s="577"/>
      <c r="C18" s="716">
        <f>IF(B18="","",VLOOKUP($B18,'2-2_算定表③(旧・旧制度)'!$B$8:$U$65536,2,FALSE))</f>
      </c>
      <c r="D18" s="713">
        <f>IF(B18="","",VLOOKUP($B18,'2-2_算定表③(旧・旧制度)'!$B$8:$U$65536,3,FALSE))</f>
      </c>
      <c r="E18" s="773">
        <f>IF(B18="","",VLOOKUP($B18,'2-2_算定表③(旧・旧制度)'!$B$8:$U$65536,6,FALSE))</f>
      </c>
      <c r="F18" s="668">
        <f>IF(B18="","",VLOOKUP($B18,'2-2_算定表③(旧・旧制度)'!$B$8:$U$65536,14,FALSE))</f>
      </c>
      <c r="G18" s="626">
        <f>IF(B18="","",VLOOKUP($B18,'2-2_算定表③(旧・旧制度)'!$B$8:$U$65536,16,FALSE))</f>
      </c>
      <c r="H18" s="668">
        <f>IF(B18="","",VLOOKUP($B18,'2-2_算定表③(旧・旧制度)'!$B$8:$U$65536,17,FALSE))</f>
      </c>
      <c r="I18" s="626">
        <f>IF(B18="","",VLOOKUP($B18,'2-2_算定表③(旧・旧制度)'!$B$8:$U$65536,19,FALSE))</f>
      </c>
      <c r="J18" s="402">
        <f>IF(B18="","",VLOOKUP($B18,'2-2_算定表③(旧・旧制度)'!$B$8:$U$65536,20,FALSE))</f>
      </c>
      <c r="K18" s="672">
        <f>IF($B18="","",VLOOKUP($B18,'2-2_算定表③(旧・旧制度)'!$B$8:$U$65536,14,FALSE))</f>
      </c>
      <c r="L18" s="421">
        <f>IF($B18="","",VLOOKUP($B18,'2-2_算定表③(旧・旧制度)'!$B$8:$U$65536,14,FALSE))</f>
      </c>
      <c r="M18" s="678">
        <f>IF($B18="","",VLOOKUP($B18,'2-2_算定表③(旧・旧制度)'!$B$8:$U$65536,14,FALSE))</f>
      </c>
      <c r="N18" s="672">
        <f>IF($B18="","",VLOOKUP($B18,'2-2_算定表③(旧・旧制度)'!$B$8:$U$65536,17,FALSE))</f>
      </c>
      <c r="O18" s="421">
        <f>IF($B18="","",VLOOKUP($B18,'2-2_算定表③(旧・旧制度)'!$B$8:$U$65536,17,FALSE))</f>
      </c>
      <c r="P18" s="421">
        <f>IF($B18="","",VLOOKUP($B18,'2-2_算定表③(旧・旧制度)'!$B$8:$U$65536,17,FALSE))</f>
      </c>
      <c r="Q18" s="421">
        <f>IF($B18="","",VLOOKUP($B18,'2-2_算定表③(旧・旧制度)'!$B$8:$U$65536,17,FALSE))</f>
      </c>
      <c r="R18" s="421">
        <f>IF($B18="","",VLOOKUP($B18,'2-2_算定表③(旧・旧制度)'!$B$8:$U$65536,17,FALSE))</f>
      </c>
      <c r="S18" s="421">
        <f>IF($B18="","",VLOOKUP($B18,'2-2_算定表③(旧・旧制度)'!$B$8:$U$65536,17,FALSE))</f>
      </c>
      <c r="T18" s="421">
        <f>IF($B18="","",VLOOKUP($B18,'2-2_算定表③(旧・旧制度)'!$B$8:$U$65536,17,FALSE))</f>
      </c>
      <c r="U18" s="421">
        <f>IF($B18="","",VLOOKUP($B18,'2-2_算定表③(旧・旧制度)'!$B$8:$U$65536,17,FALSE))</f>
      </c>
      <c r="V18" s="673">
        <f>IF($B18="","",VLOOKUP($B18,'2-2_算定表③(旧・旧制度)'!$B$8:$U$65536,17,FALSE))</f>
      </c>
      <c r="W18" s="419">
        <f t="shared" si="1"/>
      </c>
      <c r="X18" s="423">
        <f t="shared" si="2"/>
      </c>
      <c r="Y18" s="422">
        <f t="shared" si="3"/>
      </c>
      <c r="Z18" s="424">
        <f t="shared" si="4"/>
      </c>
      <c r="AA18" s="418">
        <f t="shared" si="5"/>
      </c>
      <c r="AB18" s="419">
        <f t="shared" si="6"/>
      </c>
      <c r="AC18" s="418">
        <f t="shared" si="7"/>
      </c>
      <c r="AD18" s="419">
        <f t="shared" si="8"/>
      </c>
      <c r="AE18" s="404">
        <f>IF(B18="","",ROUNDUP((G18/VLOOKUP($B18,'2-2_算定表③(旧・旧制度)'!$B$8:$AJ$44,9,FALSE)*W18)+(I18/VLOOKUP($B18,'2-2_算定表③(旧・旧制度)'!$B$8:$AJ$44,9,FALSE)*X18)+(G18/VLOOKUP($B18,'2-2_算定表③(旧・旧制度)'!$B$8:$AJ$44,9,FALSE)*Y18)+(I18/VLOOKUP($B18,'2-2_算定表③(旧・旧制度)'!$B$8:$AJ$44,9,FALSE)*Z18)+(G18/VLOOKUP($B18,'2-2_算定表③(旧・旧制度)'!$B$8:$AJ$44,9,FALSE)*AA18)+(I18/VLOOKUP($B18,'2-2_算定表③(旧・旧制度)'!$B$8:$AJ$44,9,FALSE)*AB18),0))</f>
      </c>
      <c r="AF18" s="403">
        <f t="shared" si="10"/>
      </c>
      <c r="AG18" s="1079">
        <f>IF(B18="","",VLOOKUP($B18,'2-2_算定表③(旧・旧制度)'!$B$8:$AH$65536,33,FALSE))</f>
      </c>
      <c r="AH18" s="1080" t="s">
        <v>182</v>
      </c>
      <c r="AI18" s="1081" t="s">
        <v>182</v>
      </c>
      <c r="AK18" s="61">
        <f t="shared" si="11"/>
      </c>
      <c r="AL18" s="61">
        <f t="shared" si="9"/>
      </c>
    </row>
    <row r="19" spans="1:38" s="53" customFormat="1" ht="18.75" customHeight="1">
      <c r="A19" s="27">
        <f t="shared" si="0"/>
      </c>
      <c r="B19" s="577"/>
      <c r="C19" s="716">
        <f>IF(B19="","",VLOOKUP($B19,'2-2_算定表③(旧・旧制度)'!$B$8:$U$65536,2,FALSE))</f>
      </c>
      <c r="D19" s="713">
        <f>IF(B19="","",VLOOKUP($B19,'2-2_算定表③(旧・旧制度)'!$B$8:$U$65536,3,FALSE))</f>
      </c>
      <c r="E19" s="773">
        <f>IF(B19="","",VLOOKUP($B19,'2-2_算定表③(旧・旧制度)'!$B$8:$U$65536,6,FALSE))</f>
      </c>
      <c r="F19" s="668">
        <f>IF(B19="","",VLOOKUP($B19,'2-2_算定表③(旧・旧制度)'!$B$8:$U$65536,14,FALSE))</f>
      </c>
      <c r="G19" s="626">
        <f>IF(B19="","",VLOOKUP($B19,'2-2_算定表③(旧・旧制度)'!$B$8:$U$65536,16,FALSE))</f>
      </c>
      <c r="H19" s="668">
        <f>IF(B19="","",VLOOKUP($B19,'2-2_算定表③(旧・旧制度)'!$B$8:$U$65536,17,FALSE))</f>
      </c>
      <c r="I19" s="626">
        <f>IF(B19="","",VLOOKUP($B19,'2-2_算定表③(旧・旧制度)'!$B$8:$U$65536,19,FALSE))</f>
      </c>
      <c r="J19" s="402">
        <f>IF(B19="","",VLOOKUP($B19,'2-2_算定表③(旧・旧制度)'!$B$8:$U$65536,20,FALSE))</f>
      </c>
      <c r="K19" s="672">
        <f>IF($B19="","",VLOOKUP($B19,'2-2_算定表③(旧・旧制度)'!$B$8:$U$65536,14,FALSE))</f>
      </c>
      <c r="L19" s="421">
        <f>IF($B19="","",VLOOKUP($B19,'2-2_算定表③(旧・旧制度)'!$B$8:$U$65536,14,FALSE))</f>
      </c>
      <c r="M19" s="678">
        <f>IF($B19="","",VLOOKUP($B19,'2-2_算定表③(旧・旧制度)'!$B$8:$U$65536,14,FALSE))</f>
      </c>
      <c r="N19" s="672">
        <f>IF($B19="","",VLOOKUP($B19,'2-2_算定表③(旧・旧制度)'!$B$8:$U$65536,17,FALSE))</f>
      </c>
      <c r="O19" s="421">
        <f>IF($B19="","",VLOOKUP($B19,'2-2_算定表③(旧・旧制度)'!$B$8:$U$65536,17,FALSE))</f>
      </c>
      <c r="P19" s="421">
        <f>IF($B19="","",VLOOKUP($B19,'2-2_算定表③(旧・旧制度)'!$B$8:$U$65536,17,FALSE))</f>
      </c>
      <c r="Q19" s="421">
        <f>IF($B19="","",VLOOKUP($B19,'2-2_算定表③(旧・旧制度)'!$B$8:$U$65536,17,FALSE))</f>
      </c>
      <c r="R19" s="421">
        <f>IF($B19="","",VLOOKUP($B19,'2-2_算定表③(旧・旧制度)'!$B$8:$U$65536,17,FALSE))</f>
      </c>
      <c r="S19" s="421">
        <f>IF($B19="","",VLOOKUP($B19,'2-2_算定表③(旧・旧制度)'!$B$8:$U$65536,17,FALSE))</f>
      </c>
      <c r="T19" s="421">
        <f>IF($B19="","",VLOOKUP($B19,'2-2_算定表③(旧・旧制度)'!$B$8:$U$65536,17,FALSE))</f>
      </c>
      <c r="U19" s="421">
        <f>IF($B19="","",VLOOKUP($B19,'2-2_算定表③(旧・旧制度)'!$B$8:$U$65536,17,FALSE))</f>
      </c>
      <c r="V19" s="673">
        <f>IF($B19="","",VLOOKUP($B19,'2-2_算定表③(旧・旧制度)'!$B$8:$U$65536,17,FALSE))</f>
      </c>
      <c r="W19" s="419">
        <f t="shared" si="1"/>
      </c>
      <c r="X19" s="423">
        <f t="shared" si="2"/>
      </c>
      <c r="Y19" s="422">
        <f t="shared" si="3"/>
      </c>
      <c r="Z19" s="424">
        <f t="shared" si="4"/>
      </c>
      <c r="AA19" s="418">
        <f t="shared" si="5"/>
      </c>
      <c r="AB19" s="419">
        <f t="shared" si="6"/>
      </c>
      <c r="AC19" s="418">
        <f t="shared" si="7"/>
      </c>
      <c r="AD19" s="419">
        <f t="shared" si="8"/>
      </c>
      <c r="AE19" s="404">
        <f>IF(B19="","",ROUNDUP((G19/VLOOKUP($B19,'2-2_算定表③(旧・旧制度)'!$B$8:$AJ$44,9,FALSE)*W19)+(I19/VLOOKUP($B19,'2-2_算定表③(旧・旧制度)'!$B$8:$AJ$44,9,FALSE)*X19)+(G19/VLOOKUP($B19,'2-2_算定表③(旧・旧制度)'!$B$8:$AJ$44,9,FALSE)*Y19)+(I19/VLOOKUP($B19,'2-2_算定表③(旧・旧制度)'!$B$8:$AJ$44,9,FALSE)*Z19)+(G19/VLOOKUP($B19,'2-2_算定表③(旧・旧制度)'!$B$8:$AJ$44,9,FALSE)*AA19)+(I19/VLOOKUP($B19,'2-2_算定表③(旧・旧制度)'!$B$8:$AJ$44,9,FALSE)*AB19),0))</f>
      </c>
      <c r="AF19" s="403">
        <f t="shared" si="10"/>
      </c>
      <c r="AG19" s="1079">
        <f>IF(B19="","",VLOOKUP($B19,'2-2_算定表③(旧・旧制度)'!$B$8:$AH$65536,33,FALSE))</f>
      </c>
      <c r="AH19" s="1080" t="s">
        <v>182</v>
      </c>
      <c r="AI19" s="1081" t="s">
        <v>182</v>
      </c>
      <c r="AK19" s="61">
        <f t="shared" si="11"/>
      </c>
      <c r="AL19" s="61">
        <f t="shared" si="9"/>
      </c>
    </row>
    <row r="20" spans="1:38" s="53" customFormat="1" ht="18.75" customHeight="1">
      <c r="A20" s="27">
        <f t="shared" si="0"/>
      </c>
      <c r="B20" s="577"/>
      <c r="C20" s="716">
        <f>IF(B20="","",VLOOKUP($B20,'2-2_算定表③(旧・旧制度)'!$B$8:$U$65536,2,FALSE))</f>
      </c>
      <c r="D20" s="713">
        <f>IF(B20="","",VLOOKUP($B20,'2-2_算定表③(旧・旧制度)'!$B$8:$U$65536,3,FALSE))</f>
      </c>
      <c r="E20" s="773">
        <f>IF(B20="","",VLOOKUP($B20,'2-2_算定表③(旧・旧制度)'!$B$8:$U$65536,6,FALSE))</f>
      </c>
      <c r="F20" s="668">
        <f>IF(B20="","",VLOOKUP($B20,'2-2_算定表③(旧・旧制度)'!$B$8:$U$65536,14,FALSE))</f>
      </c>
      <c r="G20" s="626">
        <f>IF(B20="","",VLOOKUP($B20,'2-2_算定表③(旧・旧制度)'!$B$8:$U$65536,16,FALSE))</f>
      </c>
      <c r="H20" s="668">
        <f>IF(B20="","",VLOOKUP($B20,'2-2_算定表③(旧・旧制度)'!$B$8:$U$65536,17,FALSE))</f>
      </c>
      <c r="I20" s="626">
        <f>IF(B20="","",VLOOKUP($B20,'2-2_算定表③(旧・旧制度)'!$B$8:$U$65536,19,FALSE))</f>
      </c>
      <c r="J20" s="402">
        <f>IF(B20="","",VLOOKUP($B20,'2-2_算定表③(旧・旧制度)'!$B$8:$U$65536,20,FALSE))</f>
      </c>
      <c r="K20" s="672">
        <f>IF($B20="","",VLOOKUP($B20,'2-2_算定表③(旧・旧制度)'!$B$8:$U$65536,14,FALSE))</f>
      </c>
      <c r="L20" s="421">
        <f>IF($B20="","",VLOOKUP($B20,'2-2_算定表③(旧・旧制度)'!$B$8:$U$65536,14,FALSE))</f>
      </c>
      <c r="M20" s="678">
        <f>IF($B20="","",VLOOKUP($B20,'2-2_算定表③(旧・旧制度)'!$B$8:$U$65536,14,FALSE))</f>
      </c>
      <c r="N20" s="672">
        <f>IF($B20="","",VLOOKUP($B20,'2-2_算定表③(旧・旧制度)'!$B$8:$U$65536,17,FALSE))</f>
      </c>
      <c r="O20" s="421">
        <f>IF($B20="","",VLOOKUP($B20,'2-2_算定表③(旧・旧制度)'!$B$8:$U$65536,17,FALSE))</f>
      </c>
      <c r="P20" s="421">
        <f>IF($B20="","",VLOOKUP($B20,'2-2_算定表③(旧・旧制度)'!$B$8:$U$65536,17,FALSE))</f>
      </c>
      <c r="Q20" s="421">
        <f>IF($B20="","",VLOOKUP($B20,'2-2_算定表③(旧・旧制度)'!$B$8:$U$65536,17,FALSE))</f>
      </c>
      <c r="R20" s="421">
        <f>IF($B20="","",VLOOKUP($B20,'2-2_算定表③(旧・旧制度)'!$B$8:$U$65536,17,FALSE))</f>
      </c>
      <c r="S20" s="421">
        <f>IF($B20="","",VLOOKUP($B20,'2-2_算定表③(旧・旧制度)'!$B$8:$U$65536,17,FALSE))</f>
      </c>
      <c r="T20" s="421">
        <f>IF($B20="","",VLOOKUP($B20,'2-2_算定表③(旧・旧制度)'!$B$8:$U$65536,17,FALSE))</f>
      </c>
      <c r="U20" s="421">
        <f>IF($B20="","",VLOOKUP($B20,'2-2_算定表③(旧・旧制度)'!$B$8:$U$65536,17,FALSE))</f>
      </c>
      <c r="V20" s="673">
        <f>IF($B20="","",VLOOKUP($B20,'2-2_算定表③(旧・旧制度)'!$B$8:$U$65536,17,FALSE))</f>
      </c>
      <c r="W20" s="419">
        <f t="shared" si="1"/>
      </c>
      <c r="X20" s="423">
        <f t="shared" si="2"/>
      </c>
      <c r="Y20" s="422">
        <f t="shared" si="3"/>
      </c>
      <c r="Z20" s="424">
        <f t="shared" si="4"/>
      </c>
      <c r="AA20" s="418">
        <f t="shared" si="5"/>
      </c>
      <c r="AB20" s="419">
        <f t="shared" si="6"/>
      </c>
      <c r="AC20" s="418">
        <f t="shared" si="7"/>
      </c>
      <c r="AD20" s="419">
        <f t="shared" si="8"/>
      </c>
      <c r="AE20" s="404">
        <f>IF(B20="","",ROUNDUP((G20/VLOOKUP($B20,'2-2_算定表③(旧・旧制度)'!$B$8:$AJ$44,9,FALSE)*W20)+(I20/VLOOKUP($B20,'2-2_算定表③(旧・旧制度)'!$B$8:$AJ$44,9,FALSE)*X20)+(G20/VLOOKUP($B20,'2-2_算定表③(旧・旧制度)'!$B$8:$AJ$44,9,FALSE)*Y20)+(I20/VLOOKUP($B20,'2-2_算定表③(旧・旧制度)'!$B$8:$AJ$44,9,FALSE)*Z20)+(G20/VLOOKUP($B20,'2-2_算定表③(旧・旧制度)'!$B$8:$AJ$44,9,FALSE)*AA20)+(I20/VLOOKUP($B20,'2-2_算定表③(旧・旧制度)'!$B$8:$AJ$44,9,FALSE)*AB20),0))</f>
      </c>
      <c r="AF20" s="403">
        <f t="shared" si="10"/>
      </c>
      <c r="AG20" s="1079">
        <f>IF(B20="","",VLOOKUP($B20,'2-2_算定表③(旧・旧制度)'!$B$8:$AH$65536,33,FALSE))</f>
      </c>
      <c r="AH20" s="1080" t="s">
        <v>182</v>
      </c>
      <c r="AI20" s="1081" t="s">
        <v>182</v>
      </c>
      <c r="AK20" s="61">
        <f t="shared" si="11"/>
      </c>
      <c r="AL20" s="61">
        <f t="shared" si="9"/>
      </c>
    </row>
    <row r="21" spans="1:38" s="53" customFormat="1" ht="18.75" customHeight="1">
      <c r="A21" s="27">
        <f t="shared" si="0"/>
      </c>
      <c r="B21" s="577"/>
      <c r="C21" s="716">
        <f>IF(B21="","",VLOOKUP($B21,'2-2_算定表③(旧・旧制度)'!$B$8:$U$65536,2,FALSE))</f>
      </c>
      <c r="D21" s="713">
        <f>IF(B21="","",VLOOKUP($B21,'2-2_算定表③(旧・旧制度)'!$B$8:$U$65536,3,FALSE))</f>
      </c>
      <c r="E21" s="773">
        <f>IF(B21="","",VLOOKUP($B21,'2-2_算定表③(旧・旧制度)'!$B$8:$U$65536,6,FALSE))</f>
      </c>
      <c r="F21" s="668">
        <f>IF(B21="","",VLOOKUP($B21,'2-2_算定表③(旧・旧制度)'!$B$8:$U$65536,14,FALSE))</f>
      </c>
      <c r="G21" s="626">
        <f>IF(B21="","",VLOOKUP($B21,'2-2_算定表③(旧・旧制度)'!$B$8:$U$65536,16,FALSE))</f>
      </c>
      <c r="H21" s="668">
        <f>IF(B21="","",VLOOKUP($B21,'2-2_算定表③(旧・旧制度)'!$B$8:$U$65536,17,FALSE))</f>
      </c>
      <c r="I21" s="626">
        <f>IF(B21="","",VLOOKUP($B21,'2-2_算定表③(旧・旧制度)'!$B$8:$U$65536,19,FALSE))</f>
      </c>
      <c r="J21" s="402">
        <f>IF(B21="","",VLOOKUP($B21,'2-2_算定表③(旧・旧制度)'!$B$8:$U$65536,20,FALSE))</f>
      </c>
      <c r="K21" s="672">
        <f>IF($B21="","",VLOOKUP($B21,'2-2_算定表③(旧・旧制度)'!$B$8:$U$65536,14,FALSE))</f>
      </c>
      <c r="L21" s="421">
        <f>IF($B21="","",VLOOKUP($B21,'2-2_算定表③(旧・旧制度)'!$B$8:$U$65536,14,FALSE))</f>
      </c>
      <c r="M21" s="678">
        <f>IF($B21="","",VLOOKUP($B21,'2-2_算定表③(旧・旧制度)'!$B$8:$U$65536,14,FALSE))</f>
      </c>
      <c r="N21" s="672">
        <f>IF($B21="","",VLOOKUP($B21,'2-2_算定表③(旧・旧制度)'!$B$8:$U$65536,17,FALSE))</f>
      </c>
      <c r="O21" s="421">
        <f>IF($B21="","",VLOOKUP($B21,'2-2_算定表③(旧・旧制度)'!$B$8:$U$65536,17,FALSE))</f>
      </c>
      <c r="P21" s="421">
        <f>IF($B21="","",VLOOKUP($B21,'2-2_算定表③(旧・旧制度)'!$B$8:$U$65536,17,FALSE))</f>
      </c>
      <c r="Q21" s="421">
        <f>IF($B21="","",VLOOKUP($B21,'2-2_算定表③(旧・旧制度)'!$B$8:$U$65536,17,FALSE))</f>
      </c>
      <c r="R21" s="421">
        <f>IF($B21="","",VLOOKUP($B21,'2-2_算定表③(旧・旧制度)'!$B$8:$U$65536,17,FALSE))</f>
      </c>
      <c r="S21" s="421">
        <f>IF($B21="","",VLOOKUP($B21,'2-2_算定表③(旧・旧制度)'!$B$8:$U$65536,17,FALSE))</f>
      </c>
      <c r="T21" s="421">
        <f>IF($B21="","",VLOOKUP($B21,'2-2_算定表③(旧・旧制度)'!$B$8:$U$65536,17,FALSE))</f>
      </c>
      <c r="U21" s="421">
        <f>IF($B21="","",VLOOKUP($B21,'2-2_算定表③(旧・旧制度)'!$B$8:$U$65536,17,FALSE))</f>
      </c>
      <c r="V21" s="673">
        <f>IF($B21="","",VLOOKUP($B21,'2-2_算定表③(旧・旧制度)'!$B$8:$U$65536,17,FALSE))</f>
      </c>
      <c r="W21" s="419">
        <f t="shared" si="1"/>
      </c>
      <c r="X21" s="423">
        <f t="shared" si="2"/>
      </c>
      <c r="Y21" s="422">
        <f t="shared" si="3"/>
      </c>
      <c r="Z21" s="424">
        <f t="shared" si="4"/>
      </c>
      <c r="AA21" s="418">
        <f t="shared" si="5"/>
      </c>
      <c r="AB21" s="419">
        <f t="shared" si="6"/>
      </c>
      <c r="AC21" s="418">
        <f t="shared" si="7"/>
      </c>
      <c r="AD21" s="419">
        <f t="shared" si="8"/>
      </c>
      <c r="AE21" s="404">
        <f>IF(B21="","",ROUNDUP((G21/VLOOKUP($B21,'2-2_算定表③(旧・旧制度)'!$B$8:$AJ$44,9,FALSE)*W21)+(I21/VLOOKUP($B21,'2-2_算定表③(旧・旧制度)'!$B$8:$AJ$44,9,FALSE)*X21)+(G21/VLOOKUP($B21,'2-2_算定表③(旧・旧制度)'!$B$8:$AJ$44,9,FALSE)*Y21)+(I21/VLOOKUP($B21,'2-2_算定表③(旧・旧制度)'!$B$8:$AJ$44,9,FALSE)*Z21)+(G21/VLOOKUP($B21,'2-2_算定表③(旧・旧制度)'!$B$8:$AJ$44,9,FALSE)*AA21)+(I21/VLOOKUP($B21,'2-2_算定表③(旧・旧制度)'!$B$8:$AJ$44,9,FALSE)*AB21),0))</f>
      </c>
      <c r="AF21" s="403">
        <f t="shared" si="10"/>
      </c>
      <c r="AG21" s="1079">
        <f>IF(B21="","",VLOOKUP($B21,'2-2_算定表③(旧・旧制度)'!$B$8:$AH$65536,33,FALSE))</f>
      </c>
      <c r="AH21" s="1080" t="s">
        <v>182</v>
      </c>
      <c r="AI21" s="1081" t="s">
        <v>182</v>
      </c>
      <c r="AK21" s="61">
        <f t="shared" si="11"/>
      </c>
      <c r="AL21" s="61">
        <f t="shared" si="9"/>
      </c>
    </row>
    <row r="22" spans="1:38" s="53" customFormat="1" ht="18.75" customHeight="1">
      <c r="A22" s="27">
        <f t="shared" si="0"/>
      </c>
      <c r="B22" s="577"/>
      <c r="C22" s="716">
        <f>IF(B22="","",VLOOKUP($B22,'2-2_算定表③(旧・旧制度)'!$B$8:$U$65536,2,FALSE))</f>
      </c>
      <c r="D22" s="713">
        <f>IF(B22="","",VLOOKUP($B22,'2-2_算定表③(旧・旧制度)'!$B$8:$U$65536,3,FALSE))</f>
      </c>
      <c r="E22" s="773">
        <f>IF(B22="","",VLOOKUP($B22,'2-2_算定表③(旧・旧制度)'!$B$8:$U$65536,6,FALSE))</f>
      </c>
      <c r="F22" s="668">
        <f>IF(B22="","",VLOOKUP($B22,'2-2_算定表③(旧・旧制度)'!$B$8:$U$65536,14,FALSE))</f>
      </c>
      <c r="G22" s="626">
        <f>IF(B22="","",VLOOKUP($B22,'2-2_算定表③(旧・旧制度)'!$B$8:$U$65536,16,FALSE))</f>
      </c>
      <c r="H22" s="668">
        <f>IF(B22="","",VLOOKUP($B22,'2-2_算定表③(旧・旧制度)'!$B$8:$U$65536,17,FALSE))</f>
      </c>
      <c r="I22" s="626">
        <f>IF(B22="","",VLOOKUP($B22,'2-2_算定表③(旧・旧制度)'!$B$8:$U$65536,19,FALSE))</f>
      </c>
      <c r="J22" s="402">
        <f>IF(B22="","",VLOOKUP($B22,'2-2_算定表③(旧・旧制度)'!$B$8:$U$65536,20,FALSE))</f>
      </c>
      <c r="K22" s="672">
        <f>IF($B22="","",VLOOKUP($B22,'2-2_算定表③(旧・旧制度)'!$B$8:$U$65536,14,FALSE))</f>
      </c>
      <c r="L22" s="421">
        <f>IF($B22="","",VLOOKUP($B22,'2-2_算定表③(旧・旧制度)'!$B$8:$U$65536,14,FALSE))</f>
      </c>
      <c r="M22" s="678">
        <f>IF($B22="","",VLOOKUP($B22,'2-2_算定表③(旧・旧制度)'!$B$8:$U$65536,14,FALSE))</f>
      </c>
      <c r="N22" s="672">
        <f>IF($B22="","",VLOOKUP($B22,'2-2_算定表③(旧・旧制度)'!$B$8:$U$65536,17,FALSE))</f>
      </c>
      <c r="O22" s="421">
        <f>IF($B22="","",VLOOKUP($B22,'2-2_算定表③(旧・旧制度)'!$B$8:$U$65536,17,FALSE))</f>
      </c>
      <c r="P22" s="421">
        <f>IF($B22="","",VLOOKUP($B22,'2-2_算定表③(旧・旧制度)'!$B$8:$U$65536,17,FALSE))</f>
      </c>
      <c r="Q22" s="421">
        <f>IF($B22="","",VLOOKUP($B22,'2-2_算定表③(旧・旧制度)'!$B$8:$U$65536,17,FALSE))</f>
      </c>
      <c r="R22" s="421">
        <f>IF($B22="","",VLOOKUP($B22,'2-2_算定表③(旧・旧制度)'!$B$8:$U$65536,17,FALSE))</f>
      </c>
      <c r="S22" s="421">
        <f>IF($B22="","",VLOOKUP($B22,'2-2_算定表③(旧・旧制度)'!$B$8:$U$65536,17,FALSE))</f>
      </c>
      <c r="T22" s="421">
        <f>IF($B22="","",VLOOKUP($B22,'2-2_算定表③(旧・旧制度)'!$B$8:$U$65536,17,FALSE))</f>
      </c>
      <c r="U22" s="421">
        <f>IF($B22="","",VLOOKUP($B22,'2-2_算定表③(旧・旧制度)'!$B$8:$U$65536,17,FALSE))</f>
      </c>
      <c r="V22" s="673">
        <f>IF($B22="","",VLOOKUP($B22,'2-2_算定表③(旧・旧制度)'!$B$8:$U$65536,17,FALSE))</f>
      </c>
      <c r="W22" s="419">
        <f t="shared" si="1"/>
      </c>
      <c r="X22" s="423">
        <f t="shared" si="2"/>
      </c>
      <c r="Y22" s="422">
        <f t="shared" si="3"/>
      </c>
      <c r="Z22" s="424">
        <f t="shared" si="4"/>
      </c>
      <c r="AA22" s="418">
        <f t="shared" si="5"/>
      </c>
      <c r="AB22" s="419">
        <f t="shared" si="6"/>
      </c>
      <c r="AC22" s="418">
        <f t="shared" si="7"/>
      </c>
      <c r="AD22" s="419">
        <f t="shared" si="8"/>
      </c>
      <c r="AE22" s="404">
        <f>IF(B22="","",ROUNDUP((G22/VLOOKUP($B22,'2-2_算定表③(旧・旧制度)'!$B$8:$AJ$44,9,FALSE)*W22)+(I22/VLOOKUP($B22,'2-2_算定表③(旧・旧制度)'!$B$8:$AJ$44,9,FALSE)*X22)+(G22/VLOOKUP($B22,'2-2_算定表③(旧・旧制度)'!$B$8:$AJ$44,9,FALSE)*Y22)+(I22/VLOOKUP($B22,'2-2_算定表③(旧・旧制度)'!$B$8:$AJ$44,9,FALSE)*Z22)+(G22/VLOOKUP($B22,'2-2_算定表③(旧・旧制度)'!$B$8:$AJ$44,9,FALSE)*AA22)+(I22/VLOOKUP($B22,'2-2_算定表③(旧・旧制度)'!$B$8:$AJ$44,9,FALSE)*AB22),0))</f>
      </c>
      <c r="AF22" s="403">
        <f t="shared" si="10"/>
      </c>
      <c r="AG22" s="1079">
        <f>IF(B22="","",VLOOKUP($B22,'2-2_算定表③(旧・旧制度)'!$B$8:$AH$65536,33,FALSE))</f>
      </c>
      <c r="AH22" s="1080" t="s">
        <v>182</v>
      </c>
      <c r="AI22" s="1081" t="s">
        <v>182</v>
      </c>
      <c r="AK22" s="61">
        <f t="shared" si="11"/>
      </c>
      <c r="AL22" s="61">
        <f t="shared" si="9"/>
      </c>
    </row>
    <row r="23" spans="1:38" s="53" customFormat="1" ht="18.75" customHeight="1">
      <c r="A23" s="27">
        <f t="shared" si="0"/>
      </c>
      <c r="B23" s="577"/>
      <c r="C23" s="716">
        <f>IF(B23="","",VLOOKUP($B23,'2-2_算定表③(旧・旧制度)'!$B$8:$U$65536,2,FALSE))</f>
      </c>
      <c r="D23" s="713">
        <f>IF(B23="","",VLOOKUP($B23,'2-2_算定表③(旧・旧制度)'!$B$8:$U$65536,3,FALSE))</f>
      </c>
      <c r="E23" s="773">
        <f>IF(B23="","",VLOOKUP($B23,'2-2_算定表③(旧・旧制度)'!$B$8:$U$65536,6,FALSE))</f>
      </c>
      <c r="F23" s="668">
        <f>IF(B23="","",VLOOKUP($B23,'2-2_算定表③(旧・旧制度)'!$B$8:$U$65536,14,FALSE))</f>
      </c>
      <c r="G23" s="626">
        <f>IF(B23="","",VLOOKUP($B23,'2-2_算定表③(旧・旧制度)'!$B$8:$U$65536,16,FALSE))</f>
      </c>
      <c r="H23" s="668">
        <f>IF(B23="","",VLOOKUP($B23,'2-2_算定表③(旧・旧制度)'!$B$8:$U$65536,17,FALSE))</f>
      </c>
      <c r="I23" s="626">
        <f>IF(B23="","",VLOOKUP($B23,'2-2_算定表③(旧・旧制度)'!$B$8:$U$65536,19,FALSE))</f>
      </c>
      <c r="J23" s="402">
        <f>IF(B23="","",VLOOKUP($B23,'2-2_算定表③(旧・旧制度)'!$B$8:$U$65536,20,FALSE))</f>
      </c>
      <c r="K23" s="672">
        <f>IF($B23="","",VLOOKUP($B23,'2-2_算定表③(旧・旧制度)'!$B$8:$U$65536,14,FALSE))</f>
      </c>
      <c r="L23" s="421">
        <f>IF($B23="","",VLOOKUP($B23,'2-2_算定表③(旧・旧制度)'!$B$8:$U$65536,14,FALSE))</f>
      </c>
      <c r="M23" s="678">
        <f>IF($B23="","",VLOOKUP($B23,'2-2_算定表③(旧・旧制度)'!$B$8:$U$65536,14,FALSE))</f>
      </c>
      <c r="N23" s="672">
        <f>IF($B23="","",VLOOKUP($B23,'2-2_算定表③(旧・旧制度)'!$B$8:$U$65536,17,FALSE))</f>
      </c>
      <c r="O23" s="421">
        <f>IF($B23="","",VLOOKUP($B23,'2-2_算定表③(旧・旧制度)'!$B$8:$U$65536,17,FALSE))</f>
      </c>
      <c r="P23" s="421">
        <f>IF($B23="","",VLOOKUP($B23,'2-2_算定表③(旧・旧制度)'!$B$8:$U$65536,17,FALSE))</f>
      </c>
      <c r="Q23" s="421">
        <f>IF($B23="","",VLOOKUP($B23,'2-2_算定表③(旧・旧制度)'!$B$8:$U$65536,17,FALSE))</f>
      </c>
      <c r="R23" s="421">
        <f>IF($B23="","",VLOOKUP($B23,'2-2_算定表③(旧・旧制度)'!$B$8:$U$65536,17,FALSE))</f>
      </c>
      <c r="S23" s="421">
        <f>IF($B23="","",VLOOKUP($B23,'2-2_算定表③(旧・旧制度)'!$B$8:$U$65536,17,FALSE))</f>
      </c>
      <c r="T23" s="421">
        <f>IF($B23="","",VLOOKUP($B23,'2-2_算定表③(旧・旧制度)'!$B$8:$U$65536,17,FALSE))</f>
      </c>
      <c r="U23" s="421">
        <f>IF($B23="","",VLOOKUP($B23,'2-2_算定表③(旧・旧制度)'!$B$8:$U$65536,17,FALSE))</f>
      </c>
      <c r="V23" s="673">
        <f>IF($B23="","",VLOOKUP($B23,'2-2_算定表③(旧・旧制度)'!$B$8:$U$65536,17,FALSE))</f>
      </c>
      <c r="W23" s="419">
        <f t="shared" si="1"/>
      </c>
      <c r="X23" s="423">
        <f t="shared" si="2"/>
      </c>
      <c r="Y23" s="422">
        <f t="shared" si="3"/>
      </c>
      <c r="Z23" s="424">
        <f t="shared" si="4"/>
      </c>
      <c r="AA23" s="418">
        <f t="shared" si="5"/>
      </c>
      <c r="AB23" s="419">
        <f t="shared" si="6"/>
      </c>
      <c r="AC23" s="418">
        <f t="shared" si="7"/>
      </c>
      <c r="AD23" s="419">
        <f t="shared" si="8"/>
      </c>
      <c r="AE23" s="404">
        <f>IF(B23="","",ROUNDUP((G23/VLOOKUP($B23,'2-2_算定表③(旧・旧制度)'!$B$8:$AJ$44,9,FALSE)*W23)+(I23/VLOOKUP($B23,'2-2_算定表③(旧・旧制度)'!$B$8:$AJ$44,9,FALSE)*X23)+(G23/VLOOKUP($B23,'2-2_算定表③(旧・旧制度)'!$B$8:$AJ$44,9,FALSE)*Y23)+(I23/VLOOKUP($B23,'2-2_算定表③(旧・旧制度)'!$B$8:$AJ$44,9,FALSE)*Z23)+(G23/VLOOKUP($B23,'2-2_算定表③(旧・旧制度)'!$B$8:$AJ$44,9,FALSE)*AA23)+(I23/VLOOKUP($B23,'2-2_算定表③(旧・旧制度)'!$B$8:$AJ$44,9,FALSE)*AB23),0))</f>
      </c>
      <c r="AF23" s="403">
        <f t="shared" si="10"/>
      </c>
      <c r="AG23" s="1079">
        <f>IF(B23="","",VLOOKUP($B23,'2-2_算定表③(旧・旧制度)'!$B$8:$AH$65536,33,FALSE))</f>
      </c>
      <c r="AH23" s="1080" t="s">
        <v>182</v>
      </c>
      <c r="AI23" s="1081" t="s">
        <v>182</v>
      </c>
      <c r="AK23" s="61">
        <f t="shared" si="11"/>
      </c>
      <c r="AL23" s="61">
        <f t="shared" si="9"/>
      </c>
    </row>
    <row r="24" spans="1:38" s="53" customFormat="1" ht="18.75" customHeight="1">
      <c r="A24" s="27">
        <f t="shared" si="0"/>
      </c>
      <c r="B24" s="577"/>
      <c r="C24" s="716">
        <f>IF(B24="","",VLOOKUP($B24,'2-2_算定表③(旧・旧制度)'!$B$8:$U$65536,2,FALSE))</f>
      </c>
      <c r="D24" s="713">
        <f>IF(B24="","",VLOOKUP($B24,'2-2_算定表③(旧・旧制度)'!$B$8:$U$65536,3,FALSE))</f>
      </c>
      <c r="E24" s="773">
        <f>IF(B24="","",VLOOKUP($B24,'2-2_算定表③(旧・旧制度)'!$B$8:$U$65536,6,FALSE))</f>
      </c>
      <c r="F24" s="668">
        <f>IF(B24="","",VLOOKUP($B24,'2-2_算定表③(旧・旧制度)'!$B$8:$U$65536,14,FALSE))</f>
      </c>
      <c r="G24" s="626">
        <f>IF(B24="","",VLOOKUP($B24,'2-2_算定表③(旧・旧制度)'!$B$8:$U$65536,16,FALSE))</f>
      </c>
      <c r="H24" s="668">
        <f>IF(B24="","",VLOOKUP($B24,'2-2_算定表③(旧・旧制度)'!$B$8:$U$65536,17,FALSE))</f>
      </c>
      <c r="I24" s="626">
        <f>IF(B24="","",VLOOKUP($B24,'2-2_算定表③(旧・旧制度)'!$B$8:$U$65536,19,FALSE))</f>
      </c>
      <c r="J24" s="402">
        <f>IF(B24="","",VLOOKUP($B24,'2-2_算定表③(旧・旧制度)'!$B$8:$U$65536,20,FALSE))</f>
      </c>
      <c r="K24" s="672">
        <f>IF($B24="","",VLOOKUP($B24,'2-2_算定表③(旧・旧制度)'!$B$8:$U$65536,14,FALSE))</f>
      </c>
      <c r="L24" s="421">
        <f>IF($B24="","",VLOOKUP($B24,'2-2_算定表③(旧・旧制度)'!$B$8:$U$65536,14,FALSE))</f>
      </c>
      <c r="M24" s="678">
        <f>IF($B24="","",VLOOKUP($B24,'2-2_算定表③(旧・旧制度)'!$B$8:$U$65536,14,FALSE))</f>
      </c>
      <c r="N24" s="672">
        <f>IF($B24="","",VLOOKUP($B24,'2-2_算定表③(旧・旧制度)'!$B$8:$U$65536,17,FALSE))</f>
      </c>
      <c r="O24" s="421">
        <f>IF($B24="","",VLOOKUP($B24,'2-2_算定表③(旧・旧制度)'!$B$8:$U$65536,17,FALSE))</f>
      </c>
      <c r="P24" s="421">
        <f>IF($B24="","",VLOOKUP($B24,'2-2_算定表③(旧・旧制度)'!$B$8:$U$65536,17,FALSE))</f>
      </c>
      <c r="Q24" s="421">
        <f>IF($B24="","",VLOOKUP($B24,'2-2_算定表③(旧・旧制度)'!$B$8:$U$65536,17,FALSE))</f>
      </c>
      <c r="R24" s="421">
        <f>IF($B24="","",VLOOKUP($B24,'2-2_算定表③(旧・旧制度)'!$B$8:$U$65536,17,FALSE))</f>
      </c>
      <c r="S24" s="421">
        <f>IF($B24="","",VLOOKUP($B24,'2-2_算定表③(旧・旧制度)'!$B$8:$U$65536,17,FALSE))</f>
      </c>
      <c r="T24" s="421">
        <f>IF($B24="","",VLOOKUP($B24,'2-2_算定表③(旧・旧制度)'!$B$8:$U$65536,17,FALSE))</f>
      </c>
      <c r="U24" s="421">
        <f>IF($B24="","",VLOOKUP($B24,'2-2_算定表③(旧・旧制度)'!$B$8:$U$65536,17,FALSE))</f>
      </c>
      <c r="V24" s="673">
        <f>IF($B24="","",VLOOKUP($B24,'2-2_算定表③(旧・旧制度)'!$B$8:$U$65536,17,FALSE))</f>
      </c>
      <c r="W24" s="419">
        <f t="shared" si="1"/>
      </c>
      <c r="X24" s="423">
        <f t="shared" si="2"/>
      </c>
      <c r="Y24" s="422">
        <f t="shared" si="3"/>
      </c>
      <c r="Z24" s="424">
        <f t="shared" si="4"/>
      </c>
      <c r="AA24" s="418">
        <f t="shared" si="5"/>
      </c>
      <c r="AB24" s="419">
        <f t="shared" si="6"/>
      </c>
      <c r="AC24" s="418">
        <f t="shared" si="7"/>
      </c>
      <c r="AD24" s="419">
        <f t="shared" si="8"/>
      </c>
      <c r="AE24" s="404">
        <f>IF(B24="","",ROUNDUP((G24/VLOOKUP($B24,'2-2_算定表③(旧・旧制度)'!$B$8:$AJ$44,9,FALSE)*W24)+(I24/VLOOKUP($B24,'2-2_算定表③(旧・旧制度)'!$B$8:$AJ$44,9,FALSE)*X24)+(G24/VLOOKUP($B24,'2-2_算定表③(旧・旧制度)'!$B$8:$AJ$44,9,FALSE)*Y24)+(I24/VLOOKUP($B24,'2-2_算定表③(旧・旧制度)'!$B$8:$AJ$44,9,FALSE)*Z24)+(G24/VLOOKUP($B24,'2-2_算定表③(旧・旧制度)'!$B$8:$AJ$44,9,FALSE)*AA24)+(I24/VLOOKUP($B24,'2-2_算定表③(旧・旧制度)'!$B$8:$AJ$44,9,FALSE)*AB24),0))</f>
      </c>
      <c r="AF24" s="403">
        <f t="shared" si="10"/>
      </c>
      <c r="AG24" s="1079">
        <f>IF(B24="","",VLOOKUP($B24,'2-2_算定表③(旧・旧制度)'!$B$8:$AH$65536,33,FALSE))</f>
      </c>
      <c r="AH24" s="1080" t="s">
        <v>182</v>
      </c>
      <c r="AI24" s="1081" t="s">
        <v>182</v>
      </c>
      <c r="AK24" s="61">
        <f t="shared" si="11"/>
      </c>
      <c r="AL24" s="61">
        <f t="shared" si="9"/>
      </c>
    </row>
    <row r="25" spans="1:38" s="53" customFormat="1" ht="18.75" customHeight="1">
      <c r="A25" s="27">
        <f t="shared" si="0"/>
      </c>
      <c r="B25" s="577"/>
      <c r="C25" s="716">
        <f>IF(B25="","",VLOOKUP($B25,'2-2_算定表③(旧・旧制度)'!$B$8:$U$65536,2,FALSE))</f>
      </c>
      <c r="D25" s="713">
        <f>IF(B25="","",VLOOKUP($B25,'2-2_算定表③(旧・旧制度)'!$B$8:$U$65536,3,FALSE))</f>
      </c>
      <c r="E25" s="773">
        <f>IF(B25="","",VLOOKUP($B25,'2-2_算定表③(旧・旧制度)'!$B$8:$U$65536,6,FALSE))</f>
      </c>
      <c r="F25" s="668">
        <f>IF(B25="","",VLOOKUP($B25,'2-2_算定表③(旧・旧制度)'!$B$8:$U$65536,14,FALSE))</f>
      </c>
      <c r="G25" s="626">
        <f>IF(B25="","",VLOOKUP($B25,'2-2_算定表③(旧・旧制度)'!$B$8:$U$65536,16,FALSE))</f>
      </c>
      <c r="H25" s="668">
        <f>IF(B25="","",VLOOKUP($B25,'2-2_算定表③(旧・旧制度)'!$B$8:$U$65536,17,FALSE))</f>
      </c>
      <c r="I25" s="626">
        <f>IF(B25="","",VLOOKUP($B25,'2-2_算定表③(旧・旧制度)'!$B$8:$U$65536,19,FALSE))</f>
      </c>
      <c r="J25" s="402">
        <f>IF(B25="","",VLOOKUP($B25,'2-2_算定表③(旧・旧制度)'!$B$8:$U$65536,20,FALSE))</f>
      </c>
      <c r="K25" s="672">
        <f>IF($B25="","",VLOOKUP($B25,'2-2_算定表③(旧・旧制度)'!$B$8:$U$65536,14,FALSE))</f>
      </c>
      <c r="L25" s="421">
        <f>IF($B25="","",VLOOKUP($B25,'2-2_算定表③(旧・旧制度)'!$B$8:$U$65536,14,FALSE))</f>
      </c>
      <c r="M25" s="678">
        <f>IF($B25="","",VLOOKUP($B25,'2-2_算定表③(旧・旧制度)'!$B$8:$U$65536,14,FALSE))</f>
      </c>
      <c r="N25" s="672">
        <f>IF($B25="","",VLOOKUP($B25,'2-2_算定表③(旧・旧制度)'!$B$8:$U$65536,17,FALSE))</f>
      </c>
      <c r="O25" s="421">
        <f>IF($B25="","",VLOOKUP($B25,'2-2_算定表③(旧・旧制度)'!$B$8:$U$65536,17,FALSE))</f>
      </c>
      <c r="P25" s="421">
        <f>IF($B25="","",VLOOKUP($B25,'2-2_算定表③(旧・旧制度)'!$B$8:$U$65536,17,FALSE))</f>
      </c>
      <c r="Q25" s="421">
        <f>IF($B25="","",VLOOKUP($B25,'2-2_算定表③(旧・旧制度)'!$B$8:$U$65536,17,FALSE))</f>
      </c>
      <c r="R25" s="421">
        <f>IF($B25="","",VLOOKUP($B25,'2-2_算定表③(旧・旧制度)'!$B$8:$U$65536,17,FALSE))</f>
      </c>
      <c r="S25" s="421">
        <f>IF($B25="","",VLOOKUP($B25,'2-2_算定表③(旧・旧制度)'!$B$8:$U$65536,17,FALSE))</f>
      </c>
      <c r="T25" s="421">
        <f>IF($B25="","",VLOOKUP($B25,'2-2_算定表③(旧・旧制度)'!$B$8:$U$65536,17,FALSE))</f>
      </c>
      <c r="U25" s="421">
        <f>IF($B25="","",VLOOKUP($B25,'2-2_算定表③(旧・旧制度)'!$B$8:$U$65536,17,FALSE))</f>
      </c>
      <c r="V25" s="673">
        <f>IF($B25="","",VLOOKUP($B25,'2-2_算定表③(旧・旧制度)'!$B$8:$U$65536,17,FALSE))</f>
      </c>
      <c r="W25" s="419">
        <f t="shared" si="1"/>
      </c>
      <c r="X25" s="423">
        <f t="shared" si="2"/>
      </c>
      <c r="Y25" s="422">
        <f t="shared" si="3"/>
      </c>
      <c r="Z25" s="424">
        <f t="shared" si="4"/>
      </c>
      <c r="AA25" s="418">
        <f t="shared" si="5"/>
      </c>
      <c r="AB25" s="419">
        <f t="shared" si="6"/>
      </c>
      <c r="AC25" s="418">
        <f t="shared" si="7"/>
      </c>
      <c r="AD25" s="419">
        <f t="shared" si="8"/>
      </c>
      <c r="AE25" s="404">
        <f>IF(B25="","",ROUNDUP((G25/VLOOKUP($B25,'2-2_算定表③(旧・旧制度)'!$B$8:$AJ$44,9,FALSE)*W25)+(I25/VLOOKUP($B25,'2-2_算定表③(旧・旧制度)'!$B$8:$AJ$44,9,FALSE)*X25)+(G25/VLOOKUP($B25,'2-2_算定表③(旧・旧制度)'!$B$8:$AJ$44,9,FALSE)*Y25)+(I25/VLOOKUP($B25,'2-2_算定表③(旧・旧制度)'!$B$8:$AJ$44,9,FALSE)*Z25)+(G25/VLOOKUP($B25,'2-2_算定表③(旧・旧制度)'!$B$8:$AJ$44,9,FALSE)*AA25)+(I25/VLOOKUP($B25,'2-2_算定表③(旧・旧制度)'!$B$8:$AJ$44,9,FALSE)*AB25),0))</f>
      </c>
      <c r="AF25" s="403">
        <f t="shared" si="10"/>
      </c>
      <c r="AG25" s="1079">
        <f>IF(B25="","",VLOOKUP($B25,'2-2_算定表③(旧・旧制度)'!$B$8:$AH$65536,33,FALSE))</f>
      </c>
      <c r="AH25" s="1080" t="s">
        <v>182</v>
      </c>
      <c r="AI25" s="1081" t="s">
        <v>182</v>
      </c>
      <c r="AK25" s="61">
        <f t="shared" si="11"/>
      </c>
      <c r="AL25" s="61">
        <f t="shared" si="9"/>
      </c>
    </row>
    <row r="26" spans="1:38" s="53" customFormat="1" ht="18.75" customHeight="1">
      <c r="A26" s="27">
        <f t="shared" si="0"/>
      </c>
      <c r="B26" s="577"/>
      <c r="C26" s="716">
        <f>IF(B26="","",VLOOKUP($B26,'2-2_算定表③(旧・旧制度)'!$B$8:$U$65536,2,FALSE))</f>
      </c>
      <c r="D26" s="713">
        <f>IF(B26="","",VLOOKUP($B26,'2-2_算定表③(旧・旧制度)'!$B$8:$U$65536,3,FALSE))</f>
      </c>
      <c r="E26" s="773">
        <f>IF(B26="","",VLOOKUP($B26,'2-2_算定表③(旧・旧制度)'!$B$8:$U$65536,6,FALSE))</f>
      </c>
      <c r="F26" s="668">
        <f>IF(B26="","",VLOOKUP($B26,'2-2_算定表③(旧・旧制度)'!$B$8:$U$65536,14,FALSE))</f>
      </c>
      <c r="G26" s="626">
        <f>IF(B26="","",VLOOKUP($B26,'2-2_算定表③(旧・旧制度)'!$B$8:$U$65536,16,FALSE))</f>
      </c>
      <c r="H26" s="668">
        <f>IF(B26="","",VLOOKUP($B26,'2-2_算定表③(旧・旧制度)'!$B$8:$U$65536,17,FALSE))</f>
      </c>
      <c r="I26" s="626">
        <f>IF(B26="","",VLOOKUP($B26,'2-2_算定表③(旧・旧制度)'!$B$8:$U$65536,19,FALSE))</f>
      </c>
      <c r="J26" s="402">
        <f>IF(B26="","",VLOOKUP($B26,'2-2_算定表③(旧・旧制度)'!$B$8:$U$65536,20,FALSE))</f>
      </c>
      <c r="K26" s="672">
        <f>IF($B26="","",VLOOKUP($B26,'2-2_算定表③(旧・旧制度)'!$B$8:$U$65536,14,FALSE))</f>
      </c>
      <c r="L26" s="421">
        <f>IF($B26="","",VLOOKUP($B26,'2-2_算定表③(旧・旧制度)'!$B$8:$U$65536,14,FALSE))</f>
      </c>
      <c r="M26" s="678">
        <f>IF($B26="","",VLOOKUP($B26,'2-2_算定表③(旧・旧制度)'!$B$8:$U$65536,14,FALSE))</f>
      </c>
      <c r="N26" s="672">
        <f>IF($B26="","",VLOOKUP($B26,'2-2_算定表③(旧・旧制度)'!$B$8:$U$65536,17,FALSE))</f>
      </c>
      <c r="O26" s="421">
        <f>IF($B26="","",VLOOKUP($B26,'2-2_算定表③(旧・旧制度)'!$B$8:$U$65536,17,FALSE))</f>
      </c>
      <c r="P26" s="421">
        <f>IF($B26="","",VLOOKUP($B26,'2-2_算定表③(旧・旧制度)'!$B$8:$U$65536,17,FALSE))</f>
      </c>
      <c r="Q26" s="421">
        <f>IF($B26="","",VLOOKUP($B26,'2-2_算定表③(旧・旧制度)'!$B$8:$U$65536,17,FALSE))</f>
      </c>
      <c r="R26" s="421">
        <f>IF($B26="","",VLOOKUP($B26,'2-2_算定表③(旧・旧制度)'!$B$8:$U$65536,17,FALSE))</f>
      </c>
      <c r="S26" s="421">
        <f>IF($B26="","",VLOOKUP($B26,'2-2_算定表③(旧・旧制度)'!$B$8:$U$65536,17,FALSE))</f>
      </c>
      <c r="T26" s="421">
        <f>IF($B26="","",VLOOKUP($B26,'2-2_算定表③(旧・旧制度)'!$B$8:$U$65536,17,FALSE))</f>
      </c>
      <c r="U26" s="421">
        <f>IF($B26="","",VLOOKUP($B26,'2-2_算定表③(旧・旧制度)'!$B$8:$U$65536,17,FALSE))</f>
      </c>
      <c r="V26" s="673">
        <f>IF($B26="","",VLOOKUP($B26,'2-2_算定表③(旧・旧制度)'!$B$8:$U$65536,17,FALSE))</f>
      </c>
      <c r="W26" s="419">
        <f t="shared" si="1"/>
      </c>
      <c r="X26" s="423">
        <f t="shared" si="2"/>
      </c>
      <c r="Y26" s="422">
        <f t="shared" si="3"/>
      </c>
      <c r="Z26" s="424">
        <f t="shared" si="4"/>
      </c>
      <c r="AA26" s="418">
        <f t="shared" si="5"/>
      </c>
      <c r="AB26" s="419">
        <f t="shared" si="6"/>
      </c>
      <c r="AC26" s="418">
        <f t="shared" si="7"/>
      </c>
      <c r="AD26" s="419">
        <f t="shared" si="8"/>
      </c>
      <c r="AE26" s="404">
        <f>IF(B26="","",ROUNDUP((G26/VLOOKUP($B26,'2-2_算定表③(旧・旧制度)'!$B$8:$AJ$44,9,FALSE)*W26)+(I26/VLOOKUP($B26,'2-2_算定表③(旧・旧制度)'!$B$8:$AJ$44,9,FALSE)*X26)+(G26/VLOOKUP($B26,'2-2_算定表③(旧・旧制度)'!$B$8:$AJ$44,9,FALSE)*Y26)+(I26/VLOOKUP($B26,'2-2_算定表③(旧・旧制度)'!$B$8:$AJ$44,9,FALSE)*Z26)+(G26/VLOOKUP($B26,'2-2_算定表③(旧・旧制度)'!$B$8:$AJ$44,9,FALSE)*AA26)+(I26/VLOOKUP($B26,'2-2_算定表③(旧・旧制度)'!$B$8:$AJ$44,9,FALSE)*AB26),0))</f>
      </c>
      <c r="AF26" s="403">
        <f t="shared" si="10"/>
      </c>
      <c r="AG26" s="1079">
        <f>IF(B26="","",VLOOKUP($B26,'2-2_算定表③(旧・旧制度)'!$B$8:$AH$65536,33,FALSE))</f>
      </c>
      <c r="AH26" s="1080" t="s">
        <v>182</v>
      </c>
      <c r="AI26" s="1081" t="s">
        <v>182</v>
      </c>
      <c r="AK26" s="61">
        <f t="shared" si="11"/>
      </c>
      <c r="AL26" s="61">
        <f t="shared" si="9"/>
      </c>
    </row>
    <row r="27" spans="1:38" s="53" customFormat="1" ht="18.75" customHeight="1">
      <c r="A27" s="27">
        <f t="shared" si="0"/>
      </c>
      <c r="B27" s="577"/>
      <c r="C27" s="716">
        <f>IF(B27="","",VLOOKUP($B27,'2-2_算定表③(旧・旧制度)'!$B$8:$U$65536,2,FALSE))</f>
      </c>
      <c r="D27" s="713">
        <f>IF(B27="","",VLOOKUP($B27,'2-2_算定表③(旧・旧制度)'!$B$8:$U$65536,3,FALSE))</f>
      </c>
      <c r="E27" s="773">
        <f>IF(B27="","",VLOOKUP($B27,'2-2_算定表③(旧・旧制度)'!$B$8:$U$65536,6,FALSE))</f>
      </c>
      <c r="F27" s="668">
        <f>IF(B27="","",VLOOKUP($B27,'2-2_算定表③(旧・旧制度)'!$B$8:$U$65536,14,FALSE))</f>
      </c>
      <c r="G27" s="626">
        <f>IF(B27="","",VLOOKUP($B27,'2-2_算定表③(旧・旧制度)'!$B$8:$U$65536,16,FALSE))</f>
      </c>
      <c r="H27" s="668">
        <f>IF(B27="","",VLOOKUP($B27,'2-2_算定表③(旧・旧制度)'!$B$8:$U$65536,17,FALSE))</f>
      </c>
      <c r="I27" s="626">
        <f>IF(B27="","",VLOOKUP($B27,'2-2_算定表③(旧・旧制度)'!$B$8:$U$65536,19,FALSE))</f>
      </c>
      <c r="J27" s="402">
        <f>IF(B27="","",VLOOKUP($B27,'2-2_算定表③(旧・旧制度)'!$B$8:$U$65536,20,FALSE))</f>
      </c>
      <c r="K27" s="672">
        <f>IF($B27="","",VLOOKUP($B27,'2-2_算定表③(旧・旧制度)'!$B$8:$U$65536,14,FALSE))</f>
      </c>
      <c r="L27" s="421">
        <f>IF($B27="","",VLOOKUP($B27,'2-2_算定表③(旧・旧制度)'!$B$8:$U$65536,14,FALSE))</f>
      </c>
      <c r="M27" s="678">
        <f>IF($B27="","",VLOOKUP($B27,'2-2_算定表③(旧・旧制度)'!$B$8:$U$65536,14,FALSE))</f>
      </c>
      <c r="N27" s="672">
        <f>IF($B27="","",VLOOKUP($B27,'2-2_算定表③(旧・旧制度)'!$B$8:$U$65536,17,FALSE))</f>
      </c>
      <c r="O27" s="421">
        <f>IF($B27="","",VLOOKUP($B27,'2-2_算定表③(旧・旧制度)'!$B$8:$U$65536,17,FALSE))</f>
      </c>
      <c r="P27" s="421">
        <f>IF($B27="","",VLOOKUP($B27,'2-2_算定表③(旧・旧制度)'!$B$8:$U$65536,17,FALSE))</f>
      </c>
      <c r="Q27" s="421">
        <f>IF($B27="","",VLOOKUP($B27,'2-2_算定表③(旧・旧制度)'!$B$8:$U$65536,17,FALSE))</f>
      </c>
      <c r="R27" s="421">
        <f>IF($B27="","",VLOOKUP($B27,'2-2_算定表③(旧・旧制度)'!$B$8:$U$65536,17,FALSE))</f>
      </c>
      <c r="S27" s="421">
        <f>IF($B27="","",VLOOKUP($B27,'2-2_算定表③(旧・旧制度)'!$B$8:$U$65536,17,FALSE))</f>
      </c>
      <c r="T27" s="421">
        <f>IF($B27="","",VLOOKUP($B27,'2-2_算定表③(旧・旧制度)'!$B$8:$U$65536,17,FALSE))</f>
      </c>
      <c r="U27" s="421">
        <f>IF($B27="","",VLOOKUP($B27,'2-2_算定表③(旧・旧制度)'!$B$8:$U$65536,17,FALSE))</f>
      </c>
      <c r="V27" s="673">
        <f>IF($B27="","",VLOOKUP($B27,'2-2_算定表③(旧・旧制度)'!$B$8:$U$65536,17,FALSE))</f>
      </c>
      <c r="W27" s="419">
        <f t="shared" si="1"/>
      </c>
      <c r="X27" s="423">
        <f t="shared" si="2"/>
      </c>
      <c r="Y27" s="422">
        <f t="shared" si="3"/>
      </c>
      <c r="Z27" s="424">
        <f t="shared" si="4"/>
      </c>
      <c r="AA27" s="418">
        <f t="shared" si="5"/>
      </c>
      <c r="AB27" s="419">
        <f t="shared" si="6"/>
      </c>
      <c r="AC27" s="418">
        <f t="shared" si="7"/>
      </c>
      <c r="AD27" s="419">
        <f t="shared" si="8"/>
      </c>
      <c r="AE27" s="404">
        <f>IF(B27="","",ROUNDUP((G27/VLOOKUP($B27,'2-2_算定表③(旧・旧制度)'!$B$8:$AJ$44,9,FALSE)*W27)+(I27/VLOOKUP($B27,'2-2_算定表③(旧・旧制度)'!$B$8:$AJ$44,9,FALSE)*X27)+(G27/VLOOKUP($B27,'2-2_算定表③(旧・旧制度)'!$B$8:$AJ$44,9,FALSE)*Y27)+(I27/VLOOKUP($B27,'2-2_算定表③(旧・旧制度)'!$B$8:$AJ$44,9,FALSE)*Z27)+(G27/VLOOKUP($B27,'2-2_算定表③(旧・旧制度)'!$B$8:$AJ$44,9,FALSE)*AA27)+(I27/VLOOKUP($B27,'2-2_算定表③(旧・旧制度)'!$B$8:$AJ$44,9,FALSE)*AB27),0))</f>
      </c>
      <c r="AF27" s="403">
        <f t="shared" si="10"/>
      </c>
      <c r="AG27" s="1079">
        <f>IF(B27="","",VLOOKUP($B27,'2-2_算定表③(旧・旧制度)'!$B$8:$AH$65536,33,FALSE))</f>
      </c>
      <c r="AH27" s="1080" t="s">
        <v>182</v>
      </c>
      <c r="AI27" s="1081" t="s">
        <v>182</v>
      </c>
      <c r="AK27" s="61">
        <f t="shared" si="11"/>
      </c>
      <c r="AL27" s="61">
        <f t="shared" si="9"/>
      </c>
    </row>
    <row r="28" spans="1:38" s="53" customFormat="1" ht="18.75" customHeight="1">
      <c r="A28" s="27">
        <f t="shared" si="0"/>
      </c>
      <c r="B28" s="577"/>
      <c r="C28" s="716">
        <f>IF(B28="","",VLOOKUP($B28,'2-2_算定表③(旧・旧制度)'!$B$8:$U$65536,2,FALSE))</f>
      </c>
      <c r="D28" s="713">
        <f>IF(B28="","",VLOOKUP($B28,'2-2_算定表③(旧・旧制度)'!$B$8:$U$65536,3,FALSE))</f>
      </c>
      <c r="E28" s="773">
        <f>IF(B28="","",VLOOKUP($B28,'2-2_算定表③(旧・旧制度)'!$B$8:$U$65536,6,FALSE))</f>
      </c>
      <c r="F28" s="668">
        <f>IF(B28="","",VLOOKUP($B28,'2-2_算定表③(旧・旧制度)'!$B$8:$U$65536,14,FALSE))</f>
      </c>
      <c r="G28" s="626">
        <f>IF(B28="","",VLOOKUP($B28,'2-2_算定表③(旧・旧制度)'!$B$8:$U$65536,16,FALSE))</f>
      </c>
      <c r="H28" s="668">
        <f>IF(B28="","",VLOOKUP($B28,'2-2_算定表③(旧・旧制度)'!$B$8:$U$65536,17,FALSE))</f>
      </c>
      <c r="I28" s="626">
        <f>IF(B28="","",VLOOKUP($B28,'2-2_算定表③(旧・旧制度)'!$B$8:$U$65536,19,FALSE))</f>
      </c>
      <c r="J28" s="402">
        <f>IF(B28="","",VLOOKUP($B28,'2-2_算定表③(旧・旧制度)'!$B$8:$U$65536,20,FALSE))</f>
      </c>
      <c r="K28" s="672">
        <f>IF($B28="","",VLOOKUP($B28,'2-2_算定表③(旧・旧制度)'!$B$8:$U$65536,14,FALSE))</f>
      </c>
      <c r="L28" s="421">
        <f>IF($B28="","",VLOOKUP($B28,'2-2_算定表③(旧・旧制度)'!$B$8:$U$65536,14,FALSE))</f>
      </c>
      <c r="M28" s="678">
        <f>IF($B28="","",VLOOKUP($B28,'2-2_算定表③(旧・旧制度)'!$B$8:$U$65536,14,FALSE))</f>
      </c>
      <c r="N28" s="672">
        <f>IF($B28="","",VLOOKUP($B28,'2-2_算定表③(旧・旧制度)'!$B$8:$U$65536,17,FALSE))</f>
      </c>
      <c r="O28" s="421">
        <f>IF($B28="","",VLOOKUP($B28,'2-2_算定表③(旧・旧制度)'!$B$8:$U$65536,17,FALSE))</f>
      </c>
      <c r="P28" s="421">
        <f>IF($B28="","",VLOOKUP($B28,'2-2_算定表③(旧・旧制度)'!$B$8:$U$65536,17,FALSE))</f>
      </c>
      <c r="Q28" s="421">
        <f>IF($B28="","",VLOOKUP($B28,'2-2_算定表③(旧・旧制度)'!$B$8:$U$65536,17,FALSE))</f>
      </c>
      <c r="R28" s="421">
        <f>IF($B28="","",VLOOKUP($B28,'2-2_算定表③(旧・旧制度)'!$B$8:$U$65536,17,FALSE))</f>
      </c>
      <c r="S28" s="421">
        <f>IF($B28="","",VLOOKUP($B28,'2-2_算定表③(旧・旧制度)'!$B$8:$U$65536,17,FALSE))</f>
      </c>
      <c r="T28" s="421">
        <f>IF($B28="","",VLOOKUP($B28,'2-2_算定表③(旧・旧制度)'!$B$8:$U$65536,17,FALSE))</f>
      </c>
      <c r="U28" s="421">
        <f>IF($B28="","",VLOOKUP($B28,'2-2_算定表③(旧・旧制度)'!$B$8:$U$65536,17,FALSE))</f>
      </c>
      <c r="V28" s="673">
        <f>IF($B28="","",VLOOKUP($B28,'2-2_算定表③(旧・旧制度)'!$B$8:$U$65536,17,FALSE))</f>
      </c>
      <c r="W28" s="419">
        <f t="shared" si="1"/>
      </c>
      <c r="X28" s="423">
        <f t="shared" si="2"/>
      </c>
      <c r="Y28" s="422">
        <f t="shared" si="3"/>
      </c>
      <c r="Z28" s="424">
        <f t="shared" si="4"/>
      </c>
      <c r="AA28" s="418">
        <f t="shared" si="5"/>
      </c>
      <c r="AB28" s="419">
        <f t="shared" si="6"/>
      </c>
      <c r="AC28" s="418">
        <f t="shared" si="7"/>
      </c>
      <c r="AD28" s="419">
        <f t="shared" si="8"/>
      </c>
      <c r="AE28" s="404">
        <f>IF(B28="","",ROUNDUP((G28/VLOOKUP($B28,'2-2_算定表③(旧・旧制度)'!$B$8:$AJ$44,9,FALSE)*W28)+(I28/VLOOKUP($B28,'2-2_算定表③(旧・旧制度)'!$B$8:$AJ$44,9,FALSE)*X28)+(G28/VLOOKUP($B28,'2-2_算定表③(旧・旧制度)'!$B$8:$AJ$44,9,FALSE)*Y28)+(I28/VLOOKUP($B28,'2-2_算定表③(旧・旧制度)'!$B$8:$AJ$44,9,FALSE)*Z28)+(G28/VLOOKUP($B28,'2-2_算定表③(旧・旧制度)'!$B$8:$AJ$44,9,FALSE)*AA28)+(I28/VLOOKUP($B28,'2-2_算定表③(旧・旧制度)'!$B$8:$AJ$44,9,FALSE)*AB28),0))</f>
      </c>
      <c r="AF28" s="403">
        <f t="shared" si="10"/>
      </c>
      <c r="AG28" s="1079">
        <f>IF(B28="","",VLOOKUP($B28,'2-2_算定表③(旧・旧制度)'!$B$8:$AH$65536,33,FALSE))</f>
      </c>
      <c r="AH28" s="1080" t="s">
        <v>182</v>
      </c>
      <c r="AI28" s="1081" t="s">
        <v>182</v>
      </c>
      <c r="AK28" s="61">
        <f t="shared" si="11"/>
      </c>
      <c r="AL28" s="61">
        <f t="shared" si="9"/>
      </c>
    </row>
    <row r="29" spans="1:38" s="53" customFormat="1" ht="18.75" customHeight="1">
      <c r="A29" s="27">
        <f t="shared" si="0"/>
      </c>
      <c r="B29" s="577"/>
      <c r="C29" s="716">
        <f>IF(B29="","",VLOOKUP($B29,'2-2_算定表③(旧・旧制度)'!$B$8:$U$65536,2,FALSE))</f>
      </c>
      <c r="D29" s="713">
        <f>IF(B29="","",VLOOKUP($B29,'2-2_算定表③(旧・旧制度)'!$B$8:$U$65536,3,FALSE))</f>
      </c>
      <c r="E29" s="773">
        <f>IF(B29="","",VLOOKUP($B29,'2-2_算定表③(旧・旧制度)'!$B$8:$U$65536,6,FALSE))</f>
      </c>
      <c r="F29" s="668">
        <f>IF(B29="","",VLOOKUP($B29,'2-2_算定表③(旧・旧制度)'!$B$8:$U$65536,14,FALSE))</f>
      </c>
      <c r="G29" s="626">
        <f>IF(B29="","",VLOOKUP($B29,'2-2_算定表③(旧・旧制度)'!$B$8:$U$65536,16,FALSE))</f>
      </c>
      <c r="H29" s="668">
        <f>IF(B29="","",VLOOKUP($B29,'2-2_算定表③(旧・旧制度)'!$B$8:$U$65536,17,FALSE))</f>
      </c>
      <c r="I29" s="626">
        <f>IF(B29="","",VLOOKUP($B29,'2-2_算定表③(旧・旧制度)'!$B$8:$U$65536,19,FALSE))</f>
      </c>
      <c r="J29" s="402">
        <f>IF(B29="","",VLOOKUP($B29,'2-2_算定表③(旧・旧制度)'!$B$8:$U$65536,20,FALSE))</f>
      </c>
      <c r="K29" s="672">
        <f>IF($B29="","",VLOOKUP($B29,'2-2_算定表③(旧・旧制度)'!$B$8:$U$65536,14,FALSE))</f>
      </c>
      <c r="L29" s="421">
        <f>IF($B29="","",VLOOKUP($B29,'2-2_算定表③(旧・旧制度)'!$B$8:$U$65536,14,FALSE))</f>
      </c>
      <c r="M29" s="678">
        <f>IF($B29="","",VLOOKUP($B29,'2-2_算定表③(旧・旧制度)'!$B$8:$U$65536,14,FALSE))</f>
      </c>
      <c r="N29" s="672">
        <f>IF($B29="","",VLOOKUP($B29,'2-2_算定表③(旧・旧制度)'!$B$8:$U$65536,17,FALSE))</f>
      </c>
      <c r="O29" s="421">
        <f>IF($B29="","",VLOOKUP($B29,'2-2_算定表③(旧・旧制度)'!$B$8:$U$65536,17,FALSE))</f>
      </c>
      <c r="P29" s="421">
        <f>IF($B29="","",VLOOKUP($B29,'2-2_算定表③(旧・旧制度)'!$B$8:$U$65536,17,FALSE))</f>
      </c>
      <c r="Q29" s="421">
        <f>IF($B29="","",VLOOKUP($B29,'2-2_算定表③(旧・旧制度)'!$B$8:$U$65536,17,FALSE))</f>
      </c>
      <c r="R29" s="421">
        <f>IF($B29="","",VLOOKUP($B29,'2-2_算定表③(旧・旧制度)'!$B$8:$U$65536,17,FALSE))</f>
      </c>
      <c r="S29" s="421">
        <f>IF($B29="","",VLOOKUP($B29,'2-2_算定表③(旧・旧制度)'!$B$8:$U$65536,17,FALSE))</f>
      </c>
      <c r="T29" s="421">
        <f>IF($B29="","",VLOOKUP($B29,'2-2_算定表③(旧・旧制度)'!$B$8:$U$65536,17,FALSE))</f>
      </c>
      <c r="U29" s="421">
        <f>IF($B29="","",VLOOKUP($B29,'2-2_算定表③(旧・旧制度)'!$B$8:$U$65536,17,FALSE))</f>
      </c>
      <c r="V29" s="673">
        <f>IF($B29="","",VLOOKUP($B29,'2-2_算定表③(旧・旧制度)'!$B$8:$U$65536,17,FALSE))</f>
      </c>
      <c r="W29" s="419">
        <f t="shared" si="1"/>
      </c>
      <c r="X29" s="423">
        <f t="shared" si="2"/>
      </c>
      <c r="Y29" s="422">
        <f t="shared" si="3"/>
      </c>
      <c r="Z29" s="424">
        <f t="shared" si="4"/>
      </c>
      <c r="AA29" s="418">
        <f t="shared" si="5"/>
      </c>
      <c r="AB29" s="419">
        <f t="shared" si="6"/>
      </c>
      <c r="AC29" s="418">
        <f t="shared" si="7"/>
      </c>
      <c r="AD29" s="419">
        <f t="shared" si="8"/>
      </c>
      <c r="AE29" s="404">
        <f>IF(B29="","",ROUNDUP((G29/VLOOKUP($B29,'2-2_算定表③(旧・旧制度)'!$B$8:$AJ$44,9,FALSE)*W29)+(I29/VLOOKUP($B29,'2-2_算定表③(旧・旧制度)'!$B$8:$AJ$44,9,FALSE)*X29)+(G29/VLOOKUP($B29,'2-2_算定表③(旧・旧制度)'!$B$8:$AJ$44,9,FALSE)*Y29)+(I29/VLOOKUP($B29,'2-2_算定表③(旧・旧制度)'!$B$8:$AJ$44,9,FALSE)*Z29)+(G29/VLOOKUP($B29,'2-2_算定表③(旧・旧制度)'!$B$8:$AJ$44,9,FALSE)*AA29)+(I29/VLOOKUP($B29,'2-2_算定表③(旧・旧制度)'!$B$8:$AJ$44,9,FALSE)*AB29),0))</f>
      </c>
      <c r="AF29" s="403">
        <f t="shared" si="10"/>
      </c>
      <c r="AG29" s="1079">
        <f>IF(B29="","",VLOOKUP($B29,'2-2_算定表③(旧・旧制度)'!$B$8:$AH$65536,33,FALSE))</f>
      </c>
      <c r="AH29" s="1080" t="s">
        <v>182</v>
      </c>
      <c r="AI29" s="1081" t="s">
        <v>182</v>
      </c>
      <c r="AK29" s="61">
        <f t="shared" si="11"/>
      </c>
      <c r="AL29" s="61">
        <f t="shared" si="9"/>
      </c>
    </row>
    <row r="30" spans="1:38" s="53" customFormat="1" ht="18.75" customHeight="1">
      <c r="A30" s="27">
        <f t="shared" si="0"/>
      </c>
      <c r="B30" s="577"/>
      <c r="C30" s="716">
        <f>IF(B30="","",VLOOKUP($B30,'2-2_算定表③(旧・旧制度)'!$B$8:$U$65536,2,FALSE))</f>
      </c>
      <c r="D30" s="713">
        <f>IF(B30="","",VLOOKUP($B30,'2-2_算定表③(旧・旧制度)'!$B$8:$U$65536,3,FALSE))</f>
      </c>
      <c r="E30" s="773">
        <f>IF(B30="","",VLOOKUP($B30,'2-2_算定表③(旧・旧制度)'!$B$8:$U$65536,6,FALSE))</f>
      </c>
      <c r="F30" s="668">
        <f>IF(B30="","",VLOOKUP($B30,'2-2_算定表③(旧・旧制度)'!$B$8:$U$65536,14,FALSE))</f>
      </c>
      <c r="G30" s="626">
        <f>IF(B30="","",VLOOKUP($B30,'2-2_算定表③(旧・旧制度)'!$B$8:$U$65536,16,FALSE))</f>
      </c>
      <c r="H30" s="668">
        <f>IF(B30="","",VLOOKUP($B30,'2-2_算定表③(旧・旧制度)'!$B$8:$U$65536,17,FALSE))</f>
      </c>
      <c r="I30" s="626">
        <f>IF(B30="","",VLOOKUP($B30,'2-2_算定表③(旧・旧制度)'!$B$8:$U$65536,19,FALSE))</f>
      </c>
      <c r="J30" s="402">
        <f>IF(B30="","",VLOOKUP($B30,'2-2_算定表③(旧・旧制度)'!$B$8:$U$65536,20,FALSE))</f>
      </c>
      <c r="K30" s="672">
        <f>IF($B30="","",VLOOKUP($B30,'2-2_算定表③(旧・旧制度)'!$B$8:$U$65536,14,FALSE))</f>
      </c>
      <c r="L30" s="421">
        <f>IF($B30="","",VLOOKUP($B30,'2-2_算定表③(旧・旧制度)'!$B$8:$U$65536,14,FALSE))</f>
      </c>
      <c r="M30" s="678">
        <f>IF($B30="","",VLOOKUP($B30,'2-2_算定表③(旧・旧制度)'!$B$8:$U$65536,14,FALSE))</f>
      </c>
      <c r="N30" s="672">
        <f>IF($B30="","",VLOOKUP($B30,'2-2_算定表③(旧・旧制度)'!$B$8:$U$65536,17,FALSE))</f>
      </c>
      <c r="O30" s="421">
        <f>IF($B30="","",VLOOKUP($B30,'2-2_算定表③(旧・旧制度)'!$B$8:$U$65536,17,FALSE))</f>
      </c>
      <c r="P30" s="421">
        <f>IF($B30="","",VLOOKUP($B30,'2-2_算定表③(旧・旧制度)'!$B$8:$U$65536,17,FALSE))</f>
      </c>
      <c r="Q30" s="421">
        <f>IF($B30="","",VLOOKUP($B30,'2-2_算定表③(旧・旧制度)'!$B$8:$U$65536,17,FALSE))</f>
      </c>
      <c r="R30" s="421">
        <f>IF($B30="","",VLOOKUP($B30,'2-2_算定表③(旧・旧制度)'!$B$8:$U$65536,17,FALSE))</f>
      </c>
      <c r="S30" s="421">
        <f>IF($B30="","",VLOOKUP($B30,'2-2_算定表③(旧・旧制度)'!$B$8:$U$65536,17,FALSE))</f>
      </c>
      <c r="T30" s="421">
        <f>IF($B30="","",VLOOKUP($B30,'2-2_算定表③(旧・旧制度)'!$B$8:$U$65536,17,FALSE))</f>
      </c>
      <c r="U30" s="421">
        <f>IF($B30="","",VLOOKUP($B30,'2-2_算定表③(旧・旧制度)'!$B$8:$U$65536,17,FALSE))</f>
      </c>
      <c r="V30" s="673">
        <f>IF($B30="","",VLOOKUP($B30,'2-2_算定表③(旧・旧制度)'!$B$8:$U$65536,17,FALSE))</f>
      </c>
      <c r="W30" s="419">
        <f t="shared" si="1"/>
      </c>
      <c r="X30" s="423">
        <f t="shared" si="2"/>
      </c>
      <c r="Y30" s="422">
        <f t="shared" si="3"/>
      </c>
      <c r="Z30" s="424">
        <f t="shared" si="4"/>
      </c>
      <c r="AA30" s="418">
        <f t="shared" si="5"/>
      </c>
      <c r="AB30" s="419">
        <f t="shared" si="6"/>
      </c>
      <c r="AC30" s="418">
        <f t="shared" si="7"/>
      </c>
      <c r="AD30" s="419">
        <f t="shared" si="8"/>
      </c>
      <c r="AE30" s="404">
        <f>IF(B30="","",ROUNDUP((G30/VLOOKUP($B30,'2-2_算定表③(旧・旧制度)'!$B$8:$AJ$44,9,FALSE)*W30)+(I30/VLOOKUP($B30,'2-2_算定表③(旧・旧制度)'!$B$8:$AJ$44,9,FALSE)*X30)+(G30/VLOOKUP($B30,'2-2_算定表③(旧・旧制度)'!$B$8:$AJ$44,9,FALSE)*Y30)+(I30/VLOOKUP($B30,'2-2_算定表③(旧・旧制度)'!$B$8:$AJ$44,9,FALSE)*Z30)+(G30/VLOOKUP($B30,'2-2_算定表③(旧・旧制度)'!$B$8:$AJ$44,9,FALSE)*AA30)+(I30/VLOOKUP($B30,'2-2_算定表③(旧・旧制度)'!$B$8:$AJ$44,9,FALSE)*AB30),0))</f>
      </c>
      <c r="AF30" s="403">
        <f t="shared" si="10"/>
      </c>
      <c r="AG30" s="1079">
        <f>IF(B30="","",VLOOKUP($B30,'2-2_算定表③(旧・旧制度)'!$B$8:$AH$65536,33,FALSE))</f>
      </c>
      <c r="AH30" s="1080" t="s">
        <v>182</v>
      </c>
      <c r="AI30" s="1081" t="s">
        <v>182</v>
      </c>
      <c r="AK30" s="61">
        <f>IF(A30&gt;0,ASC(C30&amp;H30),"")</f>
      </c>
      <c r="AL30" s="61">
        <f t="shared" si="9"/>
      </c>
    </row>
    <row r="31" spans="1:38" s="53" customFormat="1" ht="18.75" customHeight="1">
      <c r="A31" s="27">
        <f t="shared" si="0"/>
      </c>
      <c r="B31" s="577"/>
      <c r="C31" s="716">
        <f>IF(B31="","",VLOOKUP($B31,'2-2_算定表③(旧・旧制度)'!$B$8:$U$65536,2,FALSE))</f>
      </c>
      <c r="D31" s="713">
        <f>IF(B31="","",VLOOKUP($B31,'2-2_算定表③(旧・旧制度)'!$B$8:$U$65536,3,FALSE))</f>
      </c>
      <c r="E31" s="773">
        <f>IF(B31="","",VLOOKUP($B31,'2-2_算定表③(旧・旧制度)'!$B$8:$U$65536,6,FALSE))</f>
      </c>
      <c r="F31" s="668">
        <f>IF(B31="","",VLOOKUP($B31,'2-2_算定表③(旧・旧制度)'!$B$8:$U$65536,14,FALSE))</f>
      </c>
      <c r="G31" s="626">
        <f>IF(B31="","",VLOOKUP($B31,'2-2_算定表③(旧・旧制度)'!$B$8:$U$65536,16,FALSE))</f>
      </c>
      <c r="H31" s="668">
        <f>IF(B31="","",VLOOKUP($B31,'2-2_算定表③(旧・旧制度)'!$B$8:$U$65536,17,FALSE))</f>
      </c>
      <c r="I31" s="626">
        <f>IF(B31="","",VLOOKUP($B31,'2-2_算定表③(旧・旧制度)'!$B$8:$U$65536,19,FALSE))</f>
      </c>
      <c r="J31" s="402">
        <f>IF(B31="","",VLOOKUP($B31,'2-2_算定表③(旧・旧制度)'!$B$8:$U$65536,20,FALSE))</f>
      </c>
      <c r="K31" s="672">
        <f>IF($B31="","",VLOOKUP($B31,'2-2_算定表③(旧・旧制度)'!$B$8:$U$65536,14,FALSE))</f>
      </c>
      <c r="L31" s="421">
        <f>IF($B31="","",VLOOKUP($B31,'2-2_算定表③(旧・旧制度)'!$B$8:$U$65536,14,FALSE))</f>
      </c>
      <c r="M31" s="678">
        <f>IF($B31="","",VLOOKUP($B31,'2-2_算定表③(旧・旧制度)'!$B$8:$U$65536,14,FALSE))</f>
      </c>
      <c r="N31" s="672">
        <f>IF($B31="","",VLOOKUP($B31,'2-2_算定表③(旧・旧制度)'!$B$8:$U$65536,17,FALSE))</f>
      </c>
      <c r="O31" s="421">
        <f>IF($B31="","",VLOOKUP($B31,'2-2_算定表③(旧・旧制度)'!$B$8:$U$65536,17,FALSE))</f>
      </c>
      <c r="P31" s="421">
        <f>IF($B31="","",VLOOKUP($B31,'2-2_算定表③(旧・旧制度)'!$B$8:$U$65536,17,FALSE))</f>
      </c>
      <c r="Q31" s="421">
        <f>IF($B31="","",VLOOKUP($B31,'2-2_算定表③(旧・旧制度)'!$B$8:$U$65536,17,FALSE))</f>
      </c>
      <c r="R31" s="421">
        <f>IF($B31="","",VLOOKUP($B31,'2-2_算定表③(旧・旧制度)'!$B$8:$U$65536,17,FALSE))</f>
      </c>
      <c r="S31" s="421">
        <f>IF($B31="","",VLOOKUP($B31,'2-2_算定表③(旧・旧制度)'!$B$8:$U$65536,17,FALSE))</f>
      </c>
      <c r="T31" s="421">
        <f>IF($B31="","",VLOOKUP($B31,'2-2_算定表③(旧・旧制度)'!$B$8:$U$65536,17,FALSE))</f>
      </c>
      <c r="U31" s="421">
        <f>IF($B31="","",VLOOKUP($B31,'2-2_算定表③(旧・旧制度)'!$B$8:$U$65536,17,FALSE))</f>
      </c>
      <c r="V31" s="673">
        <f>IF($B31="","",VLOOKUP($B31,'2-2_算定表③(旧・旧制度)'!$B$8:$U$65536,17,FALSE))</f>
      </c>
      <c r="W31" s="419">
        <f t="shared" si="1"/>
      </c>
      <c r="X31" s="423">
        <f t="shared" si="2"/>
      </c>
      <c r="Y31" s="422">
        <f t="shared" si="3"/>
      </c>
      <c r="Z31" s="424">
        <f t="shared" si="4"/>
      </c>
      <c r="AA31" s="418">
        <f t="shared" si="5"/>
      </c>
      <c r="AB31" s="419">
        <f t="shared" si="6"/>
      </c>
      <c r="AC31" s="418">
        <f t="shared" si="7"/>
      </c>
      <c r="AD31" s="419">
        <f t="shared" si="8"/>
      </c>
      <c r="AE31" s="404">
        <f>IF(B31="","",ROUNDUP((G31/VLOOKUP($B31,'2-2_算定表③(旧・旧制度)'!$B$8:$AJ$44,9,FALSE)*W31)+(I31/VLOOKUP($B31,'2-2_算定表③(旧・旧制度)'!$B$8:$AJ$44,9,FALSE)*X31)+(G31/VLOOKUP($B31,'2-2_算定表③(旧・旧制度)'!$B$8:$AJ$44,9,FALSE)*Y31)+(I31/VLOOKUP($B31,'2-2_算定表③(旧・旧制度)'!$B$8:$AJ$44,9,FALSE)*Z31)+(G31/VLOOKUP($B31,'2-2_算定表③(旧・旧制度)'!$B$8:$AJ$44,9,FALSE)*AA31)+(I31/VLOOKUP($B31,'2-2_算定表③(旧・旧制度)'!$B$8:$AJ$44,9,FALSE)*AB31),0))</f>
      </c>
      <c r="AF31" s="403">
        <f t="shared" si="10"/>
      </c>
      <c r="AG31" s="1079">
        <f>IF(B31="","",VLOOKUP($B31,'2-2_算定表③(旧・旧制度)'!$B$8:$AH$65536,33,FALSE))</f>
      </c>
      <c r="AH31" s="1080" t="s">
        <v>182</v>
      </c>
      <c r="AI31" s="1081" t="s">
        <v>182</v>
      </c>
      <c r="AK31" s="61">
        <f>IF(A31&gt;0,ASC(C31&amp;H31),"")</f>
      </c>
      <c r="AL31" s="61">
        <f t="shared" si="9"/>
      </c>
    </row>
    <row r="32" spans="1:38" s="53" customFormat="1" ht="18.75" customHeight="1">
      <c r="A32" s="27">
        <f t="shared" si="0"/>
      </c>
      <c r="B32" s="577"/>
      <c r="C32" s="716">
        <f>IF(B32="","",VLOOKUP($B32,'2-2_算定表③(旧・旧制度)'!$B$8:$U$65536,2,FALSE))</f>
      </c>
      <c r="D32" s="713">
        <f>IF(B32="","",VLOOKUP($B32,'2-2_算定表③(旧・旧制度)'!$B$8:$U$65536,3,FALSE))</f>
      </c>
      <c r="E32" s="773">
        <f>IF(B32="","",VLOOKUP($B32,'2-2_算定表③(旧・旧制度)'!$B$8:$U$65536,6,FALSE))</f>
      </c>
      <c r="F32" s="668">
        <f>IF(B32="","",VLOOKUP($B32,'2-2_算定表③(旧・旧制度)'!$B$8:$U$65536,14,FALSE))</f>
      </c>
      <c r="G32" s="626">
        <f>IF(B32="","",VLOOKUP($B32,'2-2_算定表③(旧・旧制度)'!$B$8:$U$65536,16,FALSE))</f>
      </c>
      <c r="H32" s="668">
        <f>IF(B32="","",VLOOKUP($B32,'2-2_算定表③(旧・旧制度)'!$B$8:$U$65536,17,FALSE))</f>
      </c>
      <c r="I32" s="626">
        <f>IF(B32="","",VLOOKUP($B32,'2-2_算定表③(旧・旧制度)'!$B$8:$U$65536,19,FALSE))</f>
      </c>
      <c r="J32" s="402">
        <f>IF(B32="","",VLOOKUP($B32,'2-2_算定表③(旧・旧制度)'!$B$8:$U$65536,20,FALSE))</f>
      </c>
      <c r="K32" s="672">
        <f>IF($B32="","",VLOOKUP($B32,'2-2_算定表③(旧・旧制度)'!$B$8:$U$65536,14,FALSE))</f>
      </c>
      <c r="L32" s="421">
        <f>IF($B32="","",VLOOKUP($B32,'2-2_算定表③(旧・旧制度)'!$B$8:$U$65536,14,FALSE))</f>
      </c>
      <c r="M32" s="678">
        <f>IF($B32="","",VLOOKUP($B32,'2-2_算定表③(旧・旧制度)'!$B$8:$U$65536,14,FALSE))</f>
      </c>
      <c r="N32" s="672">
        <f>IF($B32="","",VLOOKUP($B32,'2-2_算定表③(旧・旧制度)'!$B$8:$U$65536,17,FALSE))</f>
      </c>
      <c r="O32" s="421">
        <f>IF($B32="","",VLOOKUP($B32,'2-2_算定表③(旧・旧制度)'!$B$8:$U$65536,17,FALSE))</f>
      </c>
      <c r="P32" s="421">
        <f>IF($B32="","",VLOOKUP($B32,'2-2_算定表③(旧・旧制度)'!$B$8:$U$65536,17,FALSE))</f>
      </c>
      <c r="Q32" s="421">
        <f>IF($B32="","",VLOOKUP($B32,'2-2_算定表③(旧・旧制度)'!$B$8:$U$65536,17,FALSE))</f>
      </c>
      <c r="R32" s="421">
        <f>IF($B32="","",VLOOKUP($B32,'2-2_算定表③(旧・旧制度)'!$B$8:$U$65536,17,FALSE))</f>
      </c>
      <c r="S32" s="421">
        <f>IF($B32="","",VLOOKUP($B32,'2-2_算定表③(旧・旧制度)'!$B$8:$U$65536,17,FALSE))</f>
      </c>
      <c r="T32" s="421">
        <f>IF($B32="","",VLOOKUP($B32,'2-2_算定表③(旧・旧制度)'!$B$8:$U$65536,17,FALSE))</f>
      </c>
      <c r="U32" s="421">
        <f>IF($B32="","",VLOOKUP($B32,'2-2_算定表③(旧・旧制度)'!$B$8:$U$65536,17,FALSE))</f>
      </c>
      <c r="V32" s="673">
        <f>IF($B32="","",VLOOKUP($B32,'2-2_算定表③(旧・旧制度)'!$B$8:$U$65536,17,FALSE))</f>
      </c>
      <c r="W32" s="419">
        <f t="shared" si="1"/>
      </c>
      <c r="X32" s="423">
        <f t="shared" si="2"/>
      </c>
      <c r="Y32" s="422">
        <f t="shared" si="3"/>
      </c>
      <c r="Z32" s="424">
        <f t="shared" si="4"/>
      </c>
      <c r="AA32" s="418">
        <f t="shared" si="5"/>
      </c>
      <c r="AB32" s="419">
        <f t="shared" si="6"/>
      </c>
      <c r="AC32" s="418">
        <f t="shared" si="7"/>
      </c>
      <c r="AD32" s="419">
        <f t="shared" si="8"/>
      </c>
      <c r="AE32" s="404">
        <f>IF(B32="","",ROUNDUP((G32/VLOOKUP($B32,'2-2_算定表③(旧・旧制度)'!$B$8:$AJ$44,9,FALSE)*W32)+(I32/VLOOKUP($B32,'2-2_算定表③(旧・旧制度)'!$B$8:$AJ$44,9,FALSE)*X32)+(G32/VLOOKUP($B32,'2-2_算定表③(旧・旧制度)'!$B$8:$AJ$44,9,FALSE)*Y32)+(I32/VLOOKUP($B32,'2-2_算定表③(旧・旧制度)'!$B$8:$AJ$44,9,FALSE)*Z32)+(G32/VLOOKUP($B32,'2-2_算定表③(旧・旧制度)'!$B$8:$AJ$44,9,FALSE)*AA32)+(I32/VLOOKUP($B32,'2-2_算定表③(旧・旧制度)'!$B$8:$AJ$44,9,FALSE)*AB32),0))</f>
      </c>
      <c r="AF32" s="403">
        <f t="shared" si="10"/>
      </c>
      <c r="AG32" s="1079">
        <f>IF(B32="","",VLOOKUP($B32,'2-2_算定表③(旧・旧制度)'!$B$8:$AH$65536,33,FALSE))</f>
      </c>
      <c r="AH32" s="1080" t="s">
        <v>182</v>
      </c>
      <c r="AI32" s="1081" t="s">
        <v>182</v>
      </c>
      <c r="AK32" s="61">
        <f>IF(A32&gt;0,ASC(C32&amp;H32),"")</f>
      </c>
      <c r="AL32" s="61">
        <f t="shared" si="9"/>
      </c>
    </row>
    <row r="33" spans="1:38" s="53" customFormat="1" ht="18.75" customHeight="1">
      <c r="A33" s="27">
        <f t="shared" si="0"/>
      </c>
      <c r="B33" s="577"/>
      <c r="C33" s="716">
        <f>IF(B33="","",VLOOKUP($B33,'2-2_算定表③(旧・旧制度)'!$B$8:$U$65536,2,FALSE))</f>
      </c>
      <c r="D33" s="713">
        <f>IF(B33="","",VLOOKUP($B33,'2-2_算定表③(旧・旧制度)'!$B$8:$U$65536,3,FALSE))</f>
      </c>
      <c r="E33" s="773">
        <f>IF(B33="","",VLOOKUP($B33,'2-2_算定表③(旧・旧制度)'!$B$8:$U$65536,6,FALSE))</f>
      </c>
      <c r="F33" s="668">
        <f>IF(B33="","",VLOOKUP($B33,'2-2_算定表③(旧・旧制度)'!$B$8:$U$65536,14,FALSE))</f>
      </c>
      <c r="G33" s="626">
        <f>IF(B33="","",VLOOKUP($B33,'2-2_算定表③(旧・旧制度)'!$B$8:$U$65536,16,FALSE))</f>
      </c>
      <c r="H33" s="668">
        <f>IF(B33="","",VLOOKUP($B33,'2-2_算定表③(旧・旧制度)'!$B$8:$U$65536,17,FALSE))</f>
      </c>
      <c r="I33" s="626">
        <f>IF(B33="","",VLOOKUP($B33,'2-2_算定表③(旧・旧制度)'!$B$8:$U$65536,19,FALSE))</f>
      </c>
      <c r="J33" s="402">
        <f>IF(B33="","",VLOOKUP($B33,'2-2_算定表③(旧・旧制度)'!$B$8:$U$65536,20,FALSE))</f>
      </c>
      <c r="K33" s="672">
        <f>IF($B33="","",VLOOKUP($B33,'2-2_算定表③(旧・旧制度)'!$B$8:$U$65536,14,FALSE))</f>
      </c>
      <c r="L33" s="421">
        <f>IF($B33="","",VLOOKUP($B33,'2-2_算定表③(旧・旧制度)'!$B$8:$U$65536,14,FALSE))</f>
      </c>
      <c r="M33" s="678">
        <f>IF($B33="","",VLOOKUP($B33,'2-2_算定表③(旧・旧制度)'!$B$8:$U$65536,14,FALSE))</f>
      </c>
      <c r="N33" s="672">
        <f>IF($B33="","",VLOOKUP($B33,'2-2_算定表③(旧・旧制度)'!$B$8:$U$65536,17,FALSE))</f>
      </c>
      <c r="O33" s="421">
        <f>IF($B33="","",VLOOKUP($B33,'2-2_算定表③(旧・旧制度)'!$B$8:$U$65536,17,FALSE))</f>
      </c>
      <c r="P33" s="421">
        <f>IF($B33="","",VLOOKUP($B33,'2-2_算定表③(旧・旧制度)'!$B$8:$U$65536,17,FALSE))</f>
      </c>
      <c r="Q33" s="421">
        <f>IF($B33="","",VLOOKUP($B33,'2-2_算定表③(旧・旧制度)'!$B$8:$U$65536,17,FALSE))</f>
      </c>
      <c r="R33" s="421">
        <f>IF($B33="","",VLOOKUP($B33,'2-2_算定表③(旧・旧制度)'!$B$8:$U$65536,17,FALSE))</f>
      </c>
      <c r="S33" s="421">
        <f>IF($B33="","",VLOOKUP($B33,'2-2_算定表③(旧・旧制度)'!$B$8:$U$65536,17,FALSE))</f>
      </c>
      <c r="T33" s="421">
        <f>IF($B33="","",VLOOKUP($B33,'2-2_算定表③(旧・旧制度)'!$B$8:$U$65536,17,FALSE))</f>
      </c>
      <c r="U33" s="421">
        <f>IF($B33="","",VLOOKUP($B33,'2-2_算定表③(旧・旧制度)'!$B$8:$U$65536,17,FALSE))</f>
      </c>
      <c r="V33" s="673">
        <f>IF($B33="","",VLOOKUP($B33,'2-2_算定表③(旧・旧制度)'!$B$8:$U$65536,17,FALSE))</f>
      </c>
      <c r="W33" s="419">
        <f t="shared" si="1"/>
      </c>
      <c r="X33" s="423">
        <f t="shared" si="2"/>
      </c>
      <c r="Y33" s="422">
        <f t="shared" si="3"/>
      </c>
      <c r="Z33" s="424">
        <f t="shared" si="4"/>
      </c>
      <c r="AA33" s="418">
        <f t="shared" si="5"/>
      </c>
      <c r="AB33" s="419">
        <f t="shared" si="6"/>
      </c>
      <c r="AC33" s="418">
        <f t="shared" si="7"/>
      </c>
      <c r="AD33" s="419">
        <f t="shared" si="8"/>
      </c>
      <c r="AE33" s="404">
        <f>IF(B33="","",ROUNDUP((G33/VLOOKUP($B33,'2-2_算定表③(旧・旧制度)'!$B$8:$AJ$44,9,FALSE)*W33)+(I33/VLOOKUP($B33,'2-2_算定表③(旧・旧制度)'!$B$8:$AJ$44,9,FALSE)*X33)+(G33/VLOOKUP($B33,'2-2_算定表③(旧・旧制度)'!$B$8:$AJ$44,9,FALSE)*Y33)+(I33/VLOOKUP($B33,'2-2_算定表③(旧・旧制度)'!$B$8:$AJ$44,9,FALSE)*Z33)+(G33/VLOOKUP($B33,'2-2_算定表③(旧・旧制度)'!$B$8:$AJ$44,9,FALSE)*AA33)+(I33/VLOOKUP($B33,'2-2_算定表③(旧・旧制度)'!$B$8:$AJ$44,9,FALSE)*AB33),0))</f>
      </c>
      <c r="AF33" s="403">
        <f t="shared" si="10"/>
      </c>
      <c r="AG33" s="1079">
        <f>IF(B33="","",VLOOKUP($B33,'2-2_算定表③(旧・旧制度)'!$B$8:$AH$65536,33,FALSE))</f>
      </c>
      <c r="AH33" s="1080" t="s">
        <v>182</v>
      </c>
      <c r="AI33" s="1081" t="s">
        <v>182</v>
      </c>
      <c r="AK33" s="61">
        <f t="shared" si="11"/>
      </c>
      <c r="AL33" s="61">
        <f t="shared" si="9"/>
      </c>
    </row>
    <row r="34" spans="1:38" s="53" customFormat="1" ht="18.75" customHeight="1">
      <c r="A34" s="27">
        <f t="shared" si="0"/>
      </c>
      <c r="B34" s="577"/>
      <c r="C34" s="716">
        <f>IF(B34="","",VLOOKUP($B34,'2-2_算定表③(旧・旧制度)'!$B$8:$U$65536,2,FALSE))</f>
      </c>
      <c r="D34" s="713">
        <f>IF(B34="","",VLOOKUP($B34,'2-2_算定表③(旧・旧制度)'!$B$8:$U$65536,3,FALSE))</f>
      </c>
      <c r="E34" s="773">
        <f>IF(B34="","",VLOOKUP($B34,'2-2_算定表③(旧・旧制度)'!$B$8:$U$65536,6,FALSE))</f>
      </c>
      <c r="F34" s="668">
        <f>IF(B34="","",VLOOKUP($B34,'2-2_算定表③(旧・旧制度)'!$B$8:$U$65536,14,FALSE))</f>
      </c>
      <c r="G34" s="626">
        <f>IF(B34="","",VLOOKUP($B34,'2-2_算定表③(旧・旧制度)'!$B$8:$U$65536,16,FALSE))</f>
      </c>
      <c r="H34" s="668">
        <f>IF(B34="","",VLOOKUP($B34,'2-2_算定表③(旧・旧制度)'!$B$8:$U$65536,17,FALSE))</f>
      </c>
      <c r="I34" s="626">
        <f>IF(B34="","",VLOOKUP($B34,'2-2_算定表③(旧・旧制度)'!$B$8:$U$65536,19,FALSE))</f>
      </c>
      <c r="J34" s="402">
        <f>IF(B34="","",VLOOKUP($B34,'2-2_算定表③(旧・旧制度)'!$B$8:$U$65536,20,FALSE))</f>
      </c>
      <c r="K34" s="672">
        <f>IF($B34="","",VLOOKUP($B34,'2-2_算定表③(旧・旧制度)'!$B$8:$U$65536,14,FALSE))</f>
      </c>
      <c r="L34" s="421">
        <f>IF($B34="","",VLOOKUP($B34,'2-2_算定表③(旧・旧制度)'!$B$8:$U$65536,14,FALSE))</f>
      </c>
      <c r="M34" s="678">
        <f>IF($B34="","",VLOOKUP($B34,'2-2_算定表③(旧・旧制度)'!$B$8:$U$65536,14,FALSE))</f>
      </c>
      <c r="N34" s="672">
        <f>IF($B34="","",VLOOKUP($B34,'2-2_算定表③(旧・旧制度)'!$B$8:$U$65536,17,FALSE))</f>
      </c>
      <c r="O34" s="421">
        <f>IF($B34="","",VLOOKUP($B34,'2-2_算定表③(旧・旧制度)'!$B$8:$U$65536,17,FALSE))</f>
      </c>
      <c r="P34" s="421">
        <f>IF($B34="","",VLOOKUP($B34,'2-2_算定表③(旧・旧制度)'!$B$8:$U$65536,17,FALSE))</f>
      </c>
      <c r="Q34" s="421">
        <f>IF($B34="","",VLOOKUP($B34,'2-2_算定表③(旧・旧制度)'!$B$8:$U$65536,17,FALSE))</f>
      </c>
      <c r="R34" s="421">
        <f>IF($B34="","",VLOOKUP($B34,'2-2_算定表③(旧・旧制度)'!$B$8:$U$65536,17,FALSE))</f>
      </c>
      <c r="S34" s="421">
        <f>IF($B34="","",VLOOKUP($B34,'2-2_算定表③(旧・旧制度)'!$B$8:$U$65536,17,FALSE))</f>
      </c>
      <c r="T34" s="421">
        <f>IF($B34="","",VLOOKUP($B34,'2-2_算定表③(旧・旧制度)'!$B$8:$U$65536,17,FALSE))</f>
      </c>
      <c r="U34" s="421">
        <f>IF($B34="","",VLOOKUP($B34,'2-2_算定表③(旧・旧制度)'!$B$8:$U$65536,17,FALSE))</f>
      </c>
      <c r="V34" s="673">
        <f>IF($B34="","",VLOOKUP($B34,'2-2_算定表③(旧・旧制度)'!$B$8:$U$65536,17,FALSE))</f>
      </c>
      <c r="W34" s="419">
        <f t="shared" si="1"/>
      </c>
      <c r="X34" s="423">
        <f t="shared" si="2"/>
      </c>
      <c r="Y34" s="422">
        <f t="shared" si="3"/>
      </c>
      <c r="Z34" s="424">
        <f t="shared" si="4"/>
      </c>
      <c r="AA34" s="418">
        <f t="shared" si="5"/>
      </c>
      <c r="AB34" s="419">
        <f t="shared" si="6"/>
      </c>
      <c r="AC34" s="418">
        <f t="shared" si="7"/>
      </c>
      <c r="AD34" s="419">
        <f t="shared" si="8"/>
      </c>
      <c r="AE34" s="404">
        <f>IF(B34="","",ROUNDUP((G34/VLOOKUP($B34,'2-2_算定表③(旧・旧制度)'!$B$8:$AJ$44,9,FALSE)*W34)+(I34/VLOOKUP($B34,'2-2_算定表③(旧・旧制度)'!$B$8:$AJ$44,9,FALSE)*X34)+(G34/VLOOKUP($B34,'2-2_算定表③(旧・旧制度)'!$B$8:$AJ$44,9,FALSE)*Y34)+(I34/VLOOKUP($B34,'2-2_算定表③(旧・旧制度)'!$B$8:$AJ$44,9,FALSE)*Z34)+(G34/VLOOKUP($B34,'2-2_算定表③(旧・旧制度)'!$B$8:$AJ$44,9,FALSE)*AA34)+(I34/VLOOKUP($B34,'2-2_算定表③(旧・旧制度)'!$B$8:$AJ$44,9,FALSE)*AB34),0))</f>
      </c>
      <c r="AF34" s="403">
        <f t="shared" si="10"/>
      </c>
      <c r="AG34" s="1079">
        <f>IF(B34="","",VLOOKUP($B34,'2-2_算定表③(旧・旧制度)'!$B$8:$AH$65536,33,FALSE))</f>
      </c>
      <c r="AH34" s="1080" t="s">
        <v>182</v>
      </c>
      <c r="AI34" s="1081" t="s">
        <v>182</v>
      </c>
      <c r="AK34" s="61">
        <f t="shared" si="11"/>
      </c>
      <c r="AL34" s="61">
        <f t="shared" si="9"/>
      </c>
    </row>
    <row r="35" spans="1:38" s="53" customFormat="1" ht="18.75" customHeight="1">
      <c r="A35" s="27">
        <f t="shared" si="0"/>
      </c>
      <c r="B35" s="577"/>
      <c r="C35" s="716">
        <f>IF(B35="","",VLOOKUP($B35,'2-2_算定表③(旧・旧制度)'!$B$8:$U$65536,2,FALSE))</f>
      </c>
      <c r="D35" s="713">
        <f>IF(B35="","",VLOOKUP($B35,'2-2_算定表③(旧・旧制度)'!$B$8:$U$65536,3,FALSE))</f>
      </c>
      <c r="E35" s="773">
        <f>IF(B35="","",VLOOKUP($B35,'2-2_算定表③(旧・旧制度)'!$B$8:$U$65536,6,FALSE))</f>
      </c>
      <c r="F35" s="668">
        <f>IF(B35="","",VLOOKUP($B35,'2-2_算定表③(旧・旧制度)'!$B$8:$U$65536,14,FALSE))</f>
      </c>
      <c r="G35" s="626">
        <f>IF(B35="","",VLOOKUP($B35,'2-2_算定表③(旧・旧制度)'!$B$8:$U$65536,16,FALSE))</f>
      </c>
      <c r="H35" s="668">
        <f>IF(B35="","",VLOOKUP($B35,'2-2_算定表③(旧・旧制度)'!$B$8:$U$65536,17,FALSE))</f>
      </c>
      <c r="I35" s="626">
        <f>IF(B35="","",VLOOKUP($B35,'2-2_算定表③(旧・旧制度)'!$B$8:$U$65536,19,FALSE))</f>
      </c>
      <c r="J35" s="402">
        <f>IF(B35="","",VLOOKUP($B35,'2-2_算定表③(旧・旧制度)'!$B$8:$U$65536,20,FALSE))</f>
      </c>
      <c r="K35" s="672">
        <f>IF($B35="","",VLOOKUP($B35,'2-2_算定表③(旧・旧制度)'!$B$8:$U$65536,14,FALSE))</f>
      </c>
      <c r="L35" s="421">
        <f>IF($B35="","",VLOOKUP($B35,'2-2_算定表③(旧・旧制度)'!$B$8:$U$65536,14,FALSE))</f>
      </c>
      <c r="M35" s="678">
        <f>IF($B35="","",VLOOKUP($B35,'2-2_算定表③(旧・旧制度)'!$B$8:$U$65536,14,FALSE))</f>
      </c>
      <c r="N35" s="672">
        <f>IF($B35="","",VLOOKUP($B35,'2-2_算定表③(旧・旧制度)'!$B$8:$U$65536,17,FALSE))</f>
      </c>
      <c r="O35" s="421">
        <f>IF($B35="","",VLOOKUP($B35,'2-2_算定表③(旧・旧制度)'!$B$8:$U$65536,17,FALSE))</f>
      </c>
      <c r="P35" s="421">
        <f>IF($B35="","",VLOOKUP($B35,'2-2_算定表③(旧・旧制度)'!$B$8:$U$65536,17,FALSE))</f>
      </c>
      <c r="Q35" s="421">
        <f>IF($B35="","",VLOOKUP($B35,'2-2_算定表③(旧・旧制度)'!$B$8:$U$65536,17,FALSE))</f>
      </c>
      <c r="R35" s="421">
        <f>IF($B35="","",VLOOKUP($B35,'2-2_算定表③(旧・旧制度)'!$B$8:$U$65536,17,FALSE))</f>
      </c>
      <c r="S35" s="421">
        <f>IF($B35="","",VLOOKUP($B35,'2-2_算定表③(旧・旧制度)'!$B$8:$U$65536,17,FALSE))</f>
      </c>
      <c r="T35" s="421">
        <f>IF($B35="","",VLOOKUP($B35,'2-2_算定表③(旧・旧制度)'!$B$8:$U$65536,17,FALSE))</f>
      </c>
      <c r="U35" s="421">
        <f>IF($B35="","",VLOOKUP($B35,'2-2_算定表③(旧・旧制度)'!$B$8:$U$65536,17,FALSE))</f>
      </c>
      <c r="V35" s="673">
        <f>IF($B35="","",VLOOKUP($B35,'2-2_算定表③(旧・旧制度)'!$B$8:$U$65536,17,FALSE))</f>
      </c>
      <c r="W35" s="419">
        <f t="shared" si="1"/>
      </c>
      <c r="X35" s="423">
        <f t="shared" si="2"/>
      </c>
      <c r="Y35" s="422">
        <f t="shared" si="3"/>
      </c>
      <c r="Z35" s="424">
        <f t="shared" si="4"/>
      </c>
      <c r="AA35" s="418">
        <f t="shared" si="5"/>
      </c>
      <c r="AB35" s="419">
        <f t="shared" si="6"/>
      </c>
      <c r="AC35" s="418">
        <f t="shared" si="7"/>
      </c>
      <c r="AD35" s="419">
        <f t="shared" si="8"/>
      </c>
      <c r="AE35" s="404">
        <f>IF(B35="","",ROUNDUP((G35/VLOOKUP($B35,'2-2_算定表③(旧・旧制度)'!$B$8:$AJ$44,9,FALSE)*W35)+(I35/VLOOKUP($B35,'2-2_算定表③(旧・旧制度)'!$B$8:$AJ$44,9,FALSE)*X35)+(G35/VLOOKUP($B35,'2-2_算定表③(旧・旧制度)'!$B$8:$AJ$44,9,FALSE)*Y35)+(I35/VLOOKUP($B35,'2-2_算定表③(旧・旧制度)'!$B$8:$AJ$44,9,FALSE)*Z35)+(G35/VLOOKUP($B35,'2-2_算定表③(旧・旧制度)'!$B$8:$AJ$44,9,FALSE)*AA35)+(I35/VLOOKUP($B35,'2-2_算定表③(旧・旧制度)'!$B$8:$AJ$44,9,FALSE)*AB35),0))</f>
      </c>
      <c r="AF35" s="403">
        <f t="shared" si="10"/>
      </c>
      <c r="AG35" s="1079">
        <f>IF(B35="","",VLOOKUP($B35,'2-2_算定表③(旧・旧制度)'!$B$8:$AH$65536,33,FALSE))</f>
      </c>
      <c r="AH35" s="1080" t="s">
        <v>182</v>
      </c>
      <c r="AI35" s="1081" t="s">
        <v>182</v>
      </c>
      <c r="AK35" s="61">
        <f t="shared" si="11"/>
      </c>
      <c r="AL35" s="61">
        <f t="shared" si="9"/>
      </c>
    </row>
    <row r="36" spans="1:38" s="53" customFormat="1" ht="18.75" customHeight="1">
      <c r="A36" s="27">
        <f t="shared" si="0"/>
      </c>
      <c r="B36" s="577"/>
      <c r="C36" s="716">
        <f>IF(B36="","",VLOOKUP($B36,'2-2_算定表③(旧・旧制度)'!$B$8:$U$65536,2,FALSE))</f>
      </c>
      <c r="D36" s="713">
        <f>IF(B36="","",VLOOKUP($B36,'2-2_算定表③(旧・旧制度)'!$B$8:$U$65536,3,FALSE))</f>
      </c>
      <c r="E36" s="773">
        <f>IF(B36="","",VLOOKUP($B36,'2-2_算定表③(旧・旧制度)'!$B$8:$U$65536,6,FALSE))</f>
      </c>
      <c r="F36" s="668">
        <f>IF(B36="","",VLOOKUP($B36,'2-2_算定表③(旧・旧制度)'!$B$8:$U$65536,14,FALSE))</f>
      </c>
      <c r="G36" s="626">
        <f>IF(B36="","",VLOOKUP($B36,'2-2_算定表③(旧・旧制度)'!$B$8:$U$65536,16,FALSE))</f>
      </c>
      <c r="H36" s="668">
        <f>IF(B36="","",VLOOKUP($B36,'2-2_算定表③(旧・旧制度)'!$B$8:$U$65536,17,FALSE))</f>
      </c>
      <c r="I36" s="626">
        <f>IF(B36="","",VLOOKUP($B36,'2-2_算定表③(旧・旧制度)'!$B$8:$U$65536,19,FALSE))</f>
      </c>
      <c r="J36" s="402">
        <f>IF(B36="","",VLOOKUP($B36,'2-2_算定表③(旧・旧制度)'!$B$8:$U$65536,20,FALSE))</f>
      </c>
      <c r="K36" s="672">
        <f>IF($B36="","",VLOOKUP($B36,'2-2_算定表③(旧・旧制度)'!$B$8:$U$65536,14,FALSE))</f>
      </c>
      <c r="L36" s="421">
        <f>IF($B36="","",VLOOKUP($B36,'2-2_算定表③(旧・旧制度)'!$B$8:$U$65536,14,FALSE))</f>
      </c>
      <c r="M36" s="678">
        <f>IF($B36="","",VLOOKUP($B36,'2-2_算定表③(旧・旧制度)'!$B$8:$U$65536,14,FALSE))</f>
      </c>
      <c r="N36" s="672">
        <f>IF($B36="","",VLOOKUP($B36,'2-2_算定表③(旧・旧制度)'!$B$8:$U$65536,17,FALSE))</f>
      </c>
      <c r="O36" s="421">
        <f>IF($B36="","",VLOOKUP($B36,'2-2_算定表③(旧・旧制度)'!$B$8:$U$65536,17,FALSE))</f>
      </c>
      <c r="P36" s="421">
        <f>IF($B36="","",VLOOKUP($B36,'2-2_算定表③(旧・旧制度)'!$B$8:$U$65536,17,FALSE))</f>
      </c>
      <c r="Q36" s="421">
        <f>IF($B36="","",VLOOKUP($B36,'2-2_算定表③(旧・旧制度)'!$B$8:$U$65536,17,FALSE))</f>
      </c>
      <c r="R36" s="421">
        <f>IF($B36="","",VLOOKUP($B36,'2-2_算定表③(旧・旧制度)'!$B$8:$U$65536,17,FALSE))</f>
      </c>
      <c r="S36" s="421">
        <f>IF($B36="","",VLOOKUP($B36,'2-2_算定表③(旧・旧制度)'!$B$8:$U$65536,17,FALSE))</f>
      </c>
      <c r="T36" s="421">
        <f>IF($B36="","",VLOOKUP($B36,'2-2_算定表③(旧・旧制度)'!$B$8:$U$65536,17,FALSE))</f>
      </c>
      <c r="U36" s="421">
        <f>IF($B36="","",VLOOKUP($B36,'2-2_算定表③(旧・旧制度)'!$B$8:$U$65536,17,FALSE))</f>
      </c>
      <c r="V36" s="673">
        <f>IF($B36="","",VLOOKUP($B36,'2-2_算定表③(旧・旧制度)'!$B$8:$U$65536,17,FALSE))</f>
      </c>
      <c r="W36" s="419">
        <f t="shared" si="1"/>
      </c>
      <c r="X36" s="423">
        <f t="shared" si="2"/>
      </c>
      <c r="Y36" s="422">
        <f t="shared" si="3"/>
      </c>
      <c r="Z36" s="424">
        <f t="shared" si="4"/>
      </c>
      <c r="AA36" s="418">
        <f t="shared" si="5"/>
      </c>
      <c r="AB36" s="419">
        <f t="shared" si="6"/>
      </c>
      <c r="AC36" s="418">
        <f t="shared" si="7"/>
      </c>
      <c r="AD36" s="419">
        <f t="shared" si="8"/>
      </c>
      <c r="AE36" s="404">
        <f>IF(B36="","",ROUNDUP((G36/VLOOKUP($B36,'2-2_算定表③(旧・旧制度)'!$B$8:$AJ$44,9,FALSE)*W36)+(I36/VLOOKUP($B36,'2-2_算定表③(旧・旧制度)'!$B$8:$AJ$44,9,FALSE)*X36)+(G36/VLOOKUP($B36,'2-2_算定表③(旧・旧制度)'!$B$8:$AJ$44,9,FALSE)*Y36)+(I36/VLOOKUP($B36,'2-2_算定表③(旧・旧制度)'!$B$8:$AJ$44,9,FALSE)*Z36)+(G36/VLOOKUP($B36,'2-2_算定表③(旧・旧制度)'!$B$8:$AJ$44,9,FALSE)*AA36)+(I36/VLOOKUP($B36,'2-2_算定表③(旧・旧制度)'!$B$8:$AJ$44,9,FALSE)*AB36),0))</f>
      </c>
      <c r="AF36" s="403">
        <f t="shared" si="10"/>
      </c>
      <c r="AG36" s="1079">
        <f>IF(B36="","",VLOOKUP($B36,'2-2_算定表③(旧・旧制度)'!$B$8:$AH$65536,33,FALSE))</f>
      </c>
      <c r="AH36" s="1080" t="s">
        <v>182</v>
      </c>
      <c r="AI36" s="1081" t="s">
        <v>182</v>
      </c>
      <c r="AK36" s="61">
        <f t="shared" si="11"/>
      </c>
      <c r="AL36" s="61">
        <f t="shared" si="9"/>
      </c>
    </row>
    <row r="37" spans="1:38" s="53" customFormat="1" ht="18.75" customHeight="1">
      <c r="A37" s="27">
        <f t="shared" si="0"/>
      </c>
      <c r="B37" s="577"/>
      <c r="C37" s="716">
        <f>IF(B37="","",VLOOKUP($B37,'2-2_算定表③(旧・旧制度)'!$B$8:$U$65536,2,FALSE))</f>
      </c>
      <c r="D37" s="713">
        <f>IF(B37="","",VLOOKUP($B37,'2-2_算定表③(旧・旧制度)'!$B$8:$U$65536,3,FALSE))</f>
      </c>
      <c r="E37" s="773">
        <f>IF(B37="","",VLOOKUP($B37,'2-2_算定表③(旧・旧制度)'!$B$8:$U$65536,6,FALSE))</f>
      </c>
      <c r="F37" s="668">
        <f>IF(B37="","",VLOOKUP($B37,'2-2_算定表③(旧・旧制度)'!$B$8:$U$65536,14,FALSE))</f>
      </c>
      <c r="G37" s="626">
        <f>IF(B37="","",VLOOKUP($B37,'2-2_算定表③(旧・旧制度)'!$B$8:$U$65536,16,FALSE))</f>
      </c>
      <c r="H37" s="668">
        <f>IF(B37="","",VLOOKUP($B37,'2-2_算定表③(旧・旧制度)'!$B$8:$U$65536,17,FALSE))</f>
      </c>
      <c r="I37" s="626">
        <f>IF(B37="","",VLOOKUP($B37,'2-2_算定表③(旧・旧制度)'!$B$8:$U$65536,19,FALSE))</f>
      </c>
      <c r="J37" s="402">
        <f>IF(B37="","",VLOOKUP($B37,'2-2_算定表③(旧・旧制度)'!$B$8:$U$65536,20,FALSE))</f>
      </c>
      <c r="K37" s="672">
        <f>IF($B37="","",VLOOKUP($B37,'2-2_算定表③(旧・旧制度)'!$B$8:$U$65536,14,FALSE))</f>
      </c>
      <c r="L37" s="421">
        <f>IF($B37="","",VLOOKUP($B37,'2-2_算定表③(旧・旧制度)'!$B$8:$U$65536,14,FALSE))</f>
      </c>
      <c r="M37" s="678">
        <f>IF($B37="","",VLOOKUP($B37,'2-2_算定表③(旧・旧制度)'!$B$8:$U$65536,14,FALSE))</f>
      </c>
      <c r="N37" s="672">
        <f>IF($B37="","",VLOOKUP($B37,'2-2_算定表③(旧・旧制度)'!$B$8:$U$65536,17,FALSE))</f>
      </c>
      <c r="O37" s="421">
        <f>IF($B37="","",VLOOKUP($B37,'2-2_算定表③(旧・旧制度)'!$B$8:$U$65536,17,FALSE))</f>
      </c>
      <c r="P37" s="421">
        <f>IF($B37="","",VLOOKUP($B37,'2-2_算定表③(旧・旧制度)'!$B$8:$U$65536,17,FALSE))</f>
      </c>
      <c r="Q37" s="421">
        <f>IF($B37="","",VLOOKUP($B37,'2-2_算定表③(旧・旧制度)'!$B$8:$U$65536,17,FALSE))</f>
      </c>
      <c r="R37" s="421">
        <f>IF($B37="","",VLOOKUP($B37,'2-2_算定表③(旧・旧制度)'!$B$8:$U$65536,17,FALSE))</f>
      </c>
      <c r="S37" s="421">
        <f>IF($B37="","",VLOOKUP($B37,'2-2_算定表③(旧・旧制度)'!$B$8:$U$65536,17,FALSE))</f>
      </c>
      <c r="T37" s="421">
        <f>IF($B37="","",VLOOKUP($B37,'2-2_算定表③(旧・旧制度)'!$B$8:$U$65536,17,FALSE))</f>
      </c>
      <c r="U37" s="421">
        <f>IF($B37="","",VLOOKUP($B37,'2-2_算定表③(旧・旧制度)'!$B$8:$U$65536,17,FALSE))</f>
      </c>
      <c r="V37" s="673">
        <f>IF($B37="","",VLOOKUP($B37,'2-2_算定表③(旧・旧制度)'!$B$8:$U$65536,17,FALSE))</f>
      </c>
      <c r="W37" s="419">
        <f t="shared" si="1"/>
      </c>
      <c r="X37" s="423">
        <f t="shared" si="2"/>
      </c>
      <c r="Y37" s="422">
        <f t="shared" si="3"/>
      </c>
      <c r="Z37" s="424">
        <f t="shared" si="4"/>
      </c>
      <c r="AA37" s="418">
        <f t="shared" si="5"/>
      </c>
      <c r="AB37" s="419">
        <f t="shared" si="6"/>
      </c>
      <c r="AC37" s="418">
        <f t="shared" si="7"/>
      </c>
      <c r="AD37" s="419">
        <f t="shared" si="8"/>
      </c>
      <c r="AE37" s="404">
        <f>IF(B37="","",ROUNDUP((G37/VLOOKUP($B37,'2-2_算定表③(旧・旧制度)'!$B$8:$AJ$44,9,FALSE)*W37)+(I37/VLOOKUP($B37,'2-2_算定表③(旧・旧制度)'!$B$8:$AJ$44,9,FALSE)*X37)+(G37/VLOOKUP($B37,'2-2_算定表③(旧・旧制度)'!$B$8:$AJ$44,9,FALSE)*Y37)+(I37/VLOOKUP($B37,'2-2_算定表③(旧・旧制度)'!$B$8:$AJ$44,9,FALSE)*Z37)+(G37/VLOOKUP($B37,'2-2_算定表③(旧・旧制度)'!$B$8:$AJ$44,9,FALSE)*AA37)+(I37/VLOOKUP($B37,'2-2_算定表③(旧・旧制度)'!$B$8:$AJ$44,9,FALSE)*AB37),0))</f>
      </c>
      <c r="AF37" s="403">
        <f t="shared" si="10"/>
      </c>
      <c r="AG37" s="1079">
        <f>IF(B37="","",VLOOKUP($B37,'2-2_算定表③(旧・旧制度)'!$B$8:$AH$65536,33,FALSE))</f>
      </c>
      <c r="AH37" s="1080" t="s">
        <v>182</v>
      </c>
      <c r="AI37" s="1081" t="s">
        <v>182</v>
      </c>
      <c r="AK37" s="61">
        <f t="shared" si="11"/>
      </c>
      <c r="AL37" s="61">
        <f t="shared" si="9"/>
      </c>
    </row>
    <row r="38" spans="1:38" s="53" customFormat="1" ht="18.75" customHeight="1" thickBot="1">
      <c r="A38" s="27">
        <f t="shared" si="0"/>
      </c>
      <c r="B38" s="577"/>
      <c r="C38" s="717">
        <f>IF(B38="","",VLOOKUP($B38,'2-2_算定表③(旧・旧制度)'!$B$8:$U$65536,2,FALSE))</f>
      </c>
      <c r="D38" s="714">
        <f>IF(B38="","",VLOOKUP($B38,'2-2_算定表③(旧・旧制度)'!$B$8:$U$65536,3,FALSE))</f>
      </c>
      <c r="E38" s="774">
        <f>IF(B38="","",VLOOKUP($B38,'2-2_算定表③(旧・旧制度)'!$B$8:$U$65536,6,FALSE))</f>
      </c>
      <c r="F38" s="669">
        <f>IF(B38="","",VLOOKUP($B38,'2-2_算定表③(旧・旧制度)'!$B$8:$U$65536,14,FALSE))</f>
      </c>
      <c r="G38" s="646">
        <f>IF(B38="","",VLOOKUP($B38,'2-2_算定表③(旧・旧制度)'!$B$8:$U$65536,16,FALSE))</f>
      </c>
      <c r="H38" s="669">
        <f>IF(B38="","",VLOOKUP($B38,'2-2_算定表③(旧・旧制度)'!$B$8:$U$65536,17,FALSE))</f>
      </c>
      <c r="I38" s="646">
        <f>IF(B38="","",VLOOKUP($B38,'2-2_算定表③(旧・旧制度)'!$B$8:$U$65536,19,FALSE))</f>
      </c>
      <c r="J38" s="651">
        <f>IF(B38="","",VLOOKUP($B38,'2-2_算定表③(旧・旧制度)'!$B$8:$U$65536,20,FALSE))</f>
      </c>
      <c r="K38" s="674">
        <f>IF($B38="","",VLOOKUP($B38,'2-2_算定表③(旧・旧制度)'!$B$8:$U$65536,14,FALSE))</f>
      </c>
      <c r="L38" s="675">
        <f>IF($B38="","",VLOOKUP($B38,'2-2_算定表③(旧・旧制度)'!$B$8:$U$65536,14,FALSE))</f>
      </c>
      <c r="M38" s="679">
        <f>IF($B38="","",VLOOKUP($B38,'2-2_算定表③(旧・旧制度)'!$B$8:$U$65536,14,FALSE))</f>
      </c>
      <c r="N38" s="674">
        <f>IF($B38="","",VLOOKUP($B38,'2-2_算定表③(旧・旧制度)'!$B$8:$U$65536,17,FALSE))</f>
      </c>
      <c r="O38" s="675">
        <f>IF($B38="","",VLOOKUP($B38,'2-2_算定表③(旧・旧制度)'!$B$8:$U$65536,17,FALSE))</f>
      </c>
      <c r="P38" s="675">
        <f>IF($B38="","",VLOOKUP($B38,'2-2_算定表③(旧・旧制度)'!$B$8:$U$65536,17,FALSE))</f>
      </c>
      <c r="Q38" s="675">
        <f>IF($B38="","",VLOOKUP($B38,'2-2_算定表③(旧・旧制度)'!$B$8:$U$65536,17,FALSE))</f>
      </c>
      <c r="R38" s="675">
        <f>IF($B38="","",VLOOKUP($B38,'2-2_算定表③(旧・旧制度)'!$B$8:$U$65536,17,FALSE))</f>
      </c>
      <c r="S38" s="675">
        <f>IF($B38="","",VLOOKUP($B38,'2-2_算定表③(旧・旧制度)'!$B$8:$U$65536,17,FALSE))</f>
      </c>
      <c r="T38" s="675">
        <f>IF($B38="","",VLOOKUP($B38,'2-2_算定表③(旧・旧制度)'!$B$8:$U$65536,17,FALSE))</f>
      </c>
      <c r="U38" s="675">
        <f>IF($B38="","",VLOOKUP($B38,'2-2_算定表③(旧・旧制度)'!$B$8:$U$65536,17,FALSE))</f>
      </c>
      <c r="V38" s="676">
        <f>IF($B38="","",VLOOKUP($B38,'2-2_算定表③(旧・旧制度)'!$B$8:$U$65536,17,FALSE))</f>
      </c>
      <c r="W38" s="419">
        <f t="shared" si="1"/>
      </c>
      <c r="X38" s="423">
        <f t="shared" si="2"/>
      </c>
      <c r="Y38" s="422">
        <f t="shared" si="3"/>
      </c>
      <c r="Z38" s="424">
        <f t="shared" si="4"/>
      </c>
      <c r="AA38" s="425">
        <f t="shared" si="5"/>
      </c>
      <c r="AB38" s="426">
        <f t="shared" si="6"/>
      </c>
      <c r="AC38" s="425">
        <f t="shared" si="7"/>
      </c>
      <c r="AD38" s="426">
        <f t="shared" si="8"/>
      </c>
      <c r="AE38" s="406">
        <f>IF(B38="","",ROUNDUP((G38/VLOOKUP($B38,'2-2_算定表③(旧・旧制度)'!$B$8:$AJ$44,9,FALSE)*W38)+(I38/VLOOKUP($B38,'2-2_算定表③(旧・旧制度)'!$B$8:$AJ$44,9,FALSE)*X38)+(G38/VLOOKUP($B38,'2-2_算定表③(旧・旧制度)'!$B$8:$AJ$44,9,FALSE)*Y38)+(I38/VLOOKUP($B38,'2-2_算定表③(旧・旧制度)'!$B$8:$AJ$44,9,FALSE)*Z38)+(G38/VLOOKUP($B38,'2-2_算定表③(旧・旧制度)'!$B$8:$AJ$44,9,FALSE)*AA38)+(I38/VLOOKUP($B38,'2-2_算定表③(旧・旧制度)'!$B$8:$AJ$44,9,FALSE)*AB38),0))</f>
      </c>
      <c r="AF38" s="403">
        <f t="shared" si="10"/>
      </c>
      <c r="AG38" s="1082">
        <f>IF(B38="","",VLOOKUP($B38,'2-2_算定表③(旧・旧制度)'!$B$8:$AH$65536,33,FALSE))</f>
      </c>
      <c r="AH38" s="1083" t="s">
        <v>182</v>
      </c>
      <c r="AI38" s="1084" t="s">
        <v>182</v>
      </c>
      <c r="AK38" s="61">
        <f t="shared" si="11"/>
      </c>
      <c r="AL38" s="61">
        <f t="shared" si="9"/>
      </c>
    </row>
    <row r="39" spans="1:38" s="66" customFormat="1" ht="18.75" customHeight="1" thickBot="1">
      <c r="A39" s="948" t="s">
        <v>24</v>
      </c>
      <c r="B39" s="1022"/>
      <c r="C39" s="1023"/>
      <c r="D39" s="1023"/>
      <c r="E39" s="1023"/>
      <c r="F39" s="1023"/>
      <c r="G39" s="1023"/>
      <c r="H39" s="1023"/>
      <c r="I39" s="1023"/>
      <c r="J39" s="663">
        <f>SUM(J9:J38)</f>
        <v>0</v>
      </c>
      <c r="K39" s="536" t="s">
        <v>181</v>
      </c>
      <c r="L39" s="537" t="s">
        <v>181</v>
      </c>
      <c r="M39" s="538" t="s">
        <v>181</v>
      </c>
      <c r="N39" s="536" t="s">
        <v>181</v>
      </c>
      <c r="O39" s="537" t="s">
        <v>181</v>
      </c>
      <c r="P39" s="537" t="s">
        <v>181</v>
      </c>
      <c r="Q39" s="537" t="s">
        <v>181</v>
      </c>
      <c r="R39" s="537" t="s">
        <v>181</v>
      </c>
      <c r="S39" s="537" t="s">
        <v>181</v>
      </c>
      <c r="T39" s="537" t="s">
        <v>181</v>
      </c>
      <c r="U39" s="537" t="s">
        <v>181</v>
      </c>
      <c r="V39" s="538" t="s">
        <v>181</v>
      </c>
      <c r="W39" s="171" t="s">
        <v>181</v>
      </c>
      <c r="X39" s="173" t="s">
        <v>181</v>
      </c>
      <c r="Y39" s="171" t="s">
        <v>181</v>
      </c>
      <c r="Z39" s="174" t="s">
        <v>181</v>
      </c>
      <c r="AA39" s="175" t="s">
        <v>181</v>
      </c>
      <c r="AB39" s="176" t="s">
        <v>181</v>
      </c>
      <c r="AC39" s="221" t="s">
        <v>181</v>
      </c>
      <c r="AD39" s="172" t="s">
        <v>181</v>
      </c>
      <c r="AE39" s="663">
        <f>SUM(AE9:AE38)</f>
        <v>0</v>
      </c>
      <c r="AF39" s="407">
        <f>SUM(AF9:AF38)</f>
        <v>0</v>
      </c>
      <c r="AG39" s="1024"/>
      <c r="AH39" s="1025"/>
      <c r="AI39" s="1026"/>
      <c r="AK39" s="67"/>
      <c r="AL39" s="67"/>
    </row>
    <row r="40" spans="1:38" s="68" customFormat="1" ht="16.5" customHeight="1">
      <c r="A40" s="68" t="s">
        <v>26</v>
      </c>
      <c r="B40" s="225"/>
      <c r="C40" s="242"/>
      <c r="AK40" s="69"/>
      <c r="AL40" s="69"/>
    </row>
    <row r="41" spans="1:29" s="164" customFormat="1" ht="14.25" customHeight="1">
      <c r="A41" s="238" t="s">
        <v>217</v>
      </c>
      <c r="B41" s="226"/>
      <c r="C41" s="243"/>
      <c r="Z41" s="165"/>
      <c r="AA41" s="165"/>
      <c r="AC41" s="165"/>
    </row>
    <row r="42" spans="1:38" s="164" customFormat="1" ht="11.25">
      <c r="A42" s="238" t="s">
        <v>64</v>
      </c>
      <c r="C42" s="243"/>
      <c r="AK42" s="165"/>
      <c r="AL42" s="165"/>
    </row>
    <row r="43" spans="1:38" s="164" customFormat="1" ht="10.5" customHeight="1">
      <c r="A43" s="238" t="s">
        <v>156</v>
      </c>
      <c r="B43" s="226"/>
      <c r="C43" s="243"/>
      <c r="AK43" s="165"/>
      <c r="AL43" s="165"/>
    </row>
    <row r="44" spans="2:38" s="68" customFormat="1" ht="10.5" customHeight="1">
      <c r="B44" s="225"/>
      <c r="C44" s="242"/>
      <c r="AK44" s="69"/>
      <c r="AL44" s="69"/>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0">
    <mergeCell ref="AG38:AI38"/>
    <mergeCell ref="A39:I39"/>
    <mergeCell ref="AG39:AI39"/>
    <mergeCell ref="AG32:AI32"/>
    <mergeCell ref="AG33:AI33"/>
    <mergeCell ref="AG34:AI34"/>
    <mergeCell ref="AG35:AI35"/>
    <mergeCell ref="AG36:AI36"/>
    <mergeCell ref="AG37:AI37"/>
    <mergeCell ref="AG26:AI26"/>
    <mergeCell ref="AG28:AI28"/>
    <mergeCell ref="AG27:AI27"/>
    <mergeCell ref="AG29:AI29"/>
    <mergeCell ref="AG30:AI30"/>
    <mergeCell ref="AG31:AI31"/>
    <mergeCell ref="AG17:AI17"/>
    <mergeCell ref="AG18:AI18"/>
    <mergeCell ref="AG19:AI19"/>
    <mergeCell ref="AG22:AI22"/>
    <mergeCell ref="AG23:AI23"/>
    <mergeCell ref="AG25:AI25"/>
    <mergeCell ref="U7:U8"/>
    <mergeCell ref="V7:V8"/>
    <mergeCell ref="AK7:AK8"/>
    <mergeCell ref="AL7:AL8"/>
    <mergeCell ref="AG9:AI9"/>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 ref="AG10:AI10"/>
    <mergeCell ref="AG15:AI15"/>
    <mergeCell ref="AG16:AI16"/>
    <mergeCell ref="AG20:AI20"/>
    <mergeCell ref="AG21:AI21"/>
    <mergeCell ref="AG24:AI24"/>
    <mergeCell ref="AG11:AI11"/>
    <mergeCell ref="AG12:AI12"/>
    <mergeCell ref="AG13:AI13"/>
    <mergeCell ref="AG14:AI14"/>
  </mergeCells>
  <dataValidations count="2">
    <dataValidation type="whole" allowBlank="1" showInputMessage="1" showErrorMessage="1" sqref="B14:B38">
      <formula1>1</formula1>
      <formula2>999999</formula2>
    </dataValidation>
    <dataValidation type="list" allowBlank="1" showInput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tabColor rgb="FF00B0F0"/>
  </sheetPr>
  <dimension ref="A1:W41"/>
  <sheetViews>
    <sheetView tabSelected="1" view="pageBreakPreview" zoomScaleNormal="75" zoomScaleSheetLayoutView="100" zoomScalePageLayoutView="0" workbookViewId="0" topLeftCell="A1">
      <pane xSplit="1" ySplit="8" topLeftCell="H11" activePane="bottomRight" state="frozen"/>
      <selection pane="topLeft" activeCell="T27" sqref="T27"/>
      <selection pane="topRight" activeCell="T27" sqref="T27"/>
      <selection pane="bottomLeft" activeCell="T27" sqref="T27"/>
      <selection pane="bottomRight" activeCell="T27" sqref="T27"/>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86" customWidth="1"/>
    <col min="18" max="18" width="14.875" style="286" customWidth="1"/>
    <col min="19" max="19" width="3.125" style="40" customWidth="1"/>
    <col min="20" max="21" width="5.625" style="40" customWidth="1"/>
    <col min="22" max="22" width="8.25390625" style="40" customWidth="1"/>
    <col min="23" max="16384" width="9.625" style="40" customWidth="1"/>
  </cols>
  <sheetData>
    <row r="1" ht="18.75" customHeight="1" thickBot="1">
      <c r="A1" s="38" t="s">
        <v>215</v>
      </c>
    </row>
    <row r="2" spans="8:18" ht="24.75" customHeight="1" thickBot="1">
      <c r="H2" s="343"/>
      <c r="I2" s="1137"/>
      <c r="J2" s="1138"/>
      <c r="K2" s="1138"/>
      <c r="L2" s="839" t="s">
        <v>22</v>
      </c>
      <c r="M2" s="840"/>
      <c r="N2" s="843">
        <f>'1_総括表'!E3</f>
        <v>0</v>
      </c>
      <c r="O2" s="844"/>
      <c r="P2" s="839" t="s">
        <v>23</v>
      </c>
      <c r="Q2" s="840"/>
      <c r="R2" s="157">
        <f>'1_総括表'!Z3</f>
        <v>0</v>
      </c>
    </row>
    <row r="3" spans="1:18" ht="24.75" customHeight="1" thickBot="1">
      <c r="A3" s="38"/>
      <c r="F3" s="107"/>
      <c r="G3" s="107"/>
      <c r="H3" s="343"/>
      <c r="I3" s="1137"/>
      <c r="J3" s="1138"/>
      <c r="K3" s="1138"/>
      <c r="L3" s="841" t="s">
        <v>20</v>
      </c>
      <c r="M3" s="842"/>
      <c r="N3" s="843">
        <f>'1_総括表'!E4</f>
        <v>0</v>
      </c>
      <c r="O3" s="844"/>
      <c r="P3" s="841" t="s">
        <v>21</v>
      </c>
      <c r="Q3" s="842"/>
      <c r="R3" s="341">
        <f>'1_総括表'!Z4</f>
        <v>0</v>
      </c>
    </row>
    <row r="4" spans="1:9" ht="18.75" customHeight="1" thickBot="1">
      <c r="A4" s="272" t="s">
        <v>197</v>
      </c>
      <c r="F4" s="108"/>
      <c r="G4" s="108"/>
      <c r="H4" s="108"/>
      <c r="I4" s="108"/>
    </row>
    <row r="5" spans="1:18" s="44" customFormat="1" ht="19.5" customHeight="1" thickBot="1">
      <c r="A5" s="109" t="s">
        <v>14</v>
      </c>
      <c r="B5" s="877" t="s">
        <v>104</v>
      </c>
      <c r="C5" s="276"/>
      <c r="D5" s="277"/>
      <c r="E5" s="878" t="s">
        <v>139</v>
      </c>
      <c r="F5" s="151"/>
      <c r="G5" s="152"/>
      <c r="H5" s="880" t="s">
        <v>126</v>
      </c>
      <c r="I5" s="882" t="s">
        <v>127</v>
      </c>
      <c r="J5" s="882" t="s">
        <v>128</v>
      </c>
      <c r="K5" s="872" t="s">
        <v>207</v>
      </c>
      <c r="L5" s="873"/>
      <c r="M5" s="873"/>
      <c r="N5" s="874"/>
      <c r="O5" s="875" t="s">
        <v>219</v>
      </c>
      <c r="P5" s="876"/>
      <c r="Q5" s="875" t="s">
        <v>208</v>
      </c>
      <c r="R5" s="876"/>
    </row>
    <row r="6" spans="1:20" s="44" customFormat="1" ht="38.25" customHeight="1" thickBot="1">
      <c r="A6" s="868" t="s">
        <v>98</v>
      </c>
      <c r="B6" s="878"/>
      <c r="C6" s="278" t="s">
        <v>188</v>
      </c>
      <c r="D6" s="278" t="s">
        <v>60</v>
      </c>
      <c r="E6" s="879"/>
      <c r="F6" s="110" t="s">
        <v>120</v>
      </c>
      <c r="G6" s="112" t="s">
        <v>103</v>
      </c>
      <c r="H6" s="881"/>
      <c r="I6" s="878"/>
      <c r="J6" s="883"/>
      <c r="K6" s="110" t="s">
        <v>18</v>
      </c>
      <c r="L6" s="111" t="s">
        <v>43</v>
      </c>
      <c r="M6" s="112" t="s">
        <v>42</v>
      </c>
      <c r="N6" s="338" t="s">
        <v>61</v>
      </c>
      <c r="O6" s="112" t="s">
        <v>42</v>
      </c>
      <c r="P6" s="113" t="s">
        <v>61</v>
      </c>
      <c r="Q6" s="331" t="s">
        <v>42</v>
      </c>
      <c r="R6" s="332" t="s">
        <v>61</v>
      </c>
      <c r="T6" s="114" t="s">
        <v>63</v>
      </c>
    </row>
    <row r="7" spans="1:20" s="44" customFormat="1" ht="20.25" customHeight="1" thickBot="1">
      <c r="A7" s="869"/>
      <c r="B7" s="48" t="s">
        <v>105</v>
      </c>
      <c r="C7" s="48" t="s">
        <v>106</v>
      </c>
      <c r="D7" s="48" t="s">
        <v>107</v>
      </c>
      <c r="E7" s="48" t="s">
        <v>123</v>
      </c>
      <c r="F7" s="115" t="s">
        <v>108</v>
      </c>
      <c r="G7" s="117" t="s">
        <v>109</v>
      </c>
      <c r="H7" s="147" t="s">
        <v>110</v>
      </c>
      <c r="I7" s="48" t="s">
        <v>111</v>
      </c>
      <c r="J7" s="47" t="s">
        <v>112</v>
      </c>
      <c r="K7" s="115"/>
      <c r="L7" s="116"/>
      <c r="M7" s="117"/>
      <c r="N7" s="323" t="s">
        <v>85</v>
      </c>
      <c r="O7" s="117"/>
      <c r="P7" s="118" t="s">
        <v>85</v>
      </c>
      <c r="Q7" s="333"/>
      <c r="R7" s="334"/>
      <c r="T7" s="119"/>
    </row>
    <row r="8" spans="1:18" s="126" customFormat="1" ht="20.25" customHeight="1" thickBot="1">
      <c r="A8" s="120"/>
      <c r="B8" s="121" t="s">
        <v>16</v>
      </c>
      <c r="C8" s="121" t="s">
        <v>16</v>
      </c>
      <c r="D8" s="121" t="s">
        <v>16</v>
      </c>
      <c r="E8" s="121" t="s">
        <v>124</v>
      </c>
      <c r="F8" s="122" t="s">
        <v>121</v>
      </c>
      <c r="G8" s="124" t="s">
        <v>122</v>
      </c>
      <c r="H8" s="148" t="s">
        <v>19</v>
      </c>
      <c r="I8" s="121" t="s">
        <v>19</v>
      </c>
      <c r="J8" s="121" t="s">
        <v>19</v>
      </c>
      <c r="K8" s="122"/>
      <c r="L8" s="123" t="s">
        <v>17</v>
      </c>
      <c r="M8" s="124" t="s">
        <v>16</v>
      </c>
      <c r="N8" s="325" t="s">
        <v>17</v>
      </c>
      <c r="O8" s="124" t="s">
        <v>16</v>
      </c>
      <c r="P8" s="125" t="s">
        <v>17</v>
      </c>
      <c r="Q8" s="335" t="s">
        <v>16</v>
      </c>
      <c r="R8" s="336" t="s">
        <v>17</v>
      </c>
    </row>
    <row r="9" spans="1:20" s="44" customFormat="1" ht="18" customHeight="1" thickBot="1">
      <c r="A9" s="865">
        <v>1</v>
      </c>
      <c r="B9" s="1089"/>
      <c r="C9" s="1089"/>
      <c r="D9" s="1089"/>
      <c r="E9" s="1097"/>
      <c r="F9" s="390"/>
      <c r="G9" s="391"/>
      <c r="H9" s="449">
        <f>IF(F9="","",IF(ISERROR(F9+ROUNDDOWN(G9*3/74,0)),"",F9+ROUNDDOWN(G9*3/74,0)))</f>
      </c>
      <c r="I9" s="450">
        <f>IF(H9="","",IF(H9&gt;10032,10032,H9))</f>
      </c>
      <c r="J9" s="451">
        <f>IF(H9="","",MIN(H9,I9))</f>
      </c>
      <c r="K9" s="129" t="s">
        <v>74</v>
      </c>
      <c r="L9" s="71">
        <v>1532</v>
      </c>
      <c r="M9" s="369"/>
      <c r="N9" s="370"/>
      <c r="O9" s="364">
        <f>SUMIF('2-2_算定表④(旧・新制度)'!$AJ:$AJ,$T9,'2-2_算定表④(旧・新制度)'!$AK:$AK)</f>
        <v>0</v>
      </c>
      <c r="P9" s="130">
        <f>SUMIF('2-2_算定表④(旧・新制度)'!$AJ:$AJ,$T9,'2-2_算定表④(旧・新制度)'!$AE:$AE)</f>
        <v>0</v>
      </c>
      <c r="Q9" s="354">
        <f>O9-M9</f>
        <v>0</v>
      </c>
      <c r="R9" s="355">
        <f>P9-N9</f>
        <v>0</v>
      </c>
      <c r="T9" s="131" t="str">
        <f>ASC($A$9&amp;$K9)</f>
        <v>1A</v>
      </c>
    </row>
    <row r="10" spans="1:22" s="44" customFormat="1" ht="18" customHeight="1" thickBot="1">
      <c r="A10" s="865"/>
      <c r="B10" s="1088"/>
      <c r="C10" s="1088"/>
      <c r="D10" s="1088"/>
      <c r="E10" s="1098"/>
      <c r="F10" s="390"/>
      <c r="G10" s="391"/>
      <c r="H10" s="449">
        <f>IF(F10="","",IF(ISERROR(F10+ROUNDDOWN(G10*3/74,0)),"",F10+ROUNDDOWN(G10*3/74,0)))</f>
      </c>
      <c r="I10" s="450">
        <f aca="true" t="shared" si="0" ref="I10:I20">IF(H10="","",IF(H10&gt;10032,10032,H10))</f>
      </c>
      <c r="J10" s="451">
        <f>IF(H10="","",MIN(H10,I10))</f>
      </c>
      <c r="K10" s="132" t="s">
        <v>80</v>
      </c>
      <c r="L10" s="230">
        <v>1532</v>
      </c>
      <c r="M10" s="371"/>
      <c r="N10" s="372"/>
      <c r="O10" s="354">
        <f>SUMIF('2-2_算定表④(旧・新制度)'!$AJ:$AJ,$T10,'2-2_算定表④(旧・新制度)'!$AK:$AK)</f>
        <v>0</v>
      </c>
      <c r="P10" s="130">
        <f>SUMIF('2-2_算定表④(旧・新制度)'!$AJ:$AJ,$T10,'2-2_算定表④(旧・新制度)'!$AE:$AE)</f>
        <v>0</v>
      </c>
      <c r="Q10" s="354">
        <f aca="true" t="shared" si="1" ref="Q10:R22">O10-M10</f>
        <v>0</v>
      </c>
      <c r="R10" s="355">
        <f t="shared" si="1"/>
        <v>0</v>
      </c>
      <c r="T10" s="135" t="str">
        <f>ASC($A$9&amp;$K10)</f>
        <v>1B</v>
      </c>
      <c r="V10" s="55" t="s">
        <v>5</v>
      </c>
    </row>
    <row r="11" spans="1:21" s="44" customFormat="1" ht="18" customHeight="1" thickBot="1">
      <c r="A11" s="865"/>
      <c r="B11" s="1088"/>
      <c r="C11" s="1088"/>
      <c r="D11" s="1088"/>
      <c r="E11" s="1098"/>
      <c r="F11" s="390"/>
      <c r="G11" s="391"/>
      <c r="H11" s="449">
        <f>IF(F11="","",IF(ISERROR(F11+ROUNDDOWN(G11*3/74,0)),"",F11+ROUNDDOWN(G11*3/74,0)))</f>
      </c>
      <c r="I11" s="450">
        <f>IF(H11="","",IF(H11&gt;10032,10032,H11))</f>
      </c>
      <c r="J11" s="451">
        <f>IF(H11="","",MIN(H11,I11))</f>
      </c>
      <c r="K11" s="132" t="s">
        <v>183</v>
      </c>
      <c r="L11" s="231">
        <v>2814</v>
      </c>
      <c r="M11" s="371"/>
      <c r="N11" s="372"/>
      <c r="O11" s="354">
        <f>SUMIF('2-2_算定表④(旧・新制度)'!$AJ:$AJ,$T11,'2-2_算定表④(旧・新制度)'!$AK:$AK)</f>
        <v>0</v>
      </c>
      <c r="P11" s="130">
        <f>SUMIF('2-2_算定表④(旧・新制度)'!$AJ:$AJ,$T11,'2-2_算定表④(旧・新制度)'!$AE:$AE)</f>
        <v>0</v>
      </c>
      <c r="Q11" s="358">
        <f t="shared" si="1"/>
        <v>0</v>
      </c>
      <c r="R11" s="359">
        <f t="shared" si="1"/>
        <v>0</v>
      </c>
      <c r="T11" s="135" t="str">
        <f>ASC($A$9&amp;$K11)</f>
        <v>1C1</v>
      </c>
      <c r="U11" s="253"/>
    </row>
    <row r="12" spans="1:21" s="44" customFormat="1" ht="18" customHeight="1" thickBot="1">
      <c r="A12" s="865"/>
      <c r="B12" s="1088"/>
      <c r="C12" s="1088"/>
      <c r="D12" s="1088"/>
      <c r="E12" s="1098"/>
      <c r="F12" s="390"/>
      <c r="G12" s="391"/>
      <c r="H12" s="449">
        <f aca="true" t="shared" si="2" ref="H12:H20">IF(F12="","",IF(ISERROR(F12+ROUNDDOWN(G12*3/74,0)),"",F12+ROUNDDOWN(G12*3/74,0)))</f>
      </c>
      <c r="I12" s="450">
        <f t="shared" si="0"/>
      </c>
      <c r="J12" s="451">
        <f>IF(H12="","",MIN(H12,I12))</f>
      </c>
      <c r="K12" s="132" t="s">
        <v>184</v>
      </c>
      <c r="L12" s="231">
        <v>5220</v>
      </c>
      <c r="M12" s="371"/>
      <c r="N12" s="372"/>
      <c r="O12" s="354">
        <f>SUMIF('2-2_算定表④(旧・新制度)'!$AJ:$AJ,$T12,'2-2_算定表④(旧・新制度)'!$AK:$AK)</f>
        <v>0</v>
      </c>
      <c r="P12" s="130">
        <f>SUMIF('2-2_算定表④(旧・新制度)'!$AJ:$AJ,$T12,'2-2_算定表④(旧・新制度)'!$AE:$AE)</f>
        <v>0</v>
      </c>
      <c r="Q12" s="358">
        <f t="shared" si="1"/>
        <v>0</v>
      </c>
      <c r="R12" s="359">
        <f t="shared" si="1"/>
        <v>0</v>
      </c>
      <c r="T12" s="135" t="str">
        <f>ASC($A$9&amp;$K12)</f>
        <v>1C2</v>
      </c>
      <c r="U12" s="253"/>
    </row>
    <row r="13" spans="1:20" s="44" customFormat="1" ht="18" customHeight="1" thickBot="1">
      <c r="A13" s="865"/>
      <c r="B13" s="1088"/>
      <c r="C13" s="1088"/>
      <c r="D13" s="1088"/>
      <c r="E13" s="1098"/>
      <c r="F13" s="390"/>
      <c r="G13" s="391"/>
      <c r="H13" s="449"/>
      <c r="I13" s="450"/>
      <c r="J13" s="451"/>
      <c r="K13" s="101" t="s">
        <v>152</v>
      </c>
      <c r="L13" s="232" t="s">
        <v>134</v>
      </c>
      <c r="M13" s="371"/>
      <c r="N13" s="372"/>
      <c r="O13" s="352">
        <f>SUMIF('2-2_算定表④(旧・新制度)'!$AJ:$AJ,$T13,'2-2_算定表④(旧・新制度)'!$AK:$AK)</f>
        <v>0</v>
      </c>
      <c r="P13" s="130">
        <f>SUMIF('2-2_算定表④(旧・新制度)'!$AJ:$AJ,$T13,'2-2_算定表④(旧・新制度)'!$AE:$AE)</f>
        <v>0</v>
      </c>
      <c r="Q13" s="358">
        <f>O13-M13</f>
        <v>0</v>
      </c>
      <c r="R13" s="359">
        <f>P13-N13</f>
        <v>0</v>
      </c>
      <c r="T13" s="135" t="str">
        <f>ASC($A$9&amp;$K13)</f>
        <v>1D</v>
      </c>
    </row>
    <row r="14" spans="1:18" s="44" customFormat="1" ht="18" customHeight="1" thickBot="1">
      <c r="A14" s="865"/>
      <c r="B14" s="1088"/>
      <c r="C14" s="1088"/>
      <c r="D14" s="1088"/>
      <c r="E14" s="1099"/>
      <c r="F14" s="392"/>
      <c r="G14" s="393"/>
      <c r="H14" s="452">
        <f t="shared" si="2"/>
      </c>
      <c r="I14" s="453">
        <f t="shared" si="0"/>
      </c>
      <c r="J14" s="454">
        <f>IF(H14="","",MIN(H14,I14))</f>
      </c>
      <c r="K14" s="848" t="s">
        <v>99</v>
      </c>
      <c r="L14" s="849"/>
      <c r="M14" s="360">
        <f aca="true" t="shared" si="3" ref="M14:R14">SUM(M9:M13)</f>
        <v>0</v>
      </c>
      <c r="N14" s="361">
        <f t="shared" si="3"/>
        <v>0</v>
      </c>
      <c r="O14" s="360">
        <f t="shared" si="3"/>
        <v>0</v>
      </c>
      <c r="P14" s="138">
        <f t="shared" si="3"/>
        <v>0</v>
      </c>
      <c r="Q14" s="362">
        <f t="shared" si="3"/>
        <v>0</v>
      </c>
      <c r="R14" s="363">
        <f t="shared" si="3"/>
        <v>0</v>
      </c>
    </row>
    <row r="15" spans="1:23" s="44" customFormat="1" ht="18" customHeight="1" thickBot="1" thickTop="1">
      <c r="A15" s="866">
        <v>2</v>
      </c>
      <c r="B15" s="1088"/>
      <c r="C15" s="1088"/>
      <c r="D15" s="1088"/>
      <c r="E15" s="1090"/>
      <c r="F15" s="455"/>
      <c r="G15" s="456"/>
      <c r="H15" s="449">
        <f t="shared" si="2"/>
      </c>
      <c r="I15" s="450">
        <f t="shared" si="0"/>
      </c>
      <c r="J15" s="451">
        <f>IF(H15="","",MIN(H15,I15))</f>
      </c>
      <c r="K15" s="129" t="s">
        <v>74</v>
      </c>
      <c r="L15" s="71">
        <v>1532</v>
      </c>
      <c r="M15" s="369"/>
      <c r="N15" s="370"/>
      <c r="O15" s="552">
        <f>SUMIF('2-2_算定表④(旧・新制度)'!$AJ:$AJ,$T15,'2-2_算定表④(旧・新制度)'!$AK:$AK)</f>
        <v>0</v>
      </c>
      <c r="P15" s="130">
        <f>SUMIF('2-2_算定表④(旧・新制度)'!$AJ:$AJ,$T15,'2-2_算定表④(旧・新制度)'!$AE:$AE)</f>
        <v>0</v>
      </c>
      <c r="Q15" s="381">
        <f t="shared" si="1"/>
        <v>0</v>
      </c>
      <c r="R15" s="382">
        <f t="shared" si="1"/>
        <v>0</v>
      </c>
      <c r="T15" s="764" t="str">
        <f>ASC($A$15&amp;$K15)</f>
        <v>2A</v>
      </c>
      <c r="U15" s="762"/>
      <c r="V15" s="139" t="s">
        <v>6</v>
      </c>
      <c r="W15" s="62" t="str">
        <f>IF(D9&gt;=O14,"OK","ERR")</f>
        <v>OK</v>
      </c>
    </row>
    <row r="16" spans="1:23" s="44" customFormat="1" ht="18" customHeight="1" thickBot="1" thickTop="1">
      <c r="A16" s="865"/>
      <c r="B16" s="1088"/>
      <c r="C16" s="1088"/>
      <c r="D16" s="1088"/>
      <c r="E16" s="1091"/>
      <c r="F16" s="455"/>
      <c r="G16" s="456"/>
      <c r="H16" s="449">
        <f t="shared" si="2"/>
      </c>
      <c r="I16" s="450">
        <f t="shared" si="0"/>
      </c>
      <c r="J16" s="451">
        <f>IF(H16="","",MIN(H16,I16))</f>
      </c>
      <c r="K16" s="132" t="s">
        <v>80</v>
      </c>
      <c r="L16" s="230">
        <v>1532</v>
      </c>
      <c r="M16" s="371"/>
      <c r="N16" s="372"/>
      <c r="O16" s="354">
        <f>SUMIF('2-2_算定表④(旧・新制度)'!$AJ:$AJ,$T16,'2-2_算定表④(旧・新制度)'!$AK:$AK)</f>
        <v>0</v>
      </c>
      <c r="P16" s="130">
        <f>SUMIF('2-2_算定表④(旧・新制度)'!$AJ:$AJ,$T16,'2-2_算定表④(旧・新制度)'!$AE:$AE)</f>
        <v>0</v>
      </c>
      <c r="Q16" s="358">
        <f t="shared" si="1"/>
        <v>0</v>
      </c>
      <c r="R16" s="359">
        <f t="shared" si="1"/>
        <v>0</v>
      </c>
      <c r="T16" s="135" t="str">
        <f>ASC($A$15&amp;$K16)</f>
        <v>2B</v>
      </c>
      <c r="V16" s="139" t="s">
        <v>7</v>
      </c>
      <c r="W16" s="62" t="str">
        <f>IF(D15&gt;=O20,"OK","ERR")</f>
        <v>OK</v>
      </c>
    </row>
    <row r="17" spans="1:23" s="44" customFormat="1" ht="18" customHeight="1" thickBot="1" thickTop="1">
      <c r="A17" s="865"/>
      <c r="B17" s="1088"/>
      <c r="C17" s="1088"/>
      <c r="D17" s="1088"/>
      <c r="E17" s="1091"/>
      <c r="F17" s="455"/>
      <c r="G17" s="456"/>
      <c r="H17" s="449">
        <f>IF(F17="","",IF(ISERROR(F17+ROUNDDOWN(G17*3/74,0)),"",F17+ROUNDDOWN(G17*3/74,0)))</f>
      </c>
      <c r="I17" s="450">
        <f>IF(H17="","",IF(H17&gt;10032,10032,H17))</f>
      </c>
      <c r="J17" s="451">
        <f>IF(H17="","",MIN(H17,I17))</f>
      </c>
      <c r="K17" s="132" t="s">
        <v>183</v>
      </c>
      <c r="L17" s="231">
        <v>2814</v>
      </c>
      <c r="M17" s="371"/>
      <c r="N17" s="372"/>
      <c r="O17" s="354">
        <f>SUMIF('2-2_算定表④(旧・新制度)'!$AJ:$AJ,$T17,'2-2_算定表④(旧・新制度)'!$AK:$AK)</f>
        <v>0</v>
      </c>
      <c r="P17" s="130">
        <f>SUMIF('2-2_算定表④(旧・新制度)'!$AJ:$AJ,$T17,'2-2_算定表④(旧・新制度)'!$AE:$AE)</f>
        <v>0</v>
      </c>
      <c r="Q17" s="358">
        <f t="shared" si="1"/>
        <v>0</v>
      </c>
      <c r="R17" s="359">
        <f t="shared" si="1"/>
        <v>0</v>
      </c>
      <c r="T17" s="135" t="str">
        <f>ASC($A$15&amp;$K17)</f>
        <v>2C1</v>
      </c>
      <c r="U17" s="253"/>
      <c r="V17" s="139"/>
      <c r="W17" s="62"/>
    </row>
    <row r="18" spans="1:23" s="44" customFormat="1" ht="18" customHeight="1" thickBot="1" thickTop="1">
      <c r="A18" s="865"/>
      <c r="B18" s="1088"/>
      <c r="C18" s="1088"/>
      <c r="D18" s="1088"/>
      <c r="E18" s="1091"/>
      <c r="F18" s="455"/>
      <c r="G18" s="456"/>
      <c r="H18" s="449">
        <f t="shared" si="2"/>
      </c>
      <c r="I18" s="450">
        <f t="shared" si="0"/>
      </c>
      <c r="J18" s="451">
        <f>IF(H18="","",MIN(H18,I18))</f>
      </c>
      <c r="K18" s="132" t="s">
        <v>184</v>
      </c>
      <c r="L18" s="231">
        <v>5220</v>
      </c>
      <c r="M18" s="371"/>
      <c r="N18" s="372"/>
      <c r="O18" s="354">
        <f>SUMIF('2-2_算定表④(旧・新制度)'!$AJ:$AJ,$T18,'2-2_算定表④(旧・新制度)'!$AK:$AK)</f>
        <v>0</v>
      </c>
      <c r="P18" s="130">
        <f>SUMIF('2-2_算定表④(旧・新制度)'!$AJ:$AJ,$T18,'2-2_算定表④(旧・新制度)'!$AE:$AE)</f>
        <v>0</v>
      </c>
      <c r="Q18" s="358">
        <f>O18-M18</f>
        <v>0</v>
      </c>
      <c r="R18" s="359">
        <f>P18-N18</f>
        <v>0</v>
      </c>
      <c r="T18" s="135" t="str">
        <f>ASC($A$15&amp;$K18)</f>
        <v>2C2</v>
      </c>
      <c r="U18" s="253"/>
      <c r="V18" s="139" t="s">
        <v>8</v>
      </c>
      <c r="W18" s="62" t="str">
        <f>IF(D21&gt;=O26,"OK","ERR")</f>
        <v>OK</v>
      </c>
    </row>
    <row r="19" spans="1:20" s="44" customFormat="1" ht="18" customHeight="1" thickBot="1">
      <c r="A19" s="865"/>
      <c r="B19" s="1088"/>
      <c r="C19" s="1088"/>
      <c r="D19" s="1088"/>
      <c r="E19" s="1091"/>
      <c r="F19" s="455"/>
      <c r="G19" s="456"/>
      <c r="H19" s="449"/>
      <c r="I19" s="450"/>
      <c r="J19" s="451"/>
      <c r="K19" s="101" t="s">
        <v>152</v>
      </c>
      <c r="L19" s="232" t="s">
        <v>134</v>
      </c>
      <c r="M19" s="369"/>
      <c r="N19" s="380"/>
      <c r="O19" s="352">
        <f>SUMIF('2-2_算定表④(旧・新制度)'!$AJ:$AJ,$T19,'2-2_算定表④(旧・新制度)'!$AK:$AK)</f>
        <v>0</v>
      </c>
      <c r="P19" s="130">
        <f>SUMIF('2-2_算定表④(旧・新制度)'!$AJ:$AJ,$T19,'2-2_算定表④(旧・新制度)'!$AE:$AE)</f>
        <v>0</v>
      </c>
      <c r="Q19" s="358">
        <f>O19-M19</f>
        <v>0</v>
      </c>
      <c r="R19" s="359">
        <f>P19-N19</f>
        <v>0</v>
      </c>
      <c r="T19" s="135" t="str">
        <f>ASC($A$15&amp;$K19)</f>
        <v>2D</v>
      </c>
    </row>
    <row r="20" spans="1:22" s="44" customFormat="1" ht="18" customHeight="1" thickBot="1">
      <c r="A20" s="867"/>
      <c r="B20" s="1088"/>
      <c r="C20" s="1088"/>
      <c r="D20" s="1088"/>
      <c r="E20" s="1092"/>
      <c r="F20" s="457"/>
      <c r="G20" s="458"/>
      <c r="H20" s="452">
        <f t="shared" si="2"/>
      </c>
      <c r="I20" s="453">
        <f t="shared" si="0"/>
      </c>
      <c r="J20" s="454">
        <f>IF(H20="","",MIN(H20,I20))</f>
      </c>
      <c r="K20" s="848" t="s">
        <v>100</v>
      </c>
      <c r="L20" s="849"/>
      <c r="M20" s="360">
        <f aca="true" t="shared" si="4" ref="M20:R20">SUM(M15:M19)</f>
        <v>0</v>
      </c>
      <c r="N20" s="361">
        <f t="shared" si="4"/>
        <v>0</v>
      </c>
      <c r="O20" s="360">
        <f t="shared" si="4"/>
        <v>0</v>
      </c>
      <c r="P20" s="138">
        <f t="shared" si="4"/>
        <v>0</v>
      </c>
      <c r="Q20" s="362">
        <f t="shared" si="4"/>
        <v>0</v>
      </c>
      <c r="R20" s="363">
        <f t="shared" si="4"/>
        <v>0</v>
      </c>
      <c r="V20" s="55"/>
    </row>
    <row r="21" spans="1:22" s="44" customFormat="1" ht="18" customHeight="1" thickBot="1">
      <c r="A21" s="866">
        <v>3</v>
      </c>
      <c r="B21" s="1088"/>
      <c r="C21" s="1088"/>
      <c r="D21" s="1088"/>
      <c r="E21" s="1090"/>
      <c r="F21" s="455"/>
      <c r="G21" s="456"/>
      <c r="H21" s="449">
        <f>IF(F21="","",IF(ISERROR(F21+ROUNDDOWN(G21*3/74,0)),"",F21+ROUNDDOWN(G21*3/74,0)))</f>
      </c>
      <c r="I21" s="450">
        <f>IF(H21="","",IF(H21&gt;10032,10032,H21))</f>
      </c>
      <c r="J21" s="451">
        <f>IF(H21="","",MIN(H21,I21))</f>
      </c>
      <c r="K21" s="129" t="s">
        <v>74</v>
      </c>
      <c r="L21" s="71">
        <v>1532</v>
      </c>
      <c r="M21" s="369"/>
      <c r="N21" s="370"/>
      <c r="O21" s="552">
        <f>SUMIF('2-2_算定表④(旧・新制度)'!$AJ:$AJ,$T21,'2-2_算定表④(旧・新制度)'!$AK:$AK)</f>
        <v>0</v>
      </c>
      <c r="P21" s="130">
        <f>SUMIF('2-2_算定表④(旧・新制度)'!$AJ:$AJ,$T21,'2-2_算定表④(旧・新制度)'!$AE:$AE)</f>
        <v>0</v>
      </c>
      <c r="Q21" s="381">
        <f t="shared" si="1"/>
        <v>0</v>
      </c>
      <c r="R21" s="382">
        <f t="shared" si="1"/>
        <v>0</v>
      </c>
      <c r="T21" s="131" t="str">
        <f>ASC($A$21&amp;$K21)</f>
        <v>3A</v>
      </c>
      <c r="V21" s="55" t="s">
        <v>10</v>
      </c>
    </row>
    <row r="22" spans="1:23" s="44" customFormat="1" ht="18" customHeight="1" thickBot="1" thickTop="1">
      <c r="A22" s="865"/>
      <c r="B22" s="1088"/>
      <c r="C22" s="1088"/>
      <c r="D22" s="1088"/>
      <c r="E22" s="1091"/>
      <c r="F22" s="455"/>
      <c r="G22" s="456"/>
      <c r="H22" s="449">
        <f>IF(F22="","",IF(ISERROR(F22+ROUNDDOWN(G22*3/74,0)),"",F22+ROUNDDOWN(G22*3/74,0)))</f>
      </c>
      <c r="I22" s="450">
        <f>IF(H22="","",IF(H22&gt;10032,10032,H22))</f>
      </c>
      <c r="J22" s="451">
        <f>IF(H22="","",MIN(H22,I22))</f>
      </c>
      <c r="K22" s="132" t="s">
        <v>80</v>
      </c>
      <c r="L22" s="230">
        <v>1532</v>
      </c>
      <c r="M22" s="371"/>
      <c r="N22" s="372"/>
      <c r="O22" s="354">
        <f>SUMIF('2-2_算定表④(旧・新制度)'!$AJ:$AJ,$T22,'2-2_算定表④(旧・新制度)'!$AK:$AK)</f>
        <v>0</v>
      </c>
      <c r="P22" s="130">
        <f>SUMIF('2-2_算定表④(旧・新制度)'!$AJ:$AJ,$T22,'2-2_算定表④(旧・新制度)'!$AE:$AE)</f>
        <v>0</v>
      </c>
      <c r="Q22" s="358">
        <f t="shared" si="1"/>
        <v>0</v>
      </c>
      <c r="R22" s="359">
        <f t="shared" si="1"/>
        <v>0</v>
      </c>
      <c r="T22" s="135" t="str">
        <f>ASC($A$21&amp;$K22)</f>
        <v>3B</v>
      </c>
      <c r="V22" s="55" t="s">
        <v>42</v>
      </c>
      <c r="W22" s="62" t="str">
        <f>IF(O32=SUM('2-2_算定表④(旧・新制度)'!AK8:AK44),"OK","ERR")</f>
        <v>OK</v>
      </c>
    </row>
    <row r="23" spans="1:23" s="44" customFormat="1" ht="18" customHeight="1" thickBot="1" thickTop="1">
      <c r="A23" s="865"/>
      <c r="B23" s="1088"/>
      <c r="C23" s="1088"/>
      <c r="D23" s="1088"/>
      <c r="E23" s="1091"/>
      <c r="F23" s="455"/>
      <c r="G23" s="456"/>
      <c r="H23" s="449">
        <f>IF(F23="","",IF(ISERROR(F23+ROUNDDOWN(G23*3/74,0)),"",F23+ROUNDDOWN(G23*3/74,0)))</f>
      </c>
      <c r="I23" s="450">
        <f>IF(H23="","",IF(H23&gt;10032,10032,H23))</f>
      </c>
      <c r="J23" s="451">
        <f>IF(H23="","",MIN(H23,I23))</f>
      </c>
      <c r="K23" s="132" t="s">
        <v>183</v>
      </c>
      <c r="L23" s="231">
        <v>2814</v>
      </c>
      <c r="M23" s="371"/>
      <c r="N23" s="372"/>
      <c r="O23" s="354">
        <f>SUMIF('2-2_算定表④(旧・新制度)'!$AJ:$AJ,$T23,'2-2_算定表④(旧・新制度)'!$AK:$AK)</f>
        <v>0</v>
      </c>
      <c r="P23" s="130">
        <f>SUMIF('2-2_算定表④(旧・新制度)'!$AJ:$AJ,$T23,'2-2_算定表④(旧・新制度)'!$AE:$AE)</f>
        <v>0</v>
      </c>
      <c r="Q23" s="358">
        <f aca="true" t="shared" si="5" ref="Q23:R25">O23-M23</f>
        <v>0</v>
      </c>
      <c r="R23" s="359">
        <f t="shared" si="5"/>
        <v>0</v>
      </c>
      <c r="T23" s="135" t="str">
        <f>ASC($A$21&amp;$K23)</f>
        <v>3C1</v>
      </c>
      <c r="U23" s="253"/>
      <c r="V23" s="55"/>
      <c r="W23" s="254"/>
    </row>
    <row r="24" spans="1:23" s="44" customFormat="1" ht="18" customHeight="1" thickBot="1" thickTop="1">
      <c r="A24" s="865"/>
      <c r="B24" s="1088"/>
      <c r="C24" s="1088"/>
      <c r="D24" s="1088"/>
      <c r="E24" s="1091"/>
      <c r="F24" s="455"/>
      <c r="G24" s="456"/>
      <c r="H24" s="449">
        <f>IF(F24="","",IF(ISERROR(F24+ROUNDDOWN(G24*3/74,0)),"",F24+ROUNDDOWN(G24*3/74,0)))</f>
      </c>
      <c r="I24" s="450">
        <f>IF(H24="","",IF(H24&gt;10032,10032,H24))</f>
      </c>
      <c r="J24" s="451">
        <f>IF(H24="","",MIN(H24,I24))</f>
      </c>
      <c r="K24" s="132" t="s">
        <v>184</v>
      </c>
      <c r="L24" s="231">
        <v>5220</v>
      </c>
      <c r="M24" s="371"/>
      <c r="N24" s="372"/>
      <c r="O24" s="354">
        <f>SUMIF('2-2_算定表④(旧・新制度)'!$AJ:$AJ,$T24,'2-2_算定表④(旧・新制度)'!$AK:$AK)</f>
        <v>0</v>
      </c>
      <c r="P24" s="130">
        <f>SUMIF('2-2_算定表④(旧・新制度)'!$AJ:$AJ,$T24,'2-2_算定表④(旧・新制度)'!$AE:$AE)</f>
        <v>0</v>
      </c>
      <c r="Q24" s="358">
        <f t="shared" si="5"/>
        <v>0</v>
      </c>
      <c r="R24" s="359">
        <f t="shared" si="5"/>
        <v>0</v>
      </c>
      <c r="T24" s="135" t="str">
        <f>ASC($A$21&amp;$K24)</f>
        <v>3C2</v>
      </c>
      <c r="U24" s="253"/>
      <c r="V24" s="55" t="s">
        <v>9</v>
      </c>
      <c r="W24" s="62" t="str">
        <f>IF(P32='2-2_算定表④(旧・新制度)'!AE45,"OK","ERR")</f>
        <v>OK</v>
      </c>
    </row>
    <row r="25" spans="1:20" s="44" customFormat="1" ht="18" customHeight="1" thickBot="1">
      <c r="A25" s="865"/>
      <c r="B25" s="1088"/>
      <c r="C25" s="1088"/>
      <c r="D25" s="1088"/>
      <c r="E25" s="1091"/>
      <c r="F25" s="455"/>
      <c r="G25" s="456"/>
      <c r="H25" s="449"/>
      <c r="I25" s="450"/>
      <c r="J25" s="451"/>
      <c r="K25" s="101" t="s">
        <v>152</v>
      </c>
      <c r="L25" s="232" t="s">
        <v>134</v>
      </c>
      <c r="M25" s="369"/>
      <c r="N25" s="380"/>
      <c r="O25" s="352">
        <f>SUMIF('2-2_算定表④(旧・新制度)'!$AJ:$AJ,$T25,'2-2_算定表④(旧・新制度)'!$AK:$AK)</f>
        <v>0</v>
      </c>
      <c r="P25" s="130">
        <f>SUMIF('2-2_算定表④(旧・新制度)'!$AJ:$AJ,$T25,'2-2_算定表④(旧・新制度)'!$AE:$AE)</f>
        <v>0</v>
      </c>
      <c r="Q25" s="358">
        <f t="shared" si="5"/>
        <v>0</v>
      </c>
      <c r="R25" s="359">
        <f t="shared" si="5"/>
        <v>0</v>
      </c>
      <c r="T25" s="135" t="str">
        <f>ASC($A$21&amp;$K25)</f>
        <v>3D</v>
      </c>
    </row>
    <row r="26" spans="1:22" s="44" customFormat="1" ht="18" customHeight="1" thickBot="1">
      <c r="A26" s="867"/>
      <c r="B26" s="1088"/>
      <c r="C26" s="1088"/>
      <c r="D26" s="1088"/>
      <c r="E26" s="1092"/>
      <c r="F26" s="457"/>
      <c r="G26" s="458"/>
      <c r="H26" s="452">
        <f>IF(F26="","",IF(ISERROR(F26+ROUNDDOWN(G26*3/74,0)),"",F26+ROUNDDOWN(G26*3/74,0)))</f>
      </c>
      <c r="I26" s="453">
        <f>IF(H26="","",IF(H26&gt;10032,10032,H26))</f>
      </c>
      <c r="J26" s="454">
        <f>IF(H26="","",MIN(H26,I26))</f>
      </c>
      <c r="K26" s="848" t="s">
        <v>101</v>
      </c>
      <c r="L26" s="849"/>
      <c r="M26" s="360">
        <f aca="true" t="shared" si="6" ref="M26:R26">SUM(M21:M25)</f>
        <v>0</v>
      </c>
      <c r="N26" s="361">
        <f t="shared" si="6"/>
        <v>0</v>
      </c>
      <c r="O26" s="360">
        <f t="shared" si="6"/>
        <v>0</v>
      </c>
      <c r="P26" s="138">
        <f t="shared" si="6"/>
        <v>0</v>
      </c>
      <c r="Q26" s="362">
        <f t="shared" si="6"/>
        <v>0</v>
      </c>
      <c r="R26" s="363">
        <f t="shared" si="6"/>
        <v>0</v>
      </c>
      <c r="V26" s="55"/>
    </row>
    <row r="27" spans="1:18" s="44" customFormat="1" ht="18" customHeight="1" thickBot="1">
      <c r="A27" s="850" t="s">
        <v>24</v>
      </c>
      <c r="B27" s="1087">
        <f>SUM(B9:B26)</f>
        <v>0</v>
      </c>
      <c r="C27" s="1087">
        <f>SUM(C9:C26)</f>
        <v>0</v>
      </c>
      <c r="D27" s="1094">
        <f>SUM(D9:D26)</f>
        <v>0</v>
      </c>
      <c r="E27" s="1094">
        <f>SUM(E9:E26)</f>
        <v>0</v>
      </c>
      <c r="F27" s="1085"/>
      <c r="G27" s="1086"/>
      <c r="H27" s="1100"/>
      <c r="I27" s="1093"/>
      <c r="J27" s="1093"/>
      <c r="K27" s="252" t="s">
        <v>74</v>
      </c>
      <c r="L27" s="71">
        <v>1532</v>
      </c>
      <c r="M27" s="367">
        <f aca="true" t="shared" si="7" ref="M27:N31">SUM(M9,M15,M21)</f>
        <v>0</v>
      </c>
      <c r="N27" s="353">
        <f t="shared" si="7"/>
        <v>0</v>
      </c>
      <c r="O27" s="367">
        <f aca="true" t="shared" si="8" ref="O27:R31">SUM(O9,O15,O21)</f>
        <v>0</v>
      </c>
      <c r="P27" s="346">
        <f t="shared" si="8"/>
        <v>0</v>
      </c>
      <c r="Q27" s="386">
        <f t="shared" si="8"/>
        <v>0</v>
      </c>
      <c r="R27" s="384">
        <f t="shared" si="8"/>
        <v>0</v>
      </c>
    </row>
    <row r="28" spans="1:22" s="44" customFormat="1" ht="18" customHeight="1" thickBot="1">
      <c r="A28" s="851"/>
      <c r="B28" s="1087"/>
      <c r="C28" s="1087"/>
      <c r="D28" s="1095"/>
      <c r="E28" s="1095"/>
      <c r="F28" s="1085"/>
      <c r="G28" s="1086"/>
      <c r="H28" s="1100"/>
      <c r="I28" s="1093"/>
      <c r="J28" s="1093"/>
      <c r="K28" s="132" t="s">
        <v>80</v>
      </c>
      <c r="L28" s="133">
        <v>1532</v>
      </c>
      <c r="M28" s="368">
        <f t="shared" si="7"/>
        <v>0</v>
      </c>
      <c r="N28" s="357">
        <f t="shared" si="7"/>
        <v>0</v>
      </c>
      <c r="O28" s="368">
        <f t="shared" si="8"/>
        <v>0</v>
      </c>
      <c r="P28" s="345">
        <f t="shared" si="8"/>
        <v>0</v>
      </c>
      <c r="Q28" s="354">
        <f t="shared" si="8"/>
        <v>0</v>
      </c>
      <c r="R28" s="355">
        <f t="shared" si="8"/>
        <v>0</v>
      </c>
      <c r="V28" s="55"/>
    </row>
    <row r="29" spans="1:18" s="44" customFormat="1" ht="18" customHeight="1" thickBot="1">
      <c r="A29" s="851"/>
      <c r="B29" s="1087"/>
      <c r="C29" s="1087"/>
      <c r="D29" s="1095"/>
      <c r="E29" s="1095"/>
      <c r="F29" s="1085"/>
      <c r="G29" s="1086"/>
      <c r="H29" s="1100"/>
      <c r="I29" s="1093"/>
      <c r="J29" s="1093"/>
      <c r="K29" s="132" t="s">
        <v>183</v>
      </c>
      <c r="L29" s="229">
        <v>2814</v>
      </c>
      <c r="M29" s="368">
        <f t="shared" si="7"/>
        <v>0</v>
      </c>
      <c r="N29" s="357">
        <f t="shared" si="7"/>
        <v>0</v>
      </c>
      <c r="O29" s="368">
        <f t="shared" si="8"/>
        <v>0</v>
      </c>
      <c r="P29" s="345">
        <f t="shared" si="8"/>
        <v>0</v>
      </c>
      <c r="Q29" s="354">
        <f t="shared" si="8"/>
        <v>0</v>
      </c>
      <c r="R29" s="355">
        <f t="shared" si="8"/>
        <v>0</v>
      </c>
    </row>
    <row r="30" spans="1:18" s="44" customFormat="1" ht="18" customHeight="1" thickBot="1">
      <c r="A30" s="851"/>
      <c r="B30" s="1087"/>
      <c r="C30" s="1087"/>
      <c r="D30" s="1095"/>
      <c r="E30" s="1095"/>
      <c r="F30" s="1085"/>
      <c r="G30" s="1086"/>
      <c r="H30" s="1100"/>
      <c r="I30" s="1093"/>
      <c r="J30" s="1093"/>
      <c r="K30" s="132" t="s">
        <v>184</v>
      </c>
      <c r="L30" s="229">
        <v>5220</v>
      </c>
      <c r="M30" s="368">
        <f t="shared" si="7"/>
        <v>0</v>
      </c>
      <c r="N30" s="357">
        <f t="shared" si="7"/>
        <v>0</v>
      </c>
      <c r="O30" s="368">
        <f t="shared" si="8"/>
        <v>0</v>
      </c>
      <c r="P30" s="345">
        <f t="shared" si="8"/>
        <v>0</v>
      </c>
      <c r="Q30" s="354">
        <f t="shared" si="8"/>
        <v>0</v>
      </c>
      <c r="R30" s="355">
        <f t="shared" si="8"/>
        <v>0</v>
      </c>
    </row>
    <row r="31" spans="1:18" s="44" customFormat="1" ht="18" customHeight="1" thickBot="1">
      <c r="A31" s="851"/>
      <c r="B31" s="1087"/>
      <c r="C31" s="1087"/>
      <c r="D31" s="1095"/>
      <c r="E31" s="1095"/>
      <c r="F31" s="1085"/>
      <c r="G31" s="1086"/>
      <c r="H31" s="1100"/>
      <c r="I31" s="1093"/>
      <c r="J31" s="1093"/>
      <c r="K31" s="101" t="s">
        <v>152</v>
      </c>
      <c r="L31" s="232" t="s">
        <v>134</v>
      </c>
      <c r="M31" s="367">
        <f t="shared" si="7"/>
        <v>0</v>
      </c>
      <c r="N31" s="385">
        <f t="shared" si="7"/>
        <v>0</v>
      </c>
      <c r="O31" s="367">
        <f t="shared" si="8"/>
        <v>0</v>
      </c>
      <c r="P31" s="342">
        <f t="shared" si="8"/>
        <v>0</v>
      </c>
      <c r="Q31" s="387">
        <f t="shared" si="8"/>
        <v>0</v>
      </c>
      <c r="R31" s="388">
        <f t="shared" si="8"/>
        <v>0</v>
      </c>
    </row>
    <row r="32" spans="1:19" s="44" customFormat="1" ht="18" customHeight="1" thickBot="1">
      <c r="A32" s="852"/>
      <c r="B32" s="1087"/>
      <c r="C32" s="1087"/>
      <c r="D32" s="1096"/>
      <c r="E32" s="1096"/>
      <c r="F32" s="1085"/>
      <c r="G32" s="1086"/>
      <c r="H32" s="1100"/>
      <c r="I32" s="1093"/>
      <c r="J32" s="1093"/>
      <c r="K32" s="848" t="s">
        <v>135</v>
      </c>
      <c r="L32" s="849"/>
      <c r="M32" s="360">
        <f aca="true" t="shared" si="9" ref="M32:R32">SUM(M27:M31)</f>
        <v>0</v>
      </c>
      <c r="N32" s="361">
        <f t="shared" si="9"/>
        <v>0</v>
      </c>
      <c r="O32" s="360">
        <f t="shared" si="9"/>
        <v>0</v>
      </c>
      <c r="P32" s="138">
        <f t="shared" si="9"/>
        <v>0</v>
      </c>
      <c r="Q32" s="362">
        <f t="shared" si="9"/>
        <v>0</v>
      </c>
      <c r="R32" s="363">
        <f t="shared" si="9"/>
        <v>0</v>
      </c>
      <c r="S32" s="146"/>
    </row>
    <row r="33" spans="1:18" s="284" customFormat="1" ht="11.25" customHeight="1">
      <c r="A33" s="279" t="s">
        <v>26</v>
      </c>
      <c r="B33" s="280"/>
      <c r="C33" s="280"/>
      <c r="D33" s="280"/>
      <c r="E33" s="280"/>
      <c r="F33" s="281"/>
      <c r="G33" s="281"/>
      <c r="H33" s="281"/>
      <c r="I33" s="281"/>
      <c r="J33" s="281"/>
      <c r="K33" s="282"/>
      <c r="L33" s="282"/>
      <c r="M33" s="280"/>
      <c r="N33" s="283"/>
      <c r="O33" s="280"/>
      <c r="P33" s="283"/>
      <c r="Q33" s="286"/>
      <c r="R33" s="286"/>
    </row>
    <row r="34" spans="1:18" s="284" customFormat="1" ht="11.25" customHeight="1">
      <c r="A34" s="285" t="s">
        <v>129</v>
      </c>
      <c r="Q34" s="286"/>
      <c r="R34" s="286"/>
    </row>
    <row r="35" spans="1:9" s="286" customFormat="1" ht="11.25" customHeight="1">
      <c r="A35" s="285" t="s">
        <v>200</v>
      </c>
      <c r="E35" s="291"/>
      <c r="F35" s="291"/>
      <c r="G35" s="291"/>
      <c r="H35" s="291"/>
      <c r="I35" s="291"/>
    </row>
    <row r="36" spans="1:18" s="284" customFormat="1" ht="11.25" customHeight="1">
      <c r="A36" s="285" t="s">
        <v>201</v>
      </c>
      <c r="Q36" s="286"/>
      <c r="R36" s="286"/>
    </row>
    <row r="37" s="286" customFormat="1" ht="11.25" customHeight="1">
      <c r="A37" s="285" t="s">
        <v>2</v>
      </c>
    </row>
    <row r="38" s="286" customFormat="1" ht="11.25" customHeight="1">
      <c r="A38" s="279" t="s">
        <v>130</v>
      </c>
    </row>
    <row r="39" s="286" customFormat="1" ht="11.25" customHeight="1">
      <c r="A39" s="279" t="s">
        <v>131</v>
      </c>
    </row>
    <row r="40" s="286" customFormat="1" ht="11.25" customHeight="1">
      <c r="A40" s="285" t="s">
        <v>3</v>
      </c>
    </row>
    <row r="41" s="286" customFormat="1" ht="11.25" customHeight="1">
      <c r="A41" s="279" t="s">
        <v>187</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6">
    <mergeCell ref="G27:G32"/>
    <mergeCell ref="H27:H32"/>
    <mergeCell ref="I27:I32"/>
    <mergeCell ref="J27:J32"/>
    <mergeCell ref="K32:L32"/>
    <mergeCell ref="A27:A32"/>
    <mergeCell ref="B27:B32"/>
    <mergeCell ref="C27:C32"/>
    <mergeCell ref="D27:D32"/>
    <mergeCell ref="E27:E32"/>
    <mergeCell ref="F27:F32"/>
    <mergeCell ref="A21:A26"/>
    <mergeCell ref="B21:B26"/>
    <mergeCell ref="C21:C26"/>
    <mergeCell ref="D21:D26"/>
    <mergeCell ref="E21:E26"/>
    <mergeCell ref="K14:L14"/>
    <mergeCell ref="K26:L26"/>
    <mergeCell ref="A15:A20"/>
    <mergeCell ref="B15:B20"/>
    <mergeCell ref="C15:C20"/>
    <mergeCell ref="D15:D20"/>
    <mergeCell ref="E15:E20"/>
    <mergeCell ref="K20:L20"/>
    <mergeCell ref="A6:A7"/>
    <mergeCell ref="A9:A14"/>
    <mergeCell ref="B9:B14"/>
    <mergeCell ref="C9:C14"/>
    <mergeCell ref="D9:D14"/>
    <mergeCell ref="E9:E14"/>
    <mergeCell ref="I3:K3"/>
    <mergeCell ref="B5:B6"/>
    <mergeCell ref="E5:E6"/>
    <mergeCell ref="H5:H6"/>
    <mergeCell ref="I5:I6"/>
    <mergeCell ref="J5:J6"/>
    <mergeCell ref="Q5:R5"/>
    <mergeCell ref="K5:N5"/>
    <mergeCell ref="O5:P5"/>
    <mergeCell ref="L2:M2"/>
    <mergeCell ref="N2:O2"/>
    <mergeCell ref="P2:Q2"/>
    <mergeCell ref="L3:M3"/>
    <mergeCell ref="N3:O3"/>
    <mergeCell ref="P3:Q3"/>
    <mergeCell ref="I2:K2"/>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N59"/>
  <sheetViews>
    <sheetView tabSelected="1" view="pageBreakPreview" zoomScale="85" zoomScaleNormal="75" zoomScaleSheetLayoutView="85" zoomScalePageLayoutView="0" workbookViewId="0" topLeftCell="A1">
      <selection activeCell="T27" sqref="T27"/>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0.375" style="40" hidden="1" customWidth="1"/>
    <col min="7" max="7" width="12.25390625" style="40" customWidth="1"/>
    <col min="8" max="8" width="12.375" style="40" customWidth="1"/>
    <col min="9" max="9" width="12.25390625" style="40" bestFit="1" customWidth="1"/>
    <col min="10" max="10" width="5.50390625" style="40" bestFit="1" customWidth="1"/>
    <col min="11" max="12" width="10.75390625" style="40" hidden="1" customWidth="1"/>
    <col min="13" max="13" width="14.125" style="40" bestFit="1" customWidth="1"/>
    <col min="14" max="14" width="13.125" style="40" bestFit="1" customWidth="1"/>
    <col min="15" max="15" width="6.125" style="40" customWidth="1"/>
    <col min="16" max="16" width="10.00390625" style="40" customWidth="1"/>
    <col min="17" max="17" width="5.25390625" style="40" customWidth="1"/>
    <col min="18" max="18" width="10.00390625" style="40" customWidth="1"/>
    <col min="19" max="19" width="10.75390625" style="40" customWidth="1"/>
    <col min="20" max="20" width="10.625" style="40" customWidth="1"/>
    <col min="21" max="21" width="10.875" style="40" customWidth="1"/>
    <col min="22" max="22" width="12.50390625" style="40" customWidth="1"/>
    <col min="23" max="23" width="13.25390625" style="40" customWidth="1"/>
    <col min="24" max="24" width="11.25390625" style="40" customWidth="1"/>
    <col min="25" max="25" width="11.625" style="40" customWidth="1"/>
    <col min="26" max="28" width="11.625" style="40" hidden="1" customWidth="1"/>
    <col min="29" max="30" width="11.25390625" style="40" customWidth="1"/>
    <col min="31" max="31" width="13.00390625" style="40" customWidth="1"/>
    <col min="32" max="32" width="1.37890625" style="40" customWidth="1"/>
    <col min="33" max="33" width="9.125" style="40" customWidth="1"/>
    <col min="34" max="34" width="16.375" style="40" customWidth="1"/>
    <col min="35" max="35" width="3.125" style="40" customWidth="1"/>
    <col min="36" max="36" width="5.625" style="41" customWidth="1"/>
    <col min="37" max="37" width="3.125" style="41" customWidth="1"/>
    <col min="38" max="38" width="3.125" style="40" customWidth="1"/>
    <col min="39" max="39" width="8.25390625" style="40" customWidth="1"/>
    <col min="40" max="16384" width="9.625" style="40" customWidth="1"/>
  </cols>
  <sheetData>
    <row r="1" spans="1:34" ht="24.75" customHeight="1" thickBot="1">
      <c r="A1" s="185" t="s">
        <v>398</v>
      </c>
      <c r="B1" s="39"/>
      <c r="Y1" s="160" t="s">
        <v>22</v>
      </c>
      <c r="Z1" s="1027">
        <f>'1_総括表'!E3</f>
        <v>0</v>
      </c>
      <c r="AA1" s="1028"/>
      <c r="AB1" s="1028"/>
      <c r="AC1" s="1028"/>
      <c r="AD1" s="1028"/>
      <c r="AE1" s="1028"/>
      <c r="AF1" s="1029"/>
      <c r="AG1" s="160" t="s">
        <v>23</v>
      </c>
      <c r="AH1" s="162">
        <f>'1_総括表'!Z3</f>
        <v>0</v>
      </c>
    </row>
    <row r="2" spans="1:34" ht="24.75" customHeight="1" thickBot="1">
      <c r="A2" s="42"/>
      <c r="Y2" s="161" t="s">
        <v>20</v>
      </c>
      <c r="Z2" s="1122">
        <f>'1_総括表'!E4</f>
        <v>0</v>
      </c>
      <c r="AA2" s="1123"/>
      <c r="AB2" s="1123"/>
      <c r="AC2" s="1123"/>
      <c r="AD2" s="1123"/>
      <c r="AE2" s="1123"/>
      <c r="AF2" s="1124"/>
      <c r="AG2" s="161" t="s">
        <v>21</v>
      </c>
      <c r="AH2" s="157">
        <f>'1_総括表'!Z4</f>
        <v>0</v>
      </c>
    </row>
    <row r="3" spans="1:34" ht="31.5" customHeight="1" thickBot="1">
      <c r="A3" s="184" t="s">
        <v>198</v>
      </c>
      <c r="B3" s="274"/>
      <c r="AG3" s="43"/>
      <c r="AH3" s="43" t="s">
        <v>25</v>
      </c>
    </row>
    <row r="4" spans="1:37" s="44" customFormat="1" ht="22.5" customHeight="1" thickBot="1">
      <c r="A4" s="883" t="s">
        <v>29</v>
      </c>
      <c r="B4" s="878" t="s">
        <v>145</v>
      </c>
      <c r="C4" s="894" t="s">
        <v>98</v>
      </c>
      <c r="D4" s="897" t="s">
        <v>96</v>
      </c>
      <c r="E4" s="899" t="s">
        <v>84</v>
      </c>
      <c r="F4" s="900"/>
      <c r="G4" s="901"/>
      <c r="H4" s="902" t="s">
        <v>90</v>
      </c>
      <c r="I4" s="903"/>
      <c r="J4" s="903"/>
      <c r="K4" s="903"/>
      <c r="L4" s="903"/>
      <c r="M4" s="903"/>
      <c r="N4" s="901"/>
      <c r="O4" s="848" t="s">
        <v>93</v>
      </c>
      <c r="P4" s="849"/>
      <c r="Q4" s="904"/>
      <c r="R4" s="904"/>
      <c r="S4" s="904"/>
      <c r="T4" s="904"/>
      <c r="U4" s="905"/>
      <c r="V4" s="878" t="s">
        <v>1</v>
      </c>
      <c r="W4" s="878" t="s">
        <v>94</v>
      </c>
      <c r="X4" s="878" t="s">
        <v>189</v>
      </c>
      <c r="Y4" s="878" t="s">
        <v>62</v>
      </c>
      <c r="Z4" s="1031" t="s">
        <v>232</v>
      </c>
      <c r="AA4" s="1031" t="s">
        <v>232</v>
      </c>
      <c r="AB4" s="1031" t="s">
        <v>232</v>
      </c>
      <c r="AC4" s="878" t="s">
        <v>28</v>
      </c>
      <c r="AD4" s="878" t="s">
        <v>83</v>
      </c>
      <c r="AE4" s="906" t="s">
        <v>164</v>
      </c>
      <c r="AF4" s="908" t="s">
        <v>4</v>
      </c>
      <c r="AG4" s="909"/>
      <c r="AH4" s="910"/>
      <c r="AJ4" s="917" t="s">
        <v>27</v>
      </c>
      <c r="AK4" s="917" t="s">
        <v>367</v>
      </c>
    </row>
    <row r="5" spans="1:37" s="44" customFormat="1" ht="33.75" customHeight="1" thickBot="1">
      <c r="A5" s="890"/>
      <c r="B5" s="892"/>
      <c r="C5" s="895"/>
      <c r="D5" s="898"/>
      <c r="E5" s="45"/>
      <c r="F5" s="597" t="s">
        <v>366</v>
      </c>
      <c r="G5" s="1112" t="s">
        <v>68</v>
      </c>
      <c r="H5" s="1114" t="s">
        <v>365</v>
      </c>
      <c r="I5" s="927" t="s">
        <v>69</v>
      </c>
      <c r="J5" s="1116" t="s">
        <v>137</v>
      </c>
      <c r="K5" s="696" t="s">
        <v>315</v>
      </c>
      <c r="L5" s="695" t="s">
        <v>315</v>
      </c>
      <c r="M5" s="1139" t="s">
        <v>136</v>
      </c>
      <c r="N5" s="1112" t="s">
        <v>0</v>
      </c>
      <c r="O5" s="848" t="s">
        <v>163</v>
      </c>
      <c r="P5" s="849"/>
      <c r="Q5" s="848" t="s">
        <v>157</v>
      </c>
      <c r="R5" s="1104"/>
      <c r="S5" s="1105" t="s">
        <v>364</v>
      </c>
      <c r="T5" s="936" t="s">
        <v>92</v>
      </c>
      <c r="U5" s="1107" t="s">
        <v>91</v>
      </c>
      <c r="V5" s="892"/>
      <c r="W5" s="892"/>
      <c r="X5" s="892"/>
      <c r="Y5" s="892"/>
      <c r="Z5" s="1032"/>
      <c r="AA5" s="1032"/>
      <c r="AB5" s="1032"/>
      <c r="AC5" s="892"/>
      <c r="AD5" s="892"/>
      <c r="AE5" s="907"/>
      <c r="AF5" s="1119"/>
      <c r="AG5" s="1120"/>
      <c r="AH5" s="913"/>
      <c r="AJ5" s="1121"/>
      <c r="AK5" s="1121"/>
    </row>
    <row r="6" spans="1:37" s="44" customFormat="1" ht="50.25" customHeight="1">
      <c r="A6" s="890"/>
      <c r="B6" s="892"/>
      <c r="C6" s="895"/>
      <c r="D6" s="1125"/>
      <c r="E6" s="251" t="s">
        <v>125</v>
      </c>
      <c r="F6" s="46" t="s">
        <v>320</v>
      </c>
      <c r="G6" s="1113"/>
      <c r="H6" s="1115"/>
      <c r="I6" s="928"/>
      <c r="J6" s="1117"/>
      <c r="K6" s="488" t="s">
        <v>236</v>
      </c>
      <c r="L6" s="478" t="s">
        <v>321</v>
      </c>
      <c r="M6" s="1140"/>
      <c r="N6" s="1113"/>
      <c r="O6" s="940" t="s">
        <v>15</v>
      </c>
      <c r="P6" s="186" t="s">
        <v>147</v>
      </c>
      <c r="Q6" s="940" t="s">
        <v>15</v>
      </c>
      <c r="R6" s="240" t="s">
        <v>147</v>
      </c>
      <c r="S6" s="1106"/>
      <c r="T6" s="937"/>
      <c r="U6" s="1108"/>
      <c r="V6" s="967"/>
      <c r="W6" s="890"/>
      <c r="X6" s="892"/>
      <c r="Y6" s="890"/>
      <c r="Z6" s="469" t="s">
        <v>238</v>
      </c>
      <c r="AA6" s="469" t="s">
        <v>239</v>
      </c>
      <c r="AB6" s="469" t="s">
        <v>240</v>
      </c>
      <c r="AC6" s="890"/>
      <c r="AD6" s="890"/>
      <c r="AE6" s="1118"/>
      <c r="AF6" s="911"/>
      <c r="AG6" s="912"/>
      <c r="AH6" s="913"/>
      <c r="AJ6" s="918"/>
      <c r="AK6" s="918"/>
    </row>
    <row r="7" spans="1:37" s="44" customFormat="1" ht="17.25" customHeight="1" thickBot="1">
      <c r="A7" s="890"/>
      <c r="B7" s="892"/>
      <c r="C7" s="895"/>
      <c r="D7" s="479" t="s">
        <v>363</v>
      </c>
      <c r="E7" s="598" t="s">
        <v>362</v>
      </c>
      <c r="F7" s="486"/>
      <c r="G7" s="478" t="s">
        <v>361</v>
      </c>
      <c r="H7" s="476" t="s">
        <v>360</v>
      </c>
      <c r="I7" s="486" t="s">
        <v>359</v>
      </c>
      <c r="J7" s="470" t="s">
        <v>358</v>
      </c>
      <c r="K7" s="178"/>
      <c r="L7" s="250"/>
      <c r="M7" s="694" t="s">
        <v>357</v>
      </c>
      <c r="N7" s="693" t="s">
        <v>356</v>
      </c>
      <c r="O7" s="1109"/>
      <c r="P7" s="599" t="s">
        <v>355</v>
      </c>
      <c r="Q7" s="1109"/>
      <c r="R7" s="600" t="s">
        <v>354</v>
      </c>
      <c r="S7" s="601" t="s">
        <v>353</v>
      </c>
      <c r="T7" s="540" t="s">
        <v>352</v>
      </c>
      <c r="U7" s="477" t="s">
        <v>351</v>
      </c>
      <c r="V7" s="472" t="s">
        <v>350</v>
      </c>
      <c r="W7" s="472" t="s">
        <v>349</v>
      </c>
      <c r="X7" s="472" t="s">
        <v>348</v>
      </c>
      <c r="Y7" s="472" t="s">
        <v>347</v>
      </c>
      <c r="Z7" s="472"/>
      <c r="AA7" s="472"/>
      <c r="AB7" s="472"/>
      <c r="AC7" s="472" t="s">
        <v>346</v>
      </c>
      <c r="AD7" s="472" t="s">
        <v>345</v>
      </c>
      <c r="AE7" s="475" t="s">
        <v>344</v>
      </c>
      <c r="AF7" s="911"/>
      <c r="AG7" s="912"/>
      <c r="AH7" s="913"/>
      <c r="AJ7" s="920"/>
      <c r="AK7" s="920"/>
    </row>
    <row r="8" spans="1:40" s="53" customFormat="1" ht="18.75" customHeight="1" thickBot="1">
      <c r="A8" s="602">
        <f aca="true" t="shared" si="0" ref="A8:A44">IF(B8="","",ROW($A8)-ROW($A$7))</f>
      </c>
      <c r="B8" s="692"/>
      <c r="C8" s="604"/>
      <c r="D8" s="440"/>
      <c r="E8" s="605"/>
      <c r="F8" s="227"/>
      <c r="G8" s="492">
        <f aca="true" t="shared" si="1" ref="G8:G44">IF(A8="","",IF(F8&gt;30,30,F8))</f>
      </c>
      <c r="H8" s="397">
        <f aca="true" t="shared" si="2" ref="H8:H44">IF(A8="","",(D8*G8))</f>
      </c>
      <c r="I8" s="607"/>
      <c r="J8" s="610"/>
      <c r="K8" s="609"/>
      <c r="L8" s="610"/>
      <c r="M8" s="397">
        <f aca="true" t="shared" si="3" ref="M8:M44">IF(A8="","",ROUNDDOWN((I8*J8/12+H8),0))</f>
      </c>
      <c r="N8" s="611">
        <f aca="true" t="shared" si="4" ref="N8:N44">IF(A8="","",ROUNDDOWN(10032*G8*(K8/J8),0))</f>
      </c>
      <c r="O8" s="691"/>
      <c r="P8" s="398">
        <f>IF($H8="","",IF($O8="Ａ",LOOKUP($D8,{8000,8500,9000,10000,10032,12000},{0,1532,1032,32,0,0}),IF($O8="Ｂ",LOOKUP($D8,{8000,8500,9000,10000,10032,12000},{0,1532,1032,408,408,408}),IF($O8="Ｃ１",LOOKUP($D8,{8000,8500,9000,10000,10032,12000},{782,2814,2814,2814,2814,2814}),IF($O8="Ｃ２",LOOKUP($D8,{8000,8500,9000,10000,10032,12000},{3188,5220,5220,5220,5220,5220}),0)))))</f>
      </c>
      <c r="Q8" s="690"/>
      <c r="R8" s="613">
        <f>IF($H8="","",IF($Q8="Ａ",LOOKUP($D8,{8000,8500,9000,10000,10032,12000},{0,1532,1032,32,0,0}),IF($Q8="Ｂ",LOOKUP($D8,{8000,8500,9000,10000,10032,12000},{0,1532,1032,408,408,408}),IF($Q8="Ｃ１",LOOKUP($D8,{8000,8500,9000,10000,10032,12000},{782,2814,2814,2814,2814,2814}),IF($Q8="Ｃ２",LOOKUP($D8,{8000,8500,9000,10000,10032,12000},{3188,5220,5220,5220,5220,5220}),0)))))</f>
      </c>
      <c r="S8" s="414">
        <f aca="true" t="shared" si="5" ref="S8:S44">IF(L8&gt;=7,R8,IF(AND(J8+L8&lt;=7,L8&gt;=4),P8,IF(ISERROR(ROUNDUP(P8*3/12+R8*9/12,0)),"",ROUNDUP(P8*3/12+R8*9/12,0))))</f>
      </c>
      <c r="T8" s="401">
        <f>IF(B8="","",SUMIF('2-3_調整額内訳④(旧・新制度)'!B:B,$B8,'2-3_調整額内訳④(旧・新制度)'!AH:AH))</f>
      </c>
      <c r="U8" s="699">
        <f aca="true" t="shared" si="6" ref="U8:U44">IF(B8="","",SUM(S8:T8))</f>
      </c>
      <c r="V8" s="665">
        <f aca="true" t="shared" si="7" ref="V8:V44">IF(B8="","",ROUNDDOWN(U8*G8,0))</f>
      </c>
      <c r="W8" s="401">
        <f aca="true" t="shared" si="8" ref="W8:W44">IF(M8&gt;=N8,N8,M8)</f>
      </c>
      <c r="X8" s="617"/>
      <c r="Y8" s="401">
        <f aca="true" t="shared" si="9" ref="Y8:Y44">IF(A8="","",IF((M8-W8)&lt;X8,W8-(M8-X8),0))</f>
      </c>
      <c r="Z8" s="617"/>
      <c r="AA8" s="401" t="str">
        <f aca="true" t="shared" si="10" ref="AA8:AA44">_xlfn.IFERROR(D8*(E8-F8)*(K8/J8),"0")</f>
        <v>0</v>
      </c>
      <c r="AB8" s="665">
        <f aca="true" t="shared" si="11" ref="AB8:AB44">_xlfn.IFERROR(IF(AA8-Z8&gt;0,0,AA8-Z8),"0")</f>
        <v>0</v>
      </c>
      <c r="AC8" s="689"/>
      <c r="AD8" s="414">
        <f aca="true" t="shared" si="12" ref="AD8:AD44">IF(B8="","",MAX(0,W8-Y8-AC8))</f>
      </c>
      <c r="AE8" s="619">
        <f aca="true" t="shared" si="13" ref="AE8:AE44">IF(B8="","",IF(MIN(V8,AD8)+AB8&gt;0,MIN(V8,AD8)+AB8,0))</f>
      </c>
      <c r="AF8" s="1141"/>
      <c r="AG8" s="1142"/>
      <c r="AH8" s="1143"/>
      <c r="AJ8" s="54">
        <f aca="true" t="shared" si="14" ref="AJ8:AJ44">IF(A8&gt;0,ASC(C8&amp;Q8),"")</f>
      </c>
      <c r="AK8" s="54">
        <f aca="true" t="shared" si="15" ref="AK8:AK44">IF(B8="","",IF(AE8&gt;0,1,0))</f>
      </c>
      <c r="AM8" s="55" t="s">
        <v>12</v>
      </c>
      <c r="AN8" s="44"/>
    </row>
    <row r="9" spans="1:40" s="53" customFormat="1" ht="18.75" customHeight="1" thickBot="1" thickTop="1">
      <c r="A9" s="177">
        <f t="shared" si="0"/>
      </c>
      <c r="B9" s="688"/>
      <c r="C9" s="56"/>
      <c r="D9" s="442"/>
      <c r="E9" s="234"/>
      <c r="F9" s="198"/>
      <c r="G9" s="187">
        <f t="shared" si="1"/>
      </c>
      <c r="H9" s="395">
        <f t="shared" si="2"/>
      </c>
      <c r="I9" s="621"/>
      <c r="J9" s="105"/>
      <c r="K9" s="623"/>
      <c r="L9" s="105"/>
      <c r="M9" s="395">
        <f t="shared" si="3"/>
      </c>
      <c r="N9" s="624">
        <f t="shared" si="4"/>
      </c>
      <c r="O9" s="687"/>
      <c r="P9" s="399">
        <f>IF($H9="","",IF($O9="Ａ",LOOKUP($D9,{8000,8500,9000,10000,10032,12000},{0,1532,1032,32,0,0}),IF($O9="Ｂ",LOOKUP($D9,{8000,8500,9000,10000,10032,12000},{0,1532,1032,408,408,408}),IF($O9="Ｃ１",LOOKUP($D9,{8000,8500,9000,10000,10032,12000},{782,2814,2814,2814,2814,2814}),IF($O9="Ｃ２",LOOKUP($D9,{8000,8500,9000,10000,10032,12000},{3188,5220,5220,5220,5220,5220}),0)))))</f>
      </c>
      <c r="Q9" s="686"/>
      <c r="R9" s="626">
        <f>IF($H9="","",IF($Q9="Ａ",LOOKUP($D9,{8000,8500,9000,10000,10032,12000},{0,1532,1032,32,0,0}),IF($Q9="Ｂ",LOOKUP($D9,{8000,8500,9000,10000,10032,12000},{0,1532,1032,408,408,408}),IF($Q9="Ｃ１",LOOKUP($D9,{8000,8500,9000,10000,10032,12000},{782,2814,2814,2814,2814,2814}),IF($Q9="Ｃ２",LOOKUP($D9,{8000,8500,9000,10000,10032,12000},{3188,5220,5220,5220,5220,5220}),0)))))</f>
      </c>
      <c r="S9" s="402">
        <f t="shared" si="5"/>
      </c>
      <c r="T9" s="404">
        <f>IF(B9="","",SUMIF('2-3_調整額内訳④(旧・新制度)'!B:B,$B9,'2-3_調整額内訳④(旧・新制度)'!AH:AH))</f>
      </c>
      <c r="U9" s="700">
        <f t="shared" si="6"/>
      </c>
      <c r="V9" s="403">
        <f t="shared" si="7"/>
      </c>
      <c r="W9" s="404">
        <f t="shared" si="8"/>
      </c>
      <c r="X9" s="630"/>
      <c r="Y9" s="404">
        <f t="shared" si="9"/>
      </c>
      <c r="Z9" s="630"/>
      <c r="AA9" s="404" t="str">
        <f t="shared" si="10"/>
        <v>0</v>
      </c>
      <c r="AB9" s="403">
        <f t="shared" si="11"/>
        <v>0</v>
      </c>
      <c r="AC9" s="685"/>
      <c r="AD9" s="402">
        <f t="shared" si="12"/>
      </c>
      <c r="AE9" s="632">
        <f t="shared" si="13"/>
      </c>
      <c r="AF9" s="1144"/>
      <c r="AG9" s="1145"/>
      <c r="AH9" s="1146"/>
      <c r="AJ9" s="61">
        <f t="shared" si="14"/>
      </c>
      <c r="AK9" s="61">
        <f t="shared" si="15"/>
      </c>
      <c r="AM9" s="55" t="s">
        <v>11</v>
      </c>
      <c r="AN9" s="62" t="str">
        <f>IF(T45='2-3_調整額内訳④(旧・新制度)'!AH39,"OK","ERR")</f>
        <v>OK</v>
      </c>
    </row>
    <row r="10" spans="1:40" s="53" customFormat="1" ht="18.75" customHeight="1" thickTop="1">
      <c r="A10" s="177">
        <f t="shared" si="0"/>
      </c>
      <c r="B10" s="688"/>
      <c r="C10" s="56"/>
      <c r="D10" s="442"/>
      <c r="E10" s="234"/>
      <c r="F10" s="198"/>
      <c r="G10" s="187">
        <f t="shared" si="1"/>
      </c>
      <c r="H10" s="395">
        <f t="shared" si="2"/>
      </c>
      <c r="I10" s="621"/>
      <c r="J10" s="105"/>
      <c r="K10" s="623"/>
      <c r="L10" s="105"/>
      <c r="M10" s="395">
        <f t="shared" si="3"/>
      </c>
      <c r="N10" s="624">
        <f t="shared" si="4"/>
      </c>
      <c r="O10" s="687"/>
      <c r="P10" s="399">
        <f>IF($H10="","",IF($O10="Ａ",LOOKUP($D10,{8000,8500,9000,10000,10032,12000},{0,1532,1032,32,0,0}),IF($O10="Ｂ",LOOKUP($D10,{8000,8500,9000,10000,10032,12000},{0,1532,1032,408,408,408}),IF($O10="Ｃ１",LOOKUP($D10,{8000,8500,9000,10000,10032,12000},{782,2814,2814,2814,2814,2814}),IF($O10="Ｃ２",LOOKUP($D10,{8000,8500,9000,10000,10032,12000},{3188,5220,5220,5220,5220,5220}),0)))))</f>
      </c>
      <c r="Q10" s="686"/>
      <c r="R10" s="626">
        <f>IF($H10="","",IF($Q10="Ａ",LOOKUP($D10,{8000,8500,9000,10000,10032,12000},{0,1532,1032,32,0,0}),IF($Q10="Ｂ",LOOKUP($D10,{8000,8500,9000,10000,10032,12000},{0,1532,1032,408,408,408}),IF($Q10="Ｃ１",LOOKUP($D10,{8000,8500,9000,10000,10032,12000},{782,2814,2814,2814,2814,2814}),IF($Q10="Ｃ２",LOOKUP($D10,{8000,8500,9000,10000,10032,12000},{3188,5220,5220,5220,5220,5220}),0)))))</f>
      </c>
      <c r="S10" s="402">
        <f t="shared" si="5"/>
      </c>
      <c r="T10" s="404">
        <f>IF(B10="","",SUMIF('2-3_調整額内訳④(旧・新制度)'!B:B,$B10,'2-3_調整額内訳④(旧・新制度)'!AH:AH))</f>
      </c>
      <c r="U10" s="700">
        <f t="shared" si="6"/>
      </c>
      <c r="V10" s="403">
        <f t="shared" si="7"/>
      </c>
      <c r="W10" s="404">
        <f t="shared" si="8"/>
      </c>
      <c r="X10" s="630"/>
      <c r="Y10" s="404">
        <f t="shared" si="9"/>
      </c>
      <c r="Z10" s="630"/>
      <c r="AA10" s="404" t="str">
        <f t="shared" si="10"/>
        <v>0</v>
      </c>
      <c r="AB10" s="403">
        <f t="shared" si="11"/>
        <v>0</v>
      </c>
      <c r="AC10" s="685"/>
      <c r="AD10" s="402">
        <f t="shared" si="12"/>
      </c>
      <c r="AE10" s="632">
        <f t="shared" si="13"/>
      </c>
      <c r="AF10" s="1144"/>
      <c r="AG10" s="1145"/>
      <c r="AH10" s="1146"/>
      <c r="AJ10" s="61">
        <f t="shared" si="14"/>
      </c>
      <c r="AK10" s="61">
        <f t="shared" si="15"/>
      </c>
      <c r="AM10" s="55"/>
      <c r="AN10" s="63"/>
    </row>
    <row r="11" spans="1:37" s="53" customFormat="1" ht="18.75" customHeight="1">
      <c r="A11" s="177">
        <f t="shared" si="0"/>
      </c>
      <c r="B11" s="688"/>
      <c r="C11" s="56"/>
      <c r="D11" s="442"/>
      <c r="E11" s="234"/>
      <c r="F11" s="198"/>
      <c r="G11" s="187">
        <f t="shared" si="1"/>
      </c>
      <c r="H11" s="395">
        <f t="shared" si="2"/>
      </c>
      <c r="I11" s="621"/>
      <c r="J11" s="105"/>
      <c r="K11" s="623"/>
      <c r="L11" s="105"/>
      <c r="M11" s="395">
        <f t="shared" si="3"/>
      </c>
      <c r="N11" s="624">
        <f t="shared" si="4"/>
      </c>
      <c r="O11" s="687"/>
      <c r="P11" s="399">
        <f>IF($H11="","",IF($O11="Ａ",LOOKUP($D11,{8000,8500,9000,10000,10032,12000},{0,1532,1032,32,0,0}),IF($O11="Ｂ",LOOKUP($D11,{8000,8500,9000,10000,10032,12000},{0,1532,1032,408,408,408}),IF($O11="Ｃ１",LOOKUP($D11,{8000,8500,9000,10000,10032,12000},{782,2814,2814,2814,2814,2814}),IF($O11="Ｃ２",LOOKUP($D11,{8000,8500,9000,10000,10032,12000},{3188,5220,5220,5220,5220,5220}),0)))))</f>
      </c>
      <c r="Q11" s="686"/>
      <c r="R11" s="626">
        <f>IF($H11="","",IF($Q11="Ａ",LOOKUP($D11,{8000,8500,9000,10000,10032,12000},{0,1532,1032,32,0,0}),IF($Q11="Ｂ",LOOKUP($D11,{8000,8500,9000,10000,10032,12000},{0,1532,1032,408,408,408}),IF($Q11="Ｃ１",LOOKUP($D11,{8000,8500,9000,10000,10032,12000},{782,2814,2814,2814,2814,2814}),IF($Q11="Ｃ２",LOOKUP($D11,{8000,8500,9000,10000,10032,12000},{3188,5220,5220,5220,5220,5220}),0)))))</f>
      </c>
      <c r="S11" s="402">
        <f t="shared" si="5"/>
      </c>
      <c r="T11" s="404">
        <f>IF(B11="","",SUMIF('2-3_調整額内訳④(旧・新制度)'!B:B,$B11,'2-3_調整額内訳④(旧・新制度)'!AH:AH))</f>
      </c>
      <c r="U11" s="700">
        <f t="shared" si="6"/>
      </c>
      <c r="V11" s="403">
        <f t="shared" si="7"/>
      </c>
      <c r="W11" s="404">
        <f t="shared" si="8"/>
      </c>
      <c r="X11" s="630"/>
      <c r="Y11" s="404">
        <f t="shared" si="9"/>
      </c>
      <c r="Z11" s="630"/>
      <c r="AA11" s="404" t="str">
        <f t="shared" si="10"/>
        <v>0</v>
      </c>
      <c r="AB11" s="403">
        <f t="shared" si="11"/>
        <v>0</v>
      </c>
      <c r="AC11" s="685"/>
      <c r="AD11" s="402">
        <f t="shared" si="12"/>
      </c>
      <c r="AE11" s="632">
        <f t="shared" si="13"/>
      </c>
      <c r="AF11" s="1144"/>
      <c r="AG11" s="1145"/>
      <c r="AH11" s="1146"/>
      <c r="AJ11" s="61">
        <f t="shared" si="14"/>
      </c>
      <c r="AK11" s="61">
        <f t="shared" si="15"/>
      </c>
    </row>
    <row r="12" spans="1:37" s="53" customFormat="1" ht="18.75" customHeight="1">
      <c r="A12" s="177">
        <f t="shared" si="0"/>
      </c>
      <c r="B12" s="688"/>
      <c r="C12" s="56"/>
      <c r="D12" s="442"/>
      <c r="E12" s="234"/>
      <c r="F12" s="198"/>
      <c r="G12" s="187">
        <f t="shared" si="1"/>
      </c>
      <c r="H12" s="395">
        <f t="shared" si="2"/>
      </c>
      <c r="I12" s="621"/>
      <c r="J12" s="105"/>
      <c r="K12" s="623"/>
      <c r="L12" s="105"/>
      <c r="M12" s="395">
        <f t="shared" si="3"/>
      </c>
      <c r="N12" s="624">
        <f t="shared" si="4"/>
      </c>
      <c r="O12" s="687"/>
      <c r="P12" s="399">
        <f>IF($H12="","",IF($O12="Ａ",LOOKUP($D12,{8000,8500,9000,10000,10032,12000},{0,1532,1032,32,0,0}),IF($O12="Ｂ",LOOKUP($D12,{8000,8500,9000,10000,10032,12000},{0,1532,1032,408,408,408}),IF($O12="Ｃ１",LOOKUP($D12,{8000,8500,9000,10000,10032,12000},{782,2814,2814,2814,2814,2814}),IF($O12="Ｃ２",LOOKUP($D12,{8000,8500,9000,10000,10032,12000},{3188,5220,5220,5220,5220,5220}),0)))))</f>
      </c>
      <c r="Q12" s="686"/>
      <c r="R12" s="626">
        <f>IF($H12="","",IF($Q12="Ａ",LOOKUP($D12,{8000,8500,9000,10000,10032,12000},{0,1532,1032,32,0,0}),IF($Q12="Ｂ",LOOKUP($D12,{8000,8500,9000,10000,10032,12000},{0,1532,1032,408,408,408}),IF($Q12="Ｃ１",LOOKUP($D12,{8000,8500,9000,10000,10032,12000},{782,2814,2814,2814,2814,2814}),IF($Q12="Ｃ２",LOOKUP($D12,{8000,8500,9000,10000,10032,12000},{3188,5220,5220,5220,5220,5220}),0)))))</f>
      </c>
      <c r="S12" s="402">
        <f t="shared" si="5"/>
      </c>
      <c r="T12" s="404">
        <f>IF(B12="","",SUMIF('2-3_調整額内訳④(旧・新制度)'!B:B,$B12,'2-3_調整額内訳④(旧・新制度)'!AH:AH))</f>
      </c>
      <c r="U12" s="700">
        <f t="shared" si="6"/>
      </c>
      <c r="V12" s="403">
        <f t="shared" si="7"/>
      </c>
      <c r="W12" s="404">
        <f t="shared" si="8"/>
      </c>
      <c r="X12" s="630"/>
      <c r="Y12" s="404">
        <f t="shared" si="9"/>
      </c>
      <c r="Z12" s="630"/>
      <c r="AA12" s="404" t="str">
        <f t="shared" si="10"/>
        <v>0</v>
      </c>
      <c r="AB12" s="403">
        <f t="shared" si="11"/>
        <v>0</v>
      </c>
      <c r="AC12" s="685"/>
      <c r="AD12" s="402">
        <f t="shared" si="12"/>
      </c>
      <c r="AE12" s="632">
        <f t="shared" si="13"/>
      </c>
      <c r="AF12" s="1144"/>
      <c r="AG12" s="1145"/>
      <c r="AH12" s="1146"/>
      <c r="AJ12" s="61">
        <f t="shared" si="14"/>
      </c>
      <c r="AK12" s="61">
        <f t="shared" si="15"/>
      </c>
    </row>
    <row r="13" spans="1:37" s="53" customFormat="1" ht="18.75" customHeight="1">
      <c r="A13" s="177">
        <f t="shared" si="0"/>
      </c>
      <c r="B13" s="688"/>
      <c r="C13" s="56"/>
      <c r="D13" s="442"/>
      <c r="E13" s="234"/>
      <c r="F13" s="198"/>
      <c r="G13" s="187">
        <f t="shared" si="1"/>
      </c>
      <c r="H13" s="395">
        <f t="shared" si="2"/>
      </c>
      <c r="I13" s="621"/>
      <c r="J13" s="105"/>
      <c r="K13" s="623"/>
      <c r="L13" s="105"/>
      <c r="M13" s="395">
        <f t="shared" si="3"/>
      </c>
      <c r="N13" s="624">
        <f t="shared" si="4"/>
      </c>
      <c r="O13" s="687"/>
      <c r="P13" s="399">
        <f>IF($H13="","",IF($O13="Ａ",LOOKUP($D13,{8000,8500,9000,10000,10032,12000},{0,1532,1032,32,0,0}),IF($O13="Ｂ",LOOKUP($D13,{8000,8500,9000,10000,10032,12000},{0,1532,1032,408,408,408}),IF($O13="Ｃ１",LOOKUP($D13,{8000,8500,9000,10000,10032,12000},{782,2814,2814,2814,2814,2814}),IF($O13="Ｃ２",LOOKUP($D13,{8000,8500,9000,10000,10032,12000},{3188,5220,5220,5220,5220,5220}),0)))))</f>
      </c>
      <c r="Q13" s="686"/>
      <c r="R13" s="626">
        <f>IF($H13="","",IF($Q13="Ａ",LOOKUP($D13,{8000,8500,9000,10000,10032,12000},{0,1532,1032,32,0,0}),IF($Q13="Ｂ",LOOKUP($D13,{8000,8500,9000,10000,10032,12000},{0,1532,1032,408,408,408}),IF($Q13="Ｃ１",LOOKUP($D13,{8000,8500,9000,10000,10032,12000},{782,2814,2814,2814,2814,2814}),IF($Q13="Ｃ２",LOOKUP($D13,{8000,8500,9000,10000,10032,12000},{3188,5220,5220,5220,5220,5220}),0)))))</f>
      </c>
      <c r="S13" s="402">
        <f t="shared" si="5"/>
      </c>
      <c r="T13" s="404">
        <f>IF(B13="","",SUMIF('2-3_調整額内訳④(旧・新制度)'!B:B,$B13,'2-3_調整額内訳④(旧・新制度)'!AH:AH))</f>
      </c>
      <c r="U13" s="700">
        <f t="shared" si="6"/>
      </c>
      <c r="V13" s="403">
        <f t="shared" si="7"/>
      </c>
      <c r="W13" s="404">
        <f t="shared" si="8"/>
      </c>
      <c r="X13" s="630"/>
      <c r="Y13" s="404">
        <f t="shared" si="9"/>
      </c>
      <c r="Z13" s="630"/>
      <c r="AA13" s="404" t="str">
        <f t="shared" si="10"/>
        <v>0</v>
      </c>
      <c r="AB13" s="403">
        <f t="shared" si="11"/>
        <v>0</v>
      </c>
      <c r="AC13" s="685"/>
      <c r="AD13" s="402">
        <f t="shared" si="12"/>
      </c>
      <c r="AE13" s="632">
        <f t="shared" si="13"/>
      </c>
      <c r="AF13" s="1144"/>
      <c r="AG13" s="1145"/>
      <c r="AH13" s="1146"/>
      <c r="AJ13" s="61">
        <f t="shared" si="14"/>
      </c>
      <c r="AK13" s="61">
        <f t="shared" si="15"/>
      </c>
    </row>
    <row r="14" spans="1:37" s="53" customFormat="1" ht="18.75" customHeight="1">
      <c r="A14" s="177">
        <f t="shared" si="0"/>
      </c>
      <c r="B14" s="688"/>
      <c r="C14" s="56"/>
      <c r="D14" s="442"/>
      <c r="E14" s="234"/>
      <c r="F14" s="198"/>
      <c r="G14" s="187">
        <f t="shared" si="1"/>
      </c>
      <c r="H14" s="395">
        <f t="shared" si="2"/>
      </c>
      <c r="I14" s="621"/>
      <c r="J14" s="105"/>
      <c r="K14" s="623"/>
      <c r="L14" s="105"/>
      <c r="M14" s="395">
        <f t="shared" si="3"/>
      </c>
      <c r="N14" s="624">
        <f t="shared" si="4"/>
      </c>
      <c r="O14" s="687"/>
      <c r="P14" s="399">
        <f>IF($H14="","",IF($O14="Ａ",LOOKUP($D14,{8000,8500,9000,10000,10032,12000},{0,1532,1032,32,0,0}),IF($O14="Ｂ",LOOKUP($D14,{8000,8500,9000,10000,10032,12000},{0,1532,1032,408,408,408}),IF($O14="Ｃ１",LOOKUP($D14,{8000,8500,9000,10000,10032,12000},{782,2814,2814,2814,2814,2814}),IF($O14="Ｃ２",LOOKUP($D14,{8000,8500,9000,10000,10032,12000},{3188,5220,5220,5220,5220,5220}),0)))))</f>
      </c>
      <c r="Q14" s="686"/>
      <c r="R14" s="626">
        <f>IF($H14="","",IF($Q14="Ａ",LOOKUP($D14,{8000,8500,9000,10000,10032,12000},{0,1532,1032,32,0,0}),IF($Q14="Ｂ",LOOKUP($D14,{8000,8500,9000,10000,10032,12000},{0,1532,1032,408,408,408}),IF($Q14="Ｃ１",LOOKUP($D14,{8000,8500,9000,10000,10032,12000},{782,2814,2814,2814,2814,2814}),IF($Q14="Ｃ２",LOOKUP($D14,{8000,8500,9000,10000,10032,12000},{3188,5220,5220,5220,5220,5220}),0)))))</f>
      </c>
      <c r="S14" s="402">
        <f t="shared" si="5"/>
      </c>
      <c r="T14" s="404">
        <f>IF(B14="","",SUMIF('2-3_調整額内訳④(旧・新制度)'!B:B,$B14,'2-3_調整額内訳④(旧・新制度)'!AH:AH))</f>
      </c>
      <c r="U14" s="700">
        <f t="shared" si="6"/>
      </c>
      <c r="V14" s="403">
        <f t="shared" si="7"/>
      </c>
      <c r="W14" s="404">
        <f t="shared" si="8"/>
      </c>
      <c r="X14" s="630"/>
      <c r="Y14" s="404">
        <f t="shared" si="9"/>
      </c>
      <c r="Z14" s="630"/>
      <c r="AA14" s="404" t="str">
        <f t="shared" si="10"/>
        <v>0</v>
      </c>
      <c r="AB14" s="403">
        <f t="shared" si="11"/>
        <v>0</v>
      </c>
      <c r="AC14" s="685"/>
      <c r="AD14" s="402">
        <f t="shared" si="12"/>
      </c>
      <c r="AE14" s="632">
        <f t="shared" si="13"/>
      </c>
      <c r="AF14" s="1144"/>
      <c r="AG14" s="1145"/>
      <c r="AH14" s="1146"/>
      <c r="AJ14" s="61">
        <f t="shared" si="14"/>
      </c>
      <c r="AK14" s="61">
        <f t="shared" si="15"/>
      </c>
    </row>
    <row r="15" spans="1:37" s="53" customFormat="1" ht="18.75" customHeight="1">
      <c r="A15" s="177">
        <f t="shared" si="0"/>
      </c>
      <c r="B15" s="620"/>
      <c r="C15" s="56"/>
      <c r="D15" s="442"/>
      <c r="E15" s="234"/>
      <c r="F15" s="198"/>
      <c r="G15" s="187">
        <f t="shared" si="1"/>
      </c>
      <c r="H15" s="395">
        <f t="shared" si="2"/>
      </c>
      <c r="I15" s="621"/>
      <c r="J15" s="105"/>
      <c r="K15" s="623"/>
      <c r="L15" s="105"/>
      <c r="M15" s="395">
        <f t="shared" si="3"/>
      </c>
      <c r="N15" s="624">
        <f t="shared" si="4"/>
      </c>
      <c r="O15" s="687"/>
      <c r="P15" s="399">
        <f>IF($H15="","",IF($O15="Ａ",LOOKUP($D15,{8000,8500,9000,10000,10032,12000},{0,1532,1032,32,0,0}),IF($O15="Ｂ",LOOKUP($D15,{8000,8500,9000,10000,10032,12000},{0,1532,1032,408,408,408}),IF($O15="Ｃ１",LOOKUP($D15,{8000,8500,9000,10000,10032,12000},{782,2814,2814,2814,2814,2814}),IF($O15="Ｃ２",LOOKUP($D15,{8000,8500,9000,10000,10032,12000},{3188,5220,5220,5220,5220,5220}),0)))))</f>
      </c>
      <c r="Q15" s="686"/>
      <c r="R15" s="626">
        <f>IF($H15="","",IF($Q15="Ａ",LOOKUP($D15,{8000,8500,9000,10000,10032,12000},{0,1532,1032,32,0,0}),IF($Q15="Ｂ",LOOKUP($D15,{8000,8500,9000,10000,10032,12000},{0,1532,1032,408,408,408}),IF($Q15="Ｃ１",LOOKUP($D15,{8000,8500,9000,10000,10032,12000},{782,2814,2814,2814,2814,2814}),IF($Q15="Ｃ２",LOOKUP($D15,{8000,8500,9000,10000,10032,12000},{3188,5220,5220,5220,5220,5220}),0)))))</f>
      </c>
      <c r="S15" s="402">
        <f t="shared" si="5"/>
      </c>
      <c r="T15" s="759">
        <f>IF(B15="","",SUMIF('2-3_調整額内訳④(旧・新制度)'!B:B,$B15,'2-3_調整額内訳④(旧・新制度)'!AH:AH))</f>
      </c>
      <c r="U15" s="763">
        <f t="shared" si="6"/>
      </c>
      <c r="V15" s="403">
        <f t="shared" si="7"/>
      </c>
      <c r="W15" s="404">
        <f t="shared" si="8"/>
      </c>
      <c r="X15" s="630"/>
      <c r="Y15" s="404">
        <f t="shared" si="9"/>
      </c>
      <c r="Z15" s="630"/>
      <c r="AA15" s="404" t="str">
        <f t="shared" si="10"/>
        <v>0</v>
      </c>
      <c r="AB15" s="403">
        <f t="shared" si="11"/>
        <v>0</v>
      </c>
      <c r="AC15" s="685"/>
      <c r="AD15" s="402">
        <f t="shared" si="12"/>
      </c>
      <c r="AE15" s="632">
        <f t="shared" si="13"/>
      </c>
      <c r="AF15" s="1144"/>
      <c r="AG15" s="1145"/>
      <c r="AH15" s="1146"/>
      <c r="AJ15" s="61">
        <f t="shared" si="14"/>
      </c>
      <c r="AK15" s="61">
        <f t="shared" si="15"/>
      </c>
    </row>
    <row r="16" spans="1:37" s="53" customFormat="1" ht="18.75" customHeight="1">
      <c r="A16" s="177">
        <f t="shared" si="0"/>
      </c>
      <c r="B16" s="620"/>
      <c r="C16" s="56"/>
      <c r="D16" s="442"/>
      <c r="E16" s="234"/>
      <c r="F16" s="198"/>
      <c r="G16" s="187">
        <f t="shared" si="1"/>
      </c>
      <c r="H16" s="395">
        <f t="shared" si="2"/>
      </c>
      <c r="I16" s="621"/>
      <c r="J16" s="105"/>
      <c r="K16" s="623"/>
      <c r="L16" s="105"/>
      <c r="M16" s="395">
        <f t="shared" si="3"/>
      </c>
      <c r="N16" s="624">
        <f t="shared" si="4"/>
      </c>
      <c r="O16" s="687"/>
      <c r="P16" s="399">
        <f>IF($H16="","",IF($O16="Ａ",LOOKUP($D16,{8000,8500,9000,10000,10032,12000},{0,1532,1032,32,0,0}),IF($O16="Ｂ",LOOKUP($D16,{8000,8500,9000,10000,10032,12000},{0,1532,1032,408,408,408}),IF($O16="Ｃ１",LOOKUP($D16,{8000,8500,9000,10000,10032,12000},{782,2814,2814,2814,2814,2814}),IF($O16="Ｃ２",LOOKUP($D16,{8000,8500,9000,10000,10032,12000},{3188,5220,5220,5220,5220,5220}),0)))))</f>
      </c>
      <c r="Q16" s="686"/>
      <c r="R16" s="626">
        <f>IF($H16="","",IF($Q16="Ａ",LOOKUP($D16,{8000,8500,9000,10000,10032,12000},{0,1532,1032,32,0,0}),IF($Q16="Ｂ",LOOKUP($D16,{8000,8500,9000,10000,10032,12000},{0,1532,1032,408,408,408}),IF($Q16="Ｃ１",LOOKUP($D16,{8000,8500,9000,10000,10032,12000},{782,2814,2814,2814,2814,2814}),IF($Q16="Ｃ２",LOOKUP($D16,{8000,8500,9000,10000,10032,12000},{3188,5220,5220,5220,5220,5220}),0)))))</f>
      </c>
      <c r="S16" s="402">
        <f t="shared" si="5"/>
      </c>
      <c r="T16" s="404">
        <f>IF(B16="","",SUMIF('2-3_調整額内訳④(旧・新制度)'!B:B,$B16,'2-3_調整額内訳④(旧・新制度)'!AH:AH))</f>
      </c>
      <c r="U16" s="700">
        <f t="shared" si="6"/>
      </c>
      <c r="V16" s="403">
        <f t="shared" si="7"/>
      </c>
      <c r="W16" s="404">
        <f t="shared" si="8"/>
      </c>
      <c r="X16" s="630"/>
      <c r="Y16" s="404">
        <f t="shared" si="9"/>
      </c>
      <c r="Z16" s="630"/>
      <c r="AA16" s="404" t="str">
        <f t="shared" si="10"/>
        <v>0</v>
      </c>
      <c r="AB16" s="403">
        <f t="shared" si="11"/>
        <v>0</v>
      </c>
      <c r="AC16" s="685"/>
      <c r="AD16" s="402">
        <f t="shared" si="12"/>
      </c>
      <c r="AE16" s="632">
        <f t="shared" si="13"/>
      </c>
      <c r="AF16" s="1144"/>
      <c r="AG16" s="1145"/>
      <c r="AH16" s="1146"/>
      <c r="AJ16" s="61">
        <f t="shared" si="14"/>
      </c>
      <c r="AK16" s="61">
        <f t="shared" si="15"/>
      </c>
    </row>
    <row r="17" spans="1:37" s="53" customFormat="1" ht="18.75" customHeight="1">
      <c r="A17" s="177">
        <f t="shared" si="0"/>
      </c>
      <c r="B17" s="620"/>
      <c r="C17" s="56"/>
      <c r="D17" s="442"/>
      <c r="E17" s="234"/>
      <c r="F17" s="198"/>
      <c r="G17" s="187">
        <f t="shared" si="1"/>
      </c>
      <c r="H17" s="395">
        <f t="shared" si="2"/>
      </c>
      <c r="I17" s="621"/>
      <c r="J17" s="105"/>
      <c r="K17" s="623"/>
      <c r="L17" s="105"/>
      <c r="M17" s="395">
        <f t="shared" si="3"/>
      </c>
      <c r="N17" s="624">
        <f t="shared" si="4"/>
      </c>
      <c r="O17" s="687"/>
      <c r="P17" s="399">
        <f>IF($H17="","",IF($O17="Ａ",LOOKUP($D17,{8000,8500,9000,10000,10032,12000},{0,1532,1032,32,0,0}),IF($O17="Ｂ",LOOKUP($D17,{8000,8500,9000,10000,10032,12000},{0,1532,1032,408,408,408}),IF($O17="Ｃ１",LOOKUP($D17,{8000,8500,9000,10000,10032,12000},{782,2814,2814,2814,2814,2814}),IF($O17="Ｃ２",LOOKUP($D17,{8000,8500,9000,10000,10032,12000},{3188,5220,5220,5220,5220,5220}),0)))))</f>
      </c>
      <c r="Q17" s="686"/>
      <c r="R17" s="626">
        <f>IF($H17="","",IF($Q17="Ａ",LOOKUP($D17,{8000,8500,9000,10000,10032,12000},{0,1532,1032,32,0,0}),IF($Q17="Ｂ",LOOKUP($D17,{8000,8500,9000,10000,10032,12000},{0,1532,1032,408,408,408}),IF($Q17="Ｃ１",LOOKUP($D17,{8000,8500,9000,10000,10032,12000},{782,2814,2814,2814,2814,2814}),IF($Q17="Ｃ２",LOOKUP($D17,{8000,8500,9000,10000,10032,12000},{3188,5220,5220,5220,5220,5220}),0)))))</f>
      </c>
      <c r="S17" s="402">
        <f t="shared" si="5"/>
      </c>
      <c r="T17" s="404">
        <f>IF(B17="","",SUMIF('2-3_調整額内訳④(旧・新制度)'!B:B,$B17,'2-3_調整額内訳④(旧・新制度)'!AH:AH))</f>
      </c>
      <c r="U17" s="700">
        <f t="shared" si="6"/>
      </c>
      <c r="V17" s="403">
        <f t="shared" si="7"/>
      </c>
      <c r="W17" s="404">
        <f t="shared" si="8"/>
      </c>
      <c r="X17" s="630"/>
      <c r="Y17" s="404">
        <f t="shared" si="9"/>
      </c>
      <c r="Z17" s="630"/>
      <c r="AA17" s="404" t="str">
        <f t="shared" si="10"/>
        <v>0</v>
      </c>
      <c r="AB17" s="403">
        <f t="shared" si="11"/>
        <v>0</v>
      </c>
      <c r="AC17" s="685"/>
      <c r="AD17" s="402">
        <f t="shared" si="12"/>
      </c>
      <c r="AE17" s="632">
        <f t="shared" si="13"/>
      </c>
      <c r="AF17" s="1144"/>
      <c r="AG17" s="1145"/>
      <c r="AH17" s="1146"/>
      <c r="AJ17" s="61">
        <f t="shared" si="14"/>
      </c>
      <c r="AK17" s="61">
        <f t="shared" si="15"/>
      </c>
    </row>
    <row r="18" spans="1:37" s="53" customFormat="1" ht="18.75" customHeight="1">
      <c r="A18" s="177">
        <f t="shared" si="0"/>
      </c>
      <c r="B18" s="620"/>
      <c r="C18" s="56"/>
      <c r="D18" s="442"/>
      <c r="E18" s="234"/>
      <c r="F18" s="198"/>
      <c r="G18" s="187">
        <f t="shared" si="1"/>
      </c>
      <c r="H18" s="395">
        <f t="shared" si="2"/>
      </c>
      <c r="I18" s="621"/>
      <c r="J18" s="105"/>
      <c r="K18" s="623"/>
      <c r="L18" s="105"/>
      <c r="M18" s="395">
        <f t="shared" si="3"/>
      </c>
      <c r="N18" s="624">
        <f t="shared" si="4"/>
      </c>
      <c r="O18" s="687"/>
      <c r="P18" s="399">
        <f>IF($H18="","",IF($O18="Ａ",LOOKUP($D18,{8000,8500,9000,10000,10032,12000},{0,1532,1032,32,0,0}),IF($O18="Ｂ",LOOKUP($D18,{8000,8500,9000,10000,10032,12000},{0,1532,1032,408,408,408}),IF($O18="Ｃ１",LOOKUP($D18,{8000,8500,9000,10000,10032,12000},{782,2814,2814,2814,2814,2814}),IF($O18="Ｃ２",LOOKUP($D18,{8000,8500,9000,10000,10032,12000},{3188,5220,5220,5220,5220,5220}),0)))))</f>
      </c>
      <c r="Q18" s="686"/>
      <c r="R18" s="626">
        <f>IF($H18="","",IF($Q18="Ａ",LOOKUP($D18,{8000,8500,9000,10000,10032,12000},{0,1532,1032,32,0,0}),IF($Q18="Ｂ",LOOKUP($D18,{8000,8500,9000,10000,10032,12000},{0,1532,1032,408,408,408}),IF($Q18="Ｃ１",LOOKUP($D18,{8000,8500,9000,10000,10032,12000},{782,2814,2814,2814,2814,2814}),IF($Q18="Ｃ２",LOOKUP($D18,{8000,8500,9000,10000,10032,12000},{3188,5220,5220,5220,5220,5220}),0)))))</f>
      </c>
      <c r="S18" s="402">
        <f t="shared" si="5"/>
      </c>
      <c r="T18" s="404">
        <f>IF(B18="","",SUMIF('2-3_調整額内訳④(旧・新制度)'!B:B,$B18,'2-3_調整額内訳④(旧・新制度)'!AH:AH))</f>
      </c>
      <c r="U18" s="700">
        <f t="shared" si="6"/>
      </c>
      <c r="V18" s="403">
        <f t="shared" si="7"/>
      </c>
      <c r="W18" s="404">
        <f t="shared" si="8"/>
      </c>
      <c r="X18" s="630"/>
      <c r="Y18" s="404">
        <f t="shared" si="9"/>
      </c>
      <c r="Z18" s="630"/>
      <c r="AA18" s="404" t="str">
        <f t="shared" si="10"/>
        <v>0</v>
      </c>
      <c r="AB18" s="403">
        <f t="shared" si="11"/>
        <v>0</v>
      </c>
      <c r="AC18" s="685"/>
      <c r="AD18" s="402">
        <f t="shared" si="12"/>
      </c>
      <c r="AE18" s="632">
        <f t="shared" si="13"/>
      </c>
      <c r="AF18" s="1144"/>
      <c r="AG18" s="1145"/>
      <c r="AH18" s="1146"/>
      <c r="AJ18" s="61">
        <f t="shared" si="14"/>
      </c>
      <c r="AK18" s="61">
        <f t="shared" si="15"/>
      </c>
    </row>
    <row r="19" spans="1:37" s="53" customFormat="1" ht="18.75" customHeight="1">
      <c r="A19" s="177">
        <f t="shared" si="0"/>
      </c>
      <c r="B19" s="620"/>
      <c r="C19" s="56"/>
      <c r="D19" s="442"/>
      <c r="E19" s="234"/>
      <c r="F19" s="198"/>
      <c r="G19" s="187">
        <f t="shared" si="1"/>
      </c>
      <c r="H19" s="395">
        <f t="shared" si="2"/>
      </c>
      <c r="I19" s="621"/>
      <c r="J19" s="105"/>
      <c r="K19" s="623"/>
      <c r="L19" s="105"/>
      <c r="M19" s="395">
        <f t="shared" si="3"/>
      </c>
      <c r="N19" s="624">
        <f t="shared" si="4"/>
      </c>
      <c r="O19" s="687"/>
      <c r="P19" s="399">
        <f>IF($H19="","",IF($O19="Ａ",LOOKUP($D19,{8000,8500,9000,10000,10032,12000},{0,1532,1032,32,0,0}),IF($O19="Ｂ",LOOKUP($D19,{8000,8500,9000,10000,10032,12000},{0,1532,1032,408,408,408}),IF($O19="Ｃ１",LOOKUP($D19,{8000,8500,9000,10000,10032,12000},{782,2814,2814,2814,2814,2814}),IF($O19="Ｃ２",LOOKUP($D19,{8000,8500,9000,10000,10032,12000},{3188,5220,5220,5220,5220,5220}),0)))))</f>
      </c>
      <c r="Q19" s="686"/>
      <c r="R19" s="626">
        <f>IF($H19="","",IF($Q19="Ａ",LOOKUP($D19,{8000,8500,9000,10000,10032,12000},{0,1532,1032,32,0,0}),IF($Q19="Ｂ",LOOKUP($D19,{8000,8500,9000,10000,10032,12000},{0,1532,1032,408,408,408}),IF($Q19="Ｃ１",LOOKUP($D19,{8000,8500,9000,10000,10032,12000},{782,2814,2814,2814,2814,2814}),IF($Q19="Ｃ２",LOOKUP($D19,{8000,8500,9000,10000,10032,12000},{3188,5220,5220,5220,5220,5220}),0)))))</f>
      </c>
      <c r="S19" s="402">
        <f t="shared" si="5"/>
      </c>
      <c r="T19" s="404">
        <f>IF(B19="","",SUMIF('2-3_調整額内訳④(旧・新制度)'!B:B,$B19,'2-3_調整額内訳④(旧・新制度)'!AH:AH))</f>
      </c>
      <c r="U19" s="700">
        <f t="shared" si="6"/>
      </c>
      <c r="V19" s="403">
        <f t="shared" si="7"/>
      </c>
      <c r="W19" s="404">
        <f t="shared" si="8"/>
      </c>
      <c r="X19" s="630"/>
      <c r="Y19" s="404">
        <f t="shared" si="9"/>
      </c>
      <c r="Z19" s="630"/>
      <c r="AA19" s="404" t="str">
        <f t="shared" si="10"/>
        <v>0</v>
      </c>
      <c r="AB19" s="403">
        <f t="shared" si="11"/>
        <v>0</v>
      </c>
      <c r="AC19" s="685"/>
      <c r="AD19" s="402">
        <f t="shared" si="12"/>
      </c>
      <c r="AE19" s="632">
        <f t="shared" si="13"/>
      </c>
      <c r="AF19" s="1144"/>
      <c r="AG19" s="1145"/>
      <c r="AH19" s="1146"/>
      <c r="AJ19" s="61">
        <f t="shared" si="14"/>
      </c>
      <c r="AK19" s="61">
        <f t="shared" si="15"/>
      </c>
    </row>
    <row r="20" spans="1:37" s="53" customFormat="1" ht="18.75" customHeight="1">
      <c r="A20" s="177">
        <f t="shared" si="0"/>
      </c>
      <c r="B20" s="620"/>
      <c r="C20" s="56"/>
      <c r="D20" s="442"/>
      <c r="E20" s="234"/>
      <c r="F20" s="198"/>
      <c r="G20" s="187">
        <f t="shared" si="1"/>
      </c>
      <c r="H20" s="395">
        <f t="shared" si="2"/>
      </c>
      <c r="I20" s="621"/>
      <c r="J20" s="105"/>
      <c r="K20" s="623"/>
      <c r="L20" s="105"/>
      <c r="M20" s="395">
        <f t="shared" si="3"/>
      </c>
      <c r="N20" s="624">
        <f t="shared" si="4"/>
      </c>
      <c r="O20" s="687"/>
      <c r="P20" s="399">
        <f>IF($H20="","",IF($O20="Ａ",LOOKUP($D20,{8000,8500,9000,10000,10032,12000},{0,1532,1032,32,0,0}),IF($O20="Ｂ",LOOKUP($D20,{8000,8500,9000,10000,10032,12000},{0,1532,1032,408,408,408}),IF($O20="Ｃ１",LOOKUP($D20,{8000,8500,9000,10000,10032,12000},{782,2814,2814,2814,2814,2814}),IF($O20="Ｃ２",LOOKUP($D20,{8000,8500,9000,10000,10032,12000},{3188,5220,5220,5220,5220,5220}),0)))))</f>
      </c>
      <c r="Q20" s="686"/>
      <c r="R20" s="626">
        <f>IF($H20="","",IF($Q20="Ａ",LOOKUP($D20,{8000,8500,9000,10000,10032,12000},{0,1532,1032,32,0,0}),IF($Q20="Ｂ",LOOKUP($D20,{8000,8500,9000,10000,10032,12000},{0,1532,1032,408,408,408}),IF($Q20="Ｃ１",LOOKUP($D20,{8000,8500,9000,10000,10032,12000},{782,2814,2814,2814,2814,2814}),IF($Q20="Ｃ２",LOOKUP($D20,{8000,8500,9000,10000,10032,12000},{3188,5220,5220,5220,5220,5220}),0)))))</f>
      </c>
      <c r="S20" s="402">
        <f t="shared" si="5"/>
      </c>
      <c r="T20" s="404">
        <f>IF(B20="","",SUMIF('2-3_調整額内訳④(旧・新制度)'!B:B,$B20,'2-3_調整額内訳④(旧・新制度)'!AH:AH))</f>
      </c>
      <c r="U20" s="700">
        <f t="shared" si="6"/>
      </c>
      <c r="V20" s="403">
        <f t="shared" si="7"/>
      </c>
      <c r="W20" s="404">
        <f t="shared" si="8"/>
      </c>
      <c r="X20" s="630"/>
      <c r="Y20" s="404">
        <f t="shared" si="9"/>
      </c>
      <c r="Z20" s="630"/>
      <c r="AA20" s="404" t="str">
        <f t="shared" si="10"/>
        <v>0</v>
      </c>
      <c r="AB20" s="403">
        <f t="shared" si="11"/>
        <v>0</v>
      </c>
      <c r="AC20" s="685"/>
      <c r="AD20" s="402">
        <f t="shared" si="12"/>
      </c>
      <c r="AE20" s="632">
        <f t="shared" si="13"/>
      </c>
      <c r="AF20" s="1144"/>
      <c r="AG20" s="1145"/>
      <c r="AH20" s="1146"/>
      <c r="AJ20" s="61">
        <f t="shared" si="14"/>
      </c>
      <c r="AK20" s="61">
        <f t="shared" si="15"/>
      </c>
    </row>
    <row r="21" spans="1:37" s="53" customFormat="1" ht="18.75" customHeight="1">
      <c r="A21" s="177">
        <f t="shared" si="0"/>
      </c>
      <c r="B21" s="620"/>
      <c r="C21" s="56"/>
      <c r="D21" s="442"/>
      <c r="E21" s="234"/>
      <c r="F21" s="198"/>
      <c r="G21" s="187">
        <f t="shared" si="1"/>
      </c>
      <c r="H21" s="395">
        <f t="shared" si="2"/>
      </c>
      <c r="I21" s="621"/>
      <c r="J21" s="105"/>
      <c r="K21" s="623"/>
      <c r="L21" s="105"/>
      <c r="M21" s="395">
        <f t="shared" si="3"/>
      </c>
      <c r="N21" s="624">
        <f t="shared" si="4"/>
      </c>
      <c r="O21" s="687"/>
      <c r="P21" s="399">
        <f>IF($H21="","",IF($O21="Ａ",LOOKUP($D21,{8000,8500,9000,10000,10032,12000},{0,1532,1032,32,0,0}),IF($O21="Ｂ",LOOKUP($D21,{8000,8500,9000,10000,10032,12000},{0,1532,1032,408,408,408}),IF($O21="Ｃ１",LOOKUP($D21,{8000,8500,9000,10000,10032,12000},{782,2814,2814,2814,2814,2814}),IF($O21="Ｃ２",LOOKUP($D21,{8000,8500,9000,10000,10032,12000},{3188,5220,5220,5220,5220,5220}),0)))))</f>
      </c>
      <c r="Q21" s="686"/>
      <c r="R21" s="626">
        <f>IF($H21="","",IF($Q21="Ａ",LOOKUP($D21,{8000,8500,9000,10000,10032,12000},{0,1532,1032,32,0,0}),IF($Q21="Ｂ",LOOKUP($D21,{8000,8500,9000,10000,10032,12000},{0,1532,1032,408,408,408}),IF($Q21="Ｃ１",LOOKUP($D21,{8000,8500,9000,10000,10032,12000},{782,2814,2814,2814,2814,2814}),IF($Q21="Ｃ２",LOOKUP($D21,{8000,8500,9000,10000,10032,12000},{3188,5220,5220,5220,5220,5220}),0)))))</f>
      </c>
      <c r="S21" s="402">
        <f t="shared" si="5"/>
      </c>
      <c r="T21" s="404">
        <f>IF(B21="","",SUMIF('2-3_調整額内訳④(旧・新制度)'!B:B,$B21,'2-3_調整額内訳④(旧・新制度)'!AH:AH))</f>
      </c>
      <c r="U21" s="700">
        <f t="shared" si="6"/>
      </c>
      <c r="V21" s="403">
        <f t="shared" si="7"/>
      </c>
      <c r="W21" s="404">
        <f t="shared" si="8"/>
      </c>
      <c r="X21" s="630"/>
      <c r="Y21" s="404">
        <f t="shared" si="9"/>
      </c>
      <c r="Z21" s="630"/>
      <c r="AA21" s="404" t="str">
        <f t="shared" si="10"/>
        <v>0</v>
      </c>
      <c r="AB21" s="403">
        <f t="shared" si="11"/>
        <v>0</v>
      </c>
      <c r="AC21" s="685"/>
      <c r="AD21" s="402">
        <f t="shared" si="12"/>
      </c>
      <c r="AE21" s="632">
        <f t="shared" si="13"/>
      </c>
      <c r="AF21" s="1144"/>
      <c r="AG21" s="1145"/>
      <c r="AH21" s="1146"/>
      <c r="AJ21" s="61">
        <f t="shared" si="14"/>
      </c>
      <c r="AK21" s="61">
        <f t="shared" si="15"/>
      </c>
    </row>
    <row r="22" spans="1:37" s="53" customFormat="1" ht="18.75" customHeight="1">
      <c r="A22" s="177">
        <f t="shared" si="0"/>
      </c>
      <c r="B22" s="620"/>
      <c r="C22" s="56"/>
      <c r="D22" s="442"/>
      <c r="E22" s="234"/>
      <c r="F22" s="198"/>
      <c r="G22" s="187">
        <f t="shared" si="1"/>
      </c>
      <c r="H22" s="395">
        <f t="shared" si="2"/>
      </c>
      <c r="I22" s="621"/>
      <c r="J22" s="105"/>
      <c r="K22" s="623"/>
      <c r="L22" s="105"/>
      <c r="M22" s="395">
        <f t="shared" si="3"/>
      </c>
      <c r="N22" s="624">
        <f t="shared" si="4"/>
      </c>
      <c r="O22" s="687"/>
      <c r="P22" s="399">
        <f>IF($H22="","",IF($O22="Ａ",LOOKUP($D22,{8000,8500,9000,10000,10032,12000},{0,1532,1032,32,0,0}),IF($O22="Ｂ",LOOKUP($D22,{8000,8500,9000,10000,10032,12000},{0,1532,1032,408,408,408}),IF($O22="Ｃ１",LOOKUP($D22,{8000,8500,9000,10000,10032,12000},{782,2814,2814,2814,2814,2814}),IF($O22="Ｃ２",LOOKUP($D22,{8000,8500,9000,10000,10032,12000},{3188,5220,5220,5220,5220,5220}),0)))))</f>
      </c>
      <c r="Q22" s="686"/>
      <c r="R22" s="626">
        <f>IF($H22="","",IF($Q22="Ａ",LOOKUP($D22,{8000,8500,9000,10000,10032,12000},{0,1532,1032,32,0,0}),IF($Q22="Ｂ",LOOKUP($D22,{8000,8500,9000,10000,10032,12000},{0,1532,1032,408,408,408}),IF($Q22="Ｃ１",LOOKUP($D22,{8000,8500,9000,10000,10032,12000},{782,2814,2814,2814,2814,2814}),IF($Q22="Ｃ２",LOOKUP($D22,{8000,8500,9000,10000,10032,12000},{3188,5220,5220,5220,5220,5220}),0)))))</f>
      </c>
      <c r="S22" s="402">
        <f t="shared" si="5"/>
      </c>
      <c r="T22" s="404">
        <f>IF(B22="","",SUMIF('2-3_調整額内訳④(旧・新制度)'!B:B,$B22,'2-3_調整額内訳④(旧・新制度)'!AH:AH))</f>
      </c>
      <c r="U22" s="700">
        <f t="shared" si="6"/>
      </c>
      <c r="V22" s="403">
        <f t="shared" si="7"/>
      </c>
      <c r="W22" s="404">
        <f t="shared" si="8"/>
      </c>
      <c r="X22" s="630"/>
      <c r="Y22" s="404">
        <f t="shared" si="9"/>
      </c>
      <c r="Z22" s="630"/>
      <c r="AA22" s="404" t="str">
        <f t="shared" si="10"/>
        <v>0</v>
      </c>
      <c r="AB22" s="403">
        <f t="shared" si="11"/>
        <v>0</v>
      </c>
      <c r="AC22" s="685"/>
      <c r="AD22" s="402">
        <f t="shared" si="12"/>
      </c>
      <c r="AE22" s="632">
        <f t="shared" si="13"/>
      </c>
      <c r="AF22" s="1144"/>
      <c r="AG22" s="1145"/>
      <c r="AH22" s="1146"/>
      <c r="AJ22" s="61">
        <f t="shared" si="14"/>
      </c>
      <c r="AK22" s="61">
        <f t="shared" si="15"/>
      </c>
    </row>
    <row r="23" spans="1:37" s="53" customFormat="1" ht="18.75" customHeight="1">
      <c r="A23" s="177">
        <f t="shared" si="0"/>
      </c>
      <c r="B23" s="620"/>
      <c r="C23" s="56"/>
      <c r="D23" s="442"/>
      <c r="E23" s="234"/>
      <c r="F23" s="198"/>
      <c r="G23" s="187">
        <f t="shared" si="1"/>
      </c>
      <c r="H23" s="395">
        <f t="shared" si="2"/>
      </c>
      <c r="I23" s="621"/>
      <c r="J23" s="105"/>
      <c r="K23" s="623"/>
      <c r="L23" s="105"/>
      <c r="M23" s="395">
        <f t="shared" si="3"/>
      </c>
      <c r="N23" s="624">
        <f t="shared" si="4"/>
      </c>
      <c r="O23" s="687"/>
      <c r="P23" s="399">
        <f>IF($H23="","",IF($O23="Ａ",LOOKUP($D23,{8000,8500,9000,10000,10032,12000},{0,1532,1032,32,0,0}),IF($O23="Ｂ",LOOKUP($D23,{8000,8500,9000,10000,10032,12000},{0,1532,1032,408,408,408}),IF($O23="Ｃ１",LOOKUP($D23,{8000,8500,9000,10000,10032,12000},{782,2814,2814,2814,2814,2814}),IF($O23="Ｃ２",LOOKUP($D23,{8000,8500,9000,10000,10032,12000},{3188,5220,5220,5220,5220,5220}),0)))))</f>
      </c>
      <c r="Q23" s="686"/>
      <c r="R23" s="626">
        <f>IF($H23="","",IF($Q23="Ａ",LOOKUP($D23,{8000,8500,9000,10000,10032,12000},{0,1532,1032,32,0,0}),IF($Q23="Ｂ",LOOKUP($D23,{8000,8500,9000,10000,10032,12000},{0,1532,1032,408,408,408}),IF($Q23="Ｃ１",LOOKUP($D23,{8000,8500,9000,10000,10032,12000},{782,2814,2814,2814,2814,2814}),IF($Q23="Ｃ２",LOOKUP($D23,{8000,8500,9000,10000,10032,12000},{3188,5220,5220,5220,5220,5220}),0)))))</f>
      </c>
      <c r="S23" s="402">
        <f t="shared" si="5"/>
      </c>
      <c r="T23" s="404">
        <f>IF(B23="","",SUMIF('2-3_調整額内訳④(旧・新制度)'!B:B,$B23,'2-3_調整額内訳④(旧・新制度)'!AH:AH))</f>
      </c>
      <c r="U23" s="700">
        <f t="shared" si="6"/>
      </c>
      <c r="V23" s="403">
        <f t="shared" si="7"/>
      </c>
      <c r="W23" s="404">
        <f t="shared" si="8"/>
      </c>
      <c r="X23" s="630"/>
      <c r="Y23" s="404">
        <f t="shared" si="9"/>
      </c>
      <c r="Z23" s="630"/>
      <c r="AA23" s="404" t="str">
        <f t="shared" si="10"/>
        <v>0</v>
      </c>
      <c r="AB23" s="403">
        <f t="shared" si="11"/>
        <v>0</v>
      </c>
      <c r="AC23" s="685"/>
      <c r="AD23" s="402">
        <f t="shared" si="12"/>
      </c>
      <c r="AE23" s="632">
        <f t="shared" si="13"/>
      </c>
      <c r="AF23" s="1144"/>
      <c r="AG23" s="1145"/>
      <c r="AH23" s="1146"/>
      <c r="AJ23" s="61">
        <f t="shared" si="14"/>
      </c>
      <c r="AK23" s="61">
        <f t="shared" si="15"/>
      </c>
    </row>
    <row r="24" spans="1:37" s="53" customFormat="1" ht="18.75" customHeight="1">
      <c r="A24" s="177">
        <f t="shared" si="0"/>
      </c>
      <c r="B24" s="620"/>
      <c r="C24" s="56"/>
      <c r="D24" s="442"/>
      <c r="E24" s="234"/>
      <c r="F24" s="198"/>
      <c r="G24" s="187">
        <f t="shared" si="1"/>
      </c>
      <c r="H24" s="395">
        <f t="shared" si="2"/>
      </c>
      <c r="I24" s="621"/>
      <c r="J24" s="105"/>
      <c r="K24" s="623"/>
      <c r="L24" s="105"/>
      <c r="M24" s="395">
        <f t="shared" si="3"/>
      </c>
      <c r="N24" s="624">
        <f t="shared" si="4"/>
      </c>
      <c r="O24" s="687"/>
      <c r="P24" s="399">
        <f>IF($H24="","",IF($O24="Ａ",LOOKUP($D24,{8000,8500,9000,10000,10032,12000},{0,1532,1032,32,0,0}),IF($O24="Ｂ",LOOKUP($D24,{8000,8500,9000,10000,10032,12000},{0,1532,1032,408,408,408}),IF($O24="Ｃ１",LOOKUP($D24,{8000,8500,9000,10000,10032,12000},{782,2814,2814,2814,2814,2814}),IF($O24="Ｃ２",LOOKUP($D24,{8000,8500,9000,10000,10032,12000},{3188,5220,5220,5220,5220,5220}),0)))))</f>
      </c>
      <c r="Q24" s="686"/>
      <c r="R24" s="626">
        <f>IF($H24="","",IF($Q24="Ａ",LOOKUP($D24,{8000,8500,9000,10000,10032,12000},{0,1532,1032,32,0,0}),IF($Q24="Ｂ",LOOKUP($D24,{8000,8500,9000,10000,10032,12000},{0,1532,1032,408,408,408}),IF($Q24="Ｃ１",LOOKUP($D24,{8000,8500,9000,10000,10032,12000},{782,2814,2814,2814,2814,2814}),IF($Q24="Ｃ２",LOOKUP($D24,{8000,8500,9000,10000,10032,12000},{3188,5220,5220,5220,5220,5220}),0)))))</f>
      </c>
      <c r="S24" s="402">
        <f t="shared" si="5"/>
      </c>
      <c r="T24" s="404">
        <f>IF(B24="","",SUMIF('2-3_調整額内訳④(旧・新制度)'!B:B,$B24,'2-3_調整額内訳④(旧・新制度)'!AH:AH))</f>
      </c>
      <c r="U24" s="700">
        <f t="shared" si="6"/>
      </c>
      <c r="V24" s="403">
        <f t="shared" si="7"/>
      </c>
      <c r="W24" s="404">
        <f t="shared" si="8"/>
      </c>
      <c r="X24" s="630"/>
      <c r="Y24" s="404">
        <f t="shared" si="9"/>
      </c>
      <c r="Z24" s="630"/>
      <c r="AA24" s="404" t="str">
        <f t="shared" si="10"/>
        <v>0</v>
      </c>
      <c r="AB24" s="403">
        <f t="shared" si="11"/>
        <v>0</v>
      </c>
      <c r="AC24" s="685"/>
      <c r="AD24" s="402">
        <f t="shared" si="12"/>
      </c>
      <c r="AE24" s="632">
        <f t="shared" si="13"/>
      </c>
      <c r="AF24" s="1144"/>
      <c r="AG24" s="1145"/>
      <c r="AH24" s="1146"/>
      <c r="AJ24" s="61">
        <f t="shared" si="14"/>
      </c>
      <c r="AK24" s="61">
        <f t="shared" si="15"/>
      </c>
    </row>
    <row r="25" spans="1:37" s="53" customFormat="1" ht="18.75" customHeight="1">
      <c r="A25" s="177">
        <f t="shared" si="0"/>
      </c>
      <c r="B25" s="620"/>
      <c r="C25" s="56"/>
      <c r="D25" s="442"/>
      <c r="E25" s="234"/>
      <c r="F25" s="198"/>
      <c r="G25" s="187">
        <f t="shared" si="1"/>
      </c>
      <c r="H25" s="395">
        <f t="shared" si="2"/>
      </c>
      <c r="I25" s="621"/>
      <c r="J25" s="105"/>
      <c r="K25" s="623"/>
      <c r="L25" s="105"/>
      <c r="M25" s="395">
        <f t="shared" si="3"/>
      </c>
      <c r="N25" s="624">
        <f t="shared" si="4"/>
      </c>
      <c r="O25" s="687"/>
      <c r="P25" s="399">
        <f>IF($H25="","",IF($O25="Ａ",LOOKUP($D25,{8000,8500,9000,10000,10032,12000},{0,1532,1032,32,0,0}),IF($O25="Ｂ",LOOKUP($D25,{8000,8500,9000,10000,10032,12000},{0,1532,1032,408,408,408}),IF($O25="Ｃ１",LOOKUP($D25,{8000,8500,9000,10000,10032,12000},{782,2814,2814,2814,2814,2814}),IF($O25="Ｃ２",LOOKUP($D25,{8000,8500,9000,10000,10032,12000},{3188,5220,5220,5220,5220,5220}),0)))))</f>
      </c>
      <c r="Q25" s="686"/>
      <c r="R25" s="626">
        <f>IF($H25="","",IF($Q25="Ａ",LOOKUP($D25,{8000,8500,9000,10000,10032,12000},{0,1532,1032,32,0,0}),IF($Q25="Ｂ",LOOKUP($D25,{8000,8500,9000,10000,10032,12000},{0,1532,1032,408,408,408}),IF($Q25="Ｃ１",LOOKUP($D25,{8000,8500,9000,10000,10032,12000},{782,2814,2814,2814,2814,2814}),IF($Q25="Ｃ２",LOOKUP($D25,{8000,8500,9000,10000,10032,12000},{3188,5220,5220,5220,5220,5220}),0)))))</f>
      </c>
      <c r="S25" s="402">
        <f t="shared" si="5"/>
      </c>
      <c r="T25" s="404">
        <f>IF(B25="","",SUMIF('2-3_調整額内訳④(旧・新制度)'!B:B,$B25,'2-3_調整額内訳④(旧・新制度)'!AH:AH))</f>
      </c>
      <c r="U25" s="700">
        <f t="shared" si="6"/>
      </c>
      <c r="V25" s="403">
        <f t="shared" si="7"/>
      </c>
      <c r="W25" s="404">
        <f t="shared" si="8"/>
      </c>
      <c r="X25" s="630"/>
      <c r="Y25" s="404">
        <f t="shared" si="9"/>
      </c>
      <c r="Z25" s="630"/>
      <c r="AA25" s="404" t="str">
        <f t="shared" si="10"/>
        <v>0</v>
      </c>
      <c r="AB25" s="403">
        <f t="shared" si="11"/>
        <v>0</v>
      </c>
      <c r="AC25" s="685"/>
      <c r="AD25" s="402">
        <f t="shared" si="12"/>
      </c>
      <c r="AE25" s="632">
        <f t="shared" si="13"/>
      </c>
      <c r="AF25" s="1144"/>
      <c r="AG25" s="1145"/>
      <c r="AH25" s="1146"/>
      <c r="AJ25" s="61">
        <f t="shared" si="14"/>
      </c>
      <c r="AK25" s="61">
        <f t="shared" si="15"/>
      </c>
    </row>
    <row r="26" spans="1:37" s="53" customFormat="1" ht="18.75" customHeight="1">
      <c r="A26" s="177">
        <f t="shared" si="0"/>
      </c>
      <c r="B26" s="620"/>
      <c r="C26" s="56"/>
      <c r="D26" s="442"/>
      <c r="E26" s="234"/>
      <c r="F26" s="198"/>
      <c r="G26" s="187">
        <f t="shared" si="1"/>
      </c>
      <c r="H26" s="395">
        <f t="shared" si="2"/>
      </c>
      <c r="I26" s="621"/>
      <c r="J26" s="105"/>
      <c r="K26" s="623"/>
      <c r="L26" s="105"/>
      <c r="M26" s="395">
        <f t="shared" si="3"/>
      </c>
      <c r="N26" s="624">
        <f t="shared" si="4"/>
      </c>
      <c r="O26" s="687"/>
      <c r="P26" s="399">
        <f>IF($H26="","",IF($O26="Ａ",LOOKUP($D26,{8000,8500,9000,10000,10032,12000},{0,1532,1032,32,0,0}),IF($O26="Ｂ",LOOKUP($D26,{8000,8500,9000,10000,10032,12000},{0,1532,1032,408,408,408}),IF($O26="Ｃ１",LOOKUP($D26,{8000,8500,9000,10000,10032,12000},{782,2814,2814,2814,2814,2814}),IF($O26="Ｃ２",LOOKUP($D26,{8000,8500,9000,10000,10032,12000},{3188,5220,5220,5220,5220,5220}),0)))))</f>
      </c>
      <c r="Q26" s="686"/>
      <c r="R26" s="626">
        <f>IF($H26="","",IF($Q26="Ａ",LOOKUP($D26,{8000,8500,9000,10000,10032,12000},{0,1532,1032,32,0,0}),IF($Q26="Ｂ",LOOKUP($D26,{8000,8500,9000,10000,10032,12000},{0,1532,1032,408,408,408}),IF($Q26="Ｃ１",LOOKUP($D26,{8000,8500,9000,10000,10032,12000},{782,2814,2814,2814,2814,2814}),IF($Q26="Ｃ２",LOOKUP($D26,{8000,8500,9000,10000,10032,12000},{3188,5220,5220,5220,5220,5220}),0)))))</f>
      </c>
      <c r="S26" s="402">
        <f t="shared" si="5"/>
      </c>
      <c r="T26" s="404">
        <f>IF(B26="","",SUMIF('2-3_調整額内訳④(旧・新制度)'!B:B,$B26,'2-3_調整額内訳④(旧・新制度)'!AH:AH))</f>
      </c>
      <c r="U26" s="700">
        <f t="shared" si="6"/>
      </c>
      <c r="V26" s="403">
        <f t="shared" si="7"/>
      </c>
      <c r="W26" s="404">
        <f t="shared" si="8"/>
      </c>
      <c r="X26" s="630"/>
      <c r="Y26" s="404">
        <f t="shared" si="9"/>
      </c>
      <c r="Z26" s="630"/>
      <c r="AA26" s="404" t="str">
        <f t="shared" si="10"/>
        <v>0</v>
      </c>
      <c r="AB26" s="403">
        <f t="shared" si="11"/>
        <v>0</v>
      </c>
      <c r="AC26" s="685"/>
      <c r="AD26" s="402">
        <f t="shared" si="12"/>
      </c>
      <c r="AE26" s="632">
        <f t="shared" si="13"/>
      </c>
      <c r="AF26" s="1144"/>
      <c r="AG26" s="1145"/>
      <c r="AH26" s="1146"/>
      <c r="AJ26" s="61">
        <f t="shared" si="14"/>
      </c>
      <c r="AK26" s="61">
        <f t="shared" si="15"/>
      </c>
    </row>
    <row r="27" spans="1:37" s="53" customFormat="1" ht="18.75" customHeight="1">
      <c r="A27" s="177">
        <f t="shared" si="0"/>
      </c>
      <c r="B27" s="620"/>
      <c r="C27" s="56"/>
      <c r="D27" s="442"/>
      <c r="E27" s="234"/>
      <c r="F27" s="198"/>
      <c r="G27" s="187">
        <f t="shared" si="1"/>
      </c>
      <c r="H27" s="395">
        <f t="shared" si="2"/>
      </c>
      <c r="I27" s="621"/>
      <c r="J27" s="105"/>
      <c r="K27" s="623"/>
      <c r="L27" s="105"/>
      <c r="M27" s="395">
        <f t="shared" si="3"/>
      </c>
      <c r="N27" s="624">
        <f t="shared" si="4"/>
      </c>
      <c r="O27" s="687"/>
      <c r="P27" s="399">
        <f>IF($H27="","",IF($O27="Ａ",LOOKUP($D27,{8000,8500,9000,10000,10032,12000},{0,1532,1032,32,0,0}),IF($O27="Ｂ",LOOKUP($D27,{8000,8500,9000,10000,10032,12000},{0,1532,1032,408,408,408}),IF($O27="Ｃ１",LOOKUP($D27,{8000,8500,9000,10000,10032,12000},{782,2814,2814,2814,2814,2814}),IF($O27="Ｃ２",LOOKUP($D27,{8000,8500,9000,10000,10032,12000},{3188,5220,5220,5220,5220,5220}),0)))))</f>
      </c>
      <c r="Q27" s="686"/>
      <c r="R27" s="626">
        <f>IF($H27="","",IF($Q27="Ａ",LOOKUP($D27,{8000,8500,9000,10000,10032,12000},{0,1532,1032,32,0,0}),IF($Q27="Ｂ",LOOKUP($D27,{8000,8500,9000,10000,10032,12000},{0,1532,1032,408,408,408}),IF($Q27="Ｃ１",LOOKUP($D27,{8000,8500,9000,10000,10032,12000},{782,2814,2814,2814,2814,2814}),IF($Q27="Ｃ２",LOOKUP($D27,{8000,8500,9000,10000,10032,12000},{3188,5220,5220,5220,5220,5220}),0)))))</f>
      </c>
      <c r="S27" s="402">
        <f t="shared" si="5"/>
      </c>
      <c r="T27" s="404">
        <f>IF(B27="","",SUMIF('2-3_調整額内訳④(旧・新制度)'!B:B,$B27,'2-3_調整額内訳④(旧・新制度)'!AH:AH))</f>
      </c>
      <c r="U27" s="700">
        <f t="shared" si="6"/>
      </c>
      <c r="V27" s="403">
        <f t="shared" si="7"/>
      </c>
      <c r="W27" s="404">
        <f t="shared" si="8"/>
      </c>
      <c r="X27" s="630"/>
      <c r="Y27" s="404">
        <f t="shared" si="9"/>
      </c>
      <c r="Z27" s="630"/>
      <c r="AA27" s="404" t="str">
        <f t="shared" si="10"/>
        <v>0</v>
      </c>
      <c r="AB27" s="403">
        <f t="shared" si="11"/>
        <v>0</v>
      </c>
      <c r="AC27" s="685"/>
      <c r="AD27" s="402">
        <f t="shared" si="12"/>
      </c>
      <c r="AE27" s="632">
        <f t="shared" si="13"/>
      </c>
      <c r="AF27" s="1144"/>
      <c r="AG27" s="1145"/>
      <c r="AH27" s="1146"/>
      <c r="AJ27" s="61">
        <f t="shared" si="14"/>
      </c>
      <c r="AK27" s="61">
        <f t="shared" si="15"/>
      </c>
    </row>
    <row r="28" spans="1:37" s="53" customFormat="1" ht="18.75" customHeight="1">
      <c r="A28" s="177">
        <f t="shared" si="0"/>
      </c>
      <c r="B28" s="620"/>
      <c r="C28" s="56"/>
      <c r="D28" s="442"/>
      <c r="E28" s="234"/>
      <c r="F28" s="198"/>
      <c r="G28" s="187">
        <f t="shared" si="1"/>
      </c>
      <c r="H28" s="395">
        <f t="shared" si="2"/>
      </c>
      <c r="I28" s="621"/>
      <c r="J28" s="105"/>
      <c r="K28" s="623"/>
      <c r="L28" s="105"/>
      <c r="M28" s="395">
        <f t="shared" si="3"/>
      </c>
      <c r="N28" s="624">
        <f t="shared" si="4"/>
      </c>
      <c r="O28" s="687"/>
      <c r="P28" s="399">
        <f>IF($H28="","",IF($O28="Ａ",LOOKUP($D28,{8000,8500,9000,10000,10032,12000},{0,1532,1032,32,0,0}),IF($O28="Ｂ",LOOKUP($D28,{8000,8500,9000,10000,10032,12000},{0,1532,1032,408,408,408}),IF($O28="Ｃ１",LOOKUP($D28,{8000,8500,9000,10000,10032,12000},{782,2814,2814,2814,2814,2814}),IF($O28="Ｃ２",LOOKUP($D28,{8000,8500,9000,10000,10032,12000},{3188,5220,5220,5220,5220,5220}),0)))))</f>
      </c>
      <c r="Q28" s="686"/>
      <c r="R28" s="626">
        <f>IF($H28="","",IF($Q28="Ａ",LOOKUP($D28,{8000,8500,9000,10000,10032,12000},{0,1532,1032,32,0,0}),IF($Q28="Ｂ",LOOKUP($D28,{8000,8500,9000,10000,10032,12000},{0,1532,1032,408,408,408}),IF($Q28="Ｃ１",LOOKUP($D28,{8000,8500,9000,10000,10032,12000},{782,2814,2814,2814,2814,2814}),IF($Q28="Ｃ２",LOOKUP($D28,{8000,8500,9000,10000,10032,12000},{3188,5220,5220,5220,5220,5220}),0)))))</f>
      </c>
      <c r="S28" s="402">
        <f t="shared" si="5"/>
      </c>
      <c r="T28" s="404">
        <f>IF(B28="","",SUMIF('2-3_調整額内訳④(旧・新制度)'!B:B,$B28,'2-3_調整額内訳④(旧・新制度)'!AH:AH))</f>
      </c>
      <c r="U28" s="700">
        <f t="shared" si="6"/>
      </c>
      <c r="V28" s="403">
        <f t="shared" si="7"/>
      </c>
      <c r="W28" s="404">
        <f t="shared" si="8"/>
      </c>
      <c r="X28" s="630"/>
      <c r="Y28" s="404">
        <f t="shared" si="9"/>
      </c>
      <c r="Z28" s="630"/>
      <c r="AA28" s="404" t="str">
        <f t="shared" si="10"/>
        <v>0</v>
      </c>
      <c r="AB28" s="403">
        <f t="shared" si="11"/>
        <v>0</v>
      </c>
      <c r="AC28" s="685"/>
      <c r="AD28" s="402">
        <f t="shared" si="12"/>
      </c>
      <c r="AE28" s="632">
        <f t="shared" si="13"/>
      </c>
      <c r="AF28" s="1144"/>
      <c r="AG28" s="1145"/>
      <c r="AH28" s="1146"/>
      <c r="AJ28" s="61">
        <f t="shared" si="14"/>
      </c>
      <c r="AK28" s="61">
        <f t="shared" si="15"/>
      </c>
    </row>
    <row r="29" spans="1:37" s="53" customFormat="1" ht="18.75" customHeight="1">
      <c r="A29" s="177">
        <f t="shared" si="0"/>
      </c>
      <c r="B29" s="620"/>
      <c r="C29" s="56"/>
      <c r="D29" s="442"/>
      <c r="E29" s="234"/>
      <c r="F29" s="198"/>
      <c r="G29" s="187">
        <f t="shared" si="1"/>
      </c>
      <c r="H29" s="395">
        <f t="shared" si="2"/>
      </c>
      <c r="I29" s="621"/>
      <c r="J29" s="105"/>
      <c r="K29" s="623"/>
      <c r="L29" s="105"/>
      <c r="M29" s="395">
        <f t="shared" si="3"/>
      </c>
      <c r="N29" s="624">
        <f t="shared" si="4"/>
      </c>
      <c r="O29" s="687"/>
      <c r="P29" s="399">
        <f>IF($H29="","",IF($O29="Ａ",LOOKUP($D29,{8000,8500,9000,10000,10032,12000},{0,1532,1032,32,0,0}),IF($O29="Ｂ",LOOKUP($D29,{8000,8500,9000,10000,10032,12000},{0,1532,1032,408,408,408}),IF($O29="Ｃ１",LOOKUP($D29,{8000,8500,9000,10000,10032,12000},{782,2814,2814,2814,2814,2814}),IF($O29="Ｃ２",LOOKUP($D29,{8000,8500,9000,10000,10032,12000},{3188,5220,5220,5220,5220,5220}),0)))))</f>
      </c>
      <c r="Q29" s="686"/>
      <c r="R29" s="626">
        <f>IF($H29="","",IF($Q29="Ａ",LOOKUP($D29,{8000,8500,9000,10000,10032,12000},{0,1532,1032,32,0,0}),IF($Q29="Ｂ",LOOKUP($D29,{8000,8500,9000,10000,10032,12000},{0,1532,1032,408,408,408}),IF($Q29="Ｃ１",LOOKUP($D29,{8000,8500,9000,10000,10032,12000},{782,2814,2814,2814,2814,2814}),IF($Q29="Ｃ２",LOOKUP($D29,{8000,8500,9000,10000,10032,12000},{3188,5220,5220,5220,5220,5220}),0)))))</f>
      </c>
      <c r="S29" s="402">
        <f t="shared" si="5"/>
      </c>
      <c r="T29" s="404">
        <f>IF(B29="","",SUMIF('2-3_調整額内訳④(旧・新制度)'!B:B,$B29,'2-3_調整額内訳④(旧・新制度)'!AH:AH))</f>
      </c>
      <c r="U29" s="700">
        <f t="shared" si="6"/>
      </c>
      <c r="V29" s="403">
        <f t="shared" si="7"/>
      </c>
      <c r="W29" s="404">
        <f t="shared" si="8"/>
      </c>
      <c r="X29" s="630"/>
      <c r="Y29" s="404">
        <f t="shared" si="9"/>
      </c>
      <c r="Z29" s="630"/>
      <c r="AA29" s="404" t="str">
        <f t="shared" si="10"/>
        <v>0</v>
      </c>
      <c r="AB29" s="403">
        <f t="shared" si="11"/>
        <v>0</v>
      </c>
      <c r="AC29" s="685"/>
      <c r="AD29" s="402">
        <f t="shared" si="12"/>
      </c>
      <c r="AE29" s="632">
        <f t="shared" si="13"/>
      </c>
      <c r="AF29" s="1144"/>
      <c r="AG29" s="1145"/>
      <c r="AH29" s="1146"/>
      <c r="AJ29" s="61">
        <f t="shared" si="14"/>
      </c>
      <c r="AK29" s="61">
        <f t="shared" si="15"/>
      </c>
    </row>
    <row r="30" spans="1:37" s="53" customFormat="1" ht="18.75" customHeight="1">
      <c r="A30" s="177">
        <f t="shared" si="0"/>
      </c>
      <c r="B30" s="620"/>
      <c r="C30" s="56"/>
      <c r="D30" s="442"/>
      <c r="E30" s="234"/>
      <c r="F30" s="198"/>
      <c r="G30" s="187">
        <f t="shared" si="1"/>
      </c>
      <c r="H30" s="395">
        <f t="shared" si="2"/>
      </c>
      <c r="I30" s="621"/>
      <c r="J30" s="105"/>
      <c r="K30" s="623"/>
      <c r="L30" s="105"/>
      <c r="M30" s="395">
        <f t="shared" si="3"/>
      </c>
      <c r="N30" s="624">
        <f t="shared" si="4"/>
      </c>
      <c r="O30" s="687"/>
      <c r="P30" s="399">
        <f>IF($H30="","",IF($O30="Ａ",LOOKUP($D30,{8000,8500,9000,10000,10032,12000},{0,1532,1032,32,0,0}),IF($O30="Ｂ",LOOKUP($D30,{8000,8500,9000,10000,10032,12000},{0,1532,1032,408,408,408}),IF($O30="Ｃ１",LOOKUP($D30,{8000,8500,9000,10000,10032,12000},{782,2814,2814,2814,2814,2814}),IF($O30="Ｃ２",LOOKUP($D30,{8000,8500,9000,10000,10032,12000},{3188,5220,5220,5220,5220,5220}),0)))))</f>
      </c>
      <c r="Q30" s="686"/>
      <c r="R30" s="626">
        <f>IF($H30="","",IF($Q30="Ａ",LOOKUP($D30,{8000,8500,9000,10000,10032,12000},{0,1532,1032,32,0,0}),IF($Q30="Ｂ",LOOKUP($D30,{8000,8500,9000,10000,10032,12000},{0,1532,1032,408,408,408}),IF($Q30="Ｃ１",LOOKUP($D30,{8000,8500,9000,10000,10032,12000},{782,2814,2814,2814,2814,2814}),IF($Q30="Ｃ２",LOOKUP($D30,{8000,8500,9000,10000,10032,12000},{3188,5220,5220,5220,5220,5220}),0)))))</f>
      </c>
      <c r="S30" s="402">
        <f t="shared" si="5"/>
      </c>
      <c r="T30" s="404">
        <f>IF(B30="","",SUMIF('2-3_調整額内訳④(旧・新制度)'!B:B,$B30,'2-3_調整額内訳④(旧・新制度)'!AH:AH))</f>
      </c>
      <c r="U30" s="700">
        <f t="shared" si="6"/>
      </c>
      <c r="V30" s="403">
        <f t="shared" si="7"/>
      </c>
      <c r="W30" s="404">
        <f t="shared" si="8"/>
      </c>
      <c r="X30" s="630"/>
      <c r="Y30" s="404">
        <f t="shared" si="9"/>
      </c>
      <c r="Z30" s="630"/>
      <c r="AA30" s="404" t="str">
        <f t="shared" si="10"/>
        <v>0</v>
      </c>
      <c r="AB30" s="403">
        <f t="shared" si="11"/>
        <v>0</v>
      </c>
      <c r="AC30" s="685"/>
      <c r="AD30" s="402">
        <f t="shared" si="12"/>
      </c>
      <c r="AE30" s="632">
        <f t="shared" si="13"/>
      </c>
      <c r="AF30" s="1144"/>
      <c r="AG30" s="1145"/>
      <c r="AH30" s="1146"/>
      <c r="AJ30" s="61">
        <f t="shared" si="14"/>
      </c>
      <c r="AK30" s="61">
        <f t="shared" si="15"/>
      </c>
    </row>
    <row r="31" spans="1:37" s="53" customFormat="1" ht="18.75" customHeight="1">
      <c r="A31" s="177">
        <f t="shared" si="0"/>
      </c>
      <c r="B31" s="620"/>
      <c r="C31" s="56"/>
      <c r="D31" s="442"/>
      <c r="E31" s="234"/>
      <c r="F31" s="198"/>
      <c r="G31" s="187">
        <f t="shared" si="1"/>
      </c>
      <c r="H31" s="395">
        <f t="shared" si="2"/>
      </c>
      <c r="I31" s="621"/>
      <c r="J31" s="105"/>
      <c r="K31" s="623"/>
      <c r="L31" s="105"/>
      <c r="M31" s="395">
        <f t="shared" si="3"/>
      </c>
      <c r="N31" s="624">
        <f t="shared" si="4"/>
      </c>
      <c r="O31" s="687"/>
      <c r="P31" s="399">
        <f>IF($H31="","",IF($O31="Ａ",LOOKUP($D31,{8000,8500,9000,10000,10032,12000},{0,1532,1032,32,0,0}),IF($O31="Ｂ",LOOKUP($D31,{8000,8500,9000,10000,10032,12000},{0,1532,1032,408,408,408}),IF($O31="Ｃ１",LOOKUP($D31,{8000,8500,9000,10000,10032,12000},{782,2814,2814,2814,2814,2814}),IF($O31="Ｃ２",LOOKUP($D31,{8000,8500,9000,10000,10032,12000},{3188,5220,5220,5220,5220,5220}),0)))))</f>
      </c>
      <c r="Q31" s="686"/>
      <c r="R31" s="626">
        <f>IF($H31="","",IF($Q31="Ａ",LOOKUP($D31,{8000,8500,9000,10000,10032,12000},{0,1532,1032,32,0,0}),IF($Q31="Ｂ",LOOKUP($D31,{8000,8500,9000,10000,10032,12000},{0,1532,1032,408,408,408}),IF($Q31="Ｃ１",LOOKUP($D31,{8000,8500,9000,10000,10032,12000},{782,2814,2814,2814,2814,2814}),IF($Q31="Ｃ２",LOOKUP($D31,{8000,8500,9000,10000,10032,12000},{3188,5220,5220,5220,5220,5220}),0)))))</f>
      </c>
      <c r="S31" s="402">
        <f t="shared" si="5"/>
      </c>
      <c r="T31" s="404">
        <f>IF(B31="","",SUMIF('2-3_調整額内訳④(旧・新制度)'!B:B,$B31,'2-3_調整額内訳④(旧・新制度)'!AH:AH))</f>
      </c>
      <c r="U31" s="700">
        <f t="shared" si="6"/>
      </c>
      <c r="V31" s="403">
        <f t="shared" si="7"/>
      </c>
      <c r="W31" s="404">
        <f t="shared" si="8"/>
      </c>
      <c r="X31" s="630"/>
      <c r="Y31" s="404">
        <f t="shared" si="9"/>
      </c>
      <c r="Z31" s="630"/>
      <c r="AA31" s="404" t="str">
        <f t="shared" si="10"/>
        <v>0</v>
      </c>
      <c r="AB31" s="403">
        <f t="shared" si="11"/>
        <v>0</v>
      </c>
      <c r="AC31" s="685"/>
      <c r="AD31" s="402">
        <f t="shared" si="12"/>
      </c>
      <c r="AE31" s="632">
        <f t="shared" si="13"/>
      </c>
      <c r="AF31" s="1144"/>
      <c r="AG31" s="1145"/>
      <c r="AH31" s="1146"/>
      <c r="AJ31" s="61">
        <f t="shared" si="14"/>
      </c>
      <c r="AK31" s="61">
        <f t="shared" si="15"/>
      </c>
    </row>
    <row r="32" spans="1:37" s="53" customFormat="1" ht="18.75" customHeight="1">
      <c r="A32" s="177">
        <f t="shared" si="0"/>
      </c>
      <c r="B32" s="620"/>
      <c r="C32" s="56"/>
      <c r="D32" s="442"/>
      <c r="E32" s="234"/>
      <c r="F32" s="198"/>
      <c r="G32" s="187">
        <f t="shared" si="1"/>
      </c>
      <c r="H32" s="395">
        <f t="shared" si="2"/>
      </c>
      <c r="I32" s="621"/>
      <c r="J32" s="105"/>
      <c r="K32" s="623"/>
      <c r="L32" s="105"/>
      <c r="M32" s="395">
        <f t="shared" si="3"/>
      </c>
      <c r="N32" s="624">
        <f t="shared" si="4"/>
      </c>
      <c r="O32" s="687"/>
      <c r="P32" s="399">
        <f>IF($H32="","",IF($O32="Ａ",LOOKUP($D32,{8000,8500,9000,10000,10032,12000},{0,1532,1032,32,0,0}),IF($O32="Ｂ",LOOKUP($D32,{8000,8500,9000,10000,10032,12000},{0,1532,1032,408,408,408}),IF($O32="Ｃ１",LOOKUP($D32,{8000,8500,9000,10000,10032,12000},{782,2814,2814,2814,2814,2814}),IF($O32="Ｃ２",LOOKUP($D32,{8000,8500,9000,10000,10032,12000},{3188,5220,5220,5220,5220,5220}),0)))))</f>
      </c>
      <c r="Q32" s="686"/>
      <c r="R32" s="626">
        <f>IF($H32="","",IF($Q32="Ａ",LOOKUP($D32,{8000,8500,9000,10000,10032,12000},{0,1532,1032,32,0,0}),IF($Q32="Ｂ",LOOKUP($D32,{8000,8500,9000,10000,10032,12000},{0,1532,1032,408,408,408}),IF($Q32="Ｃ１",LOOKUP($D32,{8000,8500,9000,10000,10032,12000},{782,2814,2814,2814,2814,2814}),IF($Q32="Ｃ２",LOOKUP($D32,{8000,8500,9000,10000,10032,12000},{3188,5220,5220,5220,5220,5220}),0)))))</f>
      </c>
      <c r="S32" s="402">
        <f t="shared" si="5"/>
      </c>
      <c r="T32" s="404">
        <f>IF(B32="","",SUMIF('2-3_調整額内訳④(旧・新制度)'!B:B,$B32,'2-3_調整額内訳④(旧・新制度)'!AH:AH))</f>
      </c>
      <c r="U32" s="700">
        <f t="shared" si="6"/>
      </c>
      <c r="V32" s="403">
        <f t="shared" si="7"/>
      </c>
      <c r="W32" s="404">
        <f t="shared" si="8"/>
      </c>
      <c r="X32" s="630"/>
      <c r="Y32" s="404">
        <f t="shared" si="9"/>
      </c>
      <c r="Z32" s="630"/>
      <c r="AA32" s="404" t="str">
        <f t="shared" si="10"/>
        <v>0</v>
      </c>
      <c r="AB32" s="403">
        <f t="shared" si="11"/>
        <v>0</v>
      </c>
      <c r="AC32" s="685"/>
      <c r="AD32" s="402">
        <f t="shared" si="12"/>
      </c>
      <c r="AE32" s="632">
        <f t="shared" si="13"/>
      </c>
      <c r="AF32" s="1144"/>
      <c r="AG32" s="1145"/>
      <c r="AH32" s="1146"/>
      <c r="AJ32" s="61">
        <f t="shared" si="14"/>
      </c>
      <c r="AK32" s="61">
        <f t="shared" si="15"/>
      </c>
    </row>
    <row r="33" spans="1:37" s="53" customFormat="1" ht="18.75" customHeight="1">
      <c r="A33" s="177">
        <f t="shared" si="0"/>
      </c>
      <c r="B33" s="620"/>
      <c r="C33" s="56"/>
      <c r="D33" s="442"/>
      <c r="E33" s="234"/>
      <c r="F33" s="198"/>
      <c r="G33" s="187">
        <f t="shared" si="1"/>
      </c>
      <c r="H33" s="395">
        <f t="shared" si="2"/>
      </c>
      <c r="I33" s="621"/>
      <c r="J33" s="105"/>
      <c r="K33" s="623"/>
      <c r="L33" s="105"/>
      <c r="M33" s="395">
        <f t="shared" si="3"/>
      </c>
      <c r="N33" s="624">
        <f t="shared" si="4"/>
      </c>
      <c r="O33" s="687"/>
      <c r="P33" s="399">
        <f>IF($H33="","",IF($O33="Ａ",LOOKUP($D33,{8000,8500,9000,10000,10032,12000},{0,1532,1032,32,0,0}),IF($O33="Ｂ",LOOKUP($D33,{8000,8500,9000,10000,10032,12000},{0,1532,1032,408,408,408}),IF($O33="Ｃ１",LOOKUP($D33,{8000,8500,9000,10000,10032,12000},{782,2814,2814,2814,2814,2814}),IF($O33="Ｃ２",LOOKUP($D33,{8000,8500,9000,10000,10032,12000},{3188,5220,5220,5220,5220,5220}),0)))))</f>
      </c>
      <c r="Q33" s="686"/>
      <c r="R33" s="626">
        <f>IF($H33="","",IF($Q33="Ａ",LOOKUP($D33,{8000,8500,9000,10000,10032,12000},{0,1532,1032,32,0,0}),IF($Q33="Ｂ",LOOKUP($D33,{8000,8500,9000,10000,10032,12000},{0,1532,1032,408,408,408}),IF($Q33="Ｃ１",LOOKUP($D33,{8000,8500,9000,10000,10032,12000},{782,2814,2814,2814,2814,2814}),IF($Q33="Ｃ２",LOOKUP($D33,{8000,8500,9000,10000,10032,12000},{3188,5220,5220,5220,5220,5220}),0)))))</f>
      </c>
      <c r="S33" s="402">
        <f t="shared" si="5"/>
      </c>
      <c r="T33" s="404">
        <f>IF(B33="","",SUMIF('2-3_調整額内訳④(旧・新制度)'!B:B,$B33,'2-3_調整額内訳④(旧・新制度)'!AH:AH))</f>
      </c>
      <c r="U33" s="700">
        <f t="shared" si="6"/>
      </c>
      <c r="V33" s="403">
        <f t="shared" si="7"/>
      </c>
      <c r="W33" s="404">
        <f t="shared" si="8"/>
      </c>
      <c r="X33" s="630"/>
      <c r="Y33" s="404">
        <f t="shared" si="9"/>
      </c>
      <c r="Z33" s="630"/>
      <c r="AA33" s="404" t="str">
        <f t="shared" si="10"/>
        <v>0</v>
      </c>
      <c r="AB33" s="403">
        <f t="shared" si="11"/>
        <v>0</v>
      </c>
      <c r="AC33" s="685"/>
      <c r="AD33" s="402">
        <f t="shared" si="12"/>
      </c>
      <c r="AE33" s="632">
        <f t="shared" si="13"/>
      </c>
      <c r="AF33" s="1144"/>
      <c r="AG33" s="1145"/>
      <c r="AH33" s="1146"/>
      <c r="AJ33" s="61">
        <f t="shared" si="14"/>
      </c>
      <c r="AK33" s="61">
        <f t="shared" si="15"/>
      </c>
    </row>
    <row r="34" spans="1:37" s="53" customFormat="1" ht="18.75" customHeight="1">
      <c r="A34" s="177">
        <f t="shared" si="0"/>
      </c>
      <c r="B34" s="620"/>
      <c r="C34" s="56"/>
      <c r="D34" s="442"/>
      <c r="E34" s="234"/>
      <c r="F34" s="198"/>
      <c r="G34" s="187">
        <f t="shared" si="1"/>
      </c>
      <c r="H34" s="395">
        <f t="shared" si="2"/>
      </c>
      <c r="I34" s="621"/>
      <c r="J34" s="105"/>
      <c r="K34" s="623"/>
      <c r="L34" s="105"/>
      <c r="M34" s="395">
        <f t="shared" si="3"/>
      </c>
      <c r="N34" s="624">
        <f t="shared" si="4"/>
      </c>
      <c r="O34" s="687"/>
      <c r="P34" s="399">
        <f>IF($H34="","",IF($O34="Ａ",LOOKUP($D34,{8000,8500,9000,10000,10032,12000},{0,1532,1032,32,0,0}),IF($O34="Ｂ",LOOKUP($D34,{8000,8500,9000,10000,10032,12000},{0,1532,1032,408,408,408}),IF($O34="Ｃ１",LOOKUP($D34,{8000,8500,9000,10000,10032,12000},{782,2814,2814,2814,2814,2814}),IF($O34="Ｃ２",LOOKUP($D34,{8000,8500,9000,10000,10032,12000},{3188,5220,5220,5220,5220,5220}),0)))))</f>
      </c>
      <c r="Q34" s="686"/>
      <c r="R34" s="626">
        <f>IF($H34="","",IF($Q34="Ａ",LOOKUP($D34,{8000,8500,9000,10000,10032,12000},{0,1532,1032,32,0,0}),IF($Q34="Ｂ",LOOKUP($D34,{8000,8500,9000,10000,10032,12000},{0,1532,1032,408,408,408}),IF($Q34="Ｃ１",LOOKUP($D34,{8000,8500,9000,10000,10032,12000},{782,2814,2814,2814,2814,2814}),IF($Q34="Ｃ２",LOOKUP($D34,{8000,8500,9000,10000,10032,12000},{3188,5220,5220,5220,5220,5220}),0)))))</f>
      </c>
      <c r="S34" s="402">
        <f t="shared" si="5"/>
      </c>
      <c r="T34" s="404">
        <f>IF(B34="","",SUMIF('2-3_調整額内訳④(旧・新制度)'!B:B,$B34,'2-3_調整額内訳④(旧・新制度)'!AH:AH))</f>
      </c>
      <c r="U34" s="700">
        <f t="shared" si="6"/>
      </c>
      <c r="V34" s="403">
        <f t="shared" si="7"/>
      </c>
      <c r="W34" s="404">
        <f t="shared" si="8"/>
      </c>
      <c r="X34" s="630"/>
      <c r="Y34" s="404">
        <f t="shared" si="9"/>
      </c>
      <c r="Z34" s="630"/>
      <c r="AA34" s="404" t="str">
        <f t="shared" si="10"/>
        <v>0</v>
      </c>
      <c r="AB34" s="403">
        <f t="shared" si="11"/>
        <v>0</v>
      </c>
      <c r="AC34" s="685"/>
      <c r="AD34" s="402">
        <f t="shared" si="12"/>
      </c>
      <c r="AE34" s="632">
        <f t="shared" si="13"/>
      </c>
      <c r="AF34" s="1144"/>
      <c r="AG34" s="1145"/>
      <c r="AH34" s="1146"/>
      <c r="AJ34" s="61">
        <f t="shared" si="14"/>
      </c>
      <c r="AK34" s="61">
        <f t="shared" si="15"/>
      </c>
    </row>
    <row r="35" spans="1:37" s="53" customFormat="1" ht="18.75" customHeight="1">
      <c r="A35" s="177">
        <f t="shared" si="0"/>
      </c>
      <c r="B35" s="620"/>
      <c r="C35" s="56"/>
      <c r="D35" s="442"/>
      <c r="E35" s="234"/>
      <c r="F35" s="198"/>
      <c r="G35" s="187">
        <f t="shared" si="1"/>
      </c>
      <c r="H35" s="395">
        <f t="shared" si="2"/>
      </c>
      <c r="I35" s="621"/>
      <c r="J35" s="105"/>
      <c r="K35" s="623"/>
      <c r="L35" s="105"/>
      <c r="M35" s="395">
        <f t="shared" si="3"/>
      </c>
      <c r="N35" s="624">
        <f t="shared" si="4"/>
      </c>
      <c r="O35" s="687"/>
      <c r="P35" s="399">
        <f>IF($H35="","",IF($O35="Ａ",LOOKUP($D35,{8000,8500,9000,10000,10032,12000},{0,1532,1032,32,0,0}),IF($O35="Ｂ",LOOKUP($D35,{8000,8500,9000,10000,10032,12000},{0,1532,1032,408,408,408}),IF($O35="Ｃ１",LOOKUP($D35,{8000,8500,9000,10000,10032,12000},{782,2814,2814,2814,2814,2814}),IF($O35="Ｃ２",LOOKUP($D35,{8000,8500,9000,10000,10032,12000},{3188,5220,5220,5220,5220,5220}),0)))))</f>
      </c>
      <c r="Q35" s="686"/>
      <c r="R35" s="626">
        <f>IF($H35="","",IF($Q35="Ａ",LOOKUP($D35,{8000,8500,9000,10000,10032,12000},{0,1532,1032,32,0,0}),IF($Q35="Ｂ",LOOKUP($D35,{8000,8500,9000,10000,10032,12000},{0,1532,1032,408,408,408}),IF($Q35="Ｃ１",LOOKUP($D35,{8000,8500,9000,10000,10032,12000},{782,2814,2814,2814,2814,2814}),IF($Q35="Ｃ２",LOOKUP($D35,{8000,8500,9000,10000,10032,12000},{3188,5220,5220,5220,5220,5220}),0)))))</f>
      </c>
      <c r="S35" s="402">
        <f t="shared" si="5"/>
      </c>
      <c r="T35" s="404">
        <f>IF(B35="","",SUMIF('2-3_調整額内訳④(旧・新制度)'!B:B,$B35,'2-3_調整額内訳④(旧・新制度)'!AH:AH))</f>
      </c>
      <c r="U35" s="700">
        <f t="shared" si="6"/>
      </c>
      <c r="V35" s="403">
        <f t="shared" si="7"/>
      </c>
      <c r="W35" s="404">
        <f t="shared" si="8"/>
      </c>
      <c r="X35" s="630"/>
      <c r="Y35" s="404">
        <f t="shared" si="9"/>
      </c>
      <c r="Z35" s="630"/>
      <c r="AA35" s="404" t="str">
        <f t="shared" si="10"/>
        <v>0</v>
      </c>
      <c r="AB35" s="403">
        <f t="shared" si="11"/>
        <v>0</v>
      </c>
      <c r="AC35" s="685"/>
      <c r="AD35" s="402">
        <f t="shared" si="12"/>
      </c>
      <c r="AE35" s="632">
        <f t="shared" si="13"/>
      </c>
      <c r="AF35" s="1144"/>
      <c r="AG35" s="1145"/>
      <c r="AH35" s="1146"/>
      <c r="AJ35" s="61">
        <f t="shared" si="14"/>
      </c>
      <c r="AK35" s="61">
        <f t="shared" si="15"/>
      </c>
    </row>
    <row r="36" spans="1:37" s="53" customFormat="1" ht="18.75" customHeight="1">
      <c r="A36" s="177">
        <f t="shared" si="0"/>
      </c>
      <c r="B36" s="620"/>
      <c r="C36" s="56"/>
      <c r="D36" s="442"/>
      <c r="E36" s="234"/>
      <c r="F36" s="198"/>
      <c r="G36" s="187">
        <f t="shared" si="1"/>
      </c>
      <c r="H36" s="395">
        <f t="shared" si="2"/>
      </c>
      <c r="I36" s="621"/>
      <c r="J36" s="105"/>
      <c r="K36" s="623"/>
      <c r="L36" s="105"/>
      <c r="M36" s="395">
        <f t="shared" si="3"/>
      </c>
      <c r="N36" s="624">
        <f t="shared" si="4"/>
      </c>
      <c r="O36" s="687"/>
      <c r="P36" s="399">
        <f>IF($H36="","",IF($O36="Ａ",LOOKUP($D36,{8000,8500,9000,10000,10032,12000},{0,1532,1032,32,0,0}),IF($O36="Ｂ",LOOKUP($D36,{8000,8500,9000,10000,10032,12000},{0,1532,1032,408,408,408}),IF($O36="Ｃ１",LOOKUP($D36,{8000,8500,9000,10000,10032,12000},{782,2814,2814,2814,2814,2814}),IF($O36="Ｃ２",LOOKUP($D36,{8000,8500,9000,10000,10032,12000},{3188,5220,5220,5220,5220,5220}),0)))))</f>
      </c>
      <c r="Q36" s="686"/>
      <c r="R36" s="626">
        <f>IF($H36="","",IF($Q36="Ａ",LOOKUP($D36,{8000,8500,9000,10000,10032,12000},{0,1532,1032,32,0,0}),IF($Q36="Ｂ",LOOKUP($D36,{8000,8500,9000,10000,10032,12000},{0,1532,1032,408,408,408}),IF($Q36="Ｃ１",LOOKUP($D36,{8000,8500,9000,10000,10032,12000},{782,2814,2814,2814,2814,2814}),IF($Q36="Ｃ２",LOOKUP($D36,{8000,8500,9000,10000,10032,12000},{3188,5220,5220,5220,5220,5220}),0)))))</f>
      </c>
      <c r="S36" s="402">
        <f t="shared" si="5"/>
      </c>
      <c r="T36" s="404">
        <f>IF(B36="","",SUMIF('2-3_調整額内訳④(旧・新制度)'!B:B,$B36,'2-3_調整額内訳④(旧・新制度)'!AH:AH))</f>
      </c>
      <c r="U36" s="700">
        <f t="shared" si="6"/>
      </c>
      <c r="V36" s="403">
        <f t="shared" si="7"/>
      </c>
      <c r="W36" s="404">
        <f t="shared" si="8"/>
      </c>
      <c r="X36" s="630"/>
      <c r="Y36" s="404">
        <f t="shared" si="9"/>
      </c>
      <c r="Z36" s="630"/>
      <c r="AA36" s="404" t="str">
        <f t="shared" si="10"/>
        <v>0</v>
      </c>
      <c r="AB36" s="403">
        <f t="shared" si="11"/>
        <v>0</v>
      </c>
      <c r="AC36" s="685"/>
      <c r="AD36" s="402">
        <f t="shared" si="12"/>
      </c>
      <c r="AE36" s="632">
        <f t="shared" si="13"/>
      </c>
      <c r="AF36" s="1144"/>
      <c r="AG36" s="1145"/>
      <c r="AH36" s="1146"/>
      <c r="AJ36" s="61">
        <f t="shared" si="14"/>
      </c>
      <c r="AK36" s="61">
        <f t="shared" si="15"/>
      </c>
    </row>
    <row r="37" spans="1:37" s="53" customFormat="1" ht="18.75" customHeight="1">
      <c r="A37" s="177">
        <f t="shared" si="0"/>
      </c>
      <c r="B37" s="620"/>
      <c r="C37" s="56"/>
      <c r="D37" s="442"/>
      <c r="E37" s="234"/>
      <c r="F37" s="198"/>
      <c r="G37" s="187">
        <f t="shared" si="1"/>
      </c>
      <c r="H37" s="395">
        <f t="shared" si="2"/>
      </c>
      <c r="I37" s="621"/>
      <c r="J37" s="105"/>
      <c r="K37" s="623"/>
      <c r="L37" s="105"/>
      <c r="M37" s="395">
        <f t="shared" si="3"/>
      </c>
      <c r="N37" s="624">
        <f t="shared" si="4"/>
      </c>
      <c r="O37" s="687"/>
      <c r="P37" s="399">
        <f>IF($H37="","",IF($O37="Ａ",LOOKUP($D37,{8000,8500,9000,10000,10032,12000},{0,1532,1032,32,0,0}),IF($O37="Ｂ",LOOKUP($D37,{8000,8500,9000,10000,10032,12000},{0,1532,1032,408,408,408}),IF($O37="Ｃ１",LOOKUP($D37,{8000,8500,9000,10000,10032,12000},{782,2814,2814,2814,2814,2814}),IF($O37="Ｃ２",LOOKUP($D37,{8000,8500,9000,10000,10032,12000},{3188,5220,5220,5220,5220,5220}),0)))))</f>
      </c>
      <c r="Q37" s="686"/>
      <c r="R37" s="626">
        <f>IF($H37="","",IF($Q37="Ａ",LOOKUP($D37,{8000,8500,9000,10000,10032,12000},{0,1532,1032,32,0,0}),IF($Q37="Ｂ",LOOKUP($D37,{8000,8500,9000,10000,10032,12000},{0,1532,1032,408,408,408}),IF($Q37="Ｃ１",LOOKUP($D37,{8000,8500,9000,10000,10032,12000},{782,2814,2814,2814,2814,2814}),IF($Q37="Ｃ２",LOOKUP($D37,{8000,8500,9000,10000,10032,12000},{3188,5220,5220,5220,5220,5220}),0)))))</f>
      </c>
      <c r="S37" s="402">
        <f t="shared" si="5"/>
      </c>
      <c r="T37" s="404">
        <f>IF(B37="","",SUMIF('2-3_調整額内訳④(旧・新制度)'!B:B,$B37,'2-3_調整額内訳④(旧・新制度)'!AH:AH))</f>
      </c>
      <c r="U37" s="700">
        <f t="shared" si="6"/>
      </c>
      <c r="V37" s="403">
        <f t="shared" si="7"/>
      </c>
      <c r="W37" s="404">
        <f t="shared" si="8"/>
      </c>
      <c r="X37" s="630"/>
      <c r="Y37" s="404">
        <f t="shared" si="9"/>
      </c>
      <c r="Z37" s="630"/>
      <c r="AA37" s="404" t="str">
        <f t="shared" si="10"/>
        <v>0</v>
      </c>
      <c r="AB37" s="403">
        <f t="shared" si="11"/>
        <v>0</v>
      </c>
      <c r="AC37" s="685"/>
      <c r="AD37" s="402">
        <f t="shared" si="12"/>
      </c>
      <c r="AE37" s="632">
        <f t="shared" si="13"/>
      </c>
      <c r="AF37" s="1144"/>
      <c r="AG37" s="1145"/>
      <c r="AH37" s="1146"/>
      <c r="AJ37" s="61">
        <f t="shared" si="14"/>
      </c>
      <c r="AK37" s="61">
        <f t="shared" si="15"/>
      </c>
    </row>
    <row r="38" spans="1:37" s="53" customFormat="1" ht="18.75" customHeight="1">
      <c r="A38" s="177">
        <f t="shared" si="0"/>
      </c>
      <c r="B38" s="620"/>
      <c r="C38" s="56"/>
      <c r="D38" s="442"/>
      <c r="E38" s="234"/>
      <c r="F38" s="198"/>
      <c r="G38" s="187">
        <f t="shared" si="1"/>
      </c>
      <c r="H38" s="395">
        <f t="shared" si="2"/>
      </c>
      <c r="I38" s="621"/>
      <c r="J38" s="105"/>
      <c r="K38" s="623"/>
      <c r="L38" s="105"/>
      <c r="M38" s="395">
        <f t="shared" si="3"/>
      </c>
      <c r="N38" s="624">
        <f t="shared" si="4"/>
      </c>
      <c r="O38" s="687"/>
      <c r="P38" s="399">
        <f>IF($H38="","",IF($O38="Ａ",LOOKUP($D38,{8000,8500,9000,10000,10032,12000},{0,1532,1032,32,0,0}),IF($O38="Ｂ",LOOKUP($D38,{8000,8500,9000,10000,10032,12000},{0,1532,1032,408,408,408}),IF($O38="Ｃ１",LOOKUP($D38,{8000,8500,9000,10000,10032,12000},{782,2814,2814,2814,2814,2814}),IF($O38="Ｃ２",LOOKUP($D38,{8000,8500,9000,10000,10032,12000},{3188,5220,5220,5220,5220,5220}),0)))))</f>
      </c>
      <c r="Q38" s="686"/>
      <c r="R38" s="626">
        <f>IF($H38="","",IF($Q38="Ａ",LOOKUP($D38,{8000,8500,9000,10000,10032,12000},{0,1532,1032,32,0,0}),IF($Q38="Ｂ",LOOKUP($D38,{8000,8500,9000,10000,10032,12000},{0,1532,1032,408,408,408}),IF($Q38="Ｃ１",LOOKUP($D38,{8000,8500,9000,10000,10032,12000},{782,2814,2814,2814,2814,2814}),IF($Q38="Ｃ２",LOOKUP($D38,{8000,8500,9000,10000,10032,12000},{3188,5220,5220,5220,5220,5220}),0)))))</f>
      </c>
      <c r="S38" s="402">
        <f t="shared" si="5"/>
      </c>
      <c r="T38" s="404">
        <f>IF(B38="","",SUMIF('2-3_調整額内訳④(旧・新制度)'!B:B,$B38,'2-3_調整額内訳④(旧・新制度)'!AH:AH))</f>
      </c>
      <c r="U38" s="700">
        <f t="shared" si="6"/>
      </c>
      <c r="V38" s="403">
        <f t="shared" si="7"/>
      </c>
      <c r="W38" s="404">
        <f t="shared" si="8"/>
      </c>
      <c r="X38" s="630"/>
      <c r="Y38" s="404">
        <f t="shared" si="9"/>
      </c>
      <c r="Z38" s="630"/>
      <c r="AA38" s="404" t="str">
        <f t="shared" si="10"/>
        <v>0</v>
      </c>
      <c r="AB38" s="403">
        <f t="shared" si="11"/>
        <v>0</v>
      </c>
      <c r="AC38" s="685"/>
      <c r="AD38" s="402">
        <f t="shared" si="12"/>
      </c>
      <c r="AE38" s="632">
        <f t="shared" si="13"/>
      </c>
      <c r="AF38" s="1144"/>
      <c r="AG38" s="1145"/>
      <c r="AH38" s="1146"/>
      <c r="AJ38" s="61">
        <f t="shared" si="14"/>
      </c>
      <c r="AK38" s="61">
        <f t="shared" si="15"/>
      </c>
    </row>
    <row r="39" spans="1:37" s="53" customFormat="1" ht="18.75" customHeight="1">
      <c r="A39" s="177">
        <f t="shared" si="0"/>
      </c>
      <c r="B39" s="620"/>
      <c r="C39" s="56"/>
      <c r="D39" s="442"/>
      <c r="E39" s="234"/>
      <c r="F39" s="198"/>
      <c r="G39" s="187">
        <f t="shared" si="1"/>
      </c>
      <c r="H39" s="395">
        <f t="shared" si="2"/>
      </c>
      <c r="I39" s="621"/>
      <c r="J39" s="105"/>
      <c r="K39" s="623"/>
      <c r="L39" s="105"/>
      <c r="M39" s="395">
        <f t="shared" si="3"/>
      </c>
      <c r="N39" s="624">
        <f t="shared" si="4"/>
      </c>
      <c r="O39" s="687"/>
      <c r="P39" s="399">
        <f>IF($H39="","",IF($O39="Ａ",LOOKUP($D39,{8000,8500,9000,10000,10032,12000},{0,1532,1032,32,0,0}),IF($O39="Ｂ",LOOKUP($D39,{8000,8500,9000,10000,10032,12000},{0,1532,1032,408,408,408}),IF($O39="Ｃ１",LOOKUP($D39,{8000,8500,9000,10000,10032,12000},{782,2814,2814,2814,2814,2814}),IF($O39="Ｃ２",LOOKUP($D39,{8000,8500,9000,10000,10032,12000},{3188,5220,5220,5220,5220,5220}),0)))))</f>
      </c>
      <c r="Q39" s="686"/>
      <c r="R39" s="626">
        <f>IF($H39="","",IF($Q39="Ａ",LOOKUP($D39,{8000,8500,9000,10000,10032,12000},{0,1532,1032,32,0,0}),IF($Q39="Ｂ",LOOKUP($D39,{8000,8500,9000,10000,10032,12000},{0,1532,1032,408,408,408}),IF($Q39="Ｃ１",LOOKUP($D39,{8000,8500,9000,10000,10032,12000},{782,2814,2814,2814,2814,2814}),IF($Q39="Ｃ２",LOOKUP($D39,{8000,8500,9000,10000,10032,12000},{3188,5220,5220,5220,5220,5220}),0)))))</f>
      </c>
      <c r="S39" s="402">
        <f t="shared" si="5"/>
      </c>
      <c r="T39" s="404">
        <f>IF(B39="","",SUMIF('2-3_調整額内訳④(旧・新制度)'!B:B,$B39,'2-3_調整額内訳④(旧・新制度)'!AH:AH))</f>
      </c>
      <c r="U39" s="700">
        <f t="shared" si="6"/>
      </c>
      <c r="V39" s="403">
        <f t="shared" si="7"/>
      </c>
      <c r="W39" s="404">
        <f t="shared" si="8"/>
      </c>
      <c r="X39" s="630"/>
      <c r="Y39" s="404">
        <f t="shared" si="9"/>
      </c>
      <c r="Z39" s="630"/>
      <c r="AA39" s="404" t="str">
        <f t="shared" si="10"/>
        <v>0</v>
      </c>
      <c r="AB39" s="403">
        <f t="shared" si="11"/>
        <v>0</v>
      </c>
      <c r="AC39" s="685"/>
      <c r="AD39" s="402">
        <f t="shared" si="12"/>
      </c>
      <c r="AE39" s="632">
        <f t="shared" si="13"/>
      </c>
      <c r="AF39" s="1144"/>
      <c r="AG39" s="1145"/>
      <c r="AH39" s="1146"/>
      <c r="AJ39" s="61">
        <f t="shared" si="14"/>
      </c>
      <c r="AK39" s="61">
        <f t="shared" si="15"/>
      </c>
    </row>
    <row r="40" spans="1:37" s="53" customFormat="1" ht="18.75" customHeight="1">
      <c r="A40" s="177">
        <f t="shared" si="0"/>
      </c>
      <c r="B40" s="620"/>
      <c r="C40" s="56"/>
      <c r="D40" s="442"/>
      <c r="E40" s="234"/>
      <c r="F40" s="198"/>
      <c r="G40" s="187">
        <f t="shared" si="1"/>
      </c>
      <c r="H40" s="395">
        <f t="shared" si="2"/>
      </c>
      <c r="I40" s="621"/>
      <c r="J40" s="105"/>
      <c r="K40" s="623"/>
      <c r="L40" s="105"/>
      <c r="M40" s="395">
        <f t="shared" si="3"/>
      </c>
      <c r="N40" s="624">
        <f t="shared" si="4"/>
      </c>
      <c r="O40" s="687"/>
      <c r="P40" s="399">
        <f>IF($H40="","",IF($O40="Ａ",LOOKUP($D40,{8000,8500,9000,10000,10032,12000},{0,1532,1032,32,0,0}),IF($O40="Ｂ",LOOKUP($D40,{8000,8500,9000,10000,10032,12000},{0,1532,1032,408,408,408}),IF($O40="Ｃ１",LOOKUP($D40,{8000,8500,9000,10000,10032,12000},{782,2814,2814,2814,2814,2814}),IF($O40="Ｃ２",LOOKUP($D40,{8000,8500,9000,10000,10032,12000},{3188,5220,5220,5220,5220,5220}),0)))))</f>
      </c>
      <c r="Q40" s="686"/>
      <c r="R40" s="626">
        <f>IF($H40="","",IF($Q40="Ａ",LOOKUP($D40,{8000,8500,9000,10000,10032,12000},{0,1532,1032,32,0,0}),IF($Q40="Ｂ",LOOKUP($D40,{8000,8500,9000,10000,10032,12000},{0,1532,1032,408,408,408}),IF($Q40="Ｃ１",LOOKUP($D40,{8000,8500,9000,10000,10032,12000},{782,2814,2814,2814,2814,2814}),IF($Q40="Ｃ２",LOOKUP($D40,{8000,8500,9000,10000,10032,12000},{3188,5220,5220,5220,5220,5220}),0)))))</f>
      </c>
      <c r="S40" s="402">
        <f t="shared" si="5"/>
      </c>
      <c r="T40" s="404">
        <f>IF(B40="","",SUMIF('2-3_調整額内訳④(旧・新制度)'!B:B,$B40,'2-3_調整額内訳④(旧・新制度)'!AH:AH))</f>
      </c>
      <c r="U40" s="700">
        <f t="shared" si="6"/>
      </c>
      <c r="V40" s="403">
        <f t="shared" si="7"/>
      </c>
      <c r="W40" s="404">
        <f t="shared" si="8"/>
      </c>
      <c r="X40" s="630"/>
      <c r="Y40" s="404">
        <f t="shared" si="9"/>
      </c>
      <c r="Z40" s="630"/>
      <c r="AA40" s="404" t="str">
        <f t="shared" si="10"/>
        <v>0</v>
      </c>
      <c r="AB40" s="403">
        <f t="shared" si="11"/>
        <v>0</v>
      </c>
      <c r="AC40" s="685"/>
      <c r="AD40" s="402">
        <f t="shared" si="12"/>
      </c>
      <c r="AE40" s="632">
        <f t="shared" si="13"/>
      </c>
      <c r="AF40" s="1144"/>
      <c r="AG40" s="1145"/>
      <c r="AH40" s="1146"/>
      <c r="AJ40" s="61">
        <f t="shared" si="14"/>
      </c>
      <c r="AK40" s="61">
        <f t="shared" si="15"/>
      </c>
    </row>
    <row r="41" spans="1:37" s="53" customFormat="1" ht="18.75" customHeight="1">
      <c r="A41" s="177">
        <f t="shared" si="0"/>
      </c>
      <c r="B41" s="620"/>
      <c r="C41" s="56"/>
      <c r="D41" s="442"/>
      <c r="E41" s="234"/>
      <c r="F41" s="198"/>
      <c r="G41" s="187">
        <f t="shared" si="1"/>
      </c>
      <c r="H41" s="395">
        <f t="shared" si="2"/>
      </c>
      <c r="I41" s="621"/>
      <c r="J41" s="105"/>
      <c r="K41" s="623"/>
      <c r="L41" s="105"/>
      <c r="M41" s="395">
        <f t="shared" si="3"/>
      </c>
      <c r="N41" s="624">
        <f t="shared" si="4"/>
      </c>
      <c r="O41" s="687"/>
      <c r="P41" s="399">
        <f>IF($H41="","",IF($O41="Ａ",LOOKUP($D41,{8000,8500,9000,10000,10032,12000},{0,1532,1032,32,0,0}),IF($O41="Ｂ",LOOKUP($D41,{8000,8500,9000,10000,10032,12000},{0,1532,1032,408,408,408}),IF($O41="Ｃ１",LOOKUP($D41,{8000,8500,9000,10000,10032,12000},{782,2814,2814,2814,2814,2814}),IF($O41="Ｃ２",LOOKUP($D41,{8000,8500,9000,10000,10032,12000},{3188,5220,5220,5220,5220,5220}),0)))))</f>
      </c>
      <c r="Q41" s="686"/>
      <c r="R41" s="626">
        <f>IF($H41="","",IF($Q41="Ａ",LOOKUP($D41,{8000,8500,9000,10000,10032,12000},{0,1532,1032,32,0,0}),IF($Q41="Ｂ",LOOKUP($D41,{8000,8500,9000,10000,10032,12000},{0,1532,1032,408,408,408}),IF($Q41="Ｃ１",LOOKUP($D41,{8000,8500,9000,10000,10032,12000},{782,2814,2814,2814,2814,2814}),IF($Q41="Ｃ２",LOOKUP($D41,{8000,8500,9000,10000,10032,12000},{3188,5220,5220,5220,5220,5220}),0)))))</f>
      </c>
      <c r="S41" s="402">
        <f t="shared" si="5"/>
      </c>
      <c r="T41" s="404">
        <f>IF(B41="","",SUMIF('2-3_調整額内訳④(旧・新制度)'!B:B,$B41,'2-3_調整額内訳④(旧・新制度)'!AH:AH))</f>
      </c>
      <c r="U41" s="700">
        <f t="shared" si="6"/>
      </c>
      <c r="V41" s="403">
        <f t="shared" si="7"/>
      </c>
      <c r="W41" s="404">
        <f t="shared" si="8"/>
      </c>
      <c r="X41" s="630"/>
      <c r="Y41" s="404">
        <f t="shared" si="9"/>
      </c>
      <c r="Z41" s="630"/>
      <c r="AA41" s="404" t="str">
        <f t="shared" si="10"/>
        <v>0</v>
      </c>
      <c r="AB41" s="403">
        <f t="shared" si="11"/>
        <v>0</v>
      </c>
      <c r="AC41" s="685"/>
      <c r="AD41" s="402">
        <f t="shared" si="12"/>
      </c>
      <c r="AE41" s="632">
        <f t="shared" si="13"/>
      </c>
      <c r="AF41" s="1144"/>
      <c r="AG41" s="1145"/>
      <c r="AH41" s="1146"/>
      <c r="AJ41" s="61">
        <f t="shared" si="14"/>
      </c>
      <c r="AK41" s="61">
        <f t="shared" si="15"/>
      </c>
    </row>
    <row r="42" spans="1:37" s="53" customFormat="1" ht="18.75" customHeight="1">
      <c r="A42" s="177">
        <f t="shared" si="0"/>
      </c>
      <c r="B42" s="620"/>
      <c r="C42" s="56"/>
      <c r="D42" s="442"/>
      <c r="E42" s="234"/>
      <c r="F42" s="198"/>
      <c r="G42" s="187">
        <f t="shared" si="1"/>
      </c>
      <c r="H42" s="395">
        <f t="shared" si="2"/>
      </c>
      <c r="I42" s="621"/>
      <c r="J42" s="105"/>
      <c r="K42" s="623"/>
      <c r="L42" s="105"/>
      <c r="M42" s="395">
        <f t="shared" si="3"/>
      </c>
      <c r="N42" s="624">
        <f t="shared" si="4"/>
      </c>
      <c r="O42" s="687"/>
      <c r="P42" s="399">
        <f>IF($H42="","",IF($O42="Ａ",LOOKUP($D42,{8000,8500,9000,10000,10032,12000},{0,1532,1032,32,0,0}),IF($O42="Ｂ",LOOKUP($D42,{8000,8500,9000,10000,10032,12000},{0,1532,1032,408,408,408}),IF($O42="Ｃ１",LOOKUP($D42,{8000,8500,9000,10000,10032,12000},{782,2814,2814,2814,2814,2814}),IF($O42="Ｃ２",LOOKUP($D42,{8000,8500,9000,10000,10032,12000},{3188,5220,5220,5220,5220,5220}),0)))))</f>
      </c>
      <c r="Q42" s="686"/>
      <c r="R42" s="626">
        <f>IF($H42="","",IF($Q42="Ａ",LOOKUP($D42,{8000,8500,9000,10000,10032,12000},{0,1532,1032,32,0,0}),IF($Q42="Ｂ",LOOKUP($D42,{8000,8500,9000,10000,10032,12000},{0,1532,1032,408,408,408}),IF($Q42="Ｃ１",LOOKUP($D42,{8000,8500,9000,10000,10032,12000},{782,2814,2814,2814,2814,2814}),IF($Q42="Ｃ２",LOOKUP($D42,{8000,8500,9000,10000,10032,12000},{3188,5220,5220,5220,5220,5220}),0)))))</f>
      </c>
      <c r="S42" s="402">
        <f t="shared" si="5"/>
      </c>
      <c r="T42" s="404">
        <f>IF(B42="","",SUMIF('2-3_調整額内訳④(旧・新制度)'!B:B,$B42,'2-3_調整額内訳④(旧・新制度)'!AH:AH))</f>
      </c>
      <c r="U42" s="700">
        <f t="shared" si="6"/>
      </c>
      <c r="V42" s="403">
        <f t="shared" si="7"/>
      </c>
      <c r="W42" s="404">
        <f t="shared" si="8"/>
      </c>
      <c r="X42" s="630"/>
      <c r="Y42" s="404">
        <f t="shared" si="9"/>
      </c>
      <c r="Z42" s="630"/>
      <c r="AA42" s="404" t="str">
        <f t="shared" si="10"/>
        <v>0</v>
      </c>
      <c r="AB42" s="403">
        <f t="shared" si="11"/>
        <v>0</v>
      </c>
      <c r="AC42" s="685"/>
      <c r="AD42" s="402">
        <f t="shared" si="12"/>
      </c>
      <c r="AE42" s="632">
        <f t="shared" si="13"/>
      </c>
      <c r="AF42" s="1144"/>
      <c r="AG42" s="1145"/>
      <c r="AH42" s="1146"/>
      <c r="AJ42" s="61">
        <f t="shared" si="14"/>
      </c>
      <c r="AK42" s="61">
        <f t="shared" si="15"/>
      </c>
    </row>
    <row r="43" spans="1:37" s="53" customFormat="1" ht="18.75" customHeight="1">
      <c r="A43" s="177">
        <f t="shared" si="0"/>
      </c>
      <c r="B43" s="620"/>
      <c r="C43" s="56"/>
      <c r="D43" s="442"/>
      <c r="E43" s="234"/>
      <c r="F43" s="198"/>
      <c r="G43" s="187">
        <f t="shared" si="1"/>
      </c>
      <c r="H43" s="395">
        <f t="shared" si="2"/>
      </c>
      <c r="I43" s="621"/>
      <c r="J43" s="105"/>
      <c r="K43" s="623"/>
      <c r="L43" s="105"/>
      <c r="M43" s="395">
        <f t="shared" si="3"/>
      </c>
      <c r="N43" s="624">
        <f t="shared" si="4"/>
      </c>
      <c r="O43" s="687"/>
      <c r="P43" s="399">
        <f>IF($H43="","",IF($O43="Ａ",LOOKUP($D43,{8000,8500,9000,10000,10032,12000},{0,1532,1032,32,0,0}),IF($O43="Ｂ",LOOKUP($D43,{8000,8500,9000,10000,10032,12000},{0,1532,1032,408,408,408}),IF($O43="Ｃ１",LOOKUP($D43,{8000,8500,9000,10000,10032,12000},{782,2814,2814,2814,2814,2814}),IF($O43="Ｃ２",LOOKUP($D43,{8000,8500,9000,10000,10032,12000},{3188,5220,5220,5220,5220,5220}),0)))))</f>
      </c>
      <c r="Q43" s="686"/>
      <c r="R43" s="626">
        <f>IF($H43="","",IF($Q43="Ａ",LOOKUP($D43,{8000,8500,9000,10000,10032,12000},{0,1532,1032,32,0,0}),IF($Q43="Ｂ",LOOKUP($D43,{8000,8500,9000,10000,10032,12000},{0,1532,1032,408,408,408}),IF($Q43="Ｃ１",LOOKUP($D43,{8000,8500,9000,10000,10032,12000},{782,2814,2814,2814,2814,2814}),IF($Q43="Ｃ２",LOOKUP($D43,{8000,8500,9000,10000,10032,12000},{3188,5220,5220,5220,5220,5220}),0)))))</f>
      </c>
      <c r="S43" s="402">
        <f t="shared" si="5"/>
      </c>
      <c r="T43" s="404">
        <f>IF(B43="","",SUMIF('2-3_調整額内訳④(旧・新制度)'!B:B,$B43,'2-3_調整額内訳④(旧・新制度)'!AH:AH))</f>
      </c>
      <c r="U43" s="700">
        <f t="shared" si="6"/>
      </c>
      <c r="V43" s="403">
        <f t="shared" si="7"/>
      </c>
      <c r="W43" s="404">
        <f t="shared" si="8"/>
      </c>
      <c r="X43" s="630"/>
      <c r="Y43" s="404">
        <f t="shared" si="9"/>
      </c>
      <c r="Z43" s="630"/>
      <c r="AA43" s="404" t="str">
        <f t="shared" si="10"/>
        <v>0</v>
      </c>
      <c r="AB43" s="403">
        <f t="shared" si="11"/>
        <v>0</v>
      </c>
      <c r="AC43" s="685"/>
      <c r="AD43" s="402">
        <f t="shared" si="12"/>
      </c>
      <c r="AE43" s="632">
        <f t="shared" si="13"/>
      </c>
      <c r="AF43" s="1144"/>
      <c r="AG43" s="1145"/>
      <c r="AH43" s="1146"/>
      <c r="AJ43" s="61">
        <f t="shared" si="14"/>
      </c>
      <c r="AK43" s="61">
        <f t="shared" si="15"/>
      </c>
    </row>
    <row r="44" spans="1:37" s="53" customFormat="1" ht="18.75" customHeight="1" thickBot="1">
      <c r="A44" s="637">
        <f t="shared" si="0"/>
      </c>
      <c r="B44" s="638"/>
      <c r="C44" s="639"/>
      <c r="D44" s="444"/>
      <c r="E44" s="640"/>
      <c r="F44" s="199"/>
      <c r="G44" s="188">
        <f t="shared" si="1"/>
      </c>
      <c r="H44" s="396">
        <f t="shared" si="2"/>
      </c>
      <c r="I44" s="641"/>
      <c r="J44" s="106"/>
      <c r="K44" s="643"/>
      <c r="L44" s="106"/>
      <c r="M44" s="396">
        <f t="shared" si="3"/>
      </c>
      <c r="N44" s="644">
        <f t="shared" si="4"/>
      </c>
      <c r="O44" s="684"/>
      <c r="P44" s="400">
        <f>IF($H44="","",IF($O44="Ａ",LOOKUP($D44,{8000,8500,9000,10000,10032,12000},{0,1532,1032,32,0,0}),IF($O44="Ｂ",LOOKUP($D44,{8000,8500,9000,10000,10032,12000},{0,1532,1032,408,408,408}),IF($O44="Ｃ１",LOOKUP($D44,{8000,8500,9000,10000,10032,12000},{782,2814,2814,2814,2814,2814}),IF($O44="Ｃ２",LOOKUP($D44,{8000,8500,9000,10000,10032,12000},{3188,5220,5220,5220,5220,5220}),0)))))</f>
      </c>
      <c r="Q44" s="683"/>
      <c r="R44" s="646">
        <f>IF($H44="","",IF($Q44="Ａ",LOOKUP($D44,{8000,8500,9000,10000,10032,12000},{0,1532,1032,32,0,0}),IF($Q44="Ｂ",LOOKUP($D44,{8000,8500,9000,10000,10032,12000},{0,1532,1032,408,408,408}),IF($Q44="Ｃ１",LOOKUP($D44,{8000,8500,9000,10000,10032,12000},{782,2814,2814,2814,2814,2814}),IF($Q44="Ｃ２",LOOKUP($D44,{8000,8500,9000,10000,10032,12000},{3188,5220,5220,5220,5220,5220}),0)))))</f>
      </c>
      <c r="S44" s="651">
        <f t="shared" si="5"/>
      </c>
      <c r="T44" s="406">
        <f>IF(B44="","",SUMIF('2-3_調整額内訳④(旧・新制度)'!B:B,$B44,'2-3_調整額内訳④(旧・新制度)'!AH:AH))</f>
      </c>
      <c r="U44" s="701">
        <f t="shared" si="6"/>
      </c>
      <c r="V44" s="666">
        <f t="shared" si="7"/>
      </c>
      <c r="W44" s="406">
        <f t="shared" si="8"/>
      </c>
      <c r="X44" s="650"/>
      <c r="Y44" s="406">
        <f t="shared" si="9"/>
      </c>
      <c r="Z44" s="650"/>
      <c r="AA44" s="406" t="str">
        <f t="shared" si="10"/>
        <v>0</v>
      </c>
      <c r="AB44" s="666">
        <f t="shared" si="11"/>
        <v>0</v>
      </c>
      <c r="AC44" s="682"/>
      <c r="AD44" s="651">
        <f t="shared" si="12"/>
      </c>
      <c r="AE44" s="653">
        <f t="shared" si="13"/>
      </c>
      <c r="AF44" s="1147"/>
      <c r="AG44" s="1148"/>
      <c r="AH44" s="1149"/>
      <c r="AJ44" s="61">
        <f t="shared" si="14"/>
      </c>
      <c r="AK44" s="61">
        <f t="shared" si="15"/>
      </c>
    </row>
    <row r="45" spans="1:37" s="66" customFormat="1" ht="25.5" customHeight="1" thickBot="1">
      <c r="A45" s="1101" t="s">
        <v>140</v>
      </c>
      <c r="B45" s="1102"/>
      <c r="C45" s="1102"/>
      <c r="D45" s="1103"/>
      <c r="E45" s="517">
        <f>SUM(E8:E44)</f>
        <v>0</v>
      </c>
      <c r="F45" s="517">
        <f>SUM(F8:F44)</f>
        <v>0</v>
      </c>
      <c r="G45" s="519">
        <f>SUM(G8:G44)</f>
        <v>0</v>
      </c>
      <c r="H45" s="445" t="s">
        <v>341</v>
      </c>
      <c r="I45" s="681" t="s">
        <v>341</v>
      </c>
      <c r="J45" s="657" t="s">
        <v>342</v>
      </c>
      <c r="K45" s="658">
        <f>SUM(K8:K44)</f>
        <v>0</v>
      </c>
      <c r="L45" s="658">
        <f>SUM(L8:L44)</f>
        <v>0</v>
      </c>
      <c r="M45" s="658">
        <f>SUM(M8:M44)</f>
        <v>0</v>
      </c>
      <c r="N45" s="659" t="s">
        <v>342</v>
      </c>
      <c r="O45" s="445" t="s">
        <v>343</v>
      </c>
      <c r="P45" s="659"/>
      <c r="Q45" s="445" t="s">
        <v>343</v>
      </c>
      <c r="R45" s="659"/>
      <c r="S45" s="660">
        <f aca="true" t="shared" si="16" ref="S45:AE45">SUM(S8:S44)</f>
        <v>0</v>
      </c>
      <c r="T45" s="661">
        <f t="shared" si="16"/>
        <v>0</v>
      </c>
      <c r="U45" s="662">
        <f t="shared" si="16"/>
        <v>0</v>
      </c>
      <c r="V45" s="663">
        <f t="shared" si="16"/>
        <v>0</v>
      </c>
      <c r="W45" s="663">
        <f t="shared" si="16"/>
        <v>0</v>
      </c>
      <c r="X45" s="663">
        <f t="shared" si="16"/>
        <v>0</v>
      </c>
      <c r="Y45" s="663">
        <f t="shared" si="16"/>
        <v>0</v>
      </c>
      <c r="Z45" s="663">
        <f t="shared" si="16"/>
        <v>0</v>
      </c>
      <c r="AA45" s="663">
        <f t="shared" si="16"/>
        <v>0</v>
      </c>
      <c r="AB45" s="663">
        <f t="shared" si="16"/>
        <v>0</v>
      </c>
      <c r="AC45" s="663">
        <f t="shared" si="16"/>
        <v>0</v>
      </c>
      <c r="AD45" s="663">
        <f t="shared" si="16"/>
        <v>0</v>
      </c>
      <c r="AE45" s="664">
        <f t="shared" si="16"/>
        <v>0</v>
      </c>
      <c r="AF45" s="1024"/>
      <c r="AG45" s="1025"/>
      <c r="AH45" s="1026"/>
      <c r="AJ45" s="67"/>
      <c r="AK45" s="67"/>
    </row>
    <row r="46" spans="1:37" s="287" customFormat="1" ht="15.75" customHeight="1">
      <c r="A46" s="287" t="s">
        <v>26</v>
      </c>
      <c r="O46" s="288"/>
      <c r="Q46" s="288"/>
      <c r="AJ46" s="289"/>
      <c r="AK46" s="289"/>
    </row>
    <row r="47" spans="1:37" s="287" customFormat="1" ht="15.75" customHeight="1">
      <c r="A47" s="287" t="s">
        <v>132</v>
      </c>
      <c r="O47" s="288"/>
      <c r="Q47" s="288"/>
      <c r="AJ47" s="289"/>
      <c r="AK47" s="289"/>
    </row>
    <row r="48" spans="1:37" s="287" customFormat="1" ht="15.75" customHeight="1">
      <c r="A48" s="287" t="s">
        <v>146</v>
      </c>
      <c r="O48" s="288"/>
      <c r="Q48" s="288"/>
      <c r="AJ48" s="289"/>
      <c r="AK48" s="289"/>
    </row>
    <row r="49" spans="1:37" s="287" customFormat="1" ht="15.75" customHeight="1">
      <c r="A49" s="287" t="s">
        <v>138</v>
      </c>
      <c r="O49" s="288"/>
      <c r="Q49" s="288"/>
      <c r="AJ49" s="289"/>
      <c r="AK49" s="289"/>
    </row>
    <row r="50" spans="1:37" s="287" customFormat="1" ht="15.75" customHeight="1">
      <c r="A50" s="287" t="s">
        <v>263</v>
      </c>
      <c r="O50" s="288"/>
      <c r="Q50" s="288"/>
      <c r="AJ50" s="289"/>
      <c r="AK50" s="289"/>
    </row>
    <row r="51" spans="1:37" s="287" customFormat="1" ht="15.75" customHeight="1">
      <c r="A51" s="287" t="s">
        <v>228</v>
      </c>
      <c r="O51" s="288"/>
      <c r="Q51" s="288"/>
      <c r="AJ51" s="289"/>
      <c r="AK51" s="289"/>
    </row>
    <row r="52" spans="1:37" s="287" customFormat="1" ht="15.75" customHeight="1">
      <c r="A52" s="287" t="s">
        <v>154</v>
      </c>
      <c r="O52" s="288"/>
      <c r="Q52" s="288"/>
      <c r="AJ52" s="289"/>
      <c r="AK52" s="289"/>
    </row>
    <row r="53" spans="1:37" s="287" customFormat="1" ht="15.75" customHeight="1">
      <c r="A53" s="287" t="s">
        <v>155</v>
      </c>
      <c r="O53" s="288"/>
      <c r="Q53" s="288"/>
      <c r="AJ53" s="289"/>
      <c r="AK53" s="289"/>
    </row>
    <row r="54" spans="1:37" s="287" customFormat="1" ht="15.75" customHeight="1">
      <c r="A54" s="287" t="s">
        <v>264</v>
      </c>
      <c r="O54" s="288"/>
      <c r="Q54" s="288"/>
      <c r="AJ54" s="289"/>
      <c r="AK54" s="289"/>
    </row>
    <row r="55" spans="1:37" s="287" customFormat="1" ht="15.75" customHeight="1">
      <c r="A55" s="287" t="s">
        <v>202</v>
      </c>
      <c r="O55" s="288"/>
      <c r="Q55" s="288"/>
      <c r="AJ55" s="289"/>
      <c r="AK55" s="289"/>
    </row>
    <row r="56" spans="1:36" s="287" customFormat="1" ht="15.75" customHeight="1">
      <c r="A56" s="287" t="s">
        <v>203</v>
      </c>
      <c r="O56" s="288"/>
      <c r="Q56" s="288"/>
      <c r="AI56" s="289"/>
      <c r="AJ56" s="289"/>
    </row>
    <row r="57" spans="1:37" s="287" customFormat="1" ht="15.75" customHeight="1">
      <c r="A57" s="287" t="s">
        <v>141</v>
      </c>
      <c r="O57" s="288"/>
      <c r="Q57" s="288"/>
      <c r="AJ57" s="289"/>
      <c r="AK57" s="289"/>
    </row>
    <row r="58" spans="1:37" s="287" customFormat="1" ht="15.75" customHeight="1">
      <c r="A58" s="287" t="s">
        <v>142</v>
      </c>
      <c r="O58" s="288"/>
      <c r="Q58" s="288"/>
      <c r="AJ58" s="289"/>
      <c r="AK58" s="289"/>
    </row>
    <row r="59" spans="1:37" s="287" customFormat="1" ht="15.75" customHeight="1">
      <c r="A59" s="287" t="s">
        <v>143</v>
      </c>
      <c r="O59" s="288"/>
      <c r="Q59" s="288"/>
      <c r="AJ59" s="289"/>
      <c r="AK59" s="28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4">
    <mergeCell ref="AF42:AH42"/>
    <mergeCell ref="AF37:AH37"/>
    <mergeCell ref="Z1:AF1"/>
    <mergeCell ref="Z2:AF2"/>
    <mergeCell ref="AF44:AH44"/>
    <mergeCell ref="A45:D45"/>
    <mergeCell ref="AF45:AH45"/>
    <mergeCell ref="AF38:AH38"/>
    <mergeCell ref="AF39:AH39"/>
    <mergeCell ref="AF40:AH40"/>
    <mergeCell ref="AF41:AH41"/>
    <mergeCell ref="AF28:AH28"/>
    <mergeCell ref="AF29:AH29"/>
    <mergeCell ref="AF30:AH30"/>
    <mergeCell ref="AF31:AH31"/>
    <mergeCell ref="AF43:AH43"/>
    <mergeCell ref="AF32:AH32"/>
    <mergeCell ref="AF33:AH33"/>
    <mergeCell ref="AF34:AH34"/>
    <mergeCell ref="AF35:AH35"/>
    <mergeCell ref="AF36:AH36"/>
    <mergeCell ref="AF22:AH22"/>
    <mergeCell ref="AF23:AH23"/>
    <mergeCell ref="AF24:AH24"/>
    <mergeCell ref="AF25:AH25"/>
    <mergeCell ref="AF26:AH26"/>
    <mergeCell ref="AF27:AH27"/>
    <mergeCell ref="AF16:AH16"/>
    <mergeCell ref="AF17:AH17"/>
    <mergeCell ref="AF18:AH18"/>
    <mergeCell ref="AF19:AH19"/>
    <mergeCell ref="AF20:AH20"/>
    <mergeCell ref="AF21:AH21"/>
    <mergeCell ref="AF10:AH10"/>
    <mergeCell ref="AF11:AH11"/>
    <mergeCell ref="AF12:AH12"/>
    <mergeCell ref="AF13:AH13"/>
    <mergeCell ref="AF14:AH14"/>
    <mergeCell ref="AF15:AH15"/>
    <mergeCell ref="AF8:AH8"/>
    <mergeCell ref="AF9:AH9"/>
    <mergeCell ref="AF4:AH7"/>
    <mergeCell ref="X4:X6"/>
    <mergeCell ref="Y4:Y6"/>
    <mergeCell ref="AC4:AC6"/>
    <mergeCell ref="AD4:AD6"/>
    <mergeCell ref="AE4:AE6"/>
    <mergeCell ref="Z4:Z5"/>
    <mergeCell ref="AA4:AA5"/>
    <mergeCell ref="AJ4:AJ7"/>
    <mergeCell ref="AK4:AK7"/>
    <mergeCell ref="G5:G6"/>
    <mergeCell ref="H5:H6"/>
    <mergeCell ref="I5:I6"/>
    <mergeCell ref="J5:J6"/>
    <mergeCell ref="M5:M6"/>
    <mergeCell ref="N5:N6"/>
    <mergeCell ref="O5:P5"/>
    <mergeCell ref="W4:W6"/>
    <mergeCell ref="AB4:AB5"/>
    <mergeCell ref="O4:U4"/>
    <mergeCell ref="V4:V6"/>
    <mergeCell ref="Q5:R5"/>
    <mergeCell ref="S5:S6"/>
    <mergeCell ref="T5:T6"/>
    <mergeCell ref="U5:U6"/>
    <mergeCell ref="O6:O7"/>
    <mergeCell ref="Q6:Q7"/>
    <mergeCell ref="A4:A7"/>
    <mergeCell ref="B4:B7"/>
    <mergeCell ref="C4:C7"/>
    <mergeCell ref="D4:D6"/>
    <mergeCell ref="E4:G4"/>
    <mergeCell ref="H4:N4"/>
  </mergeCells>
  <dataValidations count="3">
    <dataValidation type="whole" allowBlank="1" showInputMessage="1" showErrorMessage="1" sqref="M8:M44 Z8:Z44 X8:X44 H8:I44">
      <formula1>0</formula1>
      <formula2>9999999</formula2>
    </dataValidation>
    <dataValidation type="whole" allowBlank="1" showInputMessage="1" showErrorMessage="1" sqref="C8:C44">
      <formula1>1</formula1>
      <formula2>4</formula2>
    </dataValidation>
    <dataValidation type="list" allowBlank="1" showInputMessage="1" showErrorMessage="1" sqref="O8:O44 Q8:Q44">
      <formula1>"Ａ,Ｂ,Ｃ１,Ｃ２,Ｄ"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6"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Q44"/>
  <sheetViews>
    <sheetView tabSelected="1" view="pageBreakPreview" zoomScale="75" zoomScaleNormal="75" zoomScaleSheetLayoutView="75" zoomScalePageLayoutView="0" workbookViewId="0" topLeftCell="A1">
      <selection activeCell="T27" sqref="T27"/>
    </sheetView>
  </sheetViews>
  <sheetFormatPr defaultColWidth="9.625" defaultRowHeight="13.5"/>
  <cols>
    <col min="1" max="1" width="6.25390625" style="40" customWidth="1"/>
    <col min="2" max="2" width="15.625" style="223" customWidth="1"/>
    <col min="3" max="3" width="9.00390625" style="241"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216</v>
      </c>
      <c r="B1" s="222"/>
      <c r="W1" s="954" t="s">
        <v>22</v>
      </c>
      <c r="X1" s="954"/>
      <c r="Y1" s="954"/>
      <c r="Z1" s="884">
        <f>'1_総括表'!E3</f>
        <v>0</v>
      </c>
      <c r="AA1" s="955"/>
      <c r="AB1" s="955"/>
      <c r="AC1" s="955"/>
      <c r="AD1" s="955"/>
      <c r="AE1" s="955"/>
      <c r="AF1" s="955"/>
      <c r="AG1" s="955"/>
      <c r="AH1" s="956"/>
      <c r="AI1" s="160" t="s">
        <v>23</v>
      </c>
      <c r="AJ1" s="957">
        <f>'1_総括表'!Z3</f>
        <v>0</v>
      </c>
      <c r="AK1" s="958"/>
      <c r="AM1" s="46"/>
      <c r="AN1" s="46"/>
    </row>
    <row r="2" spans="1:40" ht="24.75" customHeight="1" thickBot="1">
      <c r="A2" s="42"/>
      <c r="W2" s="959" t="s">
        <v>20</v>
      </c>
      <c r="X2" s="959"/>
      <c r="Y2" s="959"/>
      <c r="Z2" s="887">
        <f>'1_総括表'!E4</f>
        <v>0</v>
      </c>
      <c r="AA2" s="960"/>
      <c r="AB2" s="960"/>
      <c r="AC2" s="960"/>
      <c r="AD2" s="960"/>
      <c r="AE2" s="960"/>
      <c r="AF2" s="960"/>
      <c r="AG2" s="960"/>
      <c r="AH2" s="961"/>
      <c r="AI2" s="161" t="s">
        <v>21</v>
      </c>
      <c r="AJ2" s="962">
        <f>'1_総括表'!Z4</f>
        <v>0</v>
      </c>
      <c r="AK2" s="963"/>
      <c r="AM2" s="70"/>
      <c r="AN2" s="71"/>
    </row>
    <row r="3" spans="1:40" ht="18.75" customHeight="1" thickBot="1">
      <c r="A3" s="273" t="s">
        <v>197</v>
      </c>
      <c r="B3" s="224"/>
      <c r="AJ3" s="43"/>
      <c r="AK3" s="43" t="s">
        <v>25</v>
      </c>
      <c r="AM3" s="70"/>
      <c r="AN3" s="71"/>
    </row>
    <row r="4" spans="1:40" s="44" customFormat="1" ht="18.75" customHeight="1" thickBot="1">
      <c r="A4" s="883" t="s">
        <v>29</v>
      </c>
      <c r="B4" s="1126" t="s">
        <v>148</v>
      </c>
      <c r="C4" s="894" t="s">
        <v>13</v>
      </c>
      <c r="D4" s="878" t="s">
        <v>67</v>
      </c>
      <c r="E4" s="878" t="s">
        <v>87</v>
      </c>
      <c r="F4" s="872" t="s">
        <v>227</v>
      </c>
      <c r="G4" s="873"/>
      <c r="H4" s="873"/>
      <c r="I4" s="873"/>
      <c r="J4" s="874"/>
      <c r="K4" s="968" t="s">
        <v>58</v>
      </c>
      <c r="L4" s="969"/>
      <c r="M4" s="969"/>
      <c r="N4" s="969"/>
      <c r="O4" s="969"/>
      <c r="P4" s="969"/>
      <c r="Q4" s="969"/>
      <c r="R4" s="969"/>
      <c r="S4" s="969"/>
      <c r="T4" s="969"/>
      <c r="U4" s="969"/>
      <c r="V4" s="969"/>
      <c r="W4" s="969"/>
      <c r="X4" s="969"/>
      <c r="Y4" s="969"/>
      <c r="Z4" s="969"/>
      <c r="AA4" s="969"/>
      <c r="AB4" s="969"/>
      <c r="AC4" s="969"/>
      <c r="AD4" s="969"/>
      <c r="AE4" s="969"/>
      <c r="AF4" s="975"/>
      <c r="AG4" s="878" t="s">
        <v>56</v>
      </c>
      <c r="AH4" s="970" t="s">
        <v>57</v>
      </c>
      <c r="AI4" s="973" t="s">
        <v>59</v>
      </c>
      <c r="AJ4" s="974"/>
      <c r="AK4" s="975"/>
      <c r="AM4" s="70"/>
      <c r="AN4" s="71"/>
    </row>
    <row r="5" spans="1:40" s="44" customFormat="1" ht="18.75" customHeight="1" thickBot="1">
      <c r="A5" s="890"/>
      <c r="B5" s="1127"/>
      <c r="C5" s="895"/>
      <c r="D5" s="892"/>
      <c r="E5" s="892"/>
      <c r="F5" s="968" t="s">
        <v>88</v>
      </c>
      <c r="G5" s="981"/>
      <c r="H5" s="982"/>
      <c r="I5" s="982"/>
      <c r="J5" s="983"/>
      <c r="K5" s="984" t="s">
        <v>55</v>
      </c>
      <c r="L5" s="985"/>
      <c r="M5" s="985"/>
      <c r="N5" s="985"/>
      <c r="O5" s="985"/>
      <c r="P5" s="985"/>
      <c r="Q5" s="985"/>
      <c r="R5" s="985"/>
      <c r="S5" s="985"/>
      <c r="T5" s="985"/>
      <c r="U5" s="985"/>
      <c r="V5" s="986"/>
      <c r="W5" s="872" t="s">
        <v>97</v>
      </c>
      <c r="X5" s="873"/>
      <c r="Y5" s="873"/>
      <c r="Z5" s="873"/>
      <c r="AA5" s="873"/>
      <c r="AB5" s="873"/>
      <c r="AC5" s="873"/>
      <c r="AD5" s="873"/>
      <c r="AE5" s="873"/>
      <c r="AF5" s="874"/>
      <c r="AG5" s="892"/>
      <c r="AH5" s="971"/>
      <c r="AI5" s="976"/>
      <c r="AJ5" s="977"/>
      <c r="AK5" s="978"/>
      <c r="AM5" s="70"/>
      <c r="AN5" s="71"/>
    </row>
    <row r="6" spans="1:40" s="44" customFormat="1" ht="21.75" customHeight="1" thickBot="1">
      <c r="A6" s="890"/>
      <c r="B6" s="1127"/>
      <c r="C6" s="895"/>
      <c r="D6" s="892"/>
      <c r="E6" s="892"/>
      <c r="F6" s="987" t="s">
        <v>15</v>
      </c>
      <c r="G6" s="964" t="s">
        <v>43</v>
      </c>
      <c r="H6" s="987" t="s">
        <v>15</v>
      </c>
      <c r="I6" s="964" t="s">
        <v>43</v>
      </c>
      <c r="J6" s="966" t="s">
        <v>89</v>
      </c>
      <c r="K6" s="1129" t="s">
        <v>53</v>
      </c>
      <c r="L6" s="1129"/>
      <c r="M6" s="1129"/>
      <c r="N6" s="989" t="s">
        <v>54</v>
      </c>
      <c r="O6" s="990"/>
      <c r="P6" s="990"/>
      <c r="Q6" s="990"/>
      <c r="R6" s="990"/>
      <c r="S6" s="990"/>
      <c r="T6" s="990"/>
      <c r="U6" s="990"/>
      <c r="V6" s="991"/>
      <c r="W6" s="968" t="s">
        <v>74</v>
      </c>
      <c r="X6" s="993" t="s">
        <v>74</v>
      </c>
      <c r="Y6" s="968" t="s">
        <v>80</v>
      </c>
      <c r="Z6" s="996" t="s">
        <v>80</v>
      </c>
      <c r="AA6" s="1001" t="s">
        <v>185</v>
      </c>
      <c r="AB6" s="1004" t="s">
        <v>185</v>
      </c>
      <c r="AC6" s="1150" t="s">
        <v>186</v>
      </c>
      <c r="AD6" s="1004" t="s">
        <v>186</v>
      </c>
      <c r="AE6" s="1150" t="s">
        <v>152</v>
      </c>
      <c r="AF6" s="1153" t="s">
        <v>152</v>
      </c>
      <c r="AG6" s="892"/>
      <c r="AH6" s="972"/>
      <c r="AI6" s="979"/>
      <c r="AJ6" s="980"/>
      <c r="AK6" s="978"/>
      <c r="AM6" s="70"/>
      <c r="AN6" s="72"/>
    </row>
    <row r="7" spans="1:43" s="44" customFormat="1" ht="20.25" customHeight="1" thickBot="1">
      <c r="A7" s="890"/>
      <c r="B7" s="1127"/>
      <c r="C7" s="895"/>
      <c r="D7" s="892"/>
      <c r="E7" s="892"/>
      <c r="F7" s="988"/>
      <c r="G7" s="965"/>
      <c r="H7" s="988"/>
      <c r="I7" s="965"/>
      <c r="J7" s="967"/>
      <c r="K7" s="872" t="s">
        <v>47</v>
      </c>
      <c r="L7" s="1130" t="s">
        <v>48</v>
      </c>
      <c r="M7" s="874" t="s">
        <v>49</v>
      </c>
      <c r="N7" s="872" t="s">
        <v>44</v>
      </c>
      <c r="O7" s="1130" t="s">
        <v>75</v>
      </c>
      <c r="P7" s="1130" t="s">
        <v>76</v>
      </c>
      <c r="Q7" s="1130" t="s">
        <v>77</v>
      </c>
      <c r="R7" s="1130" t="s">
        <v>45</v>
      </c>
      <c r="S7" s="1130" t="s">
        <v>46</v>
      </c>
      <c r="T7" s="1130" t="s">
        <v>50</v>
      </c>
      <c r="U7" s="1130" t="s">
        <v>51</v>
      </c>
      <c r="V7" s="874" t="s">
        <v>52</v>
      </c>
      <c r="W7" s="979"/>
      <c r="X7" s="994"/>
      <c r="Y7" s="979"/>
      <c r="Z7" s="997"/>
      <c r="AA7" s="1002"/>
      <c r="AB7" s="1005"/>
      <c r="AC7" s="1151"/>
      <c r="AD7" s="1005"/>
      <c r="AE7" s="1151"/>
      <c r="AF7" s="1154"/>
      <c r="AG7" s="892"/>
      <c r="AH7" s="972"/>
      <c r="AI7" s="979"/>
      <c r="AJ7" s="980"/>
      <c r="AK7" s="978"/>
      <c r="AM7" s="1011" t="s">
        <v>27</v>
      </c>
      <c r="AN7" s="1011" t="s">
        <v>70</v>
      </c>
      <c r="AO7" s="73"/>
      <c r="AP7" s="73"/>
      <c r="AQ7" s="73"/>
    </row>
    <row r="8" spans="1:40" s="44" customFormat="1" ht="18.75" customHeight="1" thickBot="1">
      <c r="A8" s="891"/>
      <c r="B8" s="1128"/>
      <c r="C8" s="895"/>
      <c r="D8" s="892"/>
      <c r="E8" s="892"/>
      <c r="F8" s="988"/>
      <c r="G8" s="473" t="s">
        <v>72</v>
      </c>
      <c r="H8" s="988"/>
      <c r="I8" s="473" t="s">
        <v>73</v>
      </c>
      <c r="J8" s="472" t="s">
        <v>78</v>
      </c>
      <c r="K8" s="968"/>
      <c r="L8" s="999"/>
      <c r="M8" s="975"/>
      <c r="N8" s="968"/>
      <c r="O8" s="999"/>
      <c r="P8" s="999"/>
      <c r="Q8" s="999"/>
      <c r="R8" s="999"/>
      <c r="S8" s="999"/>
      <c r="T8" s="999"/>
      <c r="U8" s="999"/>
      <c r="V8" s="975"/>
      <c r="W8" s="992"/>
      <c r="X8" s="995"/>
      <c r="Y8" s="992"/>
      <c r="Z8" s="998"/>
      <c r="AA8" s="1003"/>
      <c r="AB8" s="1006"/>
      <c r="AC8" s="1152"/>
      <c r="AD8" s="1006"/>
      <c r="AE8" s="1152"/>
      <c r="AF8" s="1155"/>
      <c r="AG8" s="472" t="s">
        <v>79</v>
      </c>
      <c r="AH8" s="74" t="s">
        <v>71</v>
      </c>
      <c r="AI8" s="979"/>
      <c r="AJ8" s="980"/>
      <c r="AK8" s="978"/>
      <c r="AM8" s="1012"/>
      <c r="AN8" s="1012"/>
    </row>
    <row r="9" spans="1:40" s="53" customFormat="1" ht="18.75" customHeight="1">
      <c r="A9" s="26">
        <f>IF(B9="","",ROW($A9)-ROW($A$8))</f>
      </c>
      <c r="B9" s="711"/>
      <c r="C9" s="715">
        <f>IF(B9="","",VLOOKUP($B9,'2-2_算定表④(旧・新制度)'!$B$8:$S$65536,2,FALSE))</f>
      </c>
      <c r="D9" s="712">
        <f>IF(B9="","",VLOOKUP($B9,'2-2_算定表④(旧・新制度)'!$B$8:$S$65536,3,FALSE))</f>
      </c>
      <c r="E9" s="562">
        <f>IF(B9="","",VLOOKUP($B9,'2-2_算定表④(旧・新制度)'!$B$8:$S$65536,6,FALSE))</f>
      </c>
      <c r="F9" s="708">
        <f>IF(B9="","",VLOOKUP($B9,'2-2_算定表④(旧・新制度)'!$B$8:$S$65536,14,FALSE))</f>
      </c>
      <c r="G9" s="398">
        <f>IF(B9="","",VLOOKUP($B9,'2-2_算定表④(旧・新制度)'!$B$8:$S$65536,15,FALSE))</f>
      </c>
      <c r="H9" s="708">
        <f>IF(B9="","",VLOOKUP($B9,'2-2_算定表④(旧・新制度)'!$B$8:$S$65536,16,FALSE))</f>
      </c>
      <c r="I9" s="398">
        <f>IF(B9="","",VLOOKUP($B9,'2-2_算定表④(旧・新制度)'!$B$8:$S$65536,17,FALSE))</f>
      </c>
      <c r="J9" s="699">
        <f>IF(B9="","",VLOOKUP($B9,'2-2_算定表④(旧・新制度)'!$B$8:$S$65536,18,FALSE))</f>
      </c>
      <c r="K9" s="705">
        <f>IF($B9="","",VLOOKUP($B9,'2-2_算定表④(旧・新制度)'!$B$8:$S$65536,14,FALSE))</f>
      </c>
      <c r="L9" s="408">
        <f>IF($B9="","",VLOOKUP($B9,'2-2_算定表④(旧・新制度)'!$B$8:$S$65536,14,FALSE))</f>
      </c>
      <c r="M9" s="677">
        <f>IF($B9="","",VLOOKUP($B9,'2-2_算定表④(旧・新制度)'!$B$8:$S$65536,14,FALSE))</f>
      </c>
      <c r="N9" s="670">
        <f>IF($B9="","",VLOOKUP($B9,'2-2_算定表④(旧・新制度)'!$B$8:$S$65536,16,FALSE))</f>
      </c>
      <c r="O9" s="408">
        <f>IF($B9="","",VLOOKUP($B9,'2-2_算定表④(旧・新制度)'!$B$8:$S$65536,16,FALSE))</f>
      </c>
      <c r="P9" s="408">
        <f>IF($B9="","",VLOOKUP($B9,'2-2_算定表④(旧・新制度)'!$B$8:$S$65536,16,FALSE))</f>
      </c>
      <c r="Q9" s="408">
        <f>IF($B9="","",VLOOKUP($B9,'2-2_算定表④(旧・新制度)'!$B$8:$S$65536,16,FALSE))</f>
      </c>
      <c r="R9" s="408">
        <f>IF($B9="","",VLOOKUP($B9,'2-2_算定表④(旧・新制度)'!$B$8:$S$65536,16,FALSE))</f>
      </c>
      <c r="S9" s="408">
        <f>IF($B9="","",VLOOKUP($B9,'2-2_算定表④(旧・新制度)'!$B$8:$S$65536,16,FALSE))</f>
      </c>
      <c r="T9" s="408">
        <f>IF($B9="","",VLOOKUP($B9,'2-2_算定表④(旧・新制度)'!$B$8:$S$65536,16,FALSE))</f>
      </c>
      <c r="U9" s="408">
        <f>IF($B9="","",VLOOKUP($B9,'2-2_算定表④(旧・新制度)'!$B$8:$S$65536,16,FALSE))</f>
      </c>
      <c r="V9" s="671">
        <f>IF($B9="","",VLOOKUP($B9,'2-2_算定表④(旧・新制度)'!$B$8:$S$65536,16,FALSE))</f>
      </c>
      <c r="W9" s="413">
        <f>IF($B9="","",COUNTIF($K9:$M9,W$6))</f>
      </c>
      <c r="X9" s="410">
        <f>IF($B9="","",COUNTIF($N9:$V9,X$6))</f>
      </c>
      <c r="Y9" s="409">
        <f>IF($B9="","",COUNTIF($K9:$M9,Y$6))</f>
      </c>
      <c r="Z9" s="411">
        <f>IF($B9="","",COUNTIF($N9:$V9,Z$6))</f>
      </c>
      <c r="AA9" s="427">
        <f>IF($B9="","",COUNTIF($K9:$M9,AA$6))</f>
      </c>
      <c r="AB9" s="413">
        <f>IF($B9="","",COUNTIF($N9:$V9,AB$6))</f>
      </c>
      <c r="AC9" s="412">
        <f>IF($B9="","",COUNTIF($K9:$M9,AC$6))</f>
      </c>
      <c r="AD9" s="413">
        <f>IF($B9="","",COUNTIF($N9:$V9,AD$6))</f>
      </c>
      <c r="AE9" s="412">
        <f>IF($B9="","",COUNTIF($K9:$M9,AE$6))</f>
      </c>
      <c r="AF9" s="413">
        <f>IF($B9="","",COUNTIF($N9:$V9,AF$6))</f>
      </c>
      <c r="AG9" s="401">
        <f>IF(B9="","",ROUNDUP((G9/VLOOKUP($B9,'2-2_算定表④(旧・新制度)'!$B$8:$AH$44,9,FALSE)*W9)+(I9/VLOOKUP($B9,'2-2_算定表④(旧・新制度)'!$B$8:$AH$44,9,FALSE)*X9)+(G9/VLOOKUP($B9,'2-2_算定表④(旧・新制度)'!$B$8:$AH$44,9,FALSE)*Y9)+(I9/VLOOKUP($B9,'2-2_算定表④(旧・新制度)'!$B$8:$AH$44,9,FALSE)*Z9)+(G9/VLOOKUP($B9,'2-2_算定表④(旧・新制度)'!$B$8:$AH$44,9,FALSE)*AA9)+(I9/VLOOKUP($B9,'2-2_算定表④(旧・新制度)'!$B$8:$AH$44,9,FALSE)*AB9)+(G9/VLOOKUP($B9,'2-2_算定表④(旧・新制度)'!$B$8:$AH$44,9,FALSE)*AC9)+(I9/VLOOKUP($B9,'2-2_算定表④(旧・新制度)'!$B$8:$AH$44,9,FALSE)*AD9),0))</f>
      </c>
      <c r="AH9" s="665">
        <f>IF(B9="","",AG9-J9)</f>
      </c>
      <c r="AI9" s="1076">
        <f>IF(B9="","",VLOOKUP($B9,'2-2_算定表④(旧・新制度)'!$B$8:$AF$65536,31,FALSE))</f>
      </c>
      <c r="AJ9" s="1077" t="s">
        <v>182</v>
      </c>
      <c r="AK9" s="1078" t="s">
        <v>182</v>
      </c>
      <c r="AM9" s="61">
        <f>IF(A9&gt;0,ASC(C9&amp;H9),"")</f>
      </c>
      <c r="AN9" s="61">
        <f>IF(B9="","",IF(AH9=0,0,1))</f>
      </c>
    </row>
    <row r="10" spans="1:40" s="53" customFormat="1" ht="18.75" customHeight="1">
      <c r="A10" s="34">
        <f aca="true" t="shared" si="0" ref="A10:A38">IF(B10="","",ROW($A10)-ROW($A$8))</f>
      </c>
      <c r="B10" s="577"/>
      <c r="C10" s="716">
        <f>IF(B10="","",VLOOKUP($B10,'2-2_算定表④(旧・新制度)'!$B$8:$S$65536,2,FALSE))</f>
      </c>
      <c r="D10" s="713">
        <f>IF(B10="","",VLOOKUP($B10,'2-2_算定表④(旧・新制度)'!$B$8:$S$65536,3,FALSE))</f>
      </c>
      <c r="E10" s="565">
        <f>IF(B10="","",VLOOKUP($B10,'2-2_算定表④(旧・新制度)'!$B$8:$S$65536,6,FALSE))</f>
      </c>
      <c r="F10" s="709">
        <f>IF(B10="","",VLOOKUP($B10,'2-2_算定表④(旧・新制度)'!$B$8:$S$65536,14,FALSE))</f>
      </c>
      <c r="G10" s="399">
        <f>IF(B10="","",VLOOKUP($B10,'2-2_算定表④(旧・新制度)'!$B$8:$S$65536,15,FALSE))</f>
      </c>
      <c r="H10" s="709">
        <f>IF(B10="","",VLOOKUP($B10,'2-2_算定表④(旧・新制度)'!$B$8:$S$65536,16,FALSE))</f>
      </c>
      <c r="I10" s="399">
        <f>IF(B10="","",VLOOKUP($B10,'2-2_算定表④(旧・新制度)'!$B$8:$S$65536,17,FALSE))</f>
      </c>
      <c r="J10" s="700">
        <f>IF(B10="","",VLOOKUP($B10,'2-2_算定表④(旧・新制度)'!$B$8:$S$65536,18,FALSE))</f>
      </c>
      <c r="K10" s="706">
        <f>IF($B10="","",VLOOKUP($B10,'2-2_算定表④(旧・新制度)'!$B$8:$S$65536,14,FALSE))</f>
      </c>
      <c r="L10" s="421">
        <f>IF($B10="","",VLOOKUP($B10,'2-2_算定表④(旧・新制度)'!$B$8:$S$65536,14,FALSE))</f>
      </c>
      <c r="M10" s="678">
        <f>IF($B10="","",VLOOKUP($B10,'2-2_算定表④(旧・新制度)'!$B$8:$S$65536,14,FALSE))</f>
      </c>
      <c r="N10" s="672">
        <f>IF($B10="","",VLOOKUP($B10,'2-2_算定表④(旧・新制度)'!$B$8:$S$65536,16,FALSE))</f>
      </c>
      <c r="O10" s="421">
        <f>IF($B10="","",VLOOKUP($B10,'2-2_算定表④(旧・新制度)'!$B$8:$S$65536,16,FALSE))</f>
      </c>
      <c r="P10" s="421">
        <f>IF($B10="","",VLOOKUP($B10,'2-2_算定表④(旧・新制度)'!$B$8:$S$65536,16,FALSE))</f>
      </c>
      <c r="Q10" s="421">
        <f>IF($B10="","",VLOOKUP($B10,'2-2_算定表④(旧・新制度)'!$B$8:$S$65536,16,FALSE))</f>
      </c>
      <c r="R10" s="421">
        <f>IF($B10="","",VLOOKUP($B10,'2-2_算定表④(旧・新制度)'!$B$8:$S$65536,16,FALSE))</f>
      </c>
      <c r="S10" s="421">
        <f>IF($B10="","",VLOOKUP($B10,'2-2_算定表④(旧・新制度)'!$B$8:$S$65536,16,FALSE))</f>
      </c>
      <c r="T10" s="421">
        <f>IF($B10="","",VLOOKUP($B10,'2-2_算定表④(旧・新制度)'!$B$8:$S$65536,16,FALSE))</f>
      </c>
      <c r="U10" s="421">
        <f>IF($B10="","",VLOOKUP($B10,'2-2_算定表④(旧・新制度)'!$B$8:$S$65536,16,FALSE))</f>
      </c>
      <c r="V10" s="673">
        <f>IF($B10="","",VLOOKUP($B10,'2-2_算定表④(旧・新制度)'!$B$8:$S$65536,16,FALSE))</f>
      </c>
      <c r="W10" s="429">
        <f aca="true" t="shared" si="1" ref="W10:W38">IF($B10="","",COUNTIF($K10:$M10,W$6))</f>
      </c>
      <c r="X10" s="416">
        <f aca="true" t="shared" si="2" ref="X10:X38">IF($B10="","",COUNTIF($N10:$V10,X$6))</f>
      </c>
      <c r="Y10" s="415">
        <f aca="true" t="shared" si="3" ref="Y10:Y38">IF($B10="","",COUNTIF($K10:$M10,Y$6))</f>
      </c>
      <c r="Z10" s="417">
        <f aca="true" t="shared" si="4" ref="Z10:Z38">IF($B10="","",COUNTIF($N10:$V10,Z$6))</f>
      </c>
      <c r="AA10" s="428">
        <f aca="true" t="shared" si="5" ref="AA10:AA38">IF($B10="","",COUNTIF($K10:$M10,AA$6))</f>
      </c>
      <c r="AB10" s="429">
        <f aca="true" t="shared" si="6" ref="AB10:AB38">IF($B10="","",COUNTIF($N10:$V10,AB$6))</f>
      </c>
      <c r="AC10" s="430">
        <f aca="true" t="shared" si="7" ref="AC10:AC38">IF($B10="","",COUNTIF($K10:$M10,AC$6))</f>
      </c>
      <c r="AD10" s="429">
        <f aca="true" t="shared" si="8" ref="AD10:AD38">IF($B10="","",COUNTIF($N10:$V10,AD$6))</f>
      </c>
      <c r="AE10" s="430">
        <f aca="true" t="shared" si="9" ref="AE10:AE38">IF($B10="","",COUNTIF($K10:$M10,AE$6))</f>
      </c>
      <c r="AF10" s="429">
        <f aca="true" t="shared" si="10" ref="AF10:AF38">IF($B10="","",COUNTIF($N10:$V10,AF$6))</f>
      </c>
      <c r="AG10" s="404">
        <f>IF(B10="","",ROUNDUP((G10/VLOOKUP($B10,'2-2_算定表④(旧・新制度)'!$B$8:$AH$44,9,FALSE)*W10)+(I10/VLOOKUP($B10,'2-2_算定表④(旧・新制度)'!$B$8:$AH$44,9,FALSE)*X10)+(G10/VLOOKUP($B10,'2-2_算定表④(旧・新制度)'!$B$8:$AH$44,9,FALSE)*Y10)+(I10/VLOOKUP($B10,'2-2_算定表④(旧・新制度)'!$B$8:$AH$44,9,FALSE)*Z10)+(G10/VLOOKUP($B10,'2-2_算定表④(旧・新制度)'!$B$8:$AH$44,9,FALSE)*AA10)+(I10/VLOOKUP($B10,'2-2_算定表④(旧・新制度)'!$B$8:$AH$44,9,FALSE)*AB10)+(G10/VLOOKUP($B10,'2-2_算定表④(旧・新制度)'!$B$8:$AH$44,9,FALSE)*AC10)+(I10/VLOOKUP($B10,'2-2_算定表④(旧・新制度)'!$B$8:$AH$44,9,FALSE)*AD10),0))</f>
      </c>
      <c r="AH10" s="680">
        <f>IF(B10="","",AG10-J10)</f>
      </c>
      <c r="AI10" s="1079">
        <f>IF(B10="","",VLOOKUP($B10,'2-2_算定表④(旧・新制度)'!$B$8:$AF$65536,31,FALSE))</f>
      </c>
      <c r="AJ10" s="1080" t="s">
        <v>182</v>
      </c>
      <c r="AK10" s="1081" t="s">
        <v>182</v>
      </c>
      <c r="AM10" s="54">
        <f>IF(A10&gt;0,ASC(C10&amp;H10),"")</f>
      </c>
      <c r="AN10" s="54">
        <f aca="true" t="shared" si="11" ref="AN10:AN38">IF(B10="","",IF(AH10=0,0,1))</f>
      </c>
    </row>
    <row r="11" spans="1:40" s="53" customFormat="1" ht="18.75" customHeight="1">
      <c r="A11" s="27">
        <f t="shared" si="0"/>
      </c>
      <c r="B11" s="577"/>
      <c r="C11" s="716">
        <f>IF(B11="","",VLOOKUP($B11,'2-2_算定表④(旧・新制度)'!$B$8:$S$65536,2,FALSE))</f>
      </c>
      <c r="D11" s="713">
        <f>IF(B11="","",VLOOKUP($B11,'2-2_算定表④(旧・新制度)'!$B$8:$S$65536,3,FALSE))</f>
      </c>
      <c r="E11" s="565">
        <f>IF(B11="","",VLOOKUP($B11,'2-2_算定表④(旧・新制度)'!$B$8:$S$65536,6,FALSE))</f>
      </c>
      <c r="F11" s="709">
        <f>IF(B11="","",VLOOKUP($B11,'2-2_算定表④(旧・新制度)'!$B$8:$S$65536,14,FALSE))</f>
      </c>
      <c r="G11" s="399">
        <f>IF(B11="","",VLOOKUP($B11,'2-2_算定表④(旧・新制度)'!$B$8:$S$65536,15,FALSE))</f>
      </c>
      <c r="H11" s="709">
        <f>IF(B11="","",VLOOKUP($B11,'2-2_算定表④(旧・新制度)'!$B$8:$S$65536,16,FALSE))</f>
      </c>
      <c r="I11" s="399">
        <f>IF(B11="","",VLOOKUP($B11,'2-2_算定表④(旧・新制度)'!$B$8:$S$65536,17,FALSE))</f>
      </c>
      <c r="J11" s="700">
        <f>IF(B11="","",VLOOKUP($B11,'2-2_算定表④(旧・新制度)'!$B$8:$S$65536,18,FALSE))</f>
      </c>
      <c r="K11" s="706">
        <f>IF($B11="","",VLOOKUP($B11,'2-2_算定表④(旧・新制度)'!$B$8:$S$65536,14,FALSE))</f>
      </c>
      <c r="L11" s="421">
        <f>IF($B11="","",VLOOKUP($B11,'2-2_算定表④(旧・新制度)'!$B$8:$S$65536,14,FALSE))</f>
      </c>
      <c r="M11" s="678">
        <f>IF($B11="","",VLOOKUP($B11,'2-2_算定表④(旧・新制度)'!$B$8:$S$65536,14,FALSE))</f>
      </c>
      <c r="N11" s="672">
        <f>IF($B11="","",VLOOKUP($B11,'2-2_算定表④(旧・新制度)'!$B$8:$S$65536,16,FALSE))</f>
      </c>
      <c r="O11" s="421">
        <f>IF($B11="","",VLOOKUP($B11,'2-2_算定表④(旧・新制度)'!$B$8:$S$65536,16,FALSE))</f>
      </c>
      <c r="P11" s="421">
        <f>IF($B11="","",VLOOKUP($B11,'2-2_算定表④(旧・新制度)'!$B$8:$S$65536,16,FALSE))</f>
      </c>
      <c r="Q11" s="421">
        <f>IF($B11="","",VLOOKUP($B11,'2-2_算定表④(旧・新制度)'!$B$8:$S$65536,16,FALSE))</f>
      </c>
      <c r="R11" s="421">
        <f>IF($B11="","",VLOOKUP($B11,'2-2_算定表④(旧・新制度)'!$B$8:$S$65536,16,FALSE))</f>
      </c>
      <c r="S11" s="421">
        <f>IF($B11="","",VLOOKUP($B11,'2-2_算定表④(旧・新制度)'!$B$8:$S$65536,16,FALSE))</f>
      </c>
      <c r="T11" s="421">
        <f>IF($B11="","",VLOOKUP($B11,'2-2_算定表④(旧・新制度)'!$B$8:$S$65536,16,FALSE))</f>
      </c>
      <c r="U11" s="421">
        <f>IF($B11="","",VLOOKUP($B11,'2-2_算定表④(旧・新制度)'!$B$8:$S$65536,16,FALSE))</f>
      </c>
      <c r="V11" s="673">
        <f>IF($B11="","",VLOOKUP($B11,'2-2_算定表④(旧・新制度)'!$B$8:$S$65536,16,FALSE))</f>
      </c>
      <c r="W11" s="429">
        <f t="shared" si="1"/>
      </c>
      <c r="X11" s="416">
        <f t="shared" si="2"/>
      </c>
      <c r="Y11" s="415">
        <f t="shared" si="3"/>
      </c>
      <c r="Z11" s="417">
        <f t="shared" si="4"/>
      </c>
      <c r="AA11" s="428">
        <f t="shared" si="5"/>
      </c>
      <c r="AB11" s="429">
        <f t="shared" si="6"/>
      </c>
      <c r="AC11" s="430">
        <f t="shared" si="7"/>
      </c>
      <c r="AD11" s="429">
        <f t="shared" si="8"/>
      </c>
      <c r="AE11" s="430">
        <f t="shared" si="9"/>
      </c>
      <c r="AF11" s="429">
        <f t="shared" si="10"/>
      </c>
      <c r="AG11" s="404">
        <f>IF(B11="","",ROUNDUP((G11/VLOOKUP($B11,'2-2_算定表④(旧・新制度)'!$B$8:$AH$44,9,FALSE)*W11)+(I11/VLOOKUP($B11,'2-2_算定表④(旧・新制度)'!$B$8:$AH$44,9,FALSE)*X11)+(G11/VLOOKUP($B11,'2-2_算定表④(旧・新制度)'!$B$8:$AH$44,9,FALSE)*Y11)+(I11/VLOOKUP($B11,'2-2_算定表④(旧・新制度)'!$B$8:$AH$44,9,FALSE)*Z11)+(G11/VLOOKUP($B11,'2-2_算定表④(旧・新制度)'!$B$8:$AH$44,9,FALSE)*AA11)+(I11/VLOOKUP($B11,'2-2_算定表④(旧・新制度)'!$B$8:$AH$44,9,FALSE)*AB11)+(G11/VLOOKUP($B11,'2-2_算定表④(旧・新制度)'!$B$8:$AH$44,9,FALSE)*AC11)+(I11/VLOOKUP($B11,'2-2_算定表④(旧・新制度)'!$B$8:$AH$44,9,FALSE)*AD11),0))</f>
      </c>
      <c r="AH11" s="403">
        <f aca="true" t="shared" si="12" ref="AH11:AH38">IF(B11="","",AG11-J11)</f>
      </c>
      <c r="AI11" s="1079">
        <f>IF(B11="","",VLOOKUP($B11,'2-2_算定表④(旧・新制度)'!$B$8:$AF$65536,31,FALSE))</f>
      </c>
      <c r="AJ11" s="1080" t="s">
        <v>182</v>
      </c>
      <c r="AK11" s="1081" t="s">
        <v>182</v>
      </c>
      <c r="AM11" s="61">
        <f aca="true" t="shared" si="13" ref="AM11:AM38">IF(A11&gt;0,ASC(C11&amp;H11),"")</f>
      </c>
      <c r="AN11" s="61">
        <f t="shared" si="11"/>
      </c>
    </row>
    <row r="12" spans="1:40" s="53" customFormat="1" ht="18.75" customHeight="1">
      <c r="A12" s="27">
        <f t="shared" si="0"/>
      </c>
      <c r="B12" s="577"/>
      <c r="C12" s="716">
        <f>IF(B12="","",VLOOKUP($B12,'2-2_算定表④(旧・新制度)'!$B$8:$S$65536,2,FALSE))</f>
      </c>
      <c r="D12" s="713">
        <f>IF(B12="","",VLOOKUP($B12,'2-2_算定表④(旧・新制度)'!$B$8:$S$65536,3,FALSE))</f>
      </c>
      <c r="E12" s="565">
        <f>IF(B12="","",VLOOKUP($B12,'2-2_算定表④(旧・新制度)'!$B$8:$S$65536,6,FALSE))</f>
      </c>
      <c r="F12" s="709">
        <f>IF(B12="","",VLOOKUP($B12,'2-2_算定表④(旧・新制度)'!$B$8:$S$65536,14,FALSE))</f>
      </c>
      <c r="G12" s="399">
        <f>IF(B12="","",VLOOKUP($B12,'2-2_算定表④(旧・新制度)'!$B$8:$S$65536,15,FALSE))</f>
      </c>
      <c r="H12" s="709">
        <f>IF(B12="","",VLOOKUP($B12,'2-2_算定表④(旧・新制度)'!$B$8:$S$65536,16,FALSE))</f>
      </c>
      <c r="I12" s="399">
        <f>IF(B12="","",VLOOKUP($B12,'2-2_算定表④(旧・新制度)'!$B$8:$S$65536,17,FALSE))</f>
      </c>
      <c r="J12" s="700">
        <f>IF(B12="","",VLOOKUP($B12,'2-2_算定表④(旧・新制度)'!$B$8:$S$65536,18,FALSE))</f>
      </c>
      <c r="K12" s="706">
        <f>IF($B12="","",VLOOKUP($B12,'2-2_算定表④(旧・新制度)'!$B$8:$S$65536,14,FALSE))</f>
      </c>
      <c r="L12" s="421">
        <f>IF($B12="","",VLOOKUP($B12,'2-2_算定表④(旧・新制度)'!$B$8:$S$65536,14,FALSE))</f>
      </c>
      <c r="M12" s="678">
        <f>IF($B12="","",VLOOKUP($B12,'2-2_算定表④(旧・新制度)'!$B$8:$S$65536,14,FALSE))</f>
      </c>
      <c r="N12" s="672">
        <f>IF($B12="","",VLOOKUP($B12,'2-2_算定表④(旧・新制度)'!$B$8:$S$65536,16,FALSE))</f>
      </c>
      <c r="O12" s="421">
        <f>IF($B12="","",VLOOKUP($B12,'2-2_算定表④(旧・新制度)'!$B$8:$S$65536,16,FALSE))</f>
      </c>
      <c r="P12" s="421">
        <f>IF($B12="","",VLOOKUP($B12,'2-2_算定表④(旧・新制度)'!$B$8:$S$65536,16,FALSE))</f>
      </c>
      <c r="Q12" s="421">
        <f>IF($B12="","",VLOOKUP($B12,'2-2_算定表④(旧・新制度)'!$B$8:$S$65536,16,FALSE))</f>
      </c>
      <c r="R12" s="421">
        <f>IF($B12="","",VLOOKUP($B12,'2-2_算定表④(旧・新制度)'!$B$8:$S$65536,16,FALSE))</f>
      </c>
      <c r="S12" s="421">
        <f>IF($B12="","",VLOOKUP($B12,'2-2_算定表④(旧・新制度)'!$B$8:$S$65536,16,FALSE))</f>
      </c>
      <c r="T12" s="421">
        <f>IF($B12="","",VLOOKUP($B12,'2-2_算定表④(旧・新制度)'!$B$8:$S$65536,16,FALSE))</f>
      </c>
      <c r="U12" s="421">
        <f>IF($B12="","",VLOOKUP($B12,'2-2_算定表④(旧・新制度)'!$B$8:$S$65536,16,FALSE))</f>
      </c>
      <c r="V12" s="673">
        <f>IF($B12="","",VLOOKUP($B12,'2-2_算定表④(旧・新制度)'!$B$8:$S$65536,16,FALSE))</f>
      </c>
      <c r="W12" s="419">
        <f t="shared" si="1"/>
      </c>
      <c r="X12" s="423">
        <f t="shared" si="2"/>
      </c>
      <c r="Y12" s="422">
        <f t="shared" si="3"/>
      </c>
      <c r="Z12" s="424">
        <f t="shared" si="4"/>
      </c>
      <c r="AA12" s="431">
        <f t="shared" si="5"/>
      </c>
      <c r="AB12" s="419">
        <f t="shared" si="6"/>
      </c>
      <c r="AC12" s="418">
        <f t="shared" si="7"/>
      </c>
      <c r="AD12" s="419">
        <f t="shared" si="8"/>
      </c>
      <c r="AE12" s="418">
        <f t="shared" si="9"/>
      </c>
      <c r="AF12" s="419">
        <f t="shared" si="10"/>
      </c>
      <c r="AG12" s="404">
        <f>IF(B12="","",ROUNDUP((G12/VLOOKUP($B12,'2-2_算定表④(旧・新制度)'!$B$8:$AH$44,9,FALSE)*W12)+(I12/VLOOKUP($B12,'2-2_算定表④(旧・新制度)'!$B$8:$AH$44,9,FALSE)*X12)+(G12/VLOOKUP($B12,'2-2_算定表④(旧・新制度)'!$B$8:$AH$44,9,FALSE)*Y12)+(I12/VLOOKUP($B12,'2-2_算定表④(旧・新制度)'!$B$8:$AH$44,9,FALSE)*Z12)+(G12/VLOOKUP($B12,'2-2_算定表④(旧・新制度)'!$B$8:$AH$44,9,FALSE)*AA12)+(I12/VLOOKUP($B12,'2-2_算定表④(旧・新制度)'!$B$8:$AH$44,9,FALSE)*AB12)+(G12/VLOOKUP($B12,'2-2_算定表④(旧・新制度)'!$B$8:$AH$44,9,FALSE)*AC12)+(I12/VLOOKUP($B12,'2-2_算定表④(旧・新制度)'!$B$8:$AH$44,9,FALSE)*AD12),0))</f>
      </c>
      <c r="AH12" s="403">
        <f t="shared" si="12"/>
      </c>
      <c r="AI12" s="1079">
        <f>IF(B12="","",VLOOKUP($B12,'2-2_算定表④(旧・新制度)'!$B$8:$AF$65536,31,FALSE))</f>
      </c>
      <c r="AJ12" s="1080" t="s">
        <v>182</v>
      </c>
      <c r="AK12" s="1081" t="s">
        <v>182</v>
      </c>
      <c r="AM12" s="61">
        <f t="shared" si="13"/>
      </c>
      <c r="AN12" s="61">
        <f t="shared" si="11"/>
      </c>
    </row>
    <row r="13" spans="1:40" s="53" customFormat="1" ht="18.75" customHeight="1">
      <c r="A13" s="27">
        <f t="shared" si="0"/>
      </c>
      <c r="B13" s="577"/>
      <c r="C13" s="716">
        <f>IF(B13="","",VLOOKUP($B13,'2-2_算定表④(旧・新制度)'!$B$8:$S$65536,2,FALSE))</f>
      </c>
      <c r="D13" s="713">
        <f>IF(B13="","",VLOOKUP($B13,'2-2_算定表④(旧・新制度)'!$B$8:$S$65536,3,FALSE))</f>
      </c>
      <c r="E13" s="565">
        <f>IF(B13="","",VLOOKUP($B13,'2-2_算定表④(旧・新制度)'!$B$8:$S$65536,6,FALSE))</f>
      </c>
      <c r="F13" s="709">
        <f>IF(B13="","",VLOOKUP($B13,'2-2_算定表④(旧・新制度)'!$B$8:$S$65536,14,FALSE))</f>
      </c>
      <c r="G13" s="399">
        <f>IF(B13="","",VLOOKUP($B13,'2-2_算定表④(旧・新制度)'!$B$8:$S$65536,15,FALSE))</f>
      </c>
      <c r="H13" s="709">
        <f>IF(B13="","",VLOOKUP($B13,'2-2_算定表④(旧・新制度)'!$B$8:$S$65536,16,FALSE))</f>
      </c>
      <c r="I13" s="399">
        <f>IF(B13="","",VLOOKUP($B13,'2-2_算定表④(旧・新制度)'!$B$8:$S$65536,17,FALSE))</f>
      </c>
      <c r="J13" s="700">
        <f>IF(B13="","",VLOOKUP($B13,'2-2_算定表④(旧・新制度)'!$B$8:$S$65536,18,FALSE))</f>
      </c>
      <c r="K13" s="706">
        <f>IF($B13="","",VLOOKUP($B13,'2-2_算定表④(旧・新制度)'!$B$8:$S$65536,14,FALSE))</f>
      </c>
      <c r="L13" s="421">
        <f>IF($B13="","",VLOOKUP($B13,'2-2_算定表④(旧・新制度)'!$B$8:$S$65536,14,FALSE))</f>
      </c>
      <c r="M13" s="678">
        <f>IF($B13="","",VLOOKUP($B13,'2-2_算定表④(旧・新制度)'!$B$8:$S$65536,14,FALSE))</f>
      </c>
      <c r="N13" s="672">
        <f>IF($B13="","",VLOOKUP($B13,'2-2_算定表④(旧・新制度)'!$B$8:$S$65536,16,FALSE))</f>
      </c>
      <c r="O13" s="421">
        <f>IF($B13="","",VLOOKUP($B13,'2-2_算定表④(旧・新制度)'!$B$8:$S$65536,16,FALSE))</f>
      </c>
      <c r="P13" s="421">
        <f>IF($B13="","",VLOOKUP($B13,'2-2_算定表④(旧・新制度)'!$B$8:$S$65536,16,FALSE))</f>
      </c>
      <c r="Q13" s="421">
        <f>IF($B13="","",VLOOKUP($B13,'2-2_算定表④(旧・新制度)'!$B$8:$S$65536,16,FALSE))</f>
      </c>
      <c r="R13" s="421">
        <f>IF($B13="","",VLOOKUP($B13,'2-2_算定表④(旧・新制度)'!$B$8:$S$65536,16,FALSE))</f>
      </c>
      <c r="S13" s="421">
        <f>IF($B13="","",VLOOKUP($B13,'2-2_算定表④(旧・新制度)'!$B$8:$S$65536,16,FALSE))</f>
      </c>
      <c r="T13" s="421">
        <f>IF($B13="","",VLOOKUP($B13,'2-2_算定表④(旧・新制度)'!$B$8:$S$65536,16,FALSE))</f>
      </c>
      <c r="U13" s="421">
        <f>IF($B13="","",VLOOKUP($B13,'2-2_算定表④(旧・新制度)'!$B$8:$S$65536,16,FALSE))</f>
      </c>
      <c r="V13" s="673">
        <f>IF($B13="","",VLOOKUP($B13,'2-2_算定表④(旧・新制度)'!$B$8:$S$65536,16,FALSE))</f>
      </c>
      <c r="W13" s="419">
        <f t="shared" si="1"/>
      </c>
      <c r="X13" s="423">
        <f t="shared" si="2"/>
      </c>
      <c r="Y13" s="422">
        <f t="shared" si="3"/>
      </c>
      <c r="Z13" s="424">
        <f t="shared" si="4"/>
      </c>
      <c r="AA13" s="431">
        <f t="shared" si="5"/>
      </c>
      <c r="AB13" s="419">
        <f t="shared" si="6"/>
      </c>
      <c r="AC13" s="418">
        <f t="shared" si="7"/>
      </c>
      <c r="AD13" s="419">
        <f t="shared" si="8"/>
      </c>
      <c r="AE13" s="418">
        <f t="shared" si="9"/>
      </c>
      <c r="AF13" s="419">
        <f t="shared" si="10"/>
      </c>
      <c r="AG13" s="404">
        <f>IF(B13="","",ROUNDUP((G13/VLOOKUP($B13,'2-2_算定表④(旧・新制度)'!$B$8:$AH$44,9,FALSE)*W13)+(I13/VLOOKUP($B13,'2-2_算定表④(旧・新制度)'!$B$8:$AH$44,9,FALSE)*X13)+(G13/VLOOKUP($B13,'2-2_算定表④(旧・新制度)'!$B$8:$AH$44,9,FALSE)*Y13)+(I13/VLOOKUP($B13,'2-2_算定表④(旧・新制度)'!$B$8:$AH$44,9,FALSE)*Z13)+(G13/VLOOKUP($B13,'2-2_算定表④(旧・新制度)'!$B$8:$AH$44,9,FALSE)*AA13)+(I13/VLOOKUP($B13,'2-2_算定表④(旧・新制度)'!$B$8:$AH$44,9,FALSE)*AB13)+(G13/VLOOKUP($B13,'2-2_算定表④(旧・新制度)'!$B$8:$AH$44,9,FALSE)*AC13)+(I13/VLOOKUP($B13,'2-2_算定表④(旧・新制度)'!$B$8:$AH$44,9,FALSE)*AD13),0))</f>
      </c>
      <c r="AH13" s="403">
        <f>IF(B13="","",AG13-J13)</f>
      </c>
      <c r="AI13" s="1079">
        <f>IF(B13="","",VLOOKUP($B13,'2-2_算定表④(旧・新制度)'!$B$8:$AF$65536,31,FALSE))</f>
      </c>
      <c r="AJ13" s="1080" t="s">
        <v>182</v>
      </c>
      <c r="AK13" s="1081" t="s">
        <v>182</v>
      </c>
      <c r="AM13" s="61">
        <f t="shared" si="13"/>
      </c>
      <c r="AN13" s="61">
        <f t="shared" si="11"/>
      </c>
    </row>
    <row r="14" spans="1:40" s="53" customFormat="1" ht="18.75" customHeight="1">
      <c r="A14" s="27">
        <f t="shared" si="0"/>
      </c>
      <c r="B14" s="577"/>
      <c r="C14" s="716">
        <f>IF(B14="","",VLOOKUP($B14,'2-2_算定表④(旧・新制度)'!$B$8:$S$65536,2,FALSE))</f>
      </c>
      <c r="D14" s="713">
        <f>IF(B14="","",VLOOKUP($B14,'2-2_算定表④(旧・新制度)'!$B$8:$S$65536,3,FALSE))</f>
      </c>
      <c r="E14" s="565">
        <f>IF(B14="","",VLOOKUP($B14,'2-2_算定表④(旧・新制度)'!$B$8:$S$65536,6,FALSE))</f>
      </c>
      <c r="F14" s="709">
        <f>IF(B14="","",VLOOKUP($B14,'2-2_算定表④(旧・新制度)'!$B$8:$S$65536,14,FALSE))</f>
      </c>
      <c r="G14" s="399">
        <f>IF(B14="","",VLOOKUP($B14,'2-2_算定表④(旧・新制度)'!$B$8:$S$65536,15,FALSE))</f>
      </c>
      <c r="H14" s="709">
        <f>IF(B14="","",VLOOKUP($B14,'2-2_算定表④(旧・新制度)'!$B$8:$S$65536,16,FALSE))</f>
      </c>
      <c r="I14" s="399">
        <f>IF(B14="","",VLOOKUP($B14,'2-2_算定表④(旧・新制度)'!$B$8:$S$65536,17,FALSE))</f>
      </c>
      <c r="J14" s="700">
        <f>IF(B14="","",VLOOKUP($B14,'2-2_算定表④(旧・新制度)'!$B$8:$S$65536,18,FALSE))</f>
      </c>
      <c r="K14" s="706">
        <f>IF($B14="","",VLOOKUP($B14,'2-2_算定表④(旧・新制度)'!$B$8:$S$65536,14,FALSE))</f>
      </c>
      <c r="L14" s="421">
        <f>IF($B14="","",VLOOKUP($B14,'2-2_算定表④(旧・新制度)'!$B$8:$S$65536,14,FALSE))</f>
      </c>
      <c r="M14" s="678">
        <f>IF($B14="","",VLOOKUP($B14,'2-2_算定表④(旧・新制度)'!$B$8:$S$65536,14,FALSE))</f>
      </c>
      <c r="N14" s="672">
        <f>IF($B14="","",VLOOKUP($B14,'2-2_算定表④(旧・新制度)'!$B$8:$S$65536,16,FALSE))</f>
      </c>
      <c r="O14" s="421">
        <f>IF($B14="","",VLOOKUP($B14,'2-2_算定表④(旧・新制度)'!$B$8:$S$65536,16,FALSE))</f>
      </c>
      <c r="P14" s="421">
        <f>IF($B14="","",VLOOKUP($B14,'2-2_算定表④(旧・新制度)'!$B$8:$S$65536,16,FALSE))</f>
      </c>
      <c r="Q14" s="421">
        <f>IF($B14="","",VLOOKUP($B14,'2-2_算定表④(旧・新制度)'!$B$8:$S$65536,16,FALSE))</f>
      </c>
      <c r="R14" s="421">
        <f>IF($B14="","",VLOOKUP($B14,'2-2_算定表④(旧・新制度)'!$B$8:$S$65536,16,FALSE))</f>
      </c>
      <c r="S14" s="421">
        <f>IF($B14="","",VLOOKUP($B14,'2-2_算定表④(旧・新制度)'!$B$8:$S$65536,16,FALSE))</f>
      </c>
      <c r="T14" s="421">
        <f>IF($B14="","",VLOOKUP($B14,'2-2_算定表④(旧・新制度)'!$B$8:$S$65536,16,FALSE))</f>
      </c>
      <c r="U14" s="421">
        <f>IF($B14="","",VLOOKUP($B14,'2-2_算定表④(旧・新制度)'!$B$8:$S$65536,16,FALSE))</f>
      </c>
      <c r="V14" s="673">
        <f>IF($B14="","",VLOOKUP($B14,'2-2_算定表④(旧・新制度)'!$B$8:$S$65536,16,FALSE))</f>
      </c>
      <c r="W14" s="419">
        <f t="shared" si="1"/>
      </c>
      <c r="X14" s="423">
        <f t="shared" si="2"/>
      </c>
      <c r="Y14" s="422">
        <f t="shared" si="3"/>
      </c>
      <c r="Z14" s="424">
        <f t="shared" si="4"/>
      </c>
      <c r="AA14" s="431">
        <f t="shared" si="5"/>
      </c>
      <c r="AB14" s="419">
        <f t="shared" si="6"/>
      </c>
      <c r="AC14" s="418">
        <f t="shared" si="7"/>
      </c>
      <c r="AD14" s="419">
        <f t="shared" si="8"/>
      </c>
      <c r="AE14" s="418">
        <f t="shared" si="9"/>
      </c>
      <c r="AF14" s="419">
        <f t="shared" si="10"/>
      </c>
      <c r="AG14" s="404">
        <f>IF(B14="","",ROUNDUP((G14/VLOOKUP($B14,'2-2_算定表④(旧・新制度)'!$B$8:$AH$44,9,FALSE)*W14)+(I14/VLOOKUP($B14,'2-2_算定表④(旧・新制度)'!$B$8:$AH$44,9,FALSE)*X14)+(G14/VLOOKUP($B14,'2-2_算定表④(旧・新制度)'!$B$8:$AH$44,9,FALSE)*Y14)+(I14/VLOOKUP($B14,'2-2_算定表④(旧・新制度)'!$B$8:$AH$44,9,FALSE)*Z14)+(G14/VLOOKUP($B14,'2-2_算定表④(旧・新制度)'!$B$8:$AH$44,9,FALSE)*AA14)+(I14/VLOOKUP($B14,'2-2_算定表④(旧・新制度)'!$B$8:$AH$44,9,FALSE)*AB14)+(G14/VLOOKUP($B14,'2-2_算定表④(旧・新制度)'!$B$8:$AH$44,9,FALSE)*AC14)+(I14/VLOOKUP($B14,'2-2_算定表④(旧・新制度)'!$B$8:$AH$44,9,FALSE)*AD14),0))</f>
      </c>
      <c r="AH14" s="403">
        <f t="shared" si="12"/>
      </c>
      <c r="AI14" s="1079">
        <f>IF(B14="","",VLOOKUP($B14,'2-2_算定表④(旧・新制度)'!$B$8:$AF$65536,31,FALSE))</f>
      </c>
      <c r="AJ14" s="1080" t="s">
        <v>182</v>
      </c>
      <c r="AK14" s="1081" t="s">
        <v>182</v>
      </c>
      <c r="AM14" s="61">
        <f t="shared" si="13"/>
      </c>
      <c r="AN14" s="61">
        <f t="shared" si="11"/>
      </c>
    </row>
    <row r="15" spans="1:40" s="53" customFormat="1" ht="18.75" customHeight="1">
      <c r="A15" s="27">
        <f t="shared" si="0"/>
      </c>
      <c r="B15" s="577"/>
      <c r="C15" s="716">
        <f>IF(B15="","",VLOOKUP($B15,'2-2_算定表④(旧・新制度)'!$B$8:$S$65536,2,FALSE))</f>
      </c>
      <c r="D15" s="713">
        <f>IF(B15="","",VLOOKUP($B15,'2-2_算定表④(旧・新制度)'!$B$8:$S$65536,3,FALSE))</f>
      </c>
      <c r="E15" s="565">
        <f>IF(B15="","",VLOOKUP($B15,'2-2_算定表④(旧・新制度)'!$B$8:$S$65536,6,FALSE))</f>
      </c>
      <c r="F15" s="709">
        <f>IF(B15="","",VLOOKUP($B15,'2-2_算定表④(旧・新制度)'!$B$8:$S$65536,14,FALSE))</f>
      </c>
      <c r="G15" s="399">
        <f>IF(B15="","",VLOOKUP($B15,'2-2_算定表④(旧・新制度)'!$B$8:$S$65536,15,FALSE))</f>
      </c>
      <c r="H15" s="709">
        <f>IF(B15="","",VLOOKUP($B15,'2-2_算定表④(旧・新制度)'!$B$8:$S$65536,16,FALSE))</f>
      </c>
      <c r="I15" s="399">
        <f>IF(B15="","",VLOOKUP($B15,'2-2_算定表④(旧・新制度)'!$B$8:$S$65536,17,FALSE))</f>
      </c>
      <c r="J15" s="700">
        <f>IF(B15="","",VLOOKUP($B15,'2-2_算定表④(旧・新制度)'!$B$8:$S$65536,18,FALSE))</f>
      </c>
      <c r="K15" s="706">
        <f>IF($B15="","",VLOOKUP($B15,'2-2_算定表④(旧・新制度)'!$B$8:$S$65536,14,FALSE))</f>
      </c>
      <c r="L15" s="421">
        <f>IF($B15="","",VLOOKUP($B15,'2-2_算定表④(旧・新制度)'!$B$8:$S$65536,14,FALSE))</f>
      </c>
      <c r="M15" s="678">
        <f>IF($B15="","",VLOOKUP($B15,'2-2_算定表④(旧・新制度)'!$B$8:$S$65536,14,FALSE))</f>
      </c>
      <c r="N15" s="672">
        <f>IF($B15="","",VLOOKUP($B15,'2-2_算定表④(旧・新制度)'!$B$8:$S$65536,16,FALSE))</f>
      </c>
      <c r="O15" s="421">
        <f>IF($B15="","",VLOOKUP($B15,'2-2_算定表④(旧・新制度)'!$B$8:$S$65536,16,FALSE))</f>
      </c>
      <c r="P15" s="421">
        <f>IF($B15="","",VLOOKUP($B15,'2-2_算定表④(旧・新制度)'!$B$8:$S$65536,16,FALSE))</f>
      </c>
      <c r="Q15" s="421">
        <f>IF($B15="","",VLOOKUP($B15,'2-2_算定表④(旧・新制度)'!$B$8:$S$65536,16,FALSE))</f>
      </c>
      <c r="R15" s="421">
        <f>IF($B15="","",VLOOKUP($B15,'2-2_算定表④(旧・新制度)'!$B$8:$S$65536,16,FALSE))</f>
      </c>
      <c r="S15" s="421">
        <f>IF($B15="","",VLOOKUP($B15,'2-2_算定表④(旧・新制度)'!$B$8:$S$65536,16,FALSE))</f>
      </c>
      <c r="T15" s="758">
        <f>IF($B15="","",VLOOKUP($B15,'2-2_算定表④(旧・新制度)'!$B$8:$S$65536,16,FALSE))</f>
      </c>
      <c r="U15" s="758">
        <f>IF($B15="","",VLOOKUP($B15,'2-2_算定表④(旧・新制度)'!$B$8:$S$65536,16,FALSE))</f>
      </c>
      <c r="V15" s="673">
        <f>IF($B15="","",VLOOKUP($B15,'2-2_算定表④(旧・新制度)'!$B$8:$S$65536,16,FALSE))</f>
      </c>
      <c r="W15" s="419">
        <f t="shared" si="1"/>
      </c>
      <c r="X15" s="423">
        <f t="shared" si="2"/>
      </c>
      <c r="Y15" s="422">
        <f>IF($B15="","",COUNTIF($K15:$M15,Y$6))</f>
      </c>
      <c r="Z15" s="424">
        <f t="shared" si="4"/>
      </c>
      <c r="AA15" s="431">
        <f t="shared" si="5"/>
      </c>
      <c r="AB15" s="419">
        <f t="shared" si="6"/>
      </c>
      <c r="AC15" s="418">
        <f t="shared" si="7"/>
      </c>
      <c r="AD15" s="419">
        <f t="shared" si="8"/>
      </c>
      <c r="AE15" s="418">
        <f t="shared" si="9"/>
      </c>
      <c r="AF15" s="419">
        <f t="shared" si="10"/>
      </c>
      <c r="AG15" s="404">
        <f>IF(B15="","",ROUNDUP((G15/VLOOKUP($B15,'2-2_算定表④(旧・新制度)'!$B$8:$AH$44,9,FALSE)*W15)+(I15/VLOOKUP($B15,'2-2_算定表④(旧・新制度)'!$B$8:$AH$44,9,FALSE)*X15)+(G15/VLOOKUP($B15,'2-2_算定表④(旧・新制度)'!$B$8:$AH$44,9,FALSE)*Y15)+(I15/VLOOKUP($B15,'2-2_算定表④(旧・新制度)'!$B$8:$AH$44,9,FALSE)*Z15)+(G15/VLOOKUP($B15,'2-2_算定表④(旧・新制度)'!$B$8:$AH$44,9,FALSE)*AA15)+(I15/VLOOKUP($B15,'2-2_算定表④(旧・新制度)'!$B$8:$AH$44,9,FALSE)*AB15)+(G15/VLOOKUP($B15,'2-2_算定表④(旧・新制度)'!$B$8:$AH$44,9,FALSE)*AC15)+(I15/VLOOKUP($B15,'2-2_算定表④(旧・新制度)'!$B$8:$AH$44,9,FALSE)*AD15),0))</f>
      </c>
      <c r="AH15" s="403">
        <f t="shared" si="12"/>
      </c>
      <c r="AI15" s="1079">
        <f>IF(B15="","",VLOOKUP($B15,'2-2_算定表④(旧・新制度)'!$B$8:$AF$65536,31,FALSE))</f>
      </c>
      <c r="AJ15" s="1080" t="s">
        <v>182</v>
      </c>
      <c r="AK15" s="1081" t="s">
        <v>182</v>
      </c>
      <c r="AM15" s="61">
        <f t="shared" si="13"/>
      </c>
      <c r="AN15" s="61">
        <f t="shared" si="11"/>
      </c>
    </row>
    <row r="16" spans="1:40" s="53" customFormat="1" ht="18.75" customHeight="1">
      <c r="A16" s="27">
        <f t="shared" si="0"/>
      </c>
      <c r="B16" s="577"/>
      <c r="C16" s="716">
        <f>IF(B16="","",VLOOKUP($B16,'2-2_算定表④(旧・新制度)'!$B$8:$S$65536,2,FALSE))</f>
      </c>
      <c r="D16" s="713">
        <f>IF(B16="","",VLOOKUP($B16,'2-2_算定表④(旧・新制度)'!$B$8:$S$65536,3,FALSE))</f>
      </c>
      <c r="E16" s="565">
        <f>IF(B16="","",VLOOKUP($B16,'2-2_算定表④(旧・新制度)'!$B$8:$S$65536,6,FALSE))</f>
      </c>
      <c r="F16" s="709">
        <f>IF(B16="","",VLOOKUP($B16,'2-2_算定表④(旧・新制度)'!$B$8:$S$65536,14,FALSE))</f>
      </c>
      <c r="G16" s="399">
        <f>IF(B16="","",VLOOKUP($B16,'2-2_算定表④(旧・新制度)'!$B$8:$S$65536,15,FALSE))</f>
      </c>
      <c r="H16" s="709">
        <f>IF(B16="","",VLOOKUP($B16,'2-2_算定表④(旧・新制度)'!$B$8:$S$65536,16,FALSE))</f>
      </c>
      <c r="I16" s="399">
        <f>IF(B16="","",VLOOKUP($B16,'2-2_算定表④(旧・新制度)'!$B$8:$S$65536,17,FALSE))</f>
      </c>
      <c r="J16" s="700">
        <f>IF(B16="","",VLOOKUP($B16,'2-2_算定表④(旧・新制度)'!$B$8:$S$65536,18,FALSE))</f>
      </c>
      <c r="K16" s="706">
        <f>IF($B16="","",VLOOKUP($B16,'2-2_算定表④(旧・新制度)'!$B$8:$S$65536,14,FALSE))</f>
      </c>
      <c r="L16" s="421">
        <f>IF($B16="","",VLOOKUP($B16,'2-2_算定表④(旧・新制度)'!$B$8:$S$65536,14,FALSE))</f>
      </c>
      <c r="M16" s="678">
        <f>IF($B16="","",VLOOKUP($B16,'2-2_算定表④(旧・新制度)'!$B$8:$S$65536,14,FALSE))</f>
      </c>
      <c r="N16" s="672">
        <f>IF($B16="","",VLOOKUP($B16,'2-2_算定表④(旧・新制度)'!$B$8:$S$65536,16,FALSE))</f>
      </c>
      <c r="O16" s="421">
        <f>IF($B16="","",VLOOKUP($B16,'2-2_算定表④(旧・新制度)'!$B$8:$S$65536,16,FALSE))</f>
      </c>
      <c r="P16" s="421">
        <f>IF($B16="","",VLOOKUP($B16,'2-2_算定表④(旧・新制度)'!$B$8:$S$65536,16,FALSE))</f>
      </c>
      <c r="Q16" s="421">
        <f>IF($B16="","",VLOOKUP($B16,'2-2_算定表④(旧・新制度)'!$B$8:$S$65536,16,FALSE))</f>
      </c>
      <c r="R16" s="421">
        <f>IF($B16="","",VLOOKUP($B16,'2-2_算定表④(旧・新制度)'!$B$8:$S$65536,16,FALSE))</f>
      </c>
      <c r="S16" s="421">
        <f>IF($B16="","",VLOOKUP($B16,'2-2_算定表④(旧・新制度)'!$B$8:$S$65536,16,FALSE))</f>
      </c>
      <c r="T16" s="421">
        <f>IF($B16="","",VLOOKUP($B16,'2-2_算定表④(旧・新制度)'!$B$8:$S$65536,16,FALSE))</f>
      </c>
      <c r="U16" s="421">
        <f>IF($B16="","",VLOOKUP($B16,'2-2_算定表④(旧・新制度)'!$B$8:$S$65536,16,FALSE))</f>
      </c>
      <c r="V16" s="673">
        <f>IF($B16="","",VLOOKUP($B16,'2-2_算定表④(旧・新制度)'!$B$8:$S$65536,16,FALSE))</f>
      </c>
      <c r="W16" s="419">
        <f t="shared" si="1"/>
      </c>
      <c r="X16" s="423">
        <f t="shared" si="2"/>
      </c>
      <c r="Y16" s="422">
        <f t="shared" si="3"/>
      </c>
      <c r="Z16" s="424">
        <f t="shared" si="4"/>
      </c>
      <c r="AA16" s="431">
        <f t="shared" si="5"/>
      </c>
      <c r="AB16" s="419">
        <f t="shared" si="6"/>
      </c>
      <c r="AC16" s="418">
        <f t="shared" si="7"/>
      </c>
      <c r="AD16" s="419">
        <f t="shared" si="8"/>
      </c>
      <c r="AE16" s="418">
        <f t="shared" si="9"/>
      </c>
      <c r="AF16" s="419">
        <f t="shared" si="10"/>
      </c>
      <c r="AG16" s="404">
        <f>IF(B16="","",ROUNDUP((G16/VLOOKUP($B16,'2-2_算定表④(旧・新制度)'!$B$8:$AH$44,9,FALSE)*W16)+(I16/VLOOKUP($B16,'2-2_算定表④(旧・新制度)'!$B$8:$AH$44,9,FALSE)*X16)+(G16/VLOOKUP($B16,'2-2_算定表④(旧・新制度)'!$B$8:$AH$44,9,FALSE)*Y16)+(I16/VLOOKUP($B16,'2-2_算定表④(旧・新制度)'!$B$8:$AH$44,9,FALSE)*Z16)+(G16/VLOOKUP($B16,'2-2_算定表④(旧・新制度)'!$B$8:$AH$44,9,FALSE)*AA16)+(I16/VLOOKUP($B16,'2-2_算定表④(旧・新制度)'!$B$8:$AH$44,9,FALSE)*AB16)+(G16/VLOOKUP($B16,'2-2_算定表④(旧・新制度)'!$B$8:$AH$44,9,FALSE)*AC16)+(I16/VLOOKUP($B16,'2-2_算定表④(旧・新制度)'!$B$8:$AH$44,9,FALSE)*AD16),0))</f>
      </c>
      <c r="AH16" s="403">
        <f t="shared" si="12"/>
      </c>
      <c r="AI16" s="1079">
        <f>IF(B16="","",VLOOKUP($B16,'2-2_算定表④(旧・新制度)'!$B$8:$AF$65536,31,FALSE))</f>
      </c>
      <c r="AJ16" s="1080" t="s">
        <v>182</v>
      </c>
      <c r="AK16" s="1081" t="s">
        <v>182</v>
      </c>
      <c r="AM16" s="61">
        <f t="shared" si="13"/>
      </c>
      <c r="AN16" s="61">
        <f t="shared" si="11"/>
      </c>
    </row>
    <row r="17" spans="1:40" s="53" customFormat="1" ht="18.75" customHeight="1">
      <c r="A17" s="27">
        <f t="shared" si="0"/>
      </c>
      <c r="B17" s="577"/>
      <c r="C17" s="716">
        <f>IF(B17="","",VLOOKUP($B17,'2-2_算定表④(旧・新制度)'!$B$8:$S$65536,2,FALSE))</f>
      </c>
      <c r="D17" s="713">
        <f>IF(B17="","",VLOOKUP($B17,'2-2_算定表④(旧・新制度)'!$B$8:$S$65536,3,FALSE))</f>
      </c>
      <c r="E17" s="565">
        <f>IF(B17="","",VLOOKUP($B17,'2-2_算定表④(旧・新制度)'!$B$8:$S$65536,6,FALSE))</f>
      </c>
      <c r="F17" s="709">
        <f>IF(B17="","",VLOOKUP($B17,'2-2_算定表④(旧・新制度)'!$B$8:$S$65536,14,FALSE))</f>
      </c>
      <c r="G17" s="399">
        <f>IF(B17="","",VLOOKUP($B17,'2-2_算定表④(旧・新制度)'!$B$8:$S$65536,15,FALSE))</f>
      </c>
      <c r="H17" s="709">
        <f>IF(B17="","",VLOOKUP($B17,'2-2_算定表④(旧・新制度)'!$B$8:$S$65536,16,FALSE))</f>
      </c>
      <c r="I17" s="399">
        <f>IF(B17="","",VLOOKUP($B17,'2-2_算定表④(旧・新制度)'!$B$8:$S$65536,17,FALSE))</f>
      </c>
      <c r="J17" s="700">
        <f>IF(B17="","",VLOOKUP($B17,'2-2_算定表④(旧・新制度)'!$B$8:$S$65536,18,FALSE))</f>
      </c>
      <c r="K17" s="706">
        <f>IF($B17="","",VLOOKUP($B17,'2-2_算定表④(旧・新制度)'!$B$8:$S$65536,14,FALSE))</f>
      </c>
      <c r="L17" s="421">
        <f>IF($B17="","",VLOOKUP($B17,'2-2_算定表④(旧・新制度)'!$B$8:$S$65536,14,FALSE))</f>
      </c>
      <c r="M17" s="678">
        <f>IF($B17="","",VLOOKUP($B17,'2-2_算定表④(旧・新制度)'!$B$8:$S$65536,14,FALSE))</f>
      </c>
      <c r="N17" s="672">
        <f>IF($B17="","",VLOOKUP($B17,'2-2_算定表④(旧・新制度)'!$B$8:$S$65536,16,FALSE))</f>
      </c>
      <c r="O17" s="421">
        <f>IF($B17="","",VLOOKUP($B17,'2-2_算定表④(旧・新制度)'!$B$8:$S$65536,16,FALSE))</f>
      </c>
      <c r="P17" s="421">
        <f>IF($B17="","",VLOOKUP($B17,'2-2_算定表④(旧・新制度)'!$B$8:$S$65536,16,FALSE))</f>
      </c>
      <c r="Q17" s="421">
        <f>IF($B17="","",VLOOKUP($B17,'2-2_算定表④(旧・新制度)'!$B$8:$S$65536,16,FALSE))</f>
      </c>
      <c r="R17" s="421">
        <f>IF($B17="","",VLOOKUP($B17,'2-2_算定表④(旧・新制度)'!$B$8:$S$65536,16,FALSE))</f>
      </c>
      <c r="S17" s="421">
        <f>IF($B17="","",VLOOKUP($B17,'2-2_算定表④(旧・新制度)'!$B$8:$S$65536,16,FALSE))</f>
      </c>
      <c r="T17" s="421">
        <f>IF($B17="","",VLOOKUP($B17,'2-2_算定表④(旧・新制度)'!$B$8:$S$65536,16,FALSE))</f>
      </c>
      <c r="U17" s="421">
        <f>IF($B17="","",VLOOKUP($B17,'2-2_算定表④(旧・新制度)'!$B$8:$S$65536,16,FALSE))</f>
      </c>
      <c r="V17" s="673">
        <f>IF($B17="","",VLOOKUP($B17,'2-2_算定表④(旧・新制度)'!$B$8:$S$65536,16,FALSE))</f>
      </c>
      <c r="W17" s="419">
        <f t="shared" si="1"/>
      </c>
      <c r="X17" s="423">
        <f t="shared" si="2"/>
      </c>
      <c r="Y17" s="422">
        <f t="shared" si="3"/>
      </c>
      <c r="Z17" s="424">
        <f t="shared" si="4"/>
      </c>
      <c r="AA17" s="431">
        <f t="shared" si="5"/>
      </c>
      <c r="AB17" s="419">
        <f t="shared" si="6"/>
      </c>
      <c r="AC17" s="418">
        <f t="shared" si="7"/>
      </c>
      <c r="AD17" s="419">
        <f t="shared" si="8"/>
      </c>
      <c r="AE17" s="418">
        <f t="shared" si="9"/>
      </c>
      <c r="AF17" s="419">
        <f t="shared" si="10"/>
      </c>
      <c r="AG17" s="404">
        <f>IF(B17="","",ROUNDUP((G17/VLOOKUP($B17,'2-2_算定表④(旧・新制度)'!$B$8:$AH$44,9,FALSE)*W17)+(I17/VLOOKUP($B17,'2-2_算定表④(旧・新制度)'!$B$8:$AH$44,9,FALSE)*X17)+(G17/VLOOKUP($B17,'2-2_算定表④(旧・新制度)'!$B$8:$AH$44,9,FALSE)*Y17)+(I17/VLOOKUP($B17,'2-2_算定表④(旧・新制度)'!$B$8:$AH$44,9,FALSE)*Z17)+(G17/VLOOKUP($B17,'2-2_算定表④(旧・新制度)'!$B$8:$AH$44,9,FALSE)*AA17)+(I17/VLOOKUP($B17,'2-2_算定表④(旧・新制度)'!$B$8:$AH$44,9,FALSE)*AB17)+(G17/VLOOKUP($B17,'2-2_算定表④(旧・新制度)'!$B$8:$AH$44,9,FALSE)*AC17)+(I17/VLOOKUP($B17,'2-2_算定表④(旧・新制度)'!$B$8:$AH$44,9,FALSE)*AD17),0))</f>
      </c>
      <c r="AH17" s="403">
        <f t="shared" si="12"/>
      </c>
      <c r="AI17" s="1079">
        <f>IF(B17="","",VLOOKUP($B17,'2-2_算定表④(旧・新制度)'!$B$8:$AF$65536,31,FALSE))</f>
      </c>
      <c r="AJ17" s="1080" t="s">
        <v>182</v>
      </c>
      <c r="AK17" s="1081" t="s">
        <v>182</v>
      </c>
      <c r="AM17" s="61">
        <f t="shared" si="13"/>
      </c>
      <c r="AN17" s="61">
        <f t="shared" si="11"/>
      </c>
    </row>
    <row r="18" spans="1:40" s="53" customFormat="1" ht="18.75" customHeight="1">
      <c r="A18" s="27">
        <f t="shared" si="0"/>
      </c>
      <c r="B18" s="577"/>
      <c r="C18" s="716">
        <f>IF(B18="","",VLOOKUP($B18,'2-2_算定表④(旧・新制度)'!$B$8:$S$65536,2,FALSE))</f>
      </c>
      <c r="D18" s="713">
        <f>IF(B18="","",VLOOKUP($B18,'2-2_算定表④(旧・新制度)'!$B$8:$S$65536,3,FALSE))</f>
      </c>
      <c r="E18" s="565">
        <f>IF(B18="","",VLOOKUP($B18,'2-2_算定表④(旧・新制度)'!$B$8:$S$65536,6,FALSE))</f>
      </c>
      <c r="F18" s="709">
        <f>IF(B18="","",VLOOKUP($B18,'2-2_算定表④(旧・新制度)'!$B$8:$S$65536,14,FALSE))</f>
      </c>
      <c r="G18" s="399">
        <f>IF(B18="","",VLOOKUP($B18,'2-2_算定表④(旧・新制度)'!$B$8:$S$65536,15,FALSE))</f>
      </c>
      <c r="H18" s="709">
        <f>IF(B18="","",VLOOKUP($B18,'2-2_算定表④(旧・新制度)'!$B$8:$S$65536,16,FALSE))</f>
      </c>
      <c r="I18" s="399">
        <f>IF(B18="","",VLOOKUP($B18,'2-2_算定表④(旧・新制度)'!$B$8:$S$65536,17,FALSE))</f>
      </c>
      <c r="J18" s="700">
        <f>IF(B18="","",VLOOKUP($B18,'2-2_算定表④(旧・新制度)'!$B$8:$S$65536,18,FALSE))</f>
      </c>
      <c r="K18" s="706">
        <f>IF($B18="","",VLOOKUP($B18,'2-2_算定表④(旧・新制度)'!$B$8:$S$65536,14,FALSE))</f>
      </c>
      <c r="L18" s="421">
        <f>IF($B18="","",VLOOKUP($B18,'2-2_算定表④(旧・新制度)'!$B$8:$S$65536,14,FALSE))</f>
      </c>
      <c r="M18" s="678">
        <f>IF($B18="","",VLOOKUP($B18,'2-2_算定表④(旧・新制度)'!$B$8:$S$65536,14,FALSE))</f>
      </c>
      <c r="N18" s="672">
        <f>IF($B18="","",VLOOKUP($B18,'2-2_算定表④(旧・新制度)'!$B$8:$S$65536,16,FALSE))</f>
      </c>
      <c r="O18" s="421">
        <f>IF($B18="","",VLOOKUP($B18,'2-2_算定表④(旧・新制度)'!$B$8:$S$65536,16,FALSE))</f>
      </c>
      <c r="P18" s="421">
        <f>IF($B18="","",VLOOKUP($B18,'2-2_算定表④(旧・新制度)'!$B$8:$S$65536,16,FALSE))</f>
      </c>
      <c r="Q18" s="421">
        <f>IF($B18="","",VLOOKUP($B18,'2-2_算定表④(旧・新制度)'!$B$8:$S$65536,16,FALSE))</f>
      </c>
      <c r="R18" s="421">
        <f>IF($B18="","",VLOOKUP($B18,'2-2_算定表④(旧・新制度)'!$B$8:$S$65536,16,FALSE))</f>
      </c>
      <c r="S18" s="421">
        <f>IF($B18="","",VLOOKUP($B18,'2-2_算定表④(旧・新制度)'!$B$8:$S$65536,16,FALSE))</f>
      </c>
      <c r="T18" s="421">
        <f>IF($B18="","",VLOOKUP($B18,'2-2_算定表④(旧・新制度)'!$B$8:$S$65536,16,FALSE))</f>
      </c>
      <c r="U18" s="421">
        <f>IF($B18="","",VLOOKUP($B18,'2-2_算定表④(旧・新制度)'!$B$8:$S$65536,16,FALSE))</f>
      </c>
      <c r="V18" s="673">
        <f>IF($B18="","",VLOOKUP($B18,'2-2_算定表④(旧・新制度)'!$B$8:$S$65536,16,FALSE))</f>
      </c>
      <c r="W18" s="419">
        <f t="shared" si="1"/>
      </c>
      <c r="X18" s="423">
        <f t="shared" si="2"/>
      </c>
      <c r="Y18" s="422">
        <f t="shared" si="3"/>
      </c>
      <c r="Z18" s="424">
        <f t="shared" si="4"/>
      </c>
      <c r="AA18" s="431">
        <f t="shared" si="5"/>
      </c>
      <c r="AB18" s="419">
        <f t="shared" si="6"/>
      </c>
      <c r="AC18" s="418">
        <f t="shared" si="7"/>
      </c>
      <c r="AD18" s="419">
        <f t="shared" si="8"/>
      </c>
      <c r="AE18" s="418">
        <f t="shared" si="9"/>
      </c>
      <c r="AF18" s="419">
        <f t="shared" si="10"/>
      </c>
      <c r="AG18" s="404">
        <f>IF(B18="","",ROUNDUP((G18/VLOOKUP($B18,'2-2_算定表④(旧・新制度)'!$B$8:$AH$44,9,FALSE)*W18)+(I18/VLOOKUP($B18,'2-2_算定表④(旧・新制度)'!$B$8:$AH$44,9,FALSE)*X18)+(G18/VLOOKUP($B18,'2-2_算定表④(旧・新制度)'!$B$8:$AH$44,9,FALSE)*Y18)+(I18/VLOOKUP($B18,'2-2_算定表④(旧・新制度)'!$B$8:$AH$44,9,FALSE)*Z18)+(G18/VLOOKUP($B18,'2-2_算定表④(旧・新制度)'!$B$8:$AH$44,9,FALSE)*AA18)+(I18/VLOOKUP($B18,'2-2_算定表④(旧・新制度)'!$B$8:$AH$44,9,FALSE)*AB18)+(G18/VLOOKUP($B18,'2-2_算定表④(旧・新制度)'!$B$8:$AH$44,9,FALSE)*AC18)+(I18/VLOOKUP($B18,'2-2_算定表④(旧・新制度)'!$B$8:$AH$44,9,FALSE)*AD18),0))</f>
      </c>
      <c r="AH18" s="403">
        <f t="shared" si="12"/>
      </c>
      <c r="AI18" s="1079">
        <f>IF(B18="","",VLOOKUP($B18,'2-2_算定表④(旧・新制度)'!$B$8:$AF$65536,31,FALSE))</f>
      </c>
      <c r="AJ18" s="1080" t="s">
        <v>182</v>
      </c>
      <c r="AK18" s="1081" t="s">
        <v>182</v>
      </c>
      <c r="AM18" s="61">
        <f t="shared" si="13"/>
      </c>
      <c r="AN18" s="61">
        <f t="shared" si="11"/>
      </c>
    </row>
    <row r="19" spans="1:40" s="53" customFormat="1" ht="18.75" customHeight="1">
      <c r="A19" s="27">
        <f t="shared" si="0"/>
      </c>
      <c r="B19" s="577"/>
      <c r="C19" s="716">
        <f>IF(B19="","",VLOOKUP($B19,'2-2_算定表④(旧・新制度)'!$B$8:$S$65536,2,FALSE))</f>
      </c>
      <c r="D19" s="713">
        <f>IF(B19="","",VLOOKUP($B19,'2-2_算定表④(旧・新制度)'!$B$8:$S$65536,3,FALSE))</f>
      </c>
      <c r="E19" s="565">
        <f>IF(B19="","",VLOOKUP($B19,'2-2_算定表④(旧・新制度)'!$B$8:$S$65536,6,FALSE))</f>
      </c>
      <c r="F19" s="709">
        <f>IF(B19="","",VLOOKUP($B19,'2-2_算定表④(旧・新制度)'!$B$8:$S$65536,14,FALSE))</f>
      </c>
      <c r="G19" s="399">
        <f>IF(B19="","",VLOOKUP($B19,'2-2_算定表④(旧・新制度)'!$B$8:$S$65536,15,FALSE))</f>
      </c>
      <c r="H19" s="709">
        <f>IF(B19="","",VLOOKUP($B19,'2-2_算定表④(旧・新制度)'!$B$8:$S$65536,16,FALSE))</f>
      </c>
      <c r="I19" s="399">
        <f>IF(B19="","",VLOOKUP($B19,'2-2_算定表④(旧・新制度)'!$B$8:$S$65536,17,FALSE))</f>
      </c>
      <c r="J19" s="700">
        <f>IF(B19="","",VLOOKUP($B19,'2-2_算定表④(旧・新制度)'!$B$8:$S$65536,18,FALSE))</f>
      </c>
      <c r="K19" s="706">
        <f>IF($B19="","",VLOOKUP($B19,'2-2_算定表④(旧・新制度)'!$B$8:$S$65536,14,FALSE))</f>
      </c>
      <c r="L19" s="421">
        <f>IF($B19="","",VLOOKUP($B19,'2-2_算定表④(旧・新制度)'!$B$8:$S$65536,14,FALSE))</f>
      </c>
      <c r="M19" s="678">
        <f>IF($B19="","",VLOOKUP($B19,'2-2_算定表④(旧・新制度)'!$B$8:$S$65536,14,FALSE))</f>
      </c>
      <c r="N19" s="672">
        <f>IF($B19="","",VLOOKUP($B19,'2-2_算定表④(旧・新制度)'!$B$8:$S$65536,16,FALSE))</f>
      </c>
      <c r="O19" s="421">
        <f>IF($B19="","",VLOOKUP($B19,'2-2_算定表④(旧・新制度)'!$B$8:$S$65536,16,FALSE))</f>
      </c>
      <c r="P19" s="421">
        <f>IF($B19="","",VLOOKUP($B19,'2-2_算定表④(旧・新制度)'!$B$8:$S$65536,16,FALSE))</f>
      </c>
      <c r="Q19" s="421">
        <f>IF($B19="","",VLOOKUP($B19,'2-2_算定表④(旧・新制度)'!$B$8:$S$65536,16,FALSE))</f>
      </c>
      <c r="R19" s="421">
        <f>IF($B19="","",VLOOKUP($B19,'2-2_算定表④(旧・新制度)'!$B$8:$S$65536,16,FALSE))</f>
      </c>
      <c r="S19" s="421">
        <f>IF($B19="","",VLOOKUP($B19,'2-2_算定表④(旧・新制度)'!$B$8:$S$65536,16,FALSE))</f>
      </c>
      <c r="T19" s="421">
        <f>IF($B19="","",VLOOKUP($B19,'2-2_算定表④(旧・新制度)'!$B$8:$S$65536,16,FALSE))</f>
      </c>
      <c r="U19" s="421">
        <f>IF($B19="","",VLOOKUP($B19,'2-2_算定表④(旧・新制度)'!$B$8:$S$65536,16,FALSE))</f>
      </c>
      <c r="V19" s="673">
        <f>IF($B19="","",VLOOKUP($B19,'2-2_算定表④(旧・新制度)'!$B$8:$S$65536,16,FALSE))</f>
      </c>
      <c r="W19" s="419">
        <f t="shared" si="1"/>
      </c>
      <c r="X19" s="423">
        <f t="shared" si="2"/>
      </c>
      <c r="Y19" s="422">
        <f t="shared" si="3"/>
      </c>
      <c r="Z19" s="424">
        <f t="shared" si="4"/>
      </c>
      <c r="AA19" s="431">
        <f t="shared" si="5"/>
      </c>
      <c r="AB19" s="419">
        <f t="shared" si="6"/>
      </c>
      <c r="AC19" s="418">
        <f t="shared" si="7"/>
      </c>
      <c r="AD19" s="419">
        <f t="shared" si="8"/>
      </c>
      <c r="AE19" s="418">
        <f t="shared" si="9"/>
      </c>
      <c r="AF19" s="419">
        <f t="shared" si="10"/>
      </c>
      <c r="AG19" s="404">
        <f>IF(B19="","",ROUNDUP((G19/VLOOKUP($B19,'2-2_算定表④(旧・新制度)'!$B$8:$AH$44,9,FALSE)*W19)+(I19/VLOOKUP($B19,'2-2_算定表④(旧・新制度)'!$B$8:$AH$44,9,FALSE)*X19)+(G19/VLOOKUP($B19,'2-2_算定表④(旧・新制度)'!$B$8:$AH$44,9,FALSE)*Y19)+(I19/VLOOKUP($B19,'2-2_算定表④(旧・新制度)'!$B$8:$AH$44,9,FALSE)*Z19)+(G19/VLOOKUP($B19,'2-2_算定表④(旧・新制度)'!$B$8:$AH$44,9,FALSE)*AA19)+(I19/VLOOKUP($B19,'2-2_算定表④(旧・新制度)'!$B$8:$AH$44,9,FALSE)*AB19)+(G19/VLOOKUP($B19,'2-2_算定表④(旧・新制度)'!$B$8:$AH$44,9,FALSE)*AC19)+(I19/VLOOKUP($B19,'2-2_算定表④(旧・新制度)'!$B$8:$AH$44,9,FALSE)*AD19),0))</f>
      </c>
      <c r="AH19" s="403">
        <f t="shared" si="12"/>
      </c>
      <c r="AI19" s="1079">
        <f>IF(B19="","",VLOOKUP($B19,'2-2_算定表④(旧・新制度)'!$B$8:$AF$65536,31,FALSE))</f>
      </c>
      <c r="AJ19" s="1080" t="s">
        <v>182</v>
      </c>
      <c r="AK19" s="1081" t="s">
        <v>182</v>
      </c>
      <c r="AM19" s="61">
        <f t="shared" si="13"/>
      </c>
      <c r="AN19" s="61">
        <f t="shared" si="11"/>
      </c>
    </row>
    <row r="20" spans="1:40" s="53" customFormat="1" ht="18.75" customHeight="1">
      <c r="A20" s="27">
        <f t="shared" si="0"/>
      </c>
      <c r="B20" s="577"/>
      <c r="C20" s="716">
        <f>IF(B20="","",VLOOKUP($B20,'2-2_算定表④(旧・新制度)'!$B$8:$S$65536,2,FALSE))</f>
      </c>
      <c r="D20" s="713">
        <f>IF(B20="","",VLOOKUP($B20,'2-2_算定表④(旧・新制度)'!$B$8:$S$65536,3,FALSE))</f>
      </c>
      <c r="E20" s="565">
        <f>IF(B20="","",VLOOKUP($B20,'2-2_算定表④(旧・新制度)'!$B$8:$S$65536,6,FALSE))</f>
      </c>
      <c r="F20" s="709">
        <f>IF(B20="","",VLOOKUP($B20,'2-2_算定表④(旧・新制度)'!$B$8:$S$65536,14,FALSE))</f>
      </c>
      <c r="G20" s="399">
        <f>IF(B20="","",VLOOKUP($B20,'2-2_算定表④(旧・新制度)'!$B$8:$S$65536,15,FALSE))</f>
      </c>
      <c r="H20" s="709">
        <f>IF(B20="","",VLOOKUP($B20,'2-2_算定表④(旧・新制度)'!$B$8:$S$65536,16,FALSE))</f>
      </c>
      <c r="I20" s="399">
        <f>IF(B20="","",VLOOKUP($B20,'2-2_算定表④(旧・新制度)'!$B$8:$S$65536,17,FALSE))</f>
      </c>
      <c r="J20" s="700">
        <f>IF(B20="","",VLOOKUP($B20,'2-2_算定表④(旧・新制度)'!$B$8:$S$65536,18,FALSE))</f>
      </c>
      <c r="K20" s="706">
        <f>IF($B20="","",VLOOKUP($B20,'2-2_算定表④(旧・新制度)'!$B$8:$S$65536,14,FALSE))</f>
      </c>
      <c r="L20" s="421">
        <f>IF($B20="","",VLOOKUP($B20,'2-2_算定表④(旧・新制度)'!$B$8:$S$65536,14,FALSE))</f>
      </c>
      <c r="M20" s="678">
        <f>IF($B20="","",VLOOKUP($B20,'2-2_算定表④(旧・新制度)'!$B$8:$S$65536,14,FALSE))</f>
      </c>
      <c r="N20" s="672">
        <f>IF($B20="","",VLOOKUP($B20,'2-2_算定表④(旧・新制度)'!$B$8:$S$65536,16,FALSE))</f>
      </c>
      <c r="O20" s="421">
        <f>IF($B20="","",VLOOKUP($B20,'2-2_算定表④(旧・新制度)'!$B$8:$S$65536,16,FALSE))</f>
      </c>
      <c r="P20" s="421">
        <f>IF($B20="","",VLOOKUP($B20,'2-2_算定表④(旧・新制度)'!$B$8:$S$65536,16,FALSE))</f>
      </c>
      <c r="Q20" s="421">
        <f>IF($B20="","",VLOOKUP($B20,'2-2_算定表④(旧・新制度)'!$B$8:$S$65536,16,FALSE))</f>
      </c>
      <c r="R20" s="421">
        <f>IF($B20="","",VLOOKUP($B20,'2-2_算定表④(旧・新制度)'!$B$8:$S$65536,16,FALSE))</f>
      </c>
      <c r="S20" s="421">
        <f>IF($B20="","",VLOOKUP($B20,'2-2_算定表④(旧・新制度)'!$B$8:$S$65536,16,FALSE))</f>
      </c>
      <c r="T20" s="421">
        <f>IF($B20="","",VLOOKUP($B20,'2-2_算定表④(旧・新制度)'!$B$8:$S$65536,16,FALSE))</f>
      </c>
      <c r="U20" s="421">
        <f>IF($B20="","",VLOOKUP($B20,'2-2_算定表④(旧・新制度)'!$B$8:$S$65536,16,FALSE))</f>
      </c>
      <c r="V20" s="673">
        <f>IF($B20="","",VLOOKUP($B20,'2-2_算定表④(旧・新制度)'!$B$8:$S$65536,16,FALSE))</f>
      </c>
      <c r="W20" s="419">
        <f t="shared" si="1"/>
      </c>
      <c r="X20" s="423">
        <f t="shared" si="2"/>
      </c>
      <c r="Y20" s="422">
        <f t="shared" si="3"/>
      </c>
      <c r="Z20" s="424">
        <f t="shared" si="4"/>
      </c>
      <c r="AA20" s="431">
        <f t="shared" si="5"/>
      </c>
      <c r="AB20" s="419">
        <f t="shared" si="6"/>
      </c>
      <c r="AC20" s="418">
        <f t="shared" si="7"/>
      </c>
      <c r="AD20" s="419">
        <f t="shared" si="8"/>
      </c>
      <c r="AE20" s="418">
        <f t="shared" si="9"/>
      </c>
      <c r="AF20" s="419">
        <f t="shared" si="10"/>
      </c>
      <c r="AG20" s="404">
        <f>IF(B20="","",ROUNDUP((G20/VLOOKUP($B20,'2-2_算定表④(旧・新制度)'!$B$8:$AH$44,9,FALSE)*W20)+(I20/VLOOKUP($B20,'2-2_算定表④(旧・新制度)'!$B$8:$AH$44,9,FALSE)*X20)+(G20/VLOOKUP($B20,'2-2_算定表④(旧・新制度)'!$B$8:$AH$44,9,FALSE)*Y20)+(I20/VLOOKUP($B20,'2-2_算定表④(旧・新制度)'!$B$8:$AH$44,9,FALSE)*Z20)+(G20/VLOOKUP($B20,'2-2_算定表④(旧・新制度)'!$B$8:$AH$44,9,FALSE)*AA20)+(I20/VLOOKUP($B20,'2-2_算定表④(旧・新制度)'!$B$8:$AH$44,9,FALSE)*AB20)+(G20/VLOOKUP($B20,'2-2_算定表④(旧・新制度)'!$B$8:$AH$44,9,FALSE)*AC20)+(I20/VLOOKUP($B20,'2-2_算定表④(旧・新制度)'!$B$8:$AH$44,9,FALSE)*AD20),0))</f>
      </c>
      <c r="AH20" s="403">
        <f t="shared" si="12"/>
      </c>
      <c r="AI20" s="1079">
        <f>IF(B20="","",VLOOKUP($B20,'2-2_算定表④(旧・新制度)'!$B$8:$AF$65536,31,FALSE))</f>
      </c>
      <c r="AJ20" s="1080" t="s">
        <v>182</v>
      </c>
      <c r="AK20" s="1081" t="s">
        <v>182</v>
      </c>
      <c r="AM20" s="61">
        <f t="shared" si="13"/>
      </c>
      <c r="AN20" s="61">
        <f t="shared" si="11"/>
      </c>
    </row>
    <row r="21" spans="1:40" s="53" customFormat="1" ht="18.75" customHeight="1">
      <c r="A21" s="27">
        <f t="shared" si="0"/>
      </c>
      <c r="B21" s="577"/>
      <c r="C21" s="716">
        <f>IF(B21="","",VLOOKUP($B21,'2-2_算定表④(旧・新制度)'!$B$8:$S$65536,2,FALSE))</f>
      </c>
      <c r="D21" s="713">
        <f>IF(B21="","",VLOOKUP($B21,'2-2_算定表④(旧・新制度)'!$B$8:$S$65536,3,FALSE))</f>
      </c>
      <c r="E21" s="565">
        <f>IF(B21="","",VLOOKUP($B21,'2-2_算定表④(旧・新制度)'!$B$8:$S$65536,6,FALSE))</f>
      </c>
      <c r="F21" s="709">
        <f>IF(B21="","",VLOOKUP($B21,'2-2_算定表④(旧・新制度)'!$B$8:$S$65536,14,FALSE))</f>
      </c>
      <c r="G21" s="399">
        <f>IF(B21="","",VLOOKUP($B21,'2-2_算定表④(旧・新制度)'!$B$8:$S$65536,15,FALSE))</f>
      </c>
      <c r="H21" s="709">
        <f>IF(B21="","",VLOOKUP($B21,'2-2_算定表④(旧・新制度)'!$B$8:$S$65536,16,FALSE))</f>
      </c>
      <c r="I21" s="399">
        <f>IF(B21="","",VLOOKUP($B21,'2-2_算定表④(旧・新制度)'!$B$8:$S$65536,17,FALSE))</f>
      </c>
      <c r="J21" s="700">
        <f>IF(B21="","",VLOOKUP($B21,'2-2_算定表④(旧・新制度)'!$B$8:$S$65536,18,FALSE))</f>
      </c>
      <c r="K21" s="706">
        <f>IF($B21="","",VLOOKUP($B21,'2-2_算定表④(旧・新制度)'!$B$8:$S$65536,14,FALSE))</f>
      </c>
      <c r="L21" s="421">
        <f>IF($B21="","",VLOOKUP($B21,'2-2_算定表④(旧・新制度)'!$B$8:$S$65536,14,FALSE))</f>
      </c>
      <c r="M21" s="678">
        <f>IF($B21="","",VLOOKUP($B21,'2-2_算定表④(旧・新制度)'!$B$8:$S$65536,14,FALSE))</f>
      </c>
      <c r="N21" s="672">
        <f>IF($B21="","",VLOOKUP($B21,'2-2_算定表④(旧・新制度)'!$B$8:$S$65536,16,FALSE))</f>
      </c>
      <c r="O21" s="421">
        <f>IF($B21="","",VLOOKUP($B21,'2-2_算定表④(旧・新制度)'!$B$8:$S$65536,16,FALSE))</f>
      </c>
      <c r="P21" s="421">
        <f>IF($B21="","",VLOOKUP($B21,'2-2_算定表④(旧・新制度)'!$B$8:$S$65536,16,FALSE))</f>
      </c>
      <c r="Q21" s="421">
        <f>IF($B21="","",VLOOKUP($B21,'2-2_算定表④(旧・新制度)'!$B$8:$S$65536,16,FALSE))</f>
      </c>
      <c r="R21" s="421">
        <f>IF($B21="","",VLOOKUP($B21,'2-2_算定表④(旧・新制度)'!$B$8:$S$65536,16,FALSE))</f>
      </c>
      <c r="S21" s="421">
        <f>IF($B21="","",VLOOKUP($B21,'2-2_算定表④(旧・新制度)'!$B$8:$S$65536,16,FALSE))</f>
      </c>
      <c r="T21" s="421">
        <f>IF($B21="","",VLOOKUP($B21,'2-2_算定表④(旧・新制度)'!$B$8:$S$65536,16,FALSE))</f>
      </c>
      <c r="U21" s="421">
        <f>IF($B21="","",VLOOKUP($B21,'2-2_算定表④(旧・新制度)'!$B$8:$S$65536,16,FALSE))</f>
      </c>
      <c r="V21" s="673">
        <f>IF($B21="","",VLOOKUP($B21,'2-2_算定表④(旧・新制度)'!$B$8:$S$65536,16,FALSE))</f>
      </c>
      <c r="W21" s="419">
        <f t="shared" si="1"/>
      </c>
      <c r="X21" s="423">
        <f t="shared" si="2"/>
      </c>
      <c r="Y21" s="422">
        <f t="shared" si="3"/>
      </c>
      <c r="Z21" s="424">
        <f t="shared" si="4"/>
      </c>
      <c r="AA21" s="431">
        <f t="shared" si="5"/>
      </c>
      <c r="AB21" s="419">
        <f t="shared" si="6"/>
      </c>
      <c r="AC21" s="418">
        <f t="shared" si="7"/>
      </c>
      <c r="AD21" s="419">
        <f t="shared" si="8"/>
      </c>
      <c r="AE21" s="418">
        <f t="shared" si="9"/>
      </c>
      <c r="AF21" s="419">
        <f t="shared" si="10"/>
      </c>
      <c r="AG21" s="404">
        <f>IF(B21="","",ROUNDUP((G21/VLOOKUP($B21,'2-2_算定表④(旧・新制度)'!$B$8:$AH$44,9,FALSE)*W21)+(I21/VLOOKUP($B21,'2-2_算定表④(旧・新制度)'!$B$8:$AH$44,9,FALSE)*X21)+(G21/VLOOKUP($B21,'2-2_算定表④(旧・新制度)'!$B$8:$AH$44,9,FALSE)*Y21)+(I21/VLOOKUP($B21,'2-2_算定表④(旧・新制度)'!$B$8:$AH$44,9,FALSE)*Z21)+(G21/VLOOKUP($B21,'2-2_算定表④(旧・新制度)'!$B$8:$AH$44,9,FALSE)*AA21)+(I21/VLOOKUP($B21,'2-2_算定表④(旧・新制度)'!$B$8:$AH$44,9,FALSE)*AB21)+(G21/VLOOKUP($B21,'2-2_算定表④(旧・新制度)'!$B$8:$AH$44,9,FALSE)*AC21)+(I21/VLOOKUP($B21,'2-2_算定表④(旧・新制度)'!$B$8:$AH$44,9,FALSE)*AD21),0))</f>
      </c>
      <c r="AH21" s="403">
        <f t="shared" si="12"/>
      </c>
      <c r="AI21" s="1079">
        <f>IF(B21="","",VLOOKUP($B21,'2-2_算定表④(旧・新制度)'!$B$8:$AF$65536,31,FALSE))</f>
      </c>
      <c r="AJ21" s="1080" t="s">
        <v>182</v>
      </c>
      <c r="AK21" s="1081" t="s">
        <v>182</v>
      </c>
      <c r="AM21" s="61">
        <f t="shared" si="13"/>
      </c>
      <c r="AN21" s="61">
        <f t="shared" si="11"/>
      </c>
    </row>
    <row r="22" spans="1:40" s="53" customFormat="1" ht="18.75" customHeight="1">
      <c r="A22" s="27">
        <f t="shared" si="0"/>
      </c>
      <c r="B22" s="577"/>
      <c r="C22" s="716">
        <f>IF(B22="","",VLOOKUP($B22,'2-2_算定表④(旧・新制度)'!$B$8:$S$65536,2,FALSE))</f>
      </c>
      <c r="D22" s="713">
        <f>IF(B22="","",VLOOKUP($B22,'2-2_算定表④(旧・新制度)'!$B$8:$S$65536,3,FALSE))</f>
      </c>
      <c r="E22" s="565">
        <f>IF(B22="","",VLOOKUP($B22,'2-2_算定表④(旧・新制度)'!$B$8:$S$65536,6,FALSE))</f>
      </c>
      <c r="F22" s="709">
        <f>IF(B22="","",VLOOKUP($B22,'2-2_算定表④(旧・新制度)'!$B$8:$S$65536,14,FALSE))</f>
      </c>
      <c r="G22" s="399">
        <f>IF(B22="","",VLOOKUP($B22,'2-2_算定表④(旧・新制度)'!$B$8:$S$65536,15,FALSE))</f>
      </c>
      <c r="H22" s="709">
        <f>IF(B22="","",VLOOKUP($B22,'2-2_算定表④(旧・新制度)'!$B$8:$S$65536,16,FALSE))</f>
      </c>
      <c r="I22" s="399">
        <f>IF(B22="","",VLOOKUP($B22,'2-2_算定表④(旧・新制度)'!$B$8:$S$65536,17,FALSE))</f>
      </c>
      <c r="J22" s="700">
        <f>IF(B22="","",VLOOKUP($B22,'2-2_算定表④(旧・新制度)'!$B$8:$S$65536,18,FALSE))</f>
      </c>
      <c r="K22" s="706">
        <f>IF($B22="","",VLOOKUP($B22,'2-2_算定表④(旧・新制度)'!$B$8:$S$65536,14,FALSE))</f>
      </c>
      <c r="L22" s="421">
        <f>IF($B22="","",VLOOKUP($B22,'2-2_算定表④(旧・新制度)'!$B$8:$S$65536,14,FALSE))</f>
      </c>
      <c r="M22" s="678">
        <f>IF($B22="","",VLOOKUP($B22,'2-2_算定表④(旧・新制度)'!$B$8:$S$65536,14,FALSE))</f>
      </c>
      <c r="N22" s="672">
        <f>IF($B22="","",VLOOKUP($B22,'2-2_算定表④(旧・新制度)'!$B$8:$S$65536,16,FALSE))</f>
      </c>
      <c r="O22" s="421">
        <f>IF($B22="","",VLOOKUP($B22,'2-2_算定表④(旧・新制度)'!$B$8:$S$65536,16,FALSE))</f>
      </c>
      <c r="P22" s="421">
        <f>IF($B22="","",VLOOKUP($B22,'2-2_算定表④(旧・新制度)'!$B$8:$S$65536,16,FALSE))</f>
      </c>
      <c r="Q22" s="421">
        <f>IF($B22="","",VLOOKUP($B22,'2-2_算定表④(旧・新制度)'!$B$8:$S$65536,16,FALSE))</f>
      </c>
      <c r="R22" s="421">
        <f>IF($B22="","",VLOOKUP($B22,'2-2_算定表④(旧・新制度)'!$B$8:$S$65536,16,FALSE))</f>
      </c>
      <c r="S22" s="421">
        <f>IF($B22="","",VLOOKUP($B22,'2-2_算定表④(旧・新制度)'!$B$8:$S$65536,16,FALSE))</f>
      </c>
      <c r="T22" s="421">
        <f>IF($B22="","",VLOOKUP($B22,'2-2_算定表④(旧・新制度)'!$B$8:$S$65536,16,FALSE))</f>
      </c>
      <c r="U22" s="421">
        <f>IF($B22="","",VLOOKUP($B22,'2-2_算定表④(旧・新制度)'!$B$8:$S$65536,16,FALSE))</f>
      </c>
      <c r="V22" s="673">
        <f>IF($B22="","",VLOOKUP($B22,'2-2_算定表④(旧・新制度)'!$B$8:$S$65536,16,FALSE))</f>
      </c>
      <c r="W22" s="419">
        <f t="shared" si="1"/>
      </c>
      <c r="X22" s="423">
        <f t="shared" si="2"/>
      </c>
      <c r="Y22" s="422">
        <f t="shared" si="3"/>
      </c>
      <c r="Z22" s="424">
        <f t="shared" si="4"/>
      </c>
      <c r="AA22" s="431">
        <f t="shared" si="5"/>
      </c>
      <c r="AB22" s="419">
        <f t="shared" si="6"/>
      </c>
      <c r="AC22" s="418">
        <f t="shared" si="7"/>
      </c>
      <c r="AD22" s="419">
        <f t="shared" si="8"/>
      </c>
      <c r="AE22" s="418">
        <f t="shared" si="9"/>
      </c>
      <c r="AF22" s="419">
        <f t="shared" si="10"/>
      </c>
      <c r="AG22" s="404">
        <f>IF(B22="","",ROUNDUP((G22/VLOOKUP($B22,'2-2_算定表④(旧・新制度)'!$B$8:$AH$44,9,FALSE)*W22)+(I22/VLOOKUP($B22,'2-2_算定表④(旧・新制度)'!$B$8:$AH$44,9,FALSE)*X22)+(G22/VLOOKUP($B22,'2-2_算定表④(旧・新制度)'!$B$8:$AH$44,9,FALSE)*Y22)+(I22/VLOOKUP($B22,'2-2_算定表④(旧・新制度)'!$B$8:$AH$44,9,FALSE)*Z22)+(G22/VLOOKUP($B22,'2-2_算定表④(旧・新制度)'!$B$8:$AH$44,9,FALSE)*AA22)+(I22/VLOOKUP($B22,'2-2_算定表④(旧・新制度)'!$B$8:$AH$44,9,FALSE)*AB22)+(G22/VLOOKUP($B22,'2-2_算定表④(旧・新制度)'!$B$8:$AH$44,9,FALSE)*AC22)+(I22/VLOOKUP($B22,'2-2_算定表④(旧・新制度)'!$B$8:$AH$44,9,FALSE)*AD22),0))</f>
      </c>
      <c r="AH22" s="403">
        <f t="shared" si="12"/>
      </c>
      <c r="AI22" s="1079">
        <f>IF(B22="","",VLOOKUP($B22,'2-2_算定表④(旧・新制度)'!$B$8:$AF$65536,31,FALSE))</f>
      </c>
      <c r="AJ22" s="1080" t="s">
        <v>182</v>
      </c>
      <c r="AK22" s="1081" t="s">
        <v>182</v>
      </c>
      <c r="AM22" s="61">
        <f t="shared" si="13"/>
      </c>
      <c r="AN22" s="61">
        <f t="shared" si="11"/>
      </c>
    </row>
    <row r="23" spans="1:40" s="53" customFormat="1" ht="18.75" customHeight="1">
      <c r="A23" s="27">
        <f t="shared" si="0"/>
      </c>
      <c r="B23" s="577"/>
      <c r="C23" s="716">
        <f>IF(B23="","",VLOOKUP($B23,'2-2_算定表④(旧・新制度)'!$B$8:$S$65536,2,FALSE))</f>
      </c>
      <c r="D23" s="713">
        <f>IF(B23="","",VLOOKUP($B23,'2-2_算定表④(旧・新制度)'!$B$8:$S$65536,3,FALSE))</f>
      </c>
      <c r="E23" s="565">
        <f>IF(B23="","",VLOOKUP($B23,'2-2_算定表④(旧・新制度)'!$B$8:$S$65536,6,FALSE))</f>
      </c>
      <c r="F23" s="709">
        <f>IF(B23="","",VLOOKUP($B23,'2-2_算定表④(旧・新制度)'!$B$8:$S$65536,14,FALSE))</f>
      </c>
      <c r="G23" s="399">
        <f>IF(B23="","",VLOOKUP($B23,'2-2_算定表④(旧・新制度)'!$B$8:$S$65536,15,FALSE))</f>
      </c>
      <c r="H23" s="709">
        <f>IF(B23="","",VLOOKUP($B23,'2-2_算定表④(旧・新制度)'!$B$8:$S$65536,16,FALSE))</f>
      </c>
      <c r="I23" s="399">
        <f>IF(B23="","",VLOOKUP($B23,'2-2_算定表④(旧・新制度)'!$B$8:$S$65536,17,FALSE))</f>
      </c>
      <c r="J23" s="700">
        <f>IF(B23="","",VLOOKUP($B23,'2-2_算定表④(旧・新制度)'!$B$8:$S$65536,18,FALSE))</f>
      </c>
      <c r="K23" s="706">
        <f>IF($B23="","",VLOOKUP($B23,'2-2_算定表④(旧・新制度)'!$B$8:$S$65536,14,FALSE))</f>
      </c>
      <c r="L23" s="421">
        <f>IF($B23="","",VLOOKUP($B23,'2-2_算定表④(旧・新制度)'!$B$8:$S$65536,14,FALSE))</f>
      </c>
      <c r="M23" s="678">
        <f>IF($B23="","",VLOOKUP($B23,'2-2_算定表④(旧・新制度)'!$B$8:$S$65536,14,FALSE))</f>
      </c>
      <c r="N23" s="672">
        <f>IF($B23="","",VLOOKUP($B23,'2-2_算定表④(旧・新制度)'!$B$8:$S$65536,16,FALSE))</f>
      </c>
      <c r="O23" s="421">
        <f>IF($B23="","",VLOOKUP($B23,'2-2_算定表④(旧・新制度)'!$B$8:$S$65536,16,FALSE))</f>
      </c>
      <c r="P23" s="421">
        <f>IF($B23="","",VLOOKUP($B23,'2-2_算定表④(旧・新制度)'!$B$8:$S$65536,16,FALSE))</f>
      </c>
      <c r="Q23" s="421">
        <f>IF($B23="","",VLOOKUP($B23,'2-2_算定表④(旧・新制度)'!$B$8:$S$65536,16,FALSE))</f>
      </c>
      <c r="R23" s="421">
        <f>IF($B23="","",VLOOKUP($B23,'2-2_算定表④(旧・新制度)'!$B$8:$S$65536,16,FALSE))</f>
      </c>
      <c r="S23" s="421">
        <f>IF($B23="","",VLOOKUP($B23,'2-2_算定表④(旧・新制度)'!$B$8:$S$65536,16,FALSE))</f>
      </c>
      <c r="T23" s="421">
        <f>IF($B23="","",VLOOKUP($B23,'2-2_算定表④(旧・新制度)'!$B$8:$S$65536,16,FALSE))</f>
      </c>
      <c r="U23" s="421">
        <f>IF($B23="","",VLOOKUP($B23,'2-2_算定表④(旧・新制度)'!$B$8:$S$65536,16,FALSE))</f>
      </c>
      <c r="V23" s="673">
        <f>IF($B23="","",VLOOKUP($B23,'2-2_算定表④(旧・新制度)'!$B$8:$S$65536,16,FALSE))</f>
      </c>
      <c r="W23" s="419">
        <f t="shared" si="1"/>
      </c>
      <c r="X23" s="423">
        <f t="shared" si="2"/>
      </c>
      <c r="Y23" s="422">
        <f t="shared" si="3"/>
      </c>
      <c r="Z23" s="424">
        <f t="shared" si="4"/>
      </c>
      <c r="AA23" s="431">
        <f t="shared" si="5"/>
      </c>
      <c r="AB23" s="419">
        <f t="shared" si="6"/>
      </c>
      <c r="AC23" s="418">
        <f t="shared" si="7"/>
      </c>
      <c r="AD23" s="419">
        <f t="shared" si="8"/>
      </c>
      <c r="AE23" s="418">
        <f t="shared" si="9"/>
      </c>
      <c r="AF23" s="419">
        <f t="shared" si="10"/>
      </c>
      <c r="AG23" s="404">
        <f>IF(B23="","",ROUNDUP((G23/VLOOKUP($B23,'2-2_算定表④(旧・新制度)'!$B$8:$AH$44,9,FALSE)*W23)+(I23/VLOOKUP($B23,'2-2_算定表④(旧・新制度)'!$B$8:$AH$44,9,FALSE)*X23)+(G23/VLOOKUP($B23,'2-2_算定表④(旧・新制度)'!$B$8:$AH$44,9,FALSE)*Y23)+(I23/VLOOKUP($B23,'2-2_算定表④(旧・新制度)'!$B$8:$AH$44,9,FALSE)*Z23)+(G23/VLOOKUP($B23,'2-2_算定表④(旧・新制度)'!$B$8:$AH$44,9,FALSE)*AA23)+(I23/VLOOKUP($B23,'2-2_算定表④(旧・新制度)'!$B$8:$AH$44,9,FALSE)*AB23)+(G23/VLOOKUP($B23,'2-2_算定表④(旧・新制度)'!$B$8:$AH$44,9,FALSE)*AC23)+(I23/VLOOKUP($B23,'2-2_算定表④(旧・新制度)'!$B$8:$AH$44,9,FALSE)*AD23),0))</f>
      </c>
      <c r="AH23" s="403">
        <f t="shared" si="12"/>
      </c>
      <c r="AI23" s="1079">
        <f>IF(B23="","",VLOOKUP($B23,'2-2_算定表④(旧・新制度)'!$B$8:$AF$65536,31,FALSE))</f>
      </c>
      <c r="AJ23" s="1080" t="s">
        <v>182</v>
      </c>
      <c r="AK23" s="1081" t="s">
        <v>182</v>
      </c>
      <c r="AM23" s="61">
        <f t="shared" si="13"/>
      </c>
      <c r="AN23" s="61">
        <f t="shared" si="11"/>
      </c>
    </row>
    <row r="24" spans="1:40" s="53" customFormat="1" ht="18.75" customHeight="1">
      <c r="A24" s="27">
        <f t="shared" si="0"/>
      </c>
      <c r="B24" s="577"/>
      <c r="C24" s="716">
        <f>IF(B24="","",VLOOKUP($B24,'2-2_算定表④(旧・新制度)'!$B$8:$S$65536,2,FALSE))</f>
      </c>
      <c r="D24" s="713">
        <f>IF(B24="","",VLOOKUP($B24,'2-2_算定表④(旧・新制度)'!$B$8:$S$65536,3,FALSE))</f>
      </c>
      <c r="E24" s="565">
        <f>IF(B24="","",VLOOKUP($B24,'2-2_算定表④(旧・新制度)'!$B$8:$S$65536,6,FALSE))</f>
      </c>
      <c r="F24" s="709">
        <f>IF(B24="","",VLOOKUP($B24,'2-2_算定表④(旧・新制度)'!$B$8:$S$65536,14,FALSE))</f>
      </c>
      <c r="G24" s="399">
        <f>IF(B24="","",VLOOKUP($B24,'2-2_算定表④(旧・新制度)'!$B$8:$S$65536,15,FALSE))</f>
      </c>
      <c r="H24" s="709">
        <f>IF(B24="","",VLOOKUP($B24,'2-2_算定表④(旧・新制度)'!$B$8:$S$65536,16,FALSE))</f>
      </c>
      <c r="I24" s="399">
        <f>IF(B24="","",VLOOKUP($B24,'2-2_算定表④(旧・新制度)'!$B$8:$S$65536,17,FALSE))</f>
      </c>
      <c r="J24" s="700">
        <f>IF(B24="","",VLOOKUP($B24,'2-2_算定表④(旧・新制度)'!$B$8:$S$65536,18,FALSE))</f>
      </c>
      <c r="K24" s="706">
        <f>IF($B24="","",VLOOKUP($B24,'2-2_算定表④(旧・新制度)'!$B$8:$S$65536,14,FALSE))</f>
      </c>
      <c r="L24" s="421">
        <f>IF($B24="","",VLOOKUP($B24,'2-2_算定表④(旧・新制度)'!$B$8:$S$65536,14,FALSE))</f>
      </c>
      <c r="M24" s="678">
        <f>IF($B24="","",VLOOKUP($B24,'2-2_算定表④(旧・新制度)'!$B$8:$S$65536,14,FALSE))</f>
      </c>
      <c r="N24" s="672">
        <f>IF($B24="","",VLOOKUP($B24,'2-2_算定表④(旧・新制度)'!$B$8:$S$65536,16,FALSE))</f>
      </c>
      <c r="O24" s="421">
        <f>IF($B24="","",VLOOKUP($B24,'2-2_算定表④(旧・新制度)'!$B$8:$S$65536,16,FALSE))</f>
      </c>
      <c r="P24" s="421">
        <f>IF($B24="","",VLOOKUP($B24,'2-2_算定表④(旧・新制度)'!$B$8:$S$65536,16,FALSE))</f>
      </c>
      <c r="Q24" s="421">
        <f>IF($B24="","",VLOOKUP($B24,'2-2_算定表④(旧・新制度)'!$B$8:$S$65536,16,FALSE))</f>
      </c>
      <c r="R24" s="421">
        <f>IF($B24="","",VLOOKUP($B24,'2-2_算定表④(旧・新制度)'!$B$8:$S$65536,16,FALSE))</f>
      </c>
      <c r="S24" s="421">
        <f>IF($B24="","",VLOOKUP($B24,'2-2_算定表④(旧・新制度)'!$B$8:$S$65536,16,FALSE))</f>
      </c>
      <c r="T24" s="421">
        <f>IF($B24="","",VLOOKUP($B24,'2-2_算定表④(旧・新制度)'!$B$8:$S$65536,16,FALSE))</f>
      </c>
      <c r="U24" s="421">
        <f>IF($B24="","",VLOOKUP($B24,'2-2_算定表④(旧・新制度)'!$B$8:$S$65536,16,FALSE))</f>
      </c>
      <c r="V24" s="673">
        <f>IF($B24="","",VLOOKUP($B24,'2-2_算定表④(旧・新制度)'!$B$8:$S$65536,16,FALSE))</f>
      </c>
      <c r="W24" s="419">
        <f t="shared" si="1"/>
      </c>
      <c r="X24" s="423">
        <f t="shared" si="2"/>
      </c>
      <c r="Y24" s="422">
        <f t="shared" si="3"/>
      </c>
      <c r="Z24" s="424">
        <f t="shared" si="4"/>
      </c>
      <c r="AA24" s="431">
        <f t="shared" si="5"/>
      </c>
      <c r="AB24" s="419">
        <f t="shared" si="6"/>
      </c>
      <c r="AC24" s="418">
        <f t="shared" si="7"/>
      </c>
      <c r="AD24" s="419">
        <f t="shared" si="8"/>
      </c>
      <c r="AE24" s="418">
        <f t="shared" si="9"/>
      </c>
      <c r="AF24" s="419">
        <f t="shared" si="10"/>
      </c>
      <c r="AG24" s="404">
        <f>IF(B24="","",ROUNDUP((G24/VLOOKUP($B24,'2-2_算定表④(旧・新制度)'!$B$8:$AH$44,9,FALSE)*W24)+(I24/VLOOKUP($B24,'2-2_算定表④(旧・新制度)'!$B$8:$AH$44,9,FALSE)*X24)+(G24/VLOOKUP($B24,'2-2_算定表④(旧・新制度)'!$B$8:$AH$44,9,FALSE)*Y24)+(I24/VLOOKUP($B24,'2-2_算定表④(旧・新制度)'!$B$8:$AH$44,9,FALSE)*Z24)+(G24/VLOOKUP($B24,'2-2_算定表④(旧・新制度)'!$B$8:$AH$44,9,FALSE)*AA24)+(I24/VLOOKUP($B24,'2-2_算定表④(旧・新制度)'!$B$8:$AH$44,9,FALSE)*AB24)+(G24/VLOOKUP($B24,'2-2_算定表④(旧・新制度)'!$B$8:$AH$44,9,FALSE)*AC24)+(I24/VLOOKUP($B24,'2-2_算定表④(旧・新制度)'!$B$8:$AH$44,9,FALSE)*AD24),0))</f>
      </c>
      <c r="AH24" s="403">
        <f t="shared" si="12"/>
      </c>
      <c r="AI24" s="1079">
        <f>IF(B24="","",VLOOKUP($B24,'2-2_算定表④(旧・新制度)'!$B$8:$AF$65536,31,FALSE))</f>
      </c>
      <c r="AJ24" s="1080" t="s">
        <v>182</v>
      </c>
      <c r="AK24" s="1081" t="s">
        <v>182</v>
      </c>
      <c r="AM24" s="61">
        <f t="shared" si="13"/>
      </c>
      <c r="AN24" s="61">
        <f t="shared" si="11"/>
      </c>
    </row>
    <row r="25" spans="1:40" s="53" customFormat="1" ht="18.75" customHeight="1">
      <c r="A25" s="27">
        <f t="shared" si="0"/>
      </c>
      <c r="B25" s="577"/>
      <c r="C25" s="716">
        <f>IF(B25="","",VLOOKUP($B25,'2-2_算定表④(旧・新制度)'!$B$8:$S$65536,2,FALSE))</f>
      </c>
      <c r="D25" s="713">
        <f>IF(B25="","",VLOOKUP($B25,'2-2_算定表④(旧・新制度)'!$B$8:$S$65536,3,FALSE))</f>
      </c>
      <c r="E25" s="565">
        <f>IF(B25="","",VLOOKUP($B25,'2-2_算定表④(旧・新制度)'!$B$8:$S$65536,6,FALSE))</f>
      </c>
      <c r="F25" s="709">
        <f>IF(B25="","",VLOOKUP($B25,'2-2_算定表④(旧・新制度)'!$B$8:$S$65536,14,FALSE))</f>
      </c>
      <c r="G25" s="399">
        <f>IF(B25="","",VLOOKUP($B25,'2-2_算定表④(旧・新制度)'!$B$8:$S$65536,15,FALSE))</f>
      </c>
      <c r="H25" s="709">
        <f>IF(B25="","",VLOOKUP($B25,'2-2_算定表④(旧・新制度)'!$B$8:$S$65536,16,FALSE))</f>
      </c>
      <c r="I25" s="399">
        <f>IF(B25="","",VLOOKUP($B25,'2-2_算定表④(旧・新制度)'!$B$8:$S$65536,17,FALSE))</f>
      </c>
      <c r="J25" s="700">
        <f>IF(B25="","",VLOOKUP($B25,'2-2_算定表④(旧・新制度)'!$B$8:$S$65536,18,FALSE))</f>
      </c>
      <c r="K25" s="706">
        <f>IF($B25="","",VLOOKUP($B25,'2-2_算定表④(旧・新制度)'!$B$8:$S$65536,14,FALSE))</f>
      </c>
      <c r="L25" s="421">
        <f>IF($B25="","",VLOOKUP($B25,'2-2_算定表④(旧・新制度)'!$B$8:$S$65536,14,FALSE))</f>
      </c>
      <c r="M25" s="678">
        <f>IF($B25="","",VLOOKUP($B25,'2-2_算定表④(旧・新制度)'!$B$8:$S$65536,14,FALSE))</f>
      </c>
      <c r="N25" s="672">
        <f>IF($B25="","",VLOOKUP($B25,'2-2_算定表④(旧・新制度)'!$B$8:$S$65536,16,FALSE))</f>
      </c>
      <c r="O25" s="421">
        <f>IF($B25="","",VLOOKUP($B25,'2-2_算定表④(旧・新制度)'!$B$8:$S$65536,16,FALSE))</f>
      </c>
      <c r="P25" s="421">
        <f>IF($B25="","",VLOOKUP($B25,'2-2_算定表④(旧・新制度)'!$B$8:$S$65536,16,FALSE))</f>
      </c>
      <c r="Q25" s="421">
        <f>IF($B25="","",VLOOKUP($B25,'2-2_算定表④(旧・新制度)'!$B$8:$S$65536,16,FALSE))</f>
      </c>
      <c r="R25" s="421">
        <f>IF($B25="","",VLOOKUP($B25,'2-2_算定表④(旧・新制度)'!$B$8:$S$65536,16,FALSE))</f>
      </c>
      <c r="S25" s="421">
        <f>IF($B25="","",VLOOKUP($B25,'2-2_算定表④(旧・新制度)'!$B$8:$S$65536,16,FALSE))</f>
      </c>
      <c r="T25" s="421">
        <f>IF($B25="","",VLOOKUP($B25,'2-2_算定表④(旧・新制度)'!$B$8:$S$65536,16,FALSE))</f>
      </c>
      <c r="U25" s="421">
        <f>IF($B25="","",VLOOKUP($B25,'2-2_算定表④(旧・新制度)'!$B$8:$S$65536,16,FALSE))</f>
      </c>
      <c r="V25" s="673">
        <f>IF($B25="","",VLOOKUP($B25,'2-2_算定表④(旧・新制度)'!$B$8:$S$65536,16,FALSE))</f>
      </c>
      <c r="W25" s="419">
        <f t="shared" si="1"/>
      </c>
      <c r="X25" s="423">
        <f t="shared" si="2"/>
      </c>
      <c r="Y25" s="422">
        <f t="shared" si="3"/>
      </c>
      <c r="Z25" s="424">
        <f t="shared" si="4"/>
      </c>
      <c r="AA25" s="431">
        <f t="shared" si="5"/>
      </c>
      <c r="AB25" s="419">
        <f t="shared" si="6"/>
      </c>
      <c r="AC25" s="418">
        <f t="shared" si="7"/>
      </c>
      <c r="AD25" s="419">
        <f t="shared" si="8"/>
      </c>
      <c r="AE25" s="418">
        <f t="shared" si="9"/>
      </c>
      <c r="AF25" s="419">
        <f t="shared" si="10"/>
      </c>
      <c r="AG25" s="404">
        <f>IF(B25="","",ROUNDUP((G25/VLOOKUP($B25,'2-2_算定表④(旧・新制度)'!$B$8:$AH$44,9,FALSE)*W25)+(I25/VLOOKUP($B25,'2-2_算定表④(旧・新制度)'!$B$8:$AH$44,9,FALSE)*X25)+(G25/VLOOKUP($B25,'2-2_算定表④(旧・新制度)'!$B$8:$AH$44,9,FALSE)*Y25)+(I25/VLOOKUP($B25,'2-2_算定表④(旧・新制度)'!$B$8:$AH$44,9,FALSE)*Z25)+(G25/VLOOKUP($B25,'2-2_算定表④(旧・新制度)'!$B$8:$AH$44,9,FALSE)*AA25)+(I25/VLOOKUP($B25,'2-2_算定表④(旧・新制度)'!$B$8:$AH$44,9,FALSE)*AB25)+(G25/VLOOKUP($B25,'2-2_算定表④(旧・新制度)'!$B$8:$AH$44,9,FALSE)*AC25)+(I25/VLOOKUP($B25,'2-2_算定表④(旧・新制度)'!$B$8:$AH$44,9,FALSE)*AD25),0))</f>
      </c>
      <c r="AH25" s="403">
        <f t="shared" si="12"/>
      </c>
      <c r="AI25" s="1079">
        <f>IF(B25="","",VLOOKUP($B25,'2-2_算定表④(旧・新制度)'!$B$8:$AF$65536,31,FALSE))</f>
      </c>
      <c r="AJ25" s="1080" t="s">
        <v>182</v>
      </c>
      <c r="AK25" s="1081" t="s">
        <v>182</v>
      </c>
      <c r="AM25" s="61">
        <f t="shared" si="13"/>
      </c>
      <c r="AN25" s="61">
        <f t="shared" si="11"/>
      </c>
    </row>
    <row r="26" spans="1:40" s="53" customFormat="1" ht="18.75" customHeight="1">
      <c r="A26" s="27">
        <f t="shared" si="0"/>
      </c>
      <c r="B26" s="577"/>
      <c r="C26" s="716">
        <f>IF(B26="","",VLOOKUP($B26,'2-2_算定表④(旧・新制度)'!$B$8:$S$65536,2,FALSE))</f>
      </c>
      <c r="D26" s="713">
        <f>IF(B26="","",VLOOKUP($B26,'2-2_算定表④(旧・新制度)'!$B$8:$S$65536,3,FALSE))</f>
      </c>
      <c r="E26" s="565">
        <f>IF(B26="","",VLOOKUP($B26,'2-2_算定表④(旧・新制度)'!$B$8:$S$65536,6,FALSE))</f>
      </c>
      <c r="F26" s="709">
        <f>IF(B26="","",VLOOKUP($B26,'2-2_算定表④(旧・新制度)'!$B$8:$S$65536,14,FALSE))</f>
      </c>
      <c r="G26" s="399">
        <f>IF(B26="","",VLOOKUP($B26,'2-2_算定表④(旧・新制度)'!$B$8:$S$65536,15,FALSE))</f>
      </c>
      <c r="H26" s="709">
        <f>IF(B26="","",VLOOKUP($B26,'2-2_算定表④(旧・新制度)'!$B$8:$S$65536,16,FALSE))</f>
      </c>
      <c r="I26" s="399">
        <f>IF(B26="","",VLOOKUP($B26,'2-2_算定表④(旧・新制度)'!$B$8:$S$65536,17,FALSE))</f>
      </c>
      <c r="J26" s="700">
        <f>IF(B26="","",VLOOKUP($B26,'2-2_算定表④(旧・新制度)'!$B$8:$S$65536,18,FALSE))</f>
      </c>
      <c r="K26" s="706">
        <f>IF($B26="","",VLOOKUP($B26,'2-2_算定表④(旧・新制度)'!$B$8:$S$65536,14,FALSE))</f>
      </c>
      <c r="L26" s="421">
        <f>IF($B26="","",VLOOKUP($B26,'2-2_算定表④(旧・新制度)'!$B$8:$S$65536,14,FALSE))</f>
      </c>
      <c r="M26" s="678">
        <f>IF($B26="","",VLOOKUP($B26,'2-2_算定表④(旧・新制度)'!$B$8:$S$65536,14,FALSE))</f>
      </c>
      <c r="N26" s="672">
        <f>IF($B26="","",VLOOKUP($B26,'2-2_算定表④(旧・新制度)'!$B$8:$S$65536,16,FALSE))</f>
      </c>
      <c r="O26" s="421">
        <f>IF($B26="","",VLOOKUP($B26,'2-2_算定表④(旧・新制度)'!$B$8:$S$65536,16,FALSE))</f>
      </c>
      <c r="P26" s="421">
        <f>IF($B26="","",VLOOKUP($B26,'2-2_算定表④(旧・新制度)'!$B$8:$S$65536,16,FALSE))</f>
      </c>
      <c r="Q26" s="421">
        <f>IF($B26="","",VLOOKUP($B26,'2-2_算定表④(旧・新制度)'!$B$8:$S$65536,16,FALSE))</f>
      </c>
      <c r="R26" s="421">
        <f>IF($B26="","",VLOOKUP($B26,'2-2_算定表④(旧・新制度)'!$B$8:$S$65536,16,FALSE))</f>
      </c>
      <c r="S26" s="421">
        <f>IF($B26="","",VLOOKUP($B26,'2-2_算定表④(旧・新制度)'!$B$8:$S$65536,16,FALSE))</f>
      </c>
      <c r="T26" s="421">
        <f>IF($B26="","",VLOOKUP($B26,'2-2_算定表④(旧・新制度)'!$B$8:$S$65536,16,FALSE))</f>
      </c>
      <c r="U26" s="421">
        <f>IF($B26="","",VLOOKUP($B26,'2-2_算定表④(旧・新制度)'!$B$8:$S$65536,16,FALSE))</f>
      </c>
      <c r="V26" s="673">
        <f>IF($B26="","",VLOOKUP($B26,'2-2_算定表④(旧・新制度)'!$B$8:$S$65536,16,FALSE))</f>
      </c>
      <c r="W26" s="419">
        <f t="shared" si="1"/>
      </c>
      <c r="X26" s="423">
        <f t="shared" si="2"/>
      </c>
      <c r="Y26" s="422">
        <f t="shared" si="3"/>
      </c>
      <c r="Z26" s="424">
        <f t="shared" si="4"/>
      </c>
      <c r="AA26" s="431">
        <f t="shared" si="5"/>
      </c>
      <c r="AB26" s="419">
        <f t="shared" si="6"/>
      </c>
      <c r="AC26" s="418">
        <f t="shared" si="7"/>
      </c>
      <c r="AD26" s="419">
        <f t="shared" si="8"/>
      </c>
      <c r="AE26" s="418">
        <f t="shared" si="9"/>
      </c>
      <c r="AF26" s="419">
        <f t="shared" si="10"/>
      </c>
      <c r="AG26" s="404">
        <f>IF(B26="","",ROUNDUP((G26/VLOOKUP($B26,'2-2_算定表④(旧・新制度)'!$B$8:$AH$44,9,FALSE)*W26)+(I26/VLOOKUP($B26,'2-2_算定表④(旧・新制度)'!$B$8:$AH$44,9,FALSE)*X26)+(G26/VLOOKUP($B26,'2-2_算定表④(旧・新制度)'!$B$8:$AH$44,9,FALSE)*Y26)+(I26/VLOOKUP($B26,'2-2_算定表④(旧・新制度)'!$B$8:$AH$44,9,FALSE)*Z26)+(G26/VLOOKUP($B26,'2-2_算定表④(旧・新制度)'!$B$8:$AH$44,9,FALSE)*AA26)+(I26/VLOOKUP($B26,'2-2_算定表④(旧・新制度)'!$B$8:$AH$44,9,FALSE)*AB26)+(G26/VLOOKUP($B26,'2-2_算定表④(旧・新制度)'!$B$8:$AH$44,9,FALSE)*AC26)+(I26/VLOOKUP($B26,'2-2_算定表④(旧・新制度)'!$B$8:$AH$44,9,FALSE)*AD26),0))</f>
      </c>
      <c r="AH26" s="403">
        <f t="shared" si="12"/>
      </c>
      <c r="AI26" s="1079">
        <f>IF(B26="","",VLOOKUP($B26,'2-2_算定表④(旧・新制度)'!$B$8:$AF$65536,31,FALSE))</f>
      </c>
      <c r="AJ26" s="1080" t="s">
        <v>182</v>
      </c>
      <c r="AK26" s="1081" t="s">
        <v>182</v>
      </c>
      <c r="AM26" s="61">
        <f t="shared" si="13"/>
      </c>
      <c r="AN26" s="61">
        <f t="shared" si="11"/>
      </c>
    </row>
    <row r="27" spans="1:40" s="53" customFormat="1" ht="18.75" customHeight="1">
      <c r="A27" s="27">
        <f t="shared" si="0"/>
      </c>
      <c r="B27" s="577"/>
      <c r="C27" s="716">
        <f>IF(B27="","",VLOOKUP($B27,'2-2_算定表④(旧・新制度)'!$B$8:$S$65536,2,FALSE))</f>
      </c>
      <c r="D27" s="713">
        <f>IF(B27="","",VLOOKUP($B27,'2-2_算定表④(旧・新制度)'!$B$8:$S$65536,3,FALSE))</f>
      </c>
      <c r="E27" s="565">
        <f>IF(B27="","",VLOOKUP($B27,'2-2_算定表④(旧・新制度)'!$B$8:$S$65536,6,FALSE))</f>
      </c>
      <c r="F27" s="709">
        <f>IF(B27="","",VLOOKUP($B27,'2-2_算定表④(旧・新制度)'!$B$8:$S$65536,14,FALSE))</f>
      </c>
      <c r="G27" s="399">
        <f>IF(B27="","",VLOOKUP($B27,'2-2_算定表④(旧・新制度)'!$B$8:$S$65536,15,FALSE))</f>
      </c>
      <c r="H27" s="709">
        <f>IF(B27="","",VLOOKUP($B27,'2-2_算定表④(旧・新制度)'!$B$8:$S$65536,16,FALSE))</f>
      </c>
      <c r="I27" s="399">
        <f>IF(B27="","",VLOOKUP($B27,'2-2_算定表④(旧・新制度)'!$B$8:$S$65536,17,FALSE))</f>
      </c>
      <c r="J27" s="700">
        <f>IF(B27="","",VLOOKUP($B27,'2-2_算定表④(旧・新制度)'!$B$8:$S$65536,18,FALSE))</f>
      </c>
      <c r="K27" s="706">
        <f>IF($B27="","",VLOOKUP($B27,'2-2_算定表④(旧・新制度)'!$B$8:$S$65536,14,FALSE))</f>
      </c>
      <c r="L27" s="421">
        <f>IF($B27="","",VLOOKUP($B27,'2-2_算定表④(旧・新制度)'!$B$8:$S$65536,14,FALSE))</f>
      </c>
      <c r="M27" s="678">
        <f>IF($B27="","",VLOOKUP($B27,'2-2_算定表④(旧・新制度)'!$B$8:$S$65536,14,FALSE))</f>
      </c>
      <c r="N27" s="672">
        <f>IF($B27="","",VLOOKUP($B27,'2-2_算定表④(旧・新制度)'!$B$8:$S$65536,16,FALSE))</f>
      </c>
      <c r="O27" s="421">
        <f>IF($B27="","",VLOOKUP($B27,'2-2_算定表④(旧・新制度)'!$B$8:$S$65536,16,FALSE))</f>
      </c>
      <c r="P27" s="421">
        <f>IF($B27="","",VLOOKUP($B27,'2-2_算定表④(旧・新制度)'!$B$8:$S$65536,16,FALSE))</f>
      </c>
      <c r="Q27" s="421">
        <f>IF($B27="","",VLOOKUP($B27,'2-2_算定表④(旧・新制度)'!$B$8:$S$65536,16,FALSE))</f>
      </c>
      <c r="R27" s="421">
        <f>IF($B27="","",VLOOKUP($B27,'2-2_算定表④(旧・新制度)'!$B$8:$S$65536,16,FALSE))</f>
      </c>
      <c r="S27" s="421">
        <f>IF($B27="","",VLOOKUP($B27,'2-2_算定表④(旧・新制度)'!$B$8:$S$65536,16,FALSE))</f>
      </c>
      <c r="T27" s="421">
        <f>IF($B27="","",VLOOKUP($B27,'2-2_算定表④(旧・新制度)'!$B$8:$S$65536,16,FALSE))</f>
      </c>
      <c r="U27" s="421">
        <f>IF($B27="","",VLOOKUP($B27,'2-2_算定表④(旧・新制度)'!$B$8:$S$65536,16,FALSE))</f>
      </c>
      <c r="V27" s="673">
        <f>IF($B27="","",VLOOKUP($B27,'2-2_算定表④(旧・新制度)'!$B$8:$S$65536,16,FALSE))</f>
      </c>
      <c r="W27" s="419">
        <f t="shared" si="1"/>
      </c>
      <c r="X27" s="423">
        <f t="shared" si="2"/>
      </c>
      <c r="Y27" s="422">
        <f t="shared" si="3"/>
      </c>
      <c r="Z27" s="424">
        <f t="shared" si="4"/>
      </c>
      <c r="AA27" s="431">
        <f t="shared" si="5"/>
      </c>
      <c r="AB27" s="419">
        <f t="shared" si="6"/>
      </c>
      <c r="AC27" s="418">
        <f t="shared" si="7"/>
      </c>
      <c r="AD27" s="419">
        <f t="shared" si="8"/>
      </c>
      <c r="AE27" s="418">
        <f t="shared" si="9"/>
      </c>
      <c r="AF27" s="419">
        <f t="shared" si="10"/>
      </c>
      <c r="AG27" s="404">
        <f>IF(B27="","",ROUNDUP((G27/VLOOKUP($B27,'2-2_算定表④(旧・新制度)'!$B$8:$AH$44,9,FALSE)*W27)+(I27/VLOOKUP($B27,'2-2_算定表④(旧・新制度)'!$B$8:$AH$44,9,FALSE)*X27)+(G27/VLOOKUP($B27,'2-2_算定表④(旧・新制度)'!$B$8:$AH$44,9,FALSE)*Y27)+(I27/VLOOKUP($B27,'2-2_算定表④(旧・新制度)'!$B$8:$AH$44,9,FALSE)*Z27)+(G27/VLOOKUP($B27,'2-2_算定表④(旧・新制度)'!$B$8:$AH$44,9,FALSE)*AA27)+(I27/VLOOKUP($B27,'2-2_算定表④(旧・新制度)'!$B$8:$AH$44,9,FALSE)*AB27)+(G27/VLOOKUP($B27,'2-2_算定表④(旧・新制度)'!$B$8:$AH$44,9,FALSE)*AC27)+(I27/VLOOKUP($B27,'2-2_算定表④(旧・新制度)'!$B$8:$AH$44,9,FALSE)*AD27),0))</f>
      </c>
      <c r="AH27" s="403">
        <f t="shared" si="12"/>
      </c>
      <c r="AI27" s="1079">
        <f>IF(B27="","",VLOOKUP($B27,'2-2_算定表④(旧・新制度)'!$B$8:$AF$65536,31,FALSE))</f>
      </c>
      <c r="AJ27" s="1080" t="s">
        <v>182</v>
      </c>
      <c r="AK27" s="1081" t="s">
        <v>182</v>
      </c>
      <c r="AM27" s="61">
        <f t="shared" si="13"/>
      </c>
      <c r="AN27" s="61">
        <f t="shared" si="11"/>
      </c>
    </row>
    <row r="28" spans="1:40" s="53" customFormat="1" ht="18.75" customHeight="1">
      <c r="A28" s="27">
        <f t="shared" si="0"/>
      </c>
      <c r="B28" s="577"/>
      <c r="C28" s="716">
        <f>IF(B28="","",VLOOKUP($B28,'2-2_算定表④(旧・新制度)'!$B$8:$S$65536,2,FALSE))</f>
      </c>
      <c r="D28" s="713">
        <f>IF(B28="","",VLOOKUP($B28,'2-2_算定表④(旧・新制度)'!$B$8:$S$65536,3,FALSE))</f>
      </c>
      <c r="E28" s="565">
        <f>IF(B28="","",VLOOKUP($B28,'2-2_算定表④(旧・新制度)'!$B$8:$S$65536,6,FALSE))</f>
      </c>
      <c r="F28" s="709">
        <f>IF(B28="","",VLOOKUP($B28,'2-2_算定表④(旧・新制度)'!$B$8:$S$65536,14,FALSE))</f>
      </c>
      <c r="G28" s="399">
        <f>IF(B28="","",VLOOKUP($B28,'2-2_算定表④(旧・新制度)'!$B$8:$S$65536,15,FALSE))</f>
      </c>
      <c r="H28" s="709">
        <f>IF(B28="","",VLOOKUP($B28,'2-2_算定表④(旧・新制度)'!$B$8:$S$65536,16,FALSE))</f>
      </c>
      <c r="I28" s="399">
        <f>IF(B28="","",VLOOKUP($B28,'2-2_算定表④(旧・新制度)'!$B$8:$S$65536,17,FALSE))</f>
      </c>
      <c r="J28" s="700">
        <f>IF(B28="","",VLOOKUP($B28,'2-2_算定表④(旧・新制度)'!$B$8:$S$65536,18,FALSE))</f>
      </c>
      <c r="K28" s="706">
        <f>IF($B28="","",VLOOKUP($B28,'2-2_算定表④(旧・新制度)'!$B$8:$S$65536,14,FALSE))</f>
      </c>
      <c r="L28" s="421">
        <f>IF($B28="","",VLOOKUP($B28,'2-2_算定表④(旧・新制度)'!$B$8:$S$65536,14,FALSE))</f>
      </c>
      <c r="M28" s="678">
        <f>IF($B28="","",VLOOKUP($B28,'2-2_算定表④(旧・新制度)'!$B$8:$S$65536,14,FALSE))</f>
      </c>
      <c r="N28" s="672">
        <f>IF($B28="","",VLOOKUP($B28,'2-2_算定表④(旧・新制度)'!$B$8:$S$65536,16,FALSE))</f>
      </c>
      <c r="O28" s="421">
        <f>IF($B28="","",VLOOKUP($B28,'2-2_算定表④(旧・新制度)'!$B$8:$S$65536,16,FALSE))</f>
      </c>
      <c r="P28" s="421">
        <f>IF($B28="","",VLOOKUP($B28,'2-2_算定表④(旧・新制度)'!$B$8:$S$65536,16,FALSE))</f>
      </c>
      <c r="Q28" s="421">
        <f>IF($B28="","",VLOOKUP($B28,'2-2_算定表④(旧・新制度)'!$B$8:$S$65536,16,FALSE))</f>
      </c>
      <c r="R28" s="421">
        <f>IF($B28="","",VLOOKUP($B28,'2-2_算定表④(旧・新制度)'!$B$8:$S$65536,16,FALSE))</f>
      </c>
      <c r="S28" s="421">
        <f>IF($B28="","",VLOOKUP($B28,'2-2_算定表④(旧・新制度)'!$B$8:$S$65536,16,FALSE))</f>
      </c>
      <c r="T28" s="421">
        <f>IF($B28="","",VLOOKUP($B28,'2-2_算定表④(旧・新制度)'!$B$8:$S$65536,16,FALSE))</f>
      </c>
      <c r="U28" s="421">
        <f>IF($B28="","",VLOOKUP($B28,'2-2_算定表④(旧・新制度)'!$B$8:$S$65536,16,FALSE))</f>
      </c>
      <c r="V28" s="673">
        <f>IF($B28="","",VLOOKUP($B28,'2-2_算定表④(旧・新制度)'!$B$8:$S$65536,16,FALSE))</f>
      </c>
      <c r="W28" s="419">
        <f t="shared" si="1"/>
      </c>
      <c r="X28" s="423">
        <f t="shared" si="2"/>
      </c>
      <c r="Y28" s="422">
        <f t="shared" si="3"/>
      </c>
      <c r="Z28" s="424">
        <f t="shared" si="4"/>
      </c>
      <c r="AA28" s="431">
        <f t="shared" si="5"/>
      </c>
      <c r="AB28" s="419">
        <f t="shared" si="6"/>
      </c>
      <c r="AC28" s="418">
        <f t="shared" si="7"/>
      </c>
      <c r="AD28" s="419">
        <f t="shared" si="8"/>
      </c>
      <c r="AE28" s="418">
        <f t="shared" si="9"/>
      </c>
      <c r="AF28" s="419">
        <f t="shared" si="10"/>
      </c>
      <c r="AG28" s="404">
        <f>IF(B28="","",ROUNDUP((G28/VLOOKUP($B28,'2-2_算定表④(旧・新制度)'!$B$8:$AH$44,9,FALSE)*W28)+(I28/VLOOKUP($B28,'2-2_算定表④(旧・新制度)'!$B$8:$AH$44,9,FALSE)*X28)+(G28/VLOOKUP($B28,'2-2_算定表④(旧・新制度)'!$B$8:$AH$44,9,FALSE)*Y28)+(I28/VLOOKUP($B28,'2-2_算定表④(旧・新制度)'!$B$8:$AH$44,9,FALSE)*Z28)+(G28/VLOOKUP($B28,'2-2_算定表④(旧・新制度)'!$B$8:$AH$44,9,FALSE)*AA28)+(I28/VLOOKUP($B28,'2-2_算定表④(旧・新制度)'!$B$8:$AH$44,9,FALSE)*AB28)+(G28/VLOOKUP($B28,'2-2_算定表④(旧・新制度)'!$B$8:$AH$44,9,FALSE)*AC28)+(I28/VLOOKUP($B28,'2-2_算定表④(旧・新制度)'!$B$8:$AH$44,9,FALSE)*AD28),0))</f>
      </c>
      <c r="AH28" s="403">
        <f t="shared" si="12"/>
      </c>
      <c r="AI28" s="1079">
        <f>IF(B28="","",VLOOKUP($B28,'2-2_算定表④(旧・新制度)'!$B$8:$AF$65536,31,FALSE))</f>
      </c>
      <c r="AJ28" s="1080" t="s">
        <v>182</v>
      </c>
      <c r="AK28" s="1081" t="s">
        <v>182</v>
      </c>
      <c r="AM28" s="61">
        <f t="shared" si="13"/>
      </c>
      <c r="AN28" s="61">
        <f t="shared" si="11"/>
      </c>
    </row>
    <row r="29" spans="1:40" s="53" customFormat="1" ht="18.75" customHeight="1">
      <c r="A29" s="27">
        <f t="shared" si="0"/>
      </c>
      <c r="B29" s="577"/>
      <c r="C29" s="716">
        <f>IF(B29="","",VLOOKUP($B29,'2-2_算定表④(旧・新制度)'!$B$8:$S$65536,2,FALSE))</f>
      </c>
      <c r="D29" s="713">
        <f>IF(B29="","",VLOOKUP($B29,'2-2_算定表④(旧・新制度)'!$B$8:$S$65536,3,FALSE))</f>
      </c>
      <c r="E29" s="565">
        <f>IF(B29="","",VLOOKUP($B29,'2-2_算定表④(旧・新制度)'!$B$8:$S$65536,6,FALSE))</f>
      </c>
      <c r="F29" s="709">
        <f>IF(B29="","",VLOOKUP($B29,'2-2_算定表④(旧・新制度)'!$B$8:$S$65536,14,FALSE))</f>
      </c>
      <c r="G29" s="399">
        <f>IF(B29="","",VLOOKUP($B29,'2-2_算定表④(旧・新制度)'!$B$8:$S$65536,15,FALSE))</f>
      </c>
      <c r="H29" s="709">
        <f>IF(B29="","",VLOOKUP($B29,'2-2_算定表④(旧・新制度)'!$B$8:$S$65536,16,FALSE))</f>
      </c>
      <c r="I29" s="399">
        <f>IF(B29="","",VLOOKUP($B29,'2-2_算定表④(旧・新制度)'!$B$8:$S$65536,17,FALSE))</f>
      </c>
      <c r="J29" s="700">
        <f>IF(B29="","",VLOOKUP($B29,'2-2_算定表④(旧・新制度)'!$B$8:$S$65536,18,FALSE))</f>
      </c>
      <c r="K29" s="706">
        <f>IF($B29="","",VLOOKUP($B29,'2-2_算定表④(旧・新制度)'!$B$8:$S$65536,14,FALSE))</f>
      </c>
      <c r="L29" s="421">
        <f>IF($B29="","",VLOOKUP($B29,'2-2_算定表④(旧・新制度)'!$B$8:$S$65536,14,FALSE))</f>
      </c>
      <c r="M29" s="678">
        <f>IF($B29="","",VLOOKUP($B29,'2-2_算定表④(旧・新制度)'!$B$8:$S$65536,14,FALSE))</f>
      </c>
      <c r="N29" s="672">
        <f>IF($B29="","",VLOOKUP($B29,'2-2_算定表④(旧・新制度)'!$B$8:$S$65536,16,FALSE))</f>
      </c>
      <c r="O29" s="421">
        <f>IF($B29="","",VLOOKUP($B29,'2-2_算定表④(旧・新制度)'!$B$8:$S$65536,16,FALSE))</f>
      </c>
      <c r="P29" s="421">
        <f>IF($B29="","",VLOOKUP($B29,'2-2_算定表④(旧・新制度)'!$B$8:$S$65536,16,FALSE))</f>
      </c>
      <c r="Q29" s="421">
        <f>IF($B29="","",VLOOKUP($B29,'2-2_算定表④(旧・新制度)'!$B$8:$S$65536,16,FALSE))</f>
      </c>
      <c r="R29" s="421">
        <f>IF($B29="","",VLOOKUP($B29,'2-2_算定表④(旧・新制度)'!$B$8:$S$65536,16,FALSE))</f>
      </c>
      <c r="S29" s="421">
        <f>IF($B29="","",VLOOKUP($B29,'2-2_算定表④(旧・新制度)'!$B$8:$S$65536,16,FALSE))</f>
      </c>
      <c r="T29" s="421">
        <f>IF($B29="","",VLOOKUP($B29,'2-2_算定表④(旧・新制度)'!$B$8:$S$65536,16,FALSE))</f>
      </c>
      <c r="U29" s="421">
        <f>IF($B29="","",VLOOKUP($B29,'2-2_算定表④(旧・新制度)'!$B$8:$S$65536,16,FALSE))</f>
      </c>
      <c r="V29" s="673">
        <f>IF($B29="","",VLOOKUP($B29,'2-2_算定表④(旧・新制度)'!$B$8:$S$65536,16,FALSE))</f>
      </c>
      <c r="W29" s="419">
        <f t="shared" si="1"/>
      </c>
      <c r="X29" s="423">
        <f t="shared" si="2"/>
      </c>
      <c r="Y29" s="422">
        <f t="shared" si="3"/>
      </c>
      <c r="Z29" s="424">
        <f t="shared" si="4"/>
      </c>
      <c r="AA29" s="431">
        <f t="shared" si="5"/>
      </c>
      <c r="AB29" s="419">
        <f t="shared" si="6"/>
      </c>
      <c r="AC29" s="418">
        <f t="shared" si="7"/>
      </c>
      <c r="AD29" s="419">
        <f t="shared" si="8"/>
      </c>
      <c r="AE29" s="418">
        <f t="shared" si="9"/>
      </c>
      <c r="AF29" s="419">
        <f t="shared" si="10"/>
      </c>
      <c r="AG29" s="404">
        <f>IF(B29="","",ROUNDUP((G29/VLOOKUP($B29,'2-2_算定表④(旧・新制度)'!$B$8:$AH$44,9,FALSE)*W29)+(I29/VLOOKUP($B29,'2-2_算定表④(旧・新制度)'!$B$8:$AH$44,9,FALSE)*X29)+(G29/VLOOKUP($B29,'2-2_算定表④(旧・新制度)'!$B$8:$AH$44,9,FALSE)*Y29)+(I29/VLOOKUP($B29,'2-2_算定表④(旧・新制度)'!$B$8:$AH$44,9,FALSE)*Z29)+(G29/VLOOKUP($B29,'2-2_算定表④(旧・新制度)'!$B$8:$AH$44,9,FALSE)*AA29)+(I29/VLOOKUP($B29,'2-2_算定表④(旧・新制度)'!$B$8:$AH$44,9,FALSE)*AB29)+(G29/VLOOKUP($B29,'2-2_算定表④(旧・新制度)'!$B$8:$AH$44,9,FALSE)*AC29)+(I29/VLOOKUP($B29,'2-2_算定表④(旧・新制度)'!$B$8:$AH$44,9,FALSE)*AD29),0))</f>
      </c>
      <c r="AH29" s="403">
        <f t="shared" si="12"/>
      </c>
      <c r="AI29" s="1079">
        <f>IF(B29="","",VLOOKUP($B29,'2-2_算定表④(旧・新制度)'!$B$8:$AF$65536,31,FALSE))</f>
      </c>
      <c r="AJ29" s="1080" t="s">
        <v>182</v>
      </c>
      <c r="AK29" s="1081" t="s">
        <v>182</v>
      </c>
      <c r="AM29" s="61">
        <f t="shared" si="13"/>
      </c>
      <c r="AN29" s="61">
        <f t="shared" si="11"/>
      </c>
    </row>
    <row r="30" spans="1:40" s="53" customFormat="1" ht="18.75" customHeight="1">
      <c r="A30" s="27">
        <f t="shared" si="0"/>
      </c>
      <c r="B30" s="577"/>
      <c r="C30" s="716">
        <f>IF(B30="","",VLOOKUP($B30,'2-2_算定表④(旧・新制度)'!$B$8:$S$65536,2,FALSE))</f>
      </c>
      <c r="D30" s="713">
        <f>IF(B30="","",VLOOKUP($B30,'2-2_算定表④(旧・新制度)'!$B$8:$S$65536,3,FALSE))</f>
      </c>
      <c r="E30" s="565">
        <f>IF(B30="","",VLOOKUP($B30,'2-2_算定表④(旧・新制度)'!$B$8:$S$65536,6,FALSE))</f>
      </c>
      <c r="F30" s="709">
        <f>IF(B30="","",VLOOKUP($B30,'2-2_算定表④(旧・新制度)'!$B$8:$S$65536,14,FALSE))</f>
      </c>
      <c r="G30" s="399">
        <f>IF(B30="","",VLOOKUP($B30,'2-2_算定表④(旧・新制度)'!$B$8:$S$65536,15,FALSE))</f>
      </c>
      <c r="H30" s="709">
        <f>IF(B30="","",VLOOKUP($B30,'2-2_算定表④(旧・新制度)'!$B$8:$S$65536,16,FALSE))</f>
      </c>
      <c r="I30" s="399">
        <f>IF(B30="","",VLOOKUP($B30,'2-2_算定表④(旧・新制度)'!$B$8:$S$65536,17,FALSE))</f>
      </c>
      <c r="J30" s="700">
        <f>IF(B30="","",VLOOKUP($B30,'2-2_算定表④(旧・新制度)'!$B$8:$S$65536,18,FALSE))</f>
      </c>
      <c r="K30" s="706">
        <f>IF($B30="","",VLOOKUP($B30,'2-2_算定表④(旧・新制度)'!$B$8:$S$65536,14,FALSE))</f>
      </c>
      <c r="L30" s="421">
        <f>IF($B30="","",VLOOKUP($B30,'2-2_算定表④(旧・新制度)'!$B$8:$S$65536,14,FALSE))</f>
      </c>
      <c r="M30" s="678">
        <f>IF($B30="","",VLOOKUP($B30,'2-2_算定表④(旧・新制度)'!$B$8:$S$65536,14,FALSE))</f>
      </c>
      <c r="N30" s="672">
        <f>IF($B30="","",VLOOKUP($B30,'2-2_算定表④(旧・新制度)'!$B$8:$S$65536,16,FALSE))</f>
      </c>
      <c r="O30" s="421">
        <f>IF($B30="","",VLOOKUP($B30,'2-2_算定表④(旧・新制度)'!$B$8:$S$65536,16,FALSE))</f>
      </c>
      <c r="P30" s="421">
        <f>IF($B30="","",VLOOKUP($B30,'2-2_算定表④(旧・新制度)'!$B$8:$S$65536,16,FALSE))</f>
      </c>
      <c r="Q30" s="421">
        <f>IF($B30="","",VLOOKUP($B30,'2-2_算定表④(旧・新制度)'!$B$8:$S$65536,16,FALSE))</f>
      </c>
      <c r="R30" s="421">
        <f>IF($B30="","",VLOOKUP($B30,'2-2_算定表④(旧・新制度)'!$B$8:$S$65536,16,FALSE))</f>
      </c>
      <c r="S30" s="421">
        <f>IF($B30="","",VLOOKUP($B30,'2-2_算定表④(旧・新制度)'!$B$8:$S$65536,16,FALSE))</f>
      </c>
      <c r="T30" s="421">
        <f>IF($B30="","",VLOOKUP($B30,'2-2_算定表④(旧・新制度)'!$B$8:$S$65536,16,FALSE))</f>
      </c>
      <c r="U30" s="421">
        <f>IF($B30="","",VLOOKUP($B30,'2-2_算定表④(旧・新制度)'!$B$8:$S$65536,16,FALSE))</f>
      </c>
      <c r="V30" s="673">
        <f>IF($B30="","",VLOOKUP($B30,'2-2_算定表④(旧・新制度)'!$B$8:$S$65536,16,FALSE))</f>
      </c>
      <c r="W30" s="419">
        <f t="shared" si="1"/>
      </c>
      <c r="X30" s="423">
        <f t="shared" si="2"/>
      </c>
      <c r="Y30" s="422">
        <f t="shared" si="3"/>
      </c>
      <c r="Z30" s="424">
        <f t="shared" si="4"/>
      </c>
      <c r="AA30" s="431">
        <f t="shared" si="5"/>
      </c>
      <c r="AB30" s="419">
        <f t="shared" si="6"/>
      </c>
      <c r="AC30" s="418">
        <f t="shared" si="7"/>
      </c>
      <c r="AD30" s="419">
        <f t="shared" si="8"/>
      </c>
      <c r="AE30" s="418">
        <f t="shared" si="9"/>
      </c>
      <c r="AF30" s="419">
        <f t="shared" si="10"/>
      </c>
      <c r="AG30" s="404">
        <f>IF(B30="","",ROUNDUP((G30/VLOOKUP($B30,'2-2_算定表④(旧・新制度)'!$B$8:$AH$44,9,FALSE)*W30)+(I30/VLOOKUP($B30,'2-2_算定表④(旧・新制度)'!$B$8:$AH$44,9,FALSE)*X30)+(G30/VLOOKUP($B30,'2-2_算定表④(旧・新制度)'!$B$8:$AH$44,9,FALSE)*Y30)+(I30/VLOOKUP($B30,'2-2_算定表④(旧・新制度)'!$B$8:$AH$44,9,FALSE)*Z30)+(G30/VLOOKUP($B30,'2-2_算定表④(旧・新制度)'!$B$8:$AH$44,9,FALSE)*AA30)+(I30/VLOOKUP($B30,'2-2_算定表④(旧・新制度)'!$B$8:$AH$44,9,FALSE)*AB30)+(G30/VLOOKUP($B30,'2-2_算定表④(旧・新制度)'!$B$8:$AH$44,9,FALSE)*AC30)+(I30/VLOOKUP($B30,'2-2_算定表④(旧・新制度)'!$B$8:$AH$44,9,FALSE)*AD30),0))</f>
      </c>
      <c r="AH30" s="403">
        <f t="shared" si="12"/>
      </c>
      <c r="AI30" s="1079">
        <f>IF(B30="","",VLOOKUP($B30,'2-2_算定表④(旧・新制度)'!$B$8:$AF$65536,31,FALSE))</f>
      </c>
      <c r="AJ30" s="1080" t="s">
        <v>182</v>
      </c>
      <c r="AK30" s="1081" t="s">
        <v>182</v>
      </c>
      <c r="AM30" s="61">
        <f>IF(A30&gt;0,ASC(C30&amp;H30),"")</f>
      </c>
      <c r="AN30" s="61">
        <f t="shared" si="11"/>
      </c>
    </row>
    <row r="31" spans="1:40" s="53" customFormat="1" ht="18.75" customHeight="1">
      <c r="A31" s="27">
        <f t="shared" si="0"/>
      </c>
      <c r="B31" s="577"/>
      <c r="C31" s="716">
        <f>IF(B31="","",VLOOKUP($B31,'2-2_算定表④(旧・新制度)'!$B$8:$S$65536,2,FALSE))</f>
      </c>
      <c r="D31" s="713">
        <f>IF(B31="","",VLOOKUP($B31,'2-2_算定表④(旧・新制度)'!$B$8:$S$65536,3,FALSE))</f>
      </c>
      <c r="E31" s="565">
        <f>IF(B31="","",VLOOKUP($B31,'2-2_算定表④(旧・新制度)'!$B$8:$S$65536,6,FALSE))</f>
      </c>
      <c r="F31" s="709">
        <f>IF(B31="","",VLOOKUP($B31,'2-2_算定表④(旧・新制度)'!$B$8:$S$65536,14,FALSE))</f>
      </c>
      <c r="G31" s="399">
        <f>IF(B31="","",VLOOKUP($B31,'2-2_算定表④(旧・新制度)'!$B$8:$S$65536,15,FALSE))</f>
      </c>
      <c r="H31" s="709">
        <f>IF(B31="","",VLOOKUP($B31,'2-2_算定表④(旧・新制度)'!$B$8:$S$65536,16,FALSE))</f>
      </c>
      <c r="I31" s="399">
        <f>IF(B31="","",VLOOKUP($B31,'2-2_算定表④(旧・新制度)'!$B$8:$S$65536,17,FALSE))</f>
      </c>
      <c r="J31" s="700">
        <f>IF(B31="","",VLOOKUP($B31,'2-2_算定表④(旧・新制度)'!$B$8:$S$65536,18,FALSE))</f>
      </c>
      <c r="K31" s="706">
        <f>IF($B31="","",VLOOKUP($B31,'2-2_算定表④(旧・新制度)'!$B$8:$S$65536,14,FALSE))</f>
      </c>
      <c r="L31" s="421">
        <f>IF($B31="","",VLOOKUP($B31,'2-2_算定表④(旧・新制度)'!$B$8:$S$65536,14,FALSE))</f>
      </c>
      <c r="M31" s="678">
        <f>IF($B31="","",VLOOKUP($B31,'2-2_算定表④(旧・新制度)'!$B$8:$S$65536,14,FALSE))</f>
      </c>
      <c r="N31" s="672">
        <f>IF($B31="","",VLOOKUP($B31,'2-2_算定表④(旧・新制度)'!$B$8:$S$65536,16,FALSE))</f>
      </c>
      <c r="O31" s="421">
        <f>IF($B31="","",VLOOKUP($B31,'2-2_算定表④(旧・新制度)'!$B$8:$S$65536,16,FALSE))</f>
      </c>
      <c r="P31" s="421">
        <f>IF($B31="","",VLOOKUP($B31,'2-2_算定表④(旧・新制度)'!$B$8:$S$65536,16,FALSE))</f>
      </c>
      <c r="Q31" s="421">
        <f>IF($B31="","",VLOOKUP($B31,'2-2_算定表④(旧・新制度)'!$B$8:$S$65536,16,FALSE))</f>
      </c>
      <c r="R31" s="421">
        <f>IF($B31="","",VLOOKUP($B31,'2-2_算定表④(旧・新制度)'!$B$8:$S$65536,16,FALSE))</f>
      </c>
      <c r="S31" s="421">
        <f>IF($B31="","",VLOOKUP($B31,'2-2_算定表④(旧・新制度)'!$B$8:$S$65536,16,FALSE))</f>
      </c>
      <c r="T31" s="421">
        <f>IF($B31="","",VLOOKUP($B31,'2-2_算定表④(旧・新制度)'!$B$8:$S$65536,16,FALSE))</f>
      </c>
      <c r="U31" s="421">
        <f>IF($B31="","",VLOOKUP($B31,'2-2_算定表④(旧・新制度)'!$B$8:$S$65536,16,FALSE))</f>
      </c>
      <c r="V31" s="673">
        <f>IF($B31="","",VLOOKUP($B31,'2-2_算定表④(旧・新制度)'!$B$8:$S$65536,16,FALSE))</f>
      </c>
      <c r="W31" s="419">
        <f t="shared" si="1"/>
      </c>
      <c r="X31" s="423">
        <f t="shared" si="2"/>
      </c>
      <c r="Y31" s="422">
        <f t="shared" si="3"/>
      </c>
      <c r="Z31" s="424">
        <f t="shared" si="4"/>
      </c>
      <c r="AA31" s="431">
        <f t="shared" si="5"/>
      </c>
      <c r="AB31" s="419">
        <f t="shared" si="6"/>
      </c>
      <c r="AC31" s="418">
        <f t="shared" si="7"/>
      </c>
      <c r="AD31" s="419">
        <f t="shared" si="8"/>
      </c>
      <c r="AE31" s="418">
        <f t="shared" si="9"/>
      </c>
      <c r="AF31" s="419">
        <f t="shared" si="10"/>
      </c>
      <c r="AG31" s="404">
        <f>IF(B31="","",ROUNDUP((G31/VLOOKUP($B31,'2-2_算定表④(旧・新制度)'!$B$8:$AH$44,9,FALSE)*W31)+(I31/VLOOKUP($B31,'2-2_算定表④(旧・新制度)'!$B$8:$AH$44,9,FALSE)*X31)+(G31/VLOOKUP($B31,'2-2_算定表④(旧・新制度)'!$B$8:$AH$44,9,FALSE)*Y31)+(I31/VLOOKUP($B31,'2-2_算定表④(旧・新制度)'!$B$8:$AH$44,9,FALSE)*Z31)+(G31/VLOOKUP($B31,'2-2_算定表④(旧・新制度)'!$B$8:$AH$44,9,FALSE)*AA31)+(I31/VLOOKUP($B31,'2-2_算定表④(旧・新制度)'!$B$8:$AH$44,9,FALSE)*AB31)+(G31/VLOOKUP($B31,'2-2_算定表④(旧・新制度)'!$B$8:$AH$44,9,FALSE)*AC31)+(I31/VLOOKUP($B31,'2-2_算定表④(旧・新制度)'!$B$8:$AH$44,9,FALSE)*AD31),0))</f>
      </c>
      <c r="AH31" s="403">
        <f t="shared" si="12"/>
      </c>
      <c r="AI31" s="1079">
        <f>IF(B31="","",VLOOKUP($B31,'2-2_算定表④(旧・新制度)'!$B$8:$AF$65536,31,FALSE))</f>
      </c>
      <c r="AJ31" s="1080" t="s">
        <v>182</v>
      </c>
      <c r="AK31" s="1081" t="s">
        <v>182</v>
      </c>
      <c r="AM31" s="61">
        <f>IF(A31&gt;0,ASC(C31&amp;H31),"")</f>
      </c>
      <c r="AN31" s="61">
        <f t="shared" si="11"/>
      </c>
    </row>
    <row r="32" spans="1:40" s="53" customFormat="1" ht="18.75" customHeight="1">
      <c r="A32" s="27">
        <f t="shared" si="0"/>
      </c>
      <c r="B32" s="577"/>
      <c r="C32" s="716">
        <f>IF(B32="","",VLOOKUP($B32,'2-2_算定表④(旧・新制度)'!$B$8:$S$65536,2,FALSE))</f>
      </c>
      <c r="D32" s="713">
        <f>IF(B32="","",VLOOKUP($B32,'2-2_算定表④(旧・新制度)'!$B$8:$S$65536,3,FALSE))</f>
      </c>
      <c r="E32" s="565">
        <f>IF(B32="","",VLOOKUP($B32,'2-2_算定表④(旧・新制度)'!$B$8:$S$65536,6,FALSE))</f>
      </c>
      <c r="F32" s="709">
        <f>IF(B32="","",VLOOKUP($B32,'2-2_算定表④(旧・新制度)'!$B$8:$S$65536,14,FALSE))</f>
      </c>
      <c r="G32" s="399">
        <f>IF(B32="","",VLOOKUP($B32,'2-2_算定表④(旧・新制度)'!$B$8:$S$65536,15,FALSE))</f>
      </c>
      <c r="H32" s="709">
        <f>IF(B32="","",VLOOKUP($B32,'2-2_算定表④(旧・新制度)'!$B$8:$S$65536,16,FALSE))</f>
      </c>
      <c r="I32" s="399">
        <f>IF(B32="","",VLOOKUP($B32,'2-2_算定表④(旧・新制度)'!$B$8:$S$65536,17,FALSE))</f>
      </c>
      <c r="J32" s="700">
        <f>IF(B32="","",VLOOKUP($B32,'2-2_算定表④(旧・新制度)'!$B$8:$S$65536,18,FALSE))</f>
      </c>
      <c r="K32" s="706">
        <f>IF($B32="","",VLOOKUP($B32,'2-2_算定表④(旧・新制度)'!$B$8:$S$65536,14,FALSE))</f>
      </c>
      <c r="L32" s="421">
        <f>IF($B32="","",VLOOKUP($B32,'2-2_算定表④(旧・新制度)'!$B$8:$S$65536,14,FALSE))</f>
      </c>
      <c r="M32" s="678">
        <f>IF($B32="","",VLOOKUP($B32,'2-2_算定表④(旧・新制度)'!$B$8:$S$65536,14,FALSE))</f>
      </c>
      <c r="N32" s="672">
        <f>IF($B32="","",VLOOKUP($B32,'2-2_算定表④(旧・新制度)'!$B$8:$S$65536,16,FALSE))</f>
      </c>
      <c r="O32" s="421">
        <f>IF($B32="","",VLOOKUP($B32,'2-2_算定表④(旧・新制度)'!$B$8:$S$65536,16,FALSE))</f>
      </c>
      <c r="P32" s="421">
        <f>IF($B32="","",VLOOKUP($B32,'2-2_算定表④(旧・新制度)'!$B$8:$S$65536,16,FALSE))</f>
      </c>
      <c r="Q32" s="421">
        <f>IF($B32="","",VLOOKUP($B32,'2-2_算定表④(旧・新制度)'!$B$8:$S$65536,16,FALSE))</f>
      </c>
      <c r="R32" s="421">
        <f>IF($B32="","",VLOOKUP($B32,'2-2_算定表④(旧・新制度)'!$B$8:$S$65536,16,FALSE))</f>
      </c>
      <c r="S32" s="421">
        <f>IF($B32="","",VLOOKUP($B32,'2-2_算定表④(旧・新制度)'!$B$8:$S$65536,16,FALSE))</f>
      </c>
      <c r="T32" s="421">
        <f>IF($B32="","",VLOOKUP($B32,'2-2_算定表④(旧・新制度)'!$B$8:$S$65536,16,FALSE))</f>
      </c>
      <c r="U32" s="421">
        <f>IF($B32="","",VLOOKUP($B32,'2-2_算定表④(旧・新制度)'!$B$8:$S$65536,16,FALSE))</f>
      </c>
      <c r="V32" s="673">
        <f>IF($B32="","",VLOOKUP($B32,'2-2_算定表④(旧・新制度)'!$B$8:$S$65536,16,FALSE))</f>
      </c>
      <c r="W32" s="419">
        <f t="shared" si="1"/>
      </c>
      <c r="X32" s="423">
        <f t="shared" si="2"/>
      </c>
      <c r="Y32" s="422">
        <f t="shared" si="3"/>
      </c>
      <c r="Z32" s="424">
        <f t="shared" si="4"/>
      </c>
      <c r="AA32" s="431">
        <f t="shared" si="5"/>
      </c>
      <c r="AB32" s="419">
        <f t="shared" si="6"/>
      </c>
      <c r="AC32" s="418">
        <f t="shared" si="7"/>
      </c>
      <c r="AD32" s="419">
        <f t="shared" si="8"/>
      </c>
      <c r="AE32" s="418">
        <f t="shared" si="9"/>
      </c>
      <c r="AF32" s="419">
        <f t="shared" si="10"/>
      </c>
      <c r="AG32" s="404">
        <f>IF(B32="","",ROUNDUP((G32/VLOOKUP($B32,'2-2_算定表④(旧・新制度)'!$B$8:$AH$44,9,FALSE)*W32)+(I32/VLOOKUP($B32,'2-2_算定表④(旧・新制度)'!$B$8:$AH$44,9,FALSE)*X32)+(G32/VLOOKUP($B32,'2-2_算定表④(旧・新制度)'!$B$8:$AH$44,9,FALSE)*Y32)+(I32/VLOOKUP($B32,'2-2_算定表④(旧・新制度)'!$B$8:$AH$44,9,FALSE)*Z32)+(G32/VLOOKUP($B32,'2-2_算定表④(旧・新制度)'!$B$8:$AH$44,9,FALSE)*AA32)+(I32/VLOOKUP($B32,'2-2_算定表④(旧・新制度)'!$B$8:$AH$44,9,FALSE)*AB32)+(G32/VLOOKUP($B32,'2-2_算定表④(旧・新制度)'!$B$8:$AH$44,9,FALSE)*AC32)+(I32/VLOOKUP($B32,'2-2_算定表④(旧・新制度)'!$B$8:$AH$44,9,FALSE)*AD32),0))</f>
      </c>
      <c r="AH32" s="403">
        <f t="shared" si="12"/>
      </c>
      <c r="AI32" s="1079">
        <f>IF(B32="","",VLOOKUP($B32,'2-2_算定表④(旧・新制度)'!$B$8:$AF$65536,31,FALSE))</f>
      </c>
      <c r="AJ32" s="1080" t="s">
        <v>182</v>
      </c>
      <c r="AK32" s="1081" t="s">
        <v>182</v>
      </c>
      <c r="AM32" s="61">
        <f>IF(A32&gt;0,ASC(C32&amp;H32),"")</f>
      </c>
      <c r="AN32" s="61">
        <f t="shared" si="11"/>
      </c>
    </row>
    <row r="33" spans="1:40" s="53" customFormat="1" ht="18.75" customHeight="1">
      <c r="A33" s="27">
        <f t="shared" si="0"/>
      </c>
      <c r="B33" s="577"/>
      <c r="C33" s="716">
        <f>IF(B33="","",VLOOKUP($B33,'2-2_算定表④(旧・新制度)'!$B$8:$S$65536,2,FALSE))</f>
      </c>
      <c r="D33" s="713">
        <f>IF(B33="","",VLOOKUP($B33,'2-2_算定表④(旧・新制度)'!$B$8:$S$65536,3,FALSE))</f>
      </c>
      <c r="E33" s="565">
        <f>IF(B33="","",VLOOKUP($B33,'2-2_算定表④(旧・新制度)'!$B$8:$S$65536,6,FALSE))</f>
      </c>
      <c r="F33" s="709">
        <f>IF(B33="","",VLOOKUP($B33,'2-2_算定表④(旧・新制度)'!$B$8:$S$65536,14,FALSE))</f>
      </c>
      <c r="G33" s="399">
        <f>IF(B33="","",VLOOKUP($B33,'2-2_算定表④(旧・新制度)'!$B$8:$S$65536,15,FALSE))</f>
      </c>
      <c r="H33" s="709">
        <f>IF(B33="","",VLOOKUP($B33,'2-2_算定表④(旧・新制度)'!$B$8:$S$65536,16,FALSE))</f>
      </c>
      <c r="I33" s="399">
        <f>IF(B33="","",VLOOKUP($B33,'2-2_算定表④(旧・新制度)'!$B$8:$S$65536,17,FALSE))</f>
      </c>
      <c r="J33" s="700">
        <f>IF(B33="","",VLOOKUP($B33,'2-2_算定表④(旧・新制度)'!$B$8:$S$65536,18,FALSE))</f>
      </c>
      <c r="K33" s="706">
        <f>IF($B33="","",VLOOKUP($B33,'2-2_算定表④(旧・新制度)'!$B$8:$S$65536,14,FALSE))</f>
      </c>
      <c r="L33" s="421">
        <f>IF($B33="","",VLOOKUP($B33,'2-2_算定表④(旧・新制度)'!$B$8:$S$65536,14,FALSE))</f>
      </c>
      <c r="M33" s="678">
        <f>IF($B33="","",VLOOKUP($B33,'2-2_算定表④(旧・新制度)'!$B$8:$S$65536,14,FALSE))</f>
      </c>
      <c r="N33" s="672">
        <f>IF($B33="","",VLOOKUP($B33,'2-2_算定表④(旧・新制度)'!$B$8:$S$65536,16,FALSE))</f>
      </c>
      <c r="O33" s="421">
        <f>IF($B33="","",VLOOKUP($B33,'2-2_算定表④(旧・新制度)'!$B$8:$S$65536,16,FALSE))</f>
      </c>
      <c r="P33" s="421">
        <f>IF($B33="","",VLOOKUP($B33,'2-2_算定表④(旧・新制度)'!$B$8:$S$65536,16,FALSE))</f>
      </c>
      <c r="Q33" s="421">
        <f>IF($B33="","",VLOOKUP($B33,'2-2_算定表④(旧・新制度)'!$B$8:$S$65536,16,FALSE))</f>
      </c>
      <c r="R33" s="421">
        <f>IF($B33="","",VLOOKUP($B33,'2-2_算定表④(旧・新制度)'!$B$8:$S$65536,16,FALSE))</f>
      </c>
      <c r="S33" s="421">
        <f>IF($B33="","",VLOOKUP($B33,'2-2_算定表④(旧・新制度)'!$B$8:$S$65536,16,FALSE))</f>
      </c>
      <c r="T33" s="421">
        <f>IF($B33="","",VLOOKUP($B33,'2-2_算定表④(旧・新制度)'!$B$8:$S$65536,16,FALSE))</f>
      </c>
      <c r="U33" s="421">
        <f>IF($B33="","",VLOOKUP($B33,'2-2_算定表④(旧・新制度)'!$B$8:$S$65536,16,FALSE))</f>
      </c>
      <c r="V33" s="673">
        <f>IF($B33="","",VLOOKUP($B33,'2-2_算定表④(旧・新制度)'!$B$8:$S$65536,16,FALSE))</f>
      </c>
      <c r="W33" s="419">
        <f t="shared" si="1"/>
      </c>
      <c r="X33" s="423">
        <f t="shared" si="2"/>
      </c>
      <c r="Y33" s="422">
        <f t="shared" si="3"/>
      </c>
      <c r="Z33" s="424">
        <f t="shared" si="4"/>
      </c>
      <c r="AA33" s="431">
        <f t="shared" si="5"/>
      </c>
      <c r="AB33" s="419">
        <f t="shared" si="6"/>
      </c>
      <c r="AC33" s="418">
        <f t="shared" si="7"/>
      </c>
      <c r="AD33" s="419">
        <f t="shared" si="8"/>
      </c>
      <c r="AE33" s="418">
        <f t="shared" si="9"/>
      </c>
      <c r="AF33" s="419">
        <f t="shared" si="10"/>
      </c>
      <c r="AG33" s="404">
        <f>IF(B33="","",ROUNDUP((G33/VLOOKUP($B33,'2-2_算定表④(旧・新制度)'!$B$8:$AH$44,9,FALSE)*W33)+(I33/VLOOKUP($B33,'2-2_算定表④(旧・新制度)'!$B$8:$AH$44,9,FALSE)*X33)+(G33/VLOOKUP($B33,'2-2_算定表④(旧・新制度)'!$B$8:$AH$44,9,FALSE)*Y33)+(I33/VLOOKUP($B33,'2-2_算定表④(旧・新制度)'!$B$8:$AH$44,9,FALSE)*Z33)+(G33/VLOOKUP($B33,'2-2_算定表④(旧・新制度)'!$B$8:$AH$44,9,FALSE)*AA33)+(I33/VLOOKUP($B33,'2-2_算定表④(旧・新制度)'!$B$8:$AH$44,9,FALSE)*AB33)+(G33/VLOOKUP($B33,'2-2_算定表④(旧・新制度)'!$B$8:$AH$44,9,FALSE)*AC33)+(I33/VLOOKUP($B33,'2-2_算定表④(旧・新制度)'!$B$8:$AH$44,9,FALSE)*AD33),0))</f>
      </c>
      <c r="AH33" s="403">
        <f t="shared" si="12"/>
      </c>
      <c r="AI33" s="1079">
        <f>IF(B33="","",VLOOKUP($B33,'2-2_算定表④(旧・新制度)'!$B$8:$AF$65536,31,FALSE))</f>
      </c>
      <c r="AJ33" s="1080" t="s">
        <v>182</v>
      </c>
      <c r="AK33" s="1081" t="s">
        <v>182</v>
      </c>
      <c r="AM33" s="61">
        <f t="shared" si="13"/>
      </c>
      <c r="AN33" s="61">
        <f t="shared" si="11"/>
      </c>
    </row>
    <row r="34" spans="1:40" s="53" customFormat="1" ht="18.75" customHeight="1">
      <c r="A34" s="27">
        <f t="shared" si="0"/>
      </c>
      <c r="B34" s="577"/>
      <c r="C34" s="716">
        <f>IF(B34="","",VLOOKUP($B34,'2-2_算定表④(旧・新制度)'!$B$8:$S$65536,2,FALSE))</f>
      </c>
      <c r="D34" s="713">
        <f>IF(B34="","",VLOOKUP($B34,'2-2_算定表④(旧・新制度)'!$B$8:$S$65536,3,FALSE))</f>
      </c>
      <c r="E34" s="565">
        <f>IF(B34="","",VLOOKUP($B34,'2-2_算定表④(旧・新制度)'!$B$8:$S$65536,6,FALSE))</f>
      </c>
      <c r="F34" s="709">
        <f>IF(B34="","",VLOOKUP($B34,'2-2_算定表④(旧・新制度)'!$B$8:$S$65536,14,FALSE))</f>
      </c>
      <c r="G34" s="399">
        <f>IF(B34="","",VLOOKUP($B34,'2-2_算定表④(旧・新制度)'!$B$8:$S$65536,15,FALSE))</f>
      </c>
      <c r="H34" s="709">
        <f>IF(B34="","",VLOOKUP($B34,'2-2_算定表④(旧・新制度)'!$B$8:$S$65536,16,FALSE))</f>
      </c>
      <c r="I34" s="399">
        <f>IF(B34="","",VLOOKUP($B34,'2-2_算定表④(旧・新制度)'!$B$8:$S$65536,17,FALSE))</f>
      </c>
      <c r="J34" s="700">
        <f>IF(B34="","",VLOOKUP($B34,'2-2_算定表④(旧・新制度)'!$B$8:$S$65536,18,FALSE))</f>
      </c>
      <c r="K34" s="706">
        <f>IF($B34="","",VLOOKUP($B34,'2-2_算定表④(旧・新制度)'!$B$8:$S$65536,14,FALSE))</f>
      </c>
      <c r="L34" s="421">
        <f>IF($B34="","",VLOOKUP($B34,'2-2_算定表④(旧・新制度)'!$B$8:$S$65536,14,FALSE))</f>
      </c>
      <c r="M34" s="678">
        <f>IF($B34="","",VLOOKUP($B34,'2-2_算定表④(旧・新制度)'!$B$8:$S$65536,14,FALSE))</f>
      </c>
      <c r="N34" s="672">
        <f>IF($B34="","",VLOOKUP($B34,'2-2_算定表④(旧・新制度)'!$B$8:$S$65536,16,FALSE))</f>
      </c>
      <c r="O34" s="421">
        <f>IF($B34="","",VLOOKUP($B34,'2-2_算定表④(旧・新制度)'!$B$8:$S$65536,16,FALSE))</f>
      </c>
      <c r="P34" s="421">
        <f>IF($B34="","",VLOOKUP($B34,'2-2_算定表④(旧・新制度)'!$B$8:$S$65536,16,FALSE))</f>
      </c>
      <c r="Q34" s="421">
        <f>IF($B34="","",VLOOKUP($B34,'2-2_算定表④(旧・新制度)'!$B$8:$S$65536,16,FALSE))</f>
      </c>
      <c r="R34" s="421">
        <f>IF($B34="","",VLOOKUP($B34,'2-2_算定表④(旧・新制度)'!$B$8:$S$65536,16,FALSE))</f>
      </c>
      <c r="S34" s="421">
        <f>IF($B34="","",VLOOKUP($B34,'2-2_算定表④(旧・新制度)'!$B$8:$S$65536,16,FALSE))</f>
      </c>
      <c r="T34" s="421">
        <f>IF($B34="","",VLOOKUP($B34,'2-2_算定表④(旧・新制度)'!$B$8:$S$65536,16,FALSE))</f>
      </c>
      <c r="U34" s="421">
        <f>IF($B34="","",VLOOKUP($B34,'2-2_算定表④(旧・新制度)'!$B$8:$S$65536,16,FALSE))</f>
      </c>
      <c r="V34" s="673">
        <f>IF($B34="","",VLOOKUP($B34,'2-2_算定表④(旧・新制度)'!$B$8:$S$65536,16,FALSE))</f>
      </c>
      <c r="W34" s="419">
        <f t="shared" si="1"/>
      </c>
      <c r="X34" s="423">
        <f t="shared" si="2"/>
      </c>
      <c r="Y34" s="422">
        <f t="shared" si="3"/>
      </c>
      <c r="Z34" s="424">
        <f t="shared" si="4"/>
      </c>
      <c r="AA34" s="431">
        <f t="shared" si="5"/>
      </c>
      <c r="AB34" s="419">
        <f t="shared" si="6"/>
      </c>
      <c r="AC34" s="418">
        <f t="shared" si="7"/>
      </c>
      <c r="AD34" s="419">
        <f t="shared" si="8"/>
      </c>
      <c r="AE34" s="418">
        <f t="shared" si="9"/>
      </c>
      <c r="AF34" s="419">
        <f t="shared" si="10"/>
      </c>
      <c r="AG34" s="404">
        <f>IF(B34="","",ROUNDUP((G34/VLOOKUP($B34,'2-2_算定表④(旧・新制度)'!$B$8:$AH$44,9,FALSE)*W34)+(I34/VLOOKUP($B34,'2-2_算定表④(旧・新制度)'!$B$8:$AH$44,9,FALSE)*X34)+(G34/VLOOKUP($B34,'2-2_算定表④(旧・新制度)'!$B$8:$AH$44,9,FALSE)*Y34)+(I34/VLOOKUP($B34,'2-2_算定表④(旧・新制度)'!$B$8:$AH$44,9,FALSE)*Z34)+(G34/VLOOKUP($B34,'2-2_算定表④(旧・新制度)'!$B$8:$AH$44,9,FALSE)*AA34)+(I34/VLOOKUP($B34,'2-2_算定表④(旧・新制度)'!$B$8:$AH$44,9,FALSE)*AB34)+(G34/VLOOKUP($B34,'2-2_算定表④(旧・新制度)'!$B$8:$AH$44,9,FALSE)*AC34)+(I34/VLOOKUP($B34,'2-2_算定表④(旧・新制度)'!$B$8:$AH$44,9,FALSE)*AD34),0))</f>
      </c>
      <c r="AH34" s="403">
        <f t="shared" si="12"/>
      </c>
      <c r="AI34" s="1079">
        <f>IF(B34="","",VLOOKUP($B34,'2-2_算定表④(旧・新制度)'!$B$8:$AF$65536,31,FALSE))</f>
      </c>
      <c r="AJ34" s="1080" t="s">
        <v>182</v>
      </c>
      <c r="AK34" s="1081" t="s">
        <v>182</v>
      </c>
      <c r="AM34" s="61">
        <f t="shared" si="13"/>
      </c>
      <c r="AN34" s="61">
        <f t="shared" si="11"/>
      </c>
    </row>
    <row r="35" spans="1:40" s="53" customFormat="1" ht="18.75" customHeight="1">
      <c r="A35" s="27">
        <f t="shared" si="0"/>
      </c>
      <c r="B35" s="577"/>
      <c r="C35" s="716">
        <f>IF(B35="","",VLOOKUP($B35,'2-2_算定表④(旧・新制度)'!$B$8:$S$65536,2,FALSE))</f>
      </c>
      <c r="D35" s="713">
        <f>IF(B35="","",VLOOKUP($B35,'2-2_算定表④(旧・新制度)'!$B$8:$S$65536,3,FALSE))</f>
      </c>
      <c r="E35" s="565">
        <f>IF(B35="","",VLOOKUP($B35,'2-2_算定表④(旧・新制度)'!$B$8:$S$65536,6,FALSE))</f>
      </c>
      <c r="F35" s="709">
        <f>IF(B35="","",VLOOKUP($B35,'2-2_算定表④(旧・新制度)'!$B$8:$S$65536,14,FALSE))</f>
      </c>
      <c r="G35" s="399">
        <f>IF(B35="","",VLOOKUP($B35,'2-2_算定表④(旧・新制度)'!$B$8:$S$65536,15,FALSE))</f>
      </c>
      <c r="H35" s="709">
        <f>IF(B35="","",VLOOKUP($B35,'2-2_算定表④(旧・新制度)'!$B$8:$S$65536,16,FALSE))</f>
      </c>
      <c r="I35" s="399">
        <f>IF(B35="","",VLOOKUP($B35,'2-2_算定表④(旧・新制度)'!$B$8:$S$65536,17,FALSE))</f>
      </c>
      <c r="J35" s="700">
        <f>IF(B35="","",VLOOKUP($B35,'2-2_算定表④(旧・新制度)'!$B$8:$S$65536,18,FALSE))</f>
      </c>
      <c r="K35" s="706">
        <f>IF($B35="","",VLOOKUP($B35,'2-2_算定表④(旧・新制度)'!$B$8:$S$65536,14,FALSE))</f>
      </c>
      <c r="L35" s="421">
        <f>IF($B35="","",VLOOKUP($B35,'2-2_算定表④(旧・新制度)'!$B$8:$S$65536,14,FALSE))</f>
      </c>
      <c r="M35" s="678">
        <f>IF($B35="","",VLOOKUP($B35,'2-2_算定表④(旧・新制度)'!$B$8:$S$65536,14,FALSE))</f>
      </c>
      <c r="N35" s="672">
        <f>IF($B35="","",VLOOKUP($B35,'2-2_算定表④(旧・新制度)'!$B$8:$S$65536,16,FALSE))</f>
      </c>
      <c r="O35" s="421">
        <f>IF($B35="","",VLOOKUP($B35,'2-2_算定表④(旧・新制度)'!$B$8:$S$65536,16,FALSE))</f>
      </c>
      <c r="P35" s="421">
        <f>IF($B35="","",VLOOKUP($B35,'2-2_算定表④(旧・新制度)'!$B$8:$S$65536,16,FALSE))</f>
      </c>
      <c r="Q35" s="421">
        <f>IF($B35="","",VLOOKUP($B35,'2-2_算定表④(旧・新制度)'!$B$8:$S$65536,16,FALSE))</f>
      </c>
      <c r="R35" s="421">
        <f>IF($B35="","",VLOOKUP($B35,'2-2_算定表④(旧・新制度)'!$B$8:$S$65536,16,FALSE))</f>
      </c>
      <c r="S35" s="421">
        <f>IF($B35="","",VLOOKUP($B35,'2-2_算定表④(旧・新制度)'!$B$8:$S$65536,16,FALSE))</f>
      </c>
      <c r="T35" s="421">
        <f>IF($B35="","",VLOOKUP($B35,'2-2_算定表④(旧・新制度)'!$B$8:$S$65536,16,FALSE))</f>
      </c>
      <c r="U35" s="421">
        <f>IF($B35="","",VLOOKUP($B35,'2-2_算定表④(旧・新制度)'!$B$8:$S$65536,16,FALSE))</f>
      </c>
      <c r="V35" s="673">
        <f>IF($B35="","",VLOOKUP($B35,'2-2_算定表④(旧・新制度)'!$B$8:$S$65536,16,FALSE))</f>
      </c>
      <c r="W35" s="419">
        <f t="shared" si="1"/>
      </c>
      <c r="X35" s="423">
        <f t="shared" si="2"/>
      </c>
      <c r="Y35" s="422">
        <f t="shared" si="3"/>
      </c>
      <c r="Z35" s="424">
        <f t="shared" si="4"/>
      </c>
      <c r="AA35" s="431">
        <f t="shared" si="5"/>
      </c>
      <c r="AB35" s="419">
        <f t="shared" si="6"/>
      </c>
      <c r="AC35" s="418">
        <f t="shared" si="7"/>
      </c>
      <c r="AD35" s="419">
        <f t="shared" si="8"/>
      </c>
      <c r="AE35" s="418">
        <f t="shared" si="9"/>
      </c>
      <c r="AF35" s="419">
        <f t="shared" si="10"/>
      </c>
      <c r="AG35" s="404">
        <f>IF(B35="","",ROUNDUP((G35/VLOOKUP($B35,'2-2_算定表④(旧・新制度)'!$B$8:$AH$44,9,FALSE)*W35)+(I35/VLOOKUP($B35,'2-2_算定表④(旧・新制度)'!$B$8:$AH$44,9,FALSE)*X35)+(G35/VLOOKUP($B35,'2-2_算定表④(旧・新制度)'!$B$8:$AH$44,9,FALSE)*Y35)+(I35/VLOOKUP($B35,'2-2_算定表④(旧・新制度)'!$B$8:$AH$44,9,FALSE)*Z35)+(G35/VLOOKUP($B35,'2-2_算定表④(旧・新制度)'!$B$8:$AH$44,9,FALSE)*AA35)+(I35/VLOOKUP($B35,'2-2_算定表④(旧・新制度)'!$B$8:$AH$44,9,FALSE)*AB35)+(G35/VLOOKUP($B35,'2-2_算定表④(旧・新制度)'!$B$8:$AH$44,9,FALSE)*AC35)+(I35/VLOOKUP($B35,'2-2_算定表④(旧・新制度)'!$B$8:$AH$44,9,FALSE)*AD35),0))</f>
      </c>
      <c r="AH35" s="403">
        <f t="shared" si="12"/>
      </c>
      <c r="AI35" s="1079">
        <f>IF(B35="","",VLOOKUP($B35,'2-2_算定表④(旧・新制度)'!$B$8:$AF$65536,31,FALSE))</f>
      </c>
      <c r="AJ35" s="1080" t="s">
        <v>182</v>
      </c>
      <c r="AK35" s="1081" t="s">
        <v>182</v>
      </c>
      <c r="AM35" s="61">
        <f t="shared" si="13"/>
      </c>
      <c r="AN35" s="61">
        <f t="shared" si="11"/>
      </c>
    </row>
    <row r="36" spans="1:40" s="53" customFormat="1" ht="18.75" customHeight="1">
      <c r="A36" s="27">
        <f t="shared" si="0"/>
      </c>
      <c r="B36" s="577"/>
      <c r="C36" s="716">
        <f>IF(B36="","",VLOOKUP($B36,'2-2_算定表④(旧・新制度)'!$B$8:$S$65536,2,FALSE))</f>
      </c>
      <c r="D36" s="713">
        <f>IF(B36="","",VLOOKUP($B36,'2-2_算定表④(旧・新制度)'!$B$8:$S$65536,3,FALSE))</f>
      </c>
      <c r="E36" s="565">
        <f>IF(B36="","",VLOOKUP($B36,'2-2_算定表④(旧・新制度)'!$B$8:$S$65536,6,FALSE))</f>
      </c>
      <c r="F36" s="709">
        <f>IF(B36="","",VLOOKUP($B36,'2-2_算定表④(旧・新制度)'!$B$8:$S$65536,14,FALSE))</f>
      </c>
      <c r="G36" s="399">
        <f>IF(B36="","",VLOOKUP($B36,'2-2_算定表④(旧・新制度)'!$B$8:$S$65536,15,FALSE))</f>
      </c>
      <c r="H36" s="709">
        <f>IF(B36="","",VLOOKUP($B36,'2-2_算定表④(旧・新制度)'!$B$8:$S$65536,16,FALSE))</f>
      </c>
      <c r="I36" s="399">
        <f>IF(B36="","",VLOOKUP($B36,'2-2_算定表④(旧・新制度)'!$B$8:$S$65536,17,FALSE))</f>
      </c>
      <c r="J36" s="700">
        <f>IF(B36="","",VLOOKUP($B36,'2-2_算定表④(旧・新制度)'!$B$8:$S$65536,18,FALSE))</f>
      </c>
      <c r="K36" s="706">
        <f>IF($B36="","",VLOOKUP($B36,'2-2_算定表④(旧・新制度)'!$B$8:$S$65536,14,FALSE))</f>
      </c>
      <c r="L36" s="421">
        <f>IF($B36="","",VLOOKUP($B36,'2-2_算定表④(旧・新制度)'!$B$8:$S$65536,14,FALSE))</f>
      </c>
      <c r="M36" s="678">
        <f>IF($B36="","",VLOOKUP($B36,'2-2_算定表④(旧・新制度)'!$B$8:$S$65536,14,FALSE))</f>
      </c>
      <c r="N36" s="672">
        <f>IF($B36="","",VLOOKUP($B36,'2-2_算定表④(旧・新制度)'!$B$8:$S$65536,16,FALSE))</f>
      </c>
      <c r="O36" s="421">
        <f>IF($B36="","",VLOOKUP($B36,'2-2_算定表④(旧・新制度)'!$B$8:$S$65536,16,FALSE))</f>
      </c>
      <c r="P36" s="421">
        <f>IF($B36="","",VLOOKUP($B36,'2-2_算定表④(旧・新制度)'!$B$8:$S$65536,16,FALSE))</f>
      </c>
      <c r="Q36" s="421">
        <f>IF($B36="","",VLOOKUP($B36,'2-2_算定表④(旧・新制度)'!$B$8:$S$65536,16,FALSE))</f>
      </c>
      <c r="R36" s="421">
        <f>IF($B36="","",VLOOKUP($B36,'2-2_算定表④(旧・新制度)'!$B$8:$S$65536,16,FALSE))</f>
      </c>
      <c r="S36" s="421">
        <f>IF($B36="","",VLOOKUP($B36,'2-2_算定表④(旧・新制度)'!$B$8:$S$65536,16,FALSE))</f>
      </c>
      <c r="T36" s="421">
        <f>IF($B36="","",VLOOKUP($B36,'2-2_算定表④(旧・新制度)'!$B$8:$S$65536,16,FALSE))</f>
      </c>
      <c r="U36" s="421">
        <f>IF($B36="","",VLOOKUP($B36,'2-2_算定表④(旧・新制度)'!$B$8:$S$65536,16,FALSE))</f>
      </c>
      <c r="V36" s="673">
        <f>IF($B36="","",VLOOKUP($B36,'2-2_算定表④(旧・新制度)'!$B$8:$S$65536,16,FALSE))</f>
      </c>
      <c r="W36" s="419">
        <f t="shared" si="1"/>
      </c>
      <c r="X36" s="423">
        <f t="shared" si="2"/>
      </c>
      <c r="Y36" s="422">
        <f t="shared" si="3"/>
      </c>
      <c r="Z36" s="424">
        <f t="shared" si="4"/>
      </c>
      <c r="AA36" s="431">
        <f t="shared" si="5"/>
      </c>
      <c r="AB36" s="419">
        <f t="shared" si="6"/>
      </c>
      <c r="AC36" s="418">
        <f t="shared" si="7"/>
      </c>
      <c r="AD36" s="419">
        <f t="shared" si="8"/>
      </c>
      <c r="AE36" s="418">
        <f t="shared" si="9"/>
      </c>
      <c r="AF36" s="419">
        <f t="shared" si="10"/>
      </c>
      <c r="AG36" s="404">
        <f>IF(B36="","",ROUNDUP((G36/VLOOKUP($B36,'2-2_算定表④(旧・新制度)'!$B$8:$AH$44,9,FALSE)*W36)+(I36/VLOOKUP($B36,'2-2_算定表④(旧・新制度)'!$B$8:$AH$44,9,FALSE)*X36)+(G36/VLOOKUP($B36,'2-2_算定表④(旧・新制度)'!$B$8:$AH$44,9,FALSE)*Y36)+(I36/VLOOKUP($B36,'2-2_算定表④(旧・新制度)'!$B$8:$AH$44,9,FALSE)*Z36)+(G36/VLOOKUP($B36,'2-2_算定表④(旧・新制度)'!$B$8:$AH$44,9,FALSE)*AA36)+(I36/VLOOKUP($B36,'2-2_算定表④(旧・新制度)'!$B$8:$AH$44,9,FALSE)*AB36)+(G36/VLOOKUP($B36,'2-2_算定表④(旧・新制度)'!$B$8:$AH$44,9,FALSE)*AC36)+(I36/VLOOKUP($B36,'2-2_算定表④(旧・新制度)'!$B$8:$AH$44,9,FALSE)*AD36),0))</f>
      </c>
      <c r="AH36" s="403">
        <f t="shared" si="12"/>
      </c>
      <c r="AI36" s="1079">
        <f>IF(B36="","",VLOOKUP($B36,'2-2_算定表④(旧・新制度)'!$B$8:$AF$65536,31,FALSE))</f>
      </c>
      <c r="AJ36" s="1080" t="s">
        <v>182</v>
      </c>
      <c r="AK36" s="1081" t="s">
        <v>182</v>
      </c>
      <c r="AM36" s="61">
        <f t="shared" si="13"/>
      </c>
      <c r="AN36" s="61">
        <f t="shared" si="11"/>
      </c>
    </row>
    <row r="37" spans="1:40" s="53" customFormat="1" ht="18.75" customHeight="1">
      <c r="A37" s="27">
        <f t="shared" si="0"/>
      </c>
      <c r="B37" s="577"/>
      <c r="C37" s="716">
        <f>IF(B37="","",VLOOKUP($B37,'2-2_算定表④(旧・新制度)'!$B$8:$S$65536,2,FALSE))</f>
      </c>
      <c r="D37" s="713">
        <f>IF(B37="","",VLOOKUP($B37,'2-2_算定表④(旧・新制度)'!$B$8:$S$65536,3,FALSE))</f>
      </c>
      <c r="E37" s="565">
        <f>IF(B37="","",VLOOKUP($B37,'2-2_算定表④(旧・新制度)'!$B$8:$S$65536,6,FALSE))</f>
      </c>
      <c r="F37" s="709">
        <f>IF(B37="","",VLOOKUP($B37,'2-2_算定表④(旧・新制度)'!$B$8:$S$65536,14,FALSE))</f>
      </c>
      <c r="G37" s="399">
        <f>IF(B37="","",VLOOKUP($B37,'2-2_算定表④(旧・新制度)'!$B$8:$S$65536,15,FALSE))</f>
      </c>
      <c r="H37" s="709">
        <f>IF(B37="","",VLOOKUP($B37,'2-2_算定表④(旧・新制度)'!$B$8:$S$65536,16,FALSE))</f>
      </c>
      <c r="I37" s="399">
        <f>IF(B37="","",VLOOKUP($B37,'2-2_算定表④(旧・新制度)'!$B$8:$S$65536,17,FALSE))</f>
      </c>
      <c r="J37" s="700">
        <f>IF(B37="","",VLOOKUP($B37,'2-2_算定表④(旧・新制度)'!$B$8:$S$65536,18,FALSE))</f>
      </c>
      <c r="K37" s="706">
        <f>IF($B37="","",VLOOKUP($B37,'2-2_算定表④(旧・新制度)'!$B$8:$S$65536,14,FALSE))</f>
      </c>
      <c r="L37" s="421">
        <f>IF($B37="","",VLOOKUP($B37,'2-2_算定表④(旧・新制度)'!$B$8:$S$65536,14,FALSE))</f>
      </c>
      <c r="M37" s="678">
        <f>IF($B37="","",VLOOKUP($B37,'2-2_算定表④(旧・新制度)'!$B$8:$S$65536,14,FALSE))</f>
      </c>
      <c r="N37" s="672">
        <f>IF($B37="","",VLOOKUP($B37,'2-2_算定表④(旧・新制度)'!$B$8:$S$65536,16,FALSE))</f>
      </c>
      <c r="O37" s="421">
        <f>IF($B37="","",VLOOKUP($B37,'2-2_算定表④(旧・新制度)'!$B$8:$S$65536,16,FALSE))</f>
      </c>
      <c r="P37" s="421">
        <f>IF($B37="","",VLOOKUP($B37,'2-2_算定表④(旧・新制度)'!$B$8:$S$65536,16,FALSE))</f>
      </c>
      <c r="Q37" s="421">
        <f>IF($B37="","",VLOOKUP($B37,'2-2_算定表④(旧・新制度)'!$B$8:$S$65536,16,FALSE))</f>
      </c>
      <c r="R37" s="421">
        <f>IF($B37="","",VLOOKUP($B37,'2-2_算定表④(旧・新制度)'!$B$8:$S$65536,16,FALSE))</f>
      </c>
      <c r="S37" s="421">
        <f>IF($B37="","",VLOOKUP($B37,'2-2_算定表④(旧・新制度)'!$B$8:$S$65536,16,FALSE))</f>
      </c>
      <c r="T37" s="421">
        <f>IF($B37="","",VLOOKUP($B37,'2-2_算定表④(旧・新制度)'!$B$8:$S$65536,16,FALSE))</f>
      </c>
      <c r="U37" s="421">
        <f>IF($B37="","",VLOOKUP($B37,'2-2_算定表④(旧・新制度)'!$B$8:$S$65536,16,FALSE))</f>
      </c>
      <c r="V37" s="673">
        <f>IF($B37="","",VLOOKUP($B37,'2-2_算定表④(旧・新制度)'!$B$8:$S$65536,16,FALSE))</f>
      </c>
      <c r="W37" s="419">
        <f t="shared" si="1"/>
      </c>
      <c r="X37" s="423">
        <f t="shared" si="2"/>
      </c>
      <c r="Y37" s="422">
        <f t="shared" si="3"/>
      </c>
      <c r="Z37" s="424">
        <f t="shared" si="4"/>
      </c>
      <c r="AA37" s="431">
        <f t="shared" si="5"/>
      </c>
      <c r="AB37" s="419">
        <f t="shared" si="6"/>
      </c>
      <c r="AC37" s="418">
        <f t="shared" si="7"/>
      </c>
      <c r="AD37" s="419">
        <f t="shared" si="8"/>
      </c>
      <c r="AE37" s="418">
        <f t="shared" si="9"/>
      </c>
      <c r="AF37" s="419">
        <f t="shared" si="10"/>
      </c>
      <c r="AG37" s="404">
        <f>IF(B37="","",ROUNDUP((G37/VLOOKUP($B37,'2-2_算定表④(旧・新制度)'!$B$8:$AH$44,9,FALSE)*W37)+(I37/VLOOKUP($B37,'2-2_算定表④(旧・新制度)'!$B$8:$AH$44,9,FALSE)*X37)+(G37/VLOOKUP($B37,'2-2_算定表④(旧・新制度)'!$B$8:$AH$44,9,FALSE)*Y37)+(I37/VLOOKUP($B37,'2-2_算定表④(旧・新制度)'!$B$8:$AH$44,9,FALSE)*Z37)+(G37/VLOOKUP($B37,'2-2_算定表④(旧・新制度)'!$B$8:$AH$44,9,FALSE)*AA37)+(I37/VLOOKUP($B37,'2-2_算定表④(旧・新制度)'!$B$8:$AH$44,9,FALSE)*AB37)+(G37/VLOOKUP($B37,'2-2_算定表④(旧・新制度)'!$B$8:$AH$44,9,FALSE)*AC37)+(I37/VLOOKUP($B37,'2-2_算定表④(旧・新制度)'!$B$8:$AH$44,9,FALSE)*AD37),0))</f>
      </c>
      <c r="AH37" s="403">
        <f t="shared" si="12"/>
      </c>
      <c r="AI37" s="1079">
        <f>IF(B37="","",VLOOKUP($B37,'2-2_算定表④(旧・新制度)'!$B$8:$AF$65536,31,FALSE))</f>
      </c>
      <c r="AJ37" s="1080" t="s">
        <v>182</v>
      </c>
      <c r="AK37" s="1081" t="s">
        <v>182</v>
      </c>
      <c r="AM37" s="61">
        <f t="shared" si="13"/>
      </c>
      <c r="AN37" s="61">
        <f t="shared" si="11"/>
      </c>
    </row>
    <row r="38" spans="1:40" s="53" customFormat="1" ht="18.75" customHeight="1" thickBot="1">
      <c r="A38" s="27">
        <f t="shared" si="0"/>
      </c>
      <c r="B38" s="577"/>
      <c r="C38" s="717">
        <f>IF(B38="","",VLOOKUP($B38,'2-2_算定表④(旧・新制度)'!$B$8:$S$65536,2,FALSE))</f>
      </c>
      <c r="D38" s="714">
        <f>IF(B38="","",VLOOKUP($B38,'2-2_算定表④(旧・新制度)'!$B$8:$S$65536,3,FALSE))</f>
      </c>
      <c r="E38" s="569">
        <f>IF(B38="","",VLOOKUP($B38,'2-2_算定表④(旧・新制度)'!$B$8:$S$65536,6,FALSE))</f>
      </c>
      <c r="F38" s="710">
        <f>IF(B38="","",VLOOKUP($B38,'2-2_算定表④(旧・新制度)'!$B$8:$S$65536,14,FALSE))</f>
      </c>
      <c r="G38" s="400">
        <f>IF(B38="","",VLOOKUP($B38,'2-2_算定表④(旧・新制度)'!$B$8:$S$65536,15,FALSE))</f>
      </c>
      <c r="H38" s="710">
        <f>IF(B38="","",VLOOKUP($B38,'2-2_算定表④(旧・新制度)'!$B$8:$S$65536,16,FALSE))</f>
      </c>
      <c r="I38" s="400">
        <f>IF(B38="","",VLOOKUP($B38,'2-2_算定表④(旧・新制度)'!$B$8:$S$65536,17,FALSE))</f>
      </c>
      <c r="J38" s="701">
        <f>IF(B38="","",VLOOKUP($B38,'2-2_算定表④(旧・新制度)'!$B$8:$S$65536,18,FALSE))</f>
      </c>
      <c r="K38" s="707">
        <f>IF($B38="","",VLOOKUP($B38,'2-2_算定表④(旧・新制度)'!$B$8:$S$65536,14,FALSE))</f>
      </c>
      <c r="L38" s="675">
        <f>IF($B38="","",VLOOKUP($B38,'2-2_算定表④(旧・新制度)'!$B$8:$S$65536,14,FALSE))</f>
      </c>
      <c r="M38" s="679">
        <f>IF($B38="","",VLOOKUP($B38,'2-2_算定表④(旧・新制度)'!$B$8:$S$65536,14,FALSE))</f>
      </c>
      <c r="N38" s="674">
        <f>IF($B38="","",VLOOKUP($B38,'2-2_算定表④(旧・新制度)'!$B$8:$S$65536,16,FALSE))</f>
      </c>
      <c r="O38" s="675">
        <f>IF($B38="","",VLOOKUP($B38,'2-2_算定表④(旧・新制度)'!$B$8:$S$65536,16,FALSE))</f>
      </c>
      <c r="P38" s="675">
        <f>IF($B38="","",VLOOKUP($B38,'2-2_算定表④(旧・新制度)'!$B$8:$S$65536,16,FALSE))</f>
      </c>
      <c r="Q38" s="675">
        <f>IF($B38="","",VLOOKUP($B38,'2-2_算定表④(旧・新制度)'!$B$8:$S$65536,16,FALSE))</f>
      </c>
      <c r="R38" s="675">
        <f>IF($B38="","",VLOOKUP($B38,'2-2_算定表④(旧・新制度)'!$B$8:$S$65536,16,FALSE))</f>
      </c>
      <c r="S38" s="675">
        <f>IF($B38="","",VLOOKUP($B38,'2-2_算定表④(旧・新制度)'!$B$8:$S$65536,16,FALSE))</f>
      </c>
      <c r="T38" s="675">
        <f>IF($B38="","",VLOOKUP($B38,'2-2_算定表④(旧・新制度)'!$B$8:$S$65536,16,FALSE))</f>
      </c>
      <c r="U38" s="675">
        <f>IF($B38="","",VLOOKUP($B38,'2-2_算定表④(旧・新制度)'!$B$8:$S$65536,16,FALSE))</f>
      </c>
      <c r="V38" s="676">
        <f>IF($B38="","",VLOOKUP($B38,'2-2_算定表④(旧・新制度)'!$B$8:$S$65536,16,FALSE))</f>
      </c>
      <c r="W38" s="419">
        <f t="shared" si="1"/>
      </c>
      <c r="X38" s="423">
        <f t="shared" si="2"/>
      </c>
      <c r="Y38" s="422">
        <f t="shared" si="3"/>
      </c>
      <c r="Z38" s="424">
        <f t="shared" si="4"/>
      </c>
      <c r="AA38" s="431">
        <f t="shared" si="5"/>
      </c>
      <c r="AB38" s="419">
        <f t="shared" si="6"/>
      </c>
      <c r="AC38" s="418">
        <f t="shared" si="7"/>
      </c>
      <c r="AD38" s="419">
        <f t="shared" si="8"/>
      </c>
      <c r="AE38" s="418">
        <f t="shared" si="9"/>
      </c>
      <c r="AF38" s="419">
        <f t="shared" si="10"/>
      </c>
      <c r="AG38" s="406">
        <f>IF(B38="","",ROUNDUP((G38/VLOOKUP($B38,'2-2_算定表④(旧・新制度)'!$B$8:$AH$44,9,FALSE)*W38)+(I38/VLOOKUP($B38,'2-2_算定表④(旧・新制度)'!$B$8:$AH$44,9,FALSE)*X38)+(G38/VLOOKUP($B38,'2-2_算定表④(旧・新制度)'!$B$8:$AH$44,9,FALSE)*Y38)+(I38/VLOOKUP($B38,'2-2_算定表④(旧・新制度)'!$B$8:$AH$44,9,FALSE)*Z38)+(G38/VLOOKUP($B38,'2-2_算定表④(旧・新制度)'!$B$8:$AH$44,9,FALSE)*AA38)+(I38/VLOOKUP($B38,'2-2_算定表④(旧・新制度)'!$B$8:$AH$44,9,FALSE)*AB38)+(G38/VLOOKUP($B38,'2-2_算定表④(旧・新制度)'!$B$8:$AH$44,9,FALSE)*AC38)+(I38/VLOOKUP($B38,'2-2_算定表④(旧・新制度)'!$B$8:$AH$44,9,FALSE)*AD38),0))</f>
      </c>
      <c r="AH38" s="403">
        <f t="shared" si="12"/>
      </c>
      <c r="AI38" s="1082">
        <f>IF(B38="","",VLOOKUP($B38,'2-2_算定表④(旧・新制度)'!$B$8:$AF$65536,31,FALSE))</f>
      </c>
      <c r="AJ38" s="1083" t="s">
        <v>182</v>
      </c>
      <c r="AK38" s="1084" t="s">
        <v>182</v>
      </c>
      <c r="AM38" s="61">
        <f t="shared" si="13"/>
      </c>
      <c r="AN38" s="61">
        <f t="shared" si="11"/>
      </c>
    </row>
    <row r="39" spans="1:40" s="66" customFormat="1" ht="18.75" customHeight="1" thickBot="1">
      <c r="A39" s="948" t="s">
        <v>24</v>
      </c>
      <c r="B39" s="1022"/>
      <c r="C39" s="1023"/>
      <c r="D39" s="1023"/>
      <c r="E39" s="1023"/>
      <c r="F39" s="1023"/>
      <c r="G39" s="1023"/>
      <c r="H39" s="1023"/>
      <c r="I39" s="1023"/>
      <c r="J39" s="663">
        <f>SUM(J9:J38)</f>
        <v>0</v>
      </c>
      <c r="K39" s="702" t="s">
        <v>134</v>
      </c>
      <c r="L39" s="703" t="s">
        <v>134</v>
      </c>
      <c r="M39" s="704" t="s">
        <v>134</v>
      </c>
      <c r="N39" s="702" t="s">
        <v>134</v>
      </c>
      <c r="O39" s="703" t="s">
        <v>134</v>
      </c>
      <c r="P39" s="703" t="s">
        <v>134</v>
      </c>
      <c r="Q39" s="703" t="s">
        <v>134</v>
      </c>
      <c r="R39" s="703" t="s">
        <v>134</v>
      </c>
      <c r="S39" s="703" t="s">
        <v>134</v>
      </c>
      <c r="T39" s="703" t="s">
        <v>134</v>
      </c>
      <c r="U39" s="703" t="s">
        <v>134</v>
      </c>
      <c r="V39" s="704" t="s">
        <v>134</v>
      </c>
      <c r="W39" s="432" t="s">
        <v>134</v>
      </c>
      <c r="X39" s="434" t="s">
        <v>134</v>
      </c>
      <c r="Y39" s="432" t="s">
        <v>134</v>
      </c>
      <c r="Z39" s="435" t="s">
        <v>134</v>
      </c>
      <c r="AA39" s="436" t="s">
        <v>134</v>
      </c>
      <c r="AB39" s="437" t="s">
        <v>134</v>
      </c>
      <c r="AC39" s="438" t="s">
        <v>134</v>
      </c>
      <c r="AD39" s="437" t="s">
        <v>134</v>
      </c>
      <c r="AE39" s="438" t="s">
        <v>134</v>
      </c>
      <c r="AF39" s="433" t="s">
        <v>134</v>
      </c>
      <c r="AG39" s="663">
        <f>SUM(AG9:AG38)</f>
        <v>0</v>
      </c>
      <c r="AH39" s="407">
        <f>SUM(AH9:AH38)</f>
        <v>0</v>
      </c>
      <c r="AI39" s="1024"/>
      <c r="AJ39" s="1025"/>
      <c r="AK39" s="1026"/>
      <c r="AM39" s="67"/>
      <c r="AN39" s="67"/>
    </row>
    <row r="40" spans="1:40" s="68" customFormat="1" ht="16.5" customHeight="1">
      <c r="A40" s="68" t="s">
        <v>26</v>
      </c>
      <c r="B40" s="225"/>
      <c r="C40" s="242"/>
      <c r="AM40" s="69"/>
      <c r="AN40" s="69"/>
    </row>
    <row r="41" spans="1:31" s="164" customFormat="1" ht="14.25" customHeight="1">
      <c r="A41" s="238" t="s">
        <v>217</v>
      </c>
      <c r="B41" s="226"/>
      <c r="C41" s="243"/>
      <c r="Z41" s="165"/>
      <c r="AA41" s="165"/>
      <c r="AC41" s="165"/>
      <c r="AE41" s="165"/>
    </row>
    <row r="42" spans="1:40" s="164" customFormat="1" ht="11.25">
      <c r="A42" s="238" t="s">
        <v>64</v>
      </c>
      <c r="C42" s="243"/>
      <c r="AM42" s="165"/>
      <c r="AN42" s="165"/>
    </row>
    <row r="43" spans="1:40" s="164" customFormat="1" ht="10.5" customHeight="1">
      <c r="A43" s="238" t="s">
        <v>156</v>
      </c>
      <c r="B43" s="226"/>
      <c r="C43" s="243"/>
      <c r="AM43" s="165"/>
      <c r="AN43" s="165"/>
    </row>
    <row r="44" spans="2:40" s="68" customFormat="1" ht="10.5" customHeight="1">
      <c r="B44" s="225"/>
      <c r="C44" s="242"/>
      <c r="AM44" s="69"/>
      <c r="AN44" s="69"/>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AI35:AK35"/>
    <mergeCell ref="AI36:AK36"/>
    <mergeCell ref="AI37:AK37"/>
    <mergeCell ref="AI38:AK38"/>
    <mergeCell ref="A39:I39"/>
    <mergeCell ref="AI39:AK39"/>
    <mergeCell ref="AI29:AK29"/>
    <mergeCell ref="AI30:AK30"/>
    <mergeCell ref="AI31:AK31"/>
    <mergeCell ref="AI32:AK32"/>
    <mergeCell ref="AI33:AK33"/>
    <mergeCell ref="AI34:AK34"/>
    <mergeCell ref="AI23:AK23"/>
    <mergeCell ref="AI24:AK24"/>
    <mergeCell ref="AI25:AK25"/>
    <mergeCell ref="AI26:AK26"/>
    <mergeCell ref="AI27:AK27"/>
    <mergeCell ref="AI28:AK28"/>
    <mergeCell ref="AI17:AK17"/>
    <mergeCell ref="AI18:AK18"/>
    <mergeCell ref="AI19:AK19"/>
    <mergeCell ref="AI20:AK20"/>
    <mergeCell ref="AI21:AK21"/>
    <mergeCell ref="AI22:AK22"/>
    <mergeCell ref="AI11:AK11"/>
    <mergeCell ref="AI12:AK12"/>
    <mergeCell ref="AI13:AK13"/>
    <mergeCell ref="AI14:AK14"/>
    <mergeCell ref="AI15:AK15"/>
    <mergeCell ref="AI16:AK16"/>
    <mergeCell ref="AM7:AM8"/>
    <mergeCell ref="AN7:AN8"/>
    <mergeCell ref="AI9:AK9"/>
    <mergeCell ref="AI10:AK10"/>
    <mergeCell ref="AA6:AA8"/>
    <mergeCell ref="AB6:AB8"/>
    <mergeCell ref="AE6:AE8"/>
    <mergeCell ref="AF6:AF8"/>
    <mergeCell ref="AH4:AH7"/>
    <mergeCell ref="AI4:AK8"/>
    <mergeCell ref="K7:K8"/>
    <mergeCell ref="L7:L8"/>
    <mergeCell ref="M7:M8"/>
    <mergeCell ref="N7:N8"/>
    <mergeCell ref="O7:O8"/>
    <mergeCell ref="P7:P8"/>
    <mergeCell ref="Q7:Q8"/>
    <mergeCell ref="R7:R8"/>
    <mergeCell ref="S7:S8"/>
    <mergeCell ref="T7:T8"/>
    <mergeCell ref="U7:U8"/>
    <mergeCell ref="V7:V8"/>
    <mergeCell ref="G6:G7"/>
    <mergeCell ref="H6:H8"/>
    <mergeCell ref="K6:M6"/>
    <mergeCell ref="N6:V6"/>
    <mergeCell ref="AC6:AC8"/>
    <mergeCell ref="AD6:AD8"/>
    <mergeCell ref="W6:W8"/>
    <mergeCell ref="X6:X8"/>
    <mergeCell ref="Y6:Y8"/>
    <mergeCell ref="Z6:Z8"/>
    <mergeCell ref="A4:A8"/>
    <mergeCell ref="B4:B8"/>
    <mergeCell ref="C4:C8"/>
    <mergeCell ref="D4:D8"/>
    <mergeCell ref="E4:E8"/>
    <mergeCell ref="F4:J4"/>
    <mergeCell ref="I6:I7"/>
    <mergeCell ref="J6:J7"/>
    <mergeCell ref="F5:J5"/>
    <mergeCell ref="F6:F8"/>
    <mergeCell ref="K4:AF4"/>
    <mergeCell ref="AG4:AG7"/>
    <mergeCell ref="W1:Y1"/>
    <mergeCell ref="Z1:AH1"/>
    <mergeCell ref="AJ1:AK1"/>
    <mergeCell ref="W2:Y2"/>
    <mergeCell ref="Z2:AH2"/>
    <mergeCell ref="AJ2:AK2"/>
    <mergeCell ref="K5:V5"/>
    <mergeCell ref="W5:AF5"/>
  </mergeCells>
  <dataValidations count="2">
    <dataValidation type="list" allowBlank="1" showInput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tabColor rgb="FF7030A0"/>
  </sheetPr>
  <dimension ref="A1:W37"/>
  <sheetViews>
    <sheetView tabSelected="1" view="pageBreakPreview" zoomScale="85" zoomScaleNormal="75" zoomScaleSheetLayoutView="85" zoomScalePageLayoutView="0" workbookViewId="0" topLeftCell="A1">
      <pane xSplit="1" ySplit="8" topLeftCell="F9" activePane="bottomRight" state="frozen"/>
      <selection pane="topLeft" activeCell="T27" sqref="T27"/>
      <selection pane="topRight" activeCell="T27" sqref="T27"/>
      <selection pane="bottomLeft" activeCell="T27" sqref="T27"/>
      <selection pane="bottomRight" activeCell="T27" sqref="T27"/>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86" customWidth="1"/>
    <col min="18" max="18" width="14.875" style="286" customWidth="1"/>
    <col min="19" max="19" width="3.125" style="40" customWidth="1"/>
    <col min="20" max="21" width="5.625" style="40" customWidth="1"/>
    <col min="22" max="22" width="8.25390625" style="40" customWidth="1"/>
    <col min="23" max="16384" width="9.625" style="40" customWidth="1"/>
  </cols>
  <sheetData>
    <row r="1" ht="18.75" customHeight="1" thickBot="1">
      <c r="A1" s="38" t="s">
        <v>215</v>
      </c>
    </row>
    <row r="2" spans="8:18" ht="24.75" customHeight="1" thickBot="1">
      <c r="H2" s="343"/>
      <c r="I2" s="344"/>
      <c r="J2" s="340"/>
      <c r="K2" s="340"/>
      <c r="L2" s="839" t="s">
        <v>22</v>
      </c>
      <c r="M2" s="840"/>
      <c r="N2" s="843">
        <f>'1_総括表'!E3</f>
        <v>0</v>
      </c>
      <c r="O2" s="844"/>
      <c r="P2" s="839" t="s">
        <v>23</v>
      </c>
      <c r="Q2" s="840"/>
      <c r="R2" s="157">
        <f>'1_総括表'!Z3</f>
        <v>0</v>
      </c>
    </row>
    <row r="3" spans="1:18" ht="24.75" customHeight="1" thickBot="1">
      <c r="A3" s="38"/>
      <c r="F3" s="107"/>
      <c r="G3" s="107"/>
      <c r="H3" s="343"/>
      <c r="I3" s="344"/>
      <c r="J3" s="340"/>
      <c r="K3" s="340"/>
      <c r="L3" s="841" t="s">
        <v>20</v>
      </c>
      <c r="M3" s="842"/>
      <c r="N3" s="843">
        <f>'1_総括表'!E4</f>
        <v>0</v>
      </c>
      <c r="O3" s="844"/>
      <c r="P3" s="841" t="s">
        <v>21</v>
      </c>
      <c r="Q3" s="842"/>
      <c r="R3" s="341">
        <f>'1_総括表'!Z4</f>
        <v>0</v>
      </c>
    </row>
    <row r="4" spans="1:9" ht="18.75" customHeight="1" thickBot="1">
      <c r="A4" s="272" t="s">
        <v>204</v>
      </c>
      <c r="F4" s="108"/>
      <c r="G4" s="108"/>
      <c r="H4" s="108"/>
      <c r="I4" s="108"/>
    </row>
    <row r="5" spans="1:18" s="44" customFormat="1" ht="19.5" customHeight="1" thickBot="1">
      <c r="A5" s="109" t="s">
        <v>14</v>
      </c>
      <c r="B5" s="877" t="s">
        <v>104</v>
      </c>
      <c r="C5" s="276"/>
      <c r="D5" s="277"/>
      <c r="E5" s="878" t="s">
        <v>139</v>
      </c>
      <c r="F5" s="151"/>
      <c r="G5" s="152"/>
      <c r="H5" s="880" t="s">
        <v>126</v>
      </c>
      <c r="I5" s="882" t="s">
        <v>127</v>
      </c>
      <c r="J5" s="882" t="s">
        <v>128</v>
      </c>
      <c r="K5" s="872" t="s">
        <v>207</v>
      </c>
      <c r="L5" s="873"/>
      <c r="M5" s="873"/>
      <c r="N5" s="874"/>
      <c r="O5" s="875" t="s">
        <v>219</v>
      </c>
      <c r="P5" s="876"/>
      <c r="Q5" s="875" t="s">
        <v>208</v>
      </c>
      <c r="R5" s="876"/>
    </row>
    <row r="6" spans="1:20" s="44" customFormat="1" ht="38.25" customHeight="1" thickBot="1">
      <c r="A6" s="868" t="s">
        <v>98</v>
      </c>
      <c r="B6" s="878"/>
      <c r="C6" s="278" t="s">
        <v>188</v>
      </c>
      <c r="D6" s="278" t="s">
        <v>60</v>
      </c>
      <c r="E6" s="879"/>
      <c r="F6" s="110" t="s">
        <v>120</v>
      </c>
      <c r="G6" s="112" t="s">
        <v>103</v>
      </c>
      <c r="H6" s="881"/>
      <c r="I6" s="878"/>
      <c r="J6" s="883"/>
      <c r="K6" s="110" t="s">
        <v>18</v>
      </c>
      <c r="L6" s="111" t="s">
        <v>43</v>
      </c>
      <c r="M6" s="337" t="s">
        <v>42</v>
      </c>
      <c r="N6" s="338" t="s">
        <v>61</v>
      </c>
      <c r="O6" s="337" t="s">
        <v>42</v>
      </c>
      <c r="P6" s="338" t="s">
        <v>61</v>
      </c>
      <c r="Q6" s="331" t="s">
        <v>42</v>
      </c>
      <c r="R6" s="332" t="s">
        <v>61</v>
      </c>
      <c r="T6" s="114" t="s">
        <v>63</v>
      </c>
    </row>
    <row r="7" spans="1:20" s="44" customFormat="1" ht="20.25" customHeight="1" thickBot="1">
      <c r="A7" s="869"/>
      <c r="B7" s="48" t="s">
        <v>105</v>
      </c>
      <c r="C7" s="48" t="s">
        <v>106</v>
      </c>
      <c r="D7" s="48" t="s">
        <v>107</v>
      </c>
      <c r="E7" s="48" t="s">
        <v>123</v>
      </c>
      <c r="F7" s="115" t="s">
        <v>108</v>
      </c>
      <c r="G7" s="117" t="s">
        <v>109</v>
      </c>
      <c r="H7" s="147" t="s">
        <v>110</v>
      </c>
      <c r="I7" s="48" t="s">
        <v>111</v>
      </c>
      <c r="J7" s="47" t="s">
        <v>112</v>
      </c>
      <c r="K7" s="115"/>
      <c r="L7" s="116"/>
      <c r="M7" s="117"/>
      <c r="N7" s="323" t="s">
        <v>85</v>
      </c>
      <c r="O7" s="117"/>
      <c r="P7" s="323" t="s">
        <v>85</v>
      </c>
      <c r="Q7" s="333"/>
      <c r="R7" s="334"/>
      <c r="T7" s="119"/>
    </row>
    <row r="8" spans="1:18" s="126" customFormat="1" ht="20.25" customHeight="1" thickBot="1">
      <c r="A8" s="120"/>
      <c r="B8" s="121" t="s">
        <v>16</v>
      </c>
      <c r="C8" s="121" t="s">
        <v>16</v>
      </c>
      <c r="D8" s="121" t="s">
        <v>16</v>
      </c>
      <c r="E8" s="121" t="s">
        <v>124</v>
      </c>
      <c r="F8" s="122" t="s">
        <v>121</v>
      </c>
      <c r="G8" s="124" t="s">
        <v>122</v>
      </c>
      <c r="H8" s="148" t="s">
        <v>19</v>
      </c>
      <c r="I8" s="121" t="s">
        <v>19</v>
      </c>
      <c r="J8" s="121" t="s">
        <v>19</v>
      </c>
      <c r="K8" s="122"/>
      <c r="L8" s="123" t="s">
        <v>17</v>
      </c>
      <c r="M8" s="124" t="s">
        <v>16</v>
      </c>
      <c r="N8" s="325" t="s">
        <v>17</v>
      </c>
      <c r="O8" s="124" t="s">
        <v>16</v>
      </c>
      <c r="P8" s="125" t="s">
        <v>17</v>
      </c>
      <c r="Q8" s="335" t="s">
        <v>16</v>
      </c>
      <c r="R8" s="336" t="s">
        <v>17</v>
      </c>
    </row>
    <row r="9" spans="1:20" s="44" customFormat="1" ht="18" customHeight="1" thickBot="1">
      <c r="A9" s="865">
        <v>1</v>
      </c>
      <c r="B9" s="1089"/>
      <c r="C9" s="1089"/>
      <c r="D9" s="1089"/>
      <c r="E9" s="1097"/>
      <c r="F9" s="390"/>
      <c r="G9" s="391"/>
      <c r="H9" s="449">
        <f>IF(F9="","",IF(ISERROR(F9+ROUNDDOWN(G9*3/74,0)),"",F9+ROUNDDOWN(G9*3/74,0)))</f>
      </c>
      <c r="I9" s="450">
        <f>IF(H9="","",IF(H9&gt;10032,10032,H9))</f>
      </c>
      <c r="J9" s="451">
        <f>IF(H9="","",MIN(H9,I9))</f>
      </c>
      <c r="K9" s="129" t="s">
        <v>74</v>
      </c>
      <c r="L9" s="71">
        <v>1532</v>
      </c>
      <c r="M9" s="369"/>
      <c r="N9" s="370"/>
      <c r="O9" s="364">
        <f>SUMIF('2-2_算定表⑤(新・新制度)'!$AJ:$AJ,$T9,'2-2_算定表⑤(新・新制度)'!$AK:$AK)</f>
        <v>0</v>
      </c>
      <c r="P9" s="130">
        <f>SUMIF('2-2_算定表⑤(新・新制度)'!$AJ:$AJ,$T9,'2-2_算定表⑤(新・新制度)'!$AE:$AE)</f>
        <v>0</v>
      </c>
      <c r="Q9" s="354">
        <f>O9-M9</f>
        <v>0</v>
      </c>
      <c r="R9" s="355">
        <f>P9-N9</f>
        <v>0</v>
      </c>
      <c r="T9" s="131" t="str">
        <f>ASC($A$9&amp;$K9)</f>
        <v>1A</v>
      </c>
    </row>
    <row r="10" spans="1:22" s="44" customFormat="1" ht="18" customHeight="1" thickBot="1">
      <c r="A10" s="865"/>
      <c r="B10" s="1088"/>
      <c r="C10" s="1088"/>
      <c r="D10" s="1088"/>
      <c r="E10" s="1098"/>
      <c r="F10" s="390"/>
      <c r="G10" s="391"/>
      <c r="H10" s="449">
        <f>IF(F10="","",IF(ISERROR(F10+ROUNDDOWN(G10*3/74,0)),"",F10+ROUNDDOWN(G10*3/74,0)))</f>
      </c>
      <c r="I10" s="450">
        <f aca="true" t="shared" si="0" ref="I10:I18">IF(H10="","",IF(H10&gt;10032,10032,H10))</f>
      </c>
      <c r="J10" s="451">
        <f>IF(H10="","",MIN(H10,I10))</f>
      </c>
      <c r="K10" s="132" t="s">
        <v>80</v>
      </c>
      <c r="L10" s="230">
        <v>1532</v>
      </c>
      <c r="M10" s="371"/>
      <c r="N10" s="372"/>
      <c r="O10" s="354">
        <f>SUMIF('2-2_算定表⑤(新・新制度)'!$AJ:$AJ,$T10,'2-2_算定表⑤(新・新制度)'!$AK:$AK)</f>
        <v>0</v>
      </c>
      <c r="P10" s="130">
        <f>SUMIF('2-2_算定表⑤(新・新制度)'!$AJ:$AJ,$T10,'2-2_算定表⑤(新・新制度)'!$AE:$AE)</f>
        <v>0</v>
      </c>
      <c r="Q10" s="354">
        <f aca="true" t="shared" si="1" ref="Q10:R22">O10-M10</f>
        <v>0</v>
      </c>
      <c r="R10" s="355">
        <f t="shared" si="1"/>
        <v>0</v>
      </c>
      <c r="T10" s="135" t="str">
        <f>ASC($A$9&amp;$K10)</f>
        <v>1B</v>
      </c>
      <c r="V10" s="55" t="s">
        <v>5</v>
      </c>
    </row>
    <row r="11" spans="1:21" s="44" customFormat="1" ht="18" customHeight="1" thickBot="1">
      <c r="A11" s="865"/>
      <c r="B11" s="1088"/>
      <c r="C11" s="1088"/>
      <c r="D11" s="1088"/>
      <c r="E11" s="1098"/>
      <c r="F11" s="390"/>
      <c r="G11" s="391"/>
      <c r="H11" s="449">
        <f aca="true" t="shared" si="2" ref="H11:H18">IF(F11="","",IF(ISERROR(F11+ROUNDDOWN(G11*3/74,0)),"",F11+ROUNDDOWN(G11*3/74,0)))</f>
      </c>
      <c r="I11" s="450">
        <f t="shared" si="0"/>
      </c>
      <c r="J11" s="451">
        <f>IF(H11="","",MIN(H11,I11))</f>
      </c>
      <c r="K11" s="132" t="s">
        <v>81</v>
      </c>
      <c r="L11" s="231">
        <v>2814</v>
      </c>
      <c r="M11" s="371"/>
      <c r="N11" s="372"/>
      <c r="O11" s="354">
        <f>SUMIF('2-2_算定表⑤(新・新制度)'!$AJ:$AJ,$T11,'2-2_算定表⑤(新・新制度)'!$AK:$AK)</f>
        <v>0</v>
      </c>
      <c r="P11" s="130">
        <f>SUMIF('2-2_算定表⑤(新・新制度)'!$AJ:$AJ,$T11,'2-2_算定表⑤(新・新制度)'!$AE:$AE)</f>
        <v>0</v>
      </c>
      <c r="Q11" s="358">
        <f t="shared" si="1"/>
        <v>0</v>
      </c>
      <c r="R11" s="359">
        <f t="shared" si="1"/>
        <v>0</v>
      </c>
      <c r="T11" s="135" t="str">
        <f>ASC($A$9&amp;$K11)</f>
        <v>1C</v>
      </c>
      <c r="U11" s="253"/>
    </row>
    <row r="12" spans="1:20" s="44" customFormat="1" ht="18" customHeight="1" thickBot="1">
      <c r="A12" s="865"/>
      <c r="B12" s="1088"/>
      <c r="C12" s="1088"/>
      <c r="D12" s="1088"/>
      <c r="E12" s="1098"/>
      <c r="F12" s="390"/>
      <c r="G12" s="391"/>
      <c r="H12" s="449"/>
      <c r="I12" s="450"/>
      <c r="J12" s="451"/>
      <c r="K12" s="101" t="s">
        <v>152</v>
      </c>
      <c r="L12" s="232" t="s">
        <v>134</v>
      </c>
      <c r="M12" s="371"/>
      <c r="N12" s="372"/>
      <c r="O12" s="352">
        <f>SUMIF('2-2_算定表⑤(新・新制度)'!$AJ:$AJ,$T12,'2-2_算定表⑤(新・新制度)'!$AK:$AK)</f>
        <v>0</v>
      </c>
      <c r="P12" s="130">
        <f>SUMIF('2-2_算定表⑤(新・新制度)'!$AJ:$AJ,$T12,'2-2_算定表⑤(新・新制度)'!$AE:$AE)</f>
        <v>0</v>
      </c>
      <c r="Q12" s="358">
        <f t="shared" si="1"/>
        <v>0</v>
      </c>
      <c r="R12" s="359">
        <f t="shared" si="1"/>
        <v>0</v>
      </c>
      <c r="T12" s="135" t="str">
        <f>ASC($A$9&amp;$K12)</f>
        <v>1D</v>
      </c>
    </row>
    <row r="13" spans="1:18" s="44" customFormat="1" ht="18" customHeight="1" thickBot="1">
      <c r="A13" s="865"/>
      <c r="B13" s="1088"/>
      <c r="C13" s="1088"/>
      <c r="D13" s="1088"/>
      <c r="E13" s="1099"/>
      <c r="F13" s="392"/>
      <c r="G13" s="393"/>
      <c r="H13" s="452">
        <f t="shared" si="2"/>
      </c>
      <c r="I13" s="453">
        <f t="shared" si="0"/>
      </c>
      <c r="J13" s="454">
        <f>IF(H13="","",MIN(H13,I13))</f>
      </c>
      <c r="K13" s="848" t="s">
        <v>99</v>
      </c>
      <c r="L13" s="849"/>
      <c r="M13" s="360">
        <f aca="true" t="shared" si="3" ref="M13:R13">SUM(M9:M12)</f>
        <v>0</v>
      </c>
      <c r="N13" s="361">
        <f t="shared" si="3"/>
        <v>0</v>
      </c>
      <c r="O13" s="360">
        <f t="shared" si="3"/>
        <v>0</v>
      </c>
      <c r="P13" s="138">
        <f t="shared" si="3"/>
        <v>0</v>
      </c>
      <c r="Q13" s="362">
        <f t="shared" si="3"/>
        <v>0</v>
      </c>
      <c r="R13" s="363">
        <f t="shared" si="3"/>
        <v>0</v>
      </c>
    </row>
    <row r="14" spans="1:23" s="44" customFormat="1" ht="18" customHeight="1" thickBot="1" thickTop="1">
      <c r="A14" s="866">
        <v>2</v>
      </c>
      <c r="B14" s="1088"/>
      <c r="C14" s="1088"/>
      <c r="D14" s="1088"/>
      <c r="E14" s="1090"/>
      <c r="F14" s="455"/>
      <c r="G14" s="456"/>
      <c r="H14" s="449">
        <f t="shared" si="2"/>
      </c>
      <c r="I14" s="450">
        <f t="shared" si="0"/>
      </c>
      <c r="J14" s="451">
        <f>IF(H14="","",MIN(H14,I14))</f>
      </c>
      <c r="K14" s="129" t="s">
        <v>74</v>
      </c>
      <c r="L14" s="71">
        <v>1532</v>
      </c>
      <c r="M14" s="369"/>
      <c r="N14" s="370"/>
      <c r="O14" s="552">
        <f>SUMIF('2-2_算定表⑤(新・新制度)'!$AJ:$AJ,$T14,'2-2_算定表⑤(新・新制度)'!$AK:$AK)</f>
        <v>0</v>
      </c>
      <c r="P14" s="130">
        <f>SUMIF('2-2_算定表⑤(新・新制度)'!$AJ:$AJ,$T14,'2-2_算定表⑤(新・新制度)'!$AE:$AE)</f>
        <v>0</v>
      </c>
      <c r="Q14" s="364">
        <f t="shared" si="1"/>
        <v>0</v>
      </c>
      <c r="R14" s="365">
        <f t="shared" si="1"/>
        <v>0</v>
      </c>
      <c r="T14" s="131" t="str">
        <f>ASC($A$14&amp;$K14)</f>
        <v>2A</v>
      </c>
      <c r="V14" s="139" t="s">
        <v>6</v>
      </c>
      <c r="W14" s="62" t="str">
        <f>IF(D9&gt;=O13,"OK","ERR")</f>
        <v>OK</v>
      </c>
    </row>
    <row r="15" spans="1:23" s="44" customFormat="1" ht="18" customHeight="1" thickBot="1" thickTop="1">
      <c r="A15" s="865"/>
      <c r="B15" s="1088"/>
      <c r="C15" s="1088"/>
      <c r="D15" s="1088"/>
      <c r="E15" s="1091"/>
      <c r="F15" s="455"/>
      <c r="G15" s="456"/>
      <c r="H15" s="449">
        <f t="shared" si="2"/>
      </c>
      <c r="I15" s="450">
        <f t="shared" si="0"/>
      </c>
      <c r="J15" s="451">
        <f>IF(H15="","",MIN(H15,I15))</f>
      </c>
      <c r="K15" s="132" t="s">
        <v>80</v>
      </c>
      <c r="L15" s="230">
        <v>1532</v>
      </c>
      <c r="M15" s="371"/>
      <c r="N15" s="372"/>
      <c r="O15" s="354">
        <f>SUMIF('2-2_算定表⑤(新・新制度)'!$AJ:$AJ,$T15,'2-2_算定表⑤(新・新制度)'!$AK:$AK)</f>
        <v>0</v>
      </c>
      <c r="P15" s="130">
        <f>SUMIF('2-2_算定表⑤(新・新制度)'!$AJ:$AJ,$T15,'2-2_算定表⑤(新・新制度)'!$AE:$AE)</f>
        <v>0</v>
      </c>
      <c r="Q15" s="358">
        <f t="shared" si="1"/>
        <v>0</v>
      </c>
      <c r="R15" s="359">
        <f t="shared" si="1"/>
        <v>0</v>
      </c>
      <c r="T15" s="761" t="str">
        <f>ASC($A$14&amp;$K15)</f>
        <v>2B</v>
      </c>
      <c r="U15" s="762"/>
      <c r="V15" s="139" t="s">
        <v>7</v>
      </c>
      <c r="W15" s="62" t="str">
        <f>IF(D14&gt;=O18,"OK","ERR")</f>
        <v>OK</v>
      </c>
    </row>
    <row r="16" spans="1:23" s="44" customFormat="1" ht="18" customHeight="1" thickBot="1" thickTop="1">
      <c r="A16" s="865"/>
      <c r="B16" s="1088"/>
      <c r="C16" s="1088"/>
      <c r="D16" s="1088"/>
      <c r="E16" s="1091"/>
      <c r="F16" s="455"/>
      <c r="G16" s="456"/>
      <c r="H16" s="449">
        <f t="shared" si="2"/>
      </c>
      <c r="I16" s="450">
        <f t="shared" si="0"/>
      </c>
      <c r="J16" s="451">
        <f>IF(H16="","",MIN(H16,I16))</f>
      </c>
      <c r="K16" s="132" t="s">
        <v>81</v>
      </c>
      <c r="L16" s="231">
        <v>2814</v>
      </c>
      <c r="M16" s="371"/>
      <c r="N16" s="372"/>
      <c r="O16" s="354">
        <f>SUMIF('2-2_算定表⑤(新・新制度)'!$AJ:$AJ,$T16,'2-2_算定表⑤(新・新制度)'!$AK:$AK)</f>
        <v>0</v>
      </c>
      <c r="P16" s="130">
        <f>SUMIF('2-2_算定表⑤(新・新制度)'!$AJ:$AJ,$T16,'2-2_算定表⑤(新・新制度)'!$AE:$AE)</f>
        <v>0</v>
      </c>
      <c r="Q16" s="358">
        <f t="shared" si="1"/>
        <v>0</v>
      </c>
      <c r="R16" s="359">
        <f t="shared" si="1"/>
        <v>0</v>
      </c>
      <c r="T16" s="135" t="str">
        <f>ASC($A$14&amp;$K16)</f>
        <v>2C</v>
      </c>
      <c r="U16" s="253"/>
      <c r="V16" s="139" t="s">
        <v>8</v>
      </c>
      <c r="W16" s="62" t="str">
        <f>IF(D19&gt;=O23,"OK","ERR")</f>
        <v>OK</v>
      </c>
    </row>
    <row r="17" spans="1:20" s="44" customFormat="1" ht="18" customHeight="1" thickBot="1">
      <c r="A17" s="865"/>
      <c r="B17" s="1088"/>
      <c r="C17" s="1088"/>
      <c r="D17" s="1088"/>
      <c r="E17" s="1091"/>
      <c r="F17" s="455"/>
      <c r="G17" s="456"/>
      <c r="H17" s="449"/>
      <c r="I17" s="450"/>
      <c r="J17" s="451"/>
      <c r="K17" s="101" t="s">
        <v>152</v>
      </c>
      <c r="L17" s="232" t="s">
        <v>134</v>
      </c>
      <c r="M17" s="369"/>
      <c r="N17" s="380"/>
      <c r="O17" s="352">
        <f>SUMIF('2-2_算定表⑤(新・新制度)'!$AJ:$AJ,$T17,'2-2_算定表⑤(新・新制度)'!$AK:$AK)</f>
        <v>0</v>
      </c>
      <c r="P17" s="130">
        <f>SUMIF('2-2_算定表⑤(新・新制度)'!$AJ:$AJ,$T17,'2-2_算定表⑤(新・新制度)'!$AE:$AE)</f>
        <v>0</v>
      </c>
      <c r="Q17" s="358">
        <f t="shared" si="1"/>
        <v>0</v>
      </c>
      <c r="R17" s="359">
        <f t="shared" si="1"/>
        <v>0</v>
      </c>
      <c r="T17" s="135" t="str">
        <f>ASC($A$14&amp;$K17)</f>
        <v>2D</v>
      </c>
    </row>
    <row r="18" spans="1:22" s="44" customFormat="1" ht="18" customHeight="1" thickBot="1">
      <c r="A18" s="867"/>
      <c r="B18" s="1088"/>
      <c r="C18" s="1088"/>
      <c r="D18" s="1088"/>
      <c r="E18" s="1092"/>
      <c r="F18" s="457"/>
      <c r="G18" s="458"/>
      <c r="H18" s="452">
        <f t="shared" si="2"/>
      </c>
      <c r="I18" s="453">
        <f t="shared" si="0"/>
      </c>
      <c r="J18" s="454">
        <f>IF(H18="","",MIN(H18,I18))</f>
      </c>
      <c r="K18" s="848" t="s">
        <v>100</v>
      </c>
      <c r="L18" s="849"/>
      <c r="M18" s="360">
        <f aca="true" t="shared" si="4" ref="M18:R18">SUM(M14:M17)</f>
        <v>0</v>
      </c>
      <c r="N18" s="361">
        <f t="shared" si="4"/>
        <v>0</v>
      </c>
      <c r="O18" s="360">
        <f t="shared" si="4"/>
        <v>0</v>
      </c>
      <c r="P18" s="138">
        <f t="shared" si="4"/>
        <v>0</v>
      </c>
      <c r="Q18" s="362">
        <f t="shared" si="4"/>
        <v>0</v>
      </c>
      <c r="R18" s="363">
        <f t="shared" si="4"/>
        <v>0</v>
      </c>
      <c r="V18" s="55"/>
    </row>
    <row r="19" spans="1:22" s="44" customFormat="1" ht="18" customHeight="1" thickBot="1">
      <c r="A19" s="866">
        <v>3</v>
      </c>
      <c r="B19" s="1088"/>
      <c r="C19" s="1088"/>
      <c r="D19" s="1088"/>
      <c r="E19" s="1090"/>
      <c r="F19" s="455"/>
      <c r="G19" s="456"/>
      <c r="H19" s="449">
        <f>IF(F19="","",IF(ISERROR(F19+ROUNDDOWN(G19*3/74,0)),"",F19+ROUNDDOWN(G19*3/74,0)))</f>
      </c>
      <c r="I19" s="450">
        <f>IF(H19="","",IF(H19&gt;10032,10032,H19))</f>
      </c>
      <c r="J19" s="451">
        <f>IF(H19="","",MIN(H19,I19))</f>
      </c>
      <c r="K19" s="129" t="s">
        <v>74</v>
      </c>
      <c r="L19" s="71">
        <v>1532</v>
      </c>
      <c r="M19" s="369"/>
      <c r="N19" s="370"/>
      <c r="O19" s="552">
        <f>SUMIF('2-2_算定表⑤(新・新制度)'!$AJ:$AJ,$T19,'2-2_算定表⑤(新・新制度)'!$AK:$AK)</f>
        <v>0</v>
      </c>
      <c r="P19" s="130">
        <f>SUMIF('2-2_算定表⑤(新・新制度)'!$AJ:$AJ,$T19,'2-2_算定表⑤(新・新制度)'!$AE:$AE)</f>
        <v>0</v>
      </c>
      <c r="Q19" s="381">
        <f t="shared" si="1"/>
        <v>0</v>
      </c>
      <c r="R19" s="382">
        <f t="shared" si="1"/>
        <v>0</v>
      </c>
      <c r="T19" s="131" t="str">
        <f>ASC($A$19&amp;$K19)</f>
        <v>3A</v>
      </c>
      <c r="V19" s="55" t="s">
        <v>10</v>
      </c>
    </row>
    <row r="20" spans="1:23" s="44" customFormat="1" ht="18" customHeight="1" thickBot="1" thickTop="1">
      <c r="A20" s="865"/>
      <c r="B20" s="1088"/>
      <c r="C20" s="1088"/>
      <c r="D20" s="1088"/>
      <c r="E20" s="1091"/>
      <c r="F20" s="455"/>
      <c r="G20" s="456"/>
      <c r="H20" s="449">
        <f>IF(F20="","",IF(ISERROR(F20+ROUNDDOWN(G20*3/74,0)),"",F20+ROUNDDOWN(G20*3/74,0)))</f>
      </c>
      <c r="I20" s="450">
        <f>IF(H20="","",IF(H20&gt;10032,10032,H20))</f>
      </c>
      <c r="J20" s="451">
        <f>IF(H20="","",MIN(H20,I20))</f>
      </c>
      <c r="K20" s="132" t="s">
        <v>80</v>
      </c>
      <c r="L20" s="230">
        <v>1532</v>
      </c>
      <c r="M20" s="371"/>
      <c r="N20" s="372"/>
      <c r="O20" s="354">
        <f>SUMIF('2-2_算定表⑤(新・新制度)'!$AJ:$AJ,$T20,'2-2_算定表⑤(新・新制度)'!$AK:$AK)</f>
        <v>0</v>
      </c>
      <c r="P20" s="130">
        <f>SUMIF('2-2_算定表⑤(新・新制度)'!$AJ:$AJ,$T20,'2-2_算定表⑤(新・新制度)'!$AE:$AE)</f>
        <v>0</v>
      </c>
      <c r="Q20" s="358">
        <f t="shared" si="1"/>
        <v>0</v>
      </c>
      <c r="R20" s="359">
        <f t="shared" si="1"/>
        <v>0</v>
      </c>
      <c r="T20" s="135" t="str">
        <f>ASC($A$19&amp;$K20)</f>
        <v>3B</v>
      </c>
      <c r="V20" s="55" t="s">
        <v>42</v>
      </c>
      <c r="W20" s="62" t="str">
        <f>IF(O28=SUM('2-2_算定表⑤(新・新制度)'!AK8:AK44),"OK","ERR")</f>
        <v>OK</v>
      </c>
    </row>
    <row r="21" spans="1:23" s="44" customFormat="1" ht="18" customHeight="1" thickBot="1" thickTop="1">
      <c r="A21" s="865"/>
      <c r="B21" s="1088"/>
      <c r="C21" s="1088"/>
      <c r="D21" s="1088"/>
      <c r="E21" s="1091"/>
      <c r="F21" s="455"/>
      <c r="G21" s="456"/>
      <c r="H21" s="449">
        <f>IF(F21="","",IF(ISERROR(F21+ROUNDDOWN(G21*3/74,0)),"",F21+ROUNDDOWN(G21*3/74,0)))</f>
      </c>
      <c r="I21" s="450">
        <f>IF(H21="","",IF(H21&gt;10032,10032,H21))</f>
      </c>
      <c r="J21" s="451">
        <f>IF(H21="","",MIN(H21,I21))</f>
      </c>
      <c r="K21" s="132" t="s">
        <v>81</v>
      </c>
      <c r="L21" s="231">
        <v>2814</v>
      </c>
      <c r="M21" s="371"/>
      <c r="N21" s="372"/>
      <c r="O21" s="354">
        <f>SUMIF('2-2_算定表⑤(新・新制度)'!$AJ:$AJ,$T21,'2-2_算定表⑤(新・新制度)'!$AK:$AK)</f>
        <v>0</v>
      </c>
      <c r="P21" s="130">
        <f>SUMIF('2-2_算定表⑤(新・新制度)'!$AJ:$AJ,$T21,'2-2_算定表⑤(新・新制度)'!$AE:$AE)</f>
        <v>0</v>
      </c>
      <c r="Q21" s="358">
        <f t="shared" si="1"/>
        <v>0</v>
      </c>
      <c r="R21" s="359">
        <f t="shared" si="1"/>
        <v>0</v>
      </c>
      <c r="T21" s="135" t="str">
        <f>ASC($A$19&amp;$K21)</f>
        <v>3C</v>
      </c>
      <c r="U21" s="253"/>
      <c r="V21" s="55" t="s">
        <v>9</v>
      </c>
      <c r="W21" s="62" t="str">
        <f>IF(P28='2-2_算定表⑤(新・新制度)'!AE45,"OK","ERR")</f>
        <v>OK</v>
      </c>
    </row>
    <row r="22" spans="1:20" s="44" customFormat="1" ht="18" customHeight="1" thickBot="1">
      <c r="A22" s="865"/>
      <c r="B22" s="1088"/>
      <c r="C22" s="1088"/>
      <c r="D22" s="1088"/>
      <c r="E22" s="1091"/>
      <c r="F22" s="455"/>
      <c r="G22" s="456"/>
      <c r="H22" s="449"/>
      <c r="I22" s="450"/>
      <c r="J22" s="451"/>
      <c r="K22" s="101" t="s">
        <v>152</v>
      </c>
      <c r="L22" s="232" t="s">
        <v>134</v>
      </c>
      <c r="M22" s="369"/>
      <c r="N22" s="380"/>
      <c r="O22" s="352">
        <f>SUMIF('2-2_算定表⑤(新・新制度)'!$AJ:$AJ,$T22,'2-2_算定表⑤(新・新制度)'!$AK:$AK)</f>
        <v>0</v>
      </c>
      <c r="P22" s="130">
        <f>SUMIF('2-2_算定表⑤(新・新制度)'!$AJ:$AJ,$T22,'2-2_算定表⑤(新・新制度)'!$AE:$AE)</f>
        <v>0</v>
      </c>
      <c r="Q22" s="358">
        <f t="shared" si="1"/>
        <v>0</v>
      </c>
      <c r="R22" s="359">
        <f t="shared" si="1"/>
        <v>0</v>
      </c>
      <c r="T22" s="135" t="str">
        <f>ASC($A$19&amp;$K22)</f>
        <v>3D</v>
      </c>
    </row>
    <row r="23" spans="1:22" s="44" customFormat="1" ht="18" customHeight="1" thickBot="1">
      <c r="A23" s="867"/>
      <c r="B23" s="1088"/>
      <c r="C23" s="1088"/>
      <c r="D23" s="1088"/>
      <c r="E23" s="1092"/>
      <c r="F23" s="457"/>
      <c r="G23" s="458"/>
      <c r="H23" s="452">
        <f>IF(F23="","",IF(ISERROR(F23+ROUNDDOWN(G23*3/74,0)),"",F23+ROUNDDOWN(G23*3/74,0)))</f>
      </c>
      <c r="I23" s="453">
        <f>IF(H23="","",IF(H23&gt;10032,10032,H23))</f>
      </c>
      <c r="J23" s="454">
        <f>IF(H23="","",MIN(H23,I23))</f>
      </c>
      <c r="K23" s="848" t="s">
        <v>101</v>
      </c>
      <c r="L23" s="849"/>
      <c r="M23" s="360">
        <f aca="true" t="shared" si="5" ref="M23:R23">SUM(M19:M22)</f>
        <v>0</v>
      </c>
      <c r="N23" s="361">
        <f t="shared" si="5"/>
        <v>0</v>
      </c>
      <c r="O23" s="360">
        <f t="shared" si="5"/>
        <v>0</v>
      </c>
      <c r="P23" s="138">
        <f t="shared" si="5"/>
        <v>0</v>
      </c>
      <c r="Q23" s="362">
        <f t="shared" si="5"/>
        <v>0</v>
      </c>
      <c r="R23" s="363">
        <f t="shared" si="5"/>
        <v>0</v>
      </c>
      <c r="V23" s="55"/>
    </row>
    <row r="24" spans="1:18" s="44" customFormat="1" ht="18" customHeight="1" thickBot="1">
      <c r="A24" s="850" t="s">
        <v>24</v>
      </c>
      <c r="B24" s="853">
        <f>SUM(B9:B23)</f>
        <v>0</v>
      </c>
      <c r="C24" s="853">
        <f>SUM(C9:C23)</f>
        <v>0</v>
      </c>
      <c r="D24" s="854">
        <f>SUM(D9:D23)</f>
        <v>0</v>
      </c>
      <c r="E24" s="854">
        <f>SUM(E9:E23)</f>
        <v>0</v>
      </c>
      <c r="F24" s="857"/>
      <c r="G24" s="845"/>
      <c r="H24" s="846"/>
      <c r="I24" s="847"/>
      <c r="J24" s="847"/>
      <c r="K24" s="252" t="s">
        <v>74</v>
      </c>
      <c r="L24" s="71">
        <v>1532</v>
      </c>
      <c r="M24" s="367">
        <f aca="true" t="shared" si="6" ref="M24:N27">SUM(M9,M14,M19)</f>
        <v>0</v>
      </c>
      <c r="N24" s="353">
        <f t="shared" si="6"/>
        <v>0</v>
      </c>
      <c r="O24" s="367">
        <f aca="true" t="shared" si="7" ref="O24:R27">SUM(O9,O14,O19)</f>
        <v>0</v>
      </c>
      <c r="P24" s="130">
        <f t="shared" si="7"/>
        <v>0</v>
      </c>
      <c r="Q24" s="383">
        <f t="shared" si="7"/>
        <v>0</v>
      </c>
      <c r="R24" s="384">
        <f t="shared" si="7"/>
        <v>0</v>
      </c>
    </row>
    <row r="25" spans="1:22" s="44" customFormat="1" ht="18" customHeight="1" thickBot="1">
      <c r="A25" s="851"/>
      <c r="B25" s="853"/>
      <c r="C25" s="853"/>
      <c r="D25" s="855"/>
      <c r="E25" s="855"/>
      <c r="F25" s="857"/>
      <c r="G25" s="845"/>
      <c r="H25" s="846"/>
      <c r="I25" s="847"/>
      <c r="J25" s="847"/>
      <c r="K25" s="132" t="s">
        <v>80</v>
      </c>
      <c r="L25" s="133">
        <v>1532</v>
      </c>
      <c r="M25" s="368">
        <f t="shared" si="6"/>
        <v>0</v>
      </c>
      <c r="N25" s="357">
        <f t="shared" si="6"/>
        <v>0</v>
      </c>
      <c r="O25" s="368">
        <f t="shared" si="7"/>
        <v>0</v>
      </c>
      <c r="P25" s="134">
        <f t="shared" si="7"/>
        <v>0</v>
      </c>
      <c r="Q25" s="354">
        <f t="shared" si="7"/>
        <v>0</v>
      </c>
      <c r="R25" s="355">
        <f t="shared" si="7"/>
        <v>0</v>
      </c>
      <c r="V25" s="55"/>
    </row>
    <row r="26" spans="1:18" s="44" customFormat="1" ht="18" customHeight="1" thickBot="1">
      <c r="A26" s="851"/>
      <c r="B26" s="853"/>
      <c r="C26" s="853"/>
      <c r="D26" s="855"/>
      <c r="E26" s="855"/>
      <c r="F26" s="857"/>
      <c r="G26" s="845"/>
      <c r="H26" s="846"/>
      <c r="I26" s="847"/>
      <c r="J26" s="847"/>
      <c r="K26" s="132" t="s">
        <v>81</v>
      </c>
      <c r="L26" s="229">
        <v>2814</v>
      </c>
      <c r="M26" s="368">
        <f t="shared" si="6"/>
        <v>0</v>
      </c>
      <c r="N26" s="357">
        <f t="shared" si="6"/>
        <v>0</v>
      </c>
      <c r="O26" s="368">
        <f t="shared" si="7"/>
        <v>0</v>
      </c>
      <c r="P26" s="134">
        <f t="shared" si="7"/>
        <v>0</v>
      </c>
      <c r="Q26" s="354">
        <f t="shared" si="7"/>
        <v>0</v>
      </c>
      <c r="R26" s="355">
        <f t="shared" si="7"/>
        <v>0</v>
      </c>
    </row>
    <row r="27" spans="1:18" s="44" customFormat="1" ht="18" customHeight="1" thickBot="1">
      <c r="A27" s="851"/>
      <c r="B27" s="853"/>
      <c r="C27" s="853"/>
      <c r="D27" s="855"/>
      <c r="E27" s="855"/>
      <c r="F27" s="857"/>
      <c r="G27" s="845"/>
      <c r="H27" s="846"/>
      <c r="I27" s="847"/>
      <c r="J27" s="847"/>
      <c r="K27" s="101" t="s">
        <v>152</v>
      </c>
      <c r="L27" s="232" t="s">
        <v>134</v>
      </c>
      <c r="M27" s="367">
        <f t="shared" si="6"/>
        <v>0</v>
      </c>
      <c r="N27" s="385">
        <f t="shared" si="6"/>
        <v>0</v>
      </c>
      <c r="O27" s="367">
        <f t="shared" si="7"/>
        <v>0</v>
      </c>
      <c r="P27" s="239">
        <f t="shared" si="7"/>
        <v>0</v>
      </c>
      <c r="Q27" s="358">
        <f t="shared" si="7"/>
        <v>0</v>
      </c>
      <c r="R27" s="359">
        <f t="shared" si="7"/>
        <v>0</v>
      </c>
    </row>
    <row r="28" spans="1:19" s="44" customFormat="1" ht="18" customHeight="1" thickBot="1">
      <c r="A28" s="852"/>
      <c r="B28" s="853"/>
      <c r="C28" s="853"/>
      <c r="D28" s="856"/>
      <c r="E28" s="856"/>
      <c r="F28" s="857"/>
      <c r="G28" s="845"/>
      <c r="H28" s="846"/>
      <c r="I28" s="847"/>
      <c r="J28" s="847"/>
      <c r="K28" s="848" t="s">
        <v>135</v>
      </c>
      <c r="L28" s="849"/>
      <c r="M28" s="360">
        <f aca="true" t="shared" si="8" ref="M28:R28">SUM(M24:M27)</f>
        <v>0</v>
      </c>
      <c r="N28" s="361">
        <f t="shared" si="8"/>
        <v>0</v>
      </c>
      <c r="O28" s="360">
        <f t="shared" si="8"/>
        <v>0</v>
      </c>
      <c r="P28" s="138">
        <f t="shared" si="8"/>
        <v>0</v>
      </c>
      <c r="Q28" s="362">
        <f t="shared" si="8"/>
        <v>0</v>
      </c>
      <c r="R28" s="363">
        <f t="shared" si="8"/>
        <v>0</v>
      </c>
      <c r="S28" s="146"/>
    </row>
    <row r="29" spans="1:18" s="284" customFormat="1" ht="11.25" customHeight="1">
      <c r="A29" s="279" t="s">
        <v>26</v>
      </c>
      <c r="B29" s="280"/>
      <c r="C29" s="280"/>
      <c r="D29" s="280"/>
      <c r="E29" s="280"/>
      <c r="F29" s="281"/>
      <c r="G29" s="281"/>
      <c r="H29" s="281"/>
      <c r="I29" s="281"/>
      <c r="J29" s="281"/>
      <c r="K29" s="282"/>
      <c r="L29" s="282"/>
      <c r="M29" s="280"/>
      <c r="N29" s="283"/>
      <c r="O29" s="280"/>
      <c r="P29" s="283"/>
      <c r="Q29" s="283"/>
      <c r="R29" s="283"/>
    </row>
    <row r="30" s="284" customFormat="1" ht="11.25" customHeight="1">
      <c r="A30" s="285" t="s">
        <v>129</v>
      </c>
    </row>
    <row r="31" s="286" customFormat="1" ht="11.25" customHeight="1">
      <c r="A31" s="285" t="s">
        <v>200</v>
      </c>
    </row>
    <row r="32" s="284" customFormat="1" ht="11.25" customHeight="1">
      <c r="A32" s="285" t="s">
        <v>201</v>
      </c>
    </row>
    <row r="33" s="286" customFormat="1" ht="11.25" customHeight="1">
      <c r="A33" s="285" t="s">
        <v>2</v>
      </c>
    </row>
    <row r="34" s="286" customFormat="1" ht="11.25" customHeight="1">
      <c r="A34" s="279" t="s">
        <v>130</v>
      </c>
    </row>
    <row r="35" spans="1:9" s="286" customFormat="1" ht="11.25" customHeight="1">
      <c r="A35" s="279" t="s">
        <v>131</v>
      </c>
      <c r="E35" s="291"/>
      <c r="F35" s="291"/>
      <c r="G35" s="291"/>
      <c r="H35" s="291"/>
      <c r="I35" s="291"/>
    </row>
    <row r="36" s="286" customFormat="1" ht="11.25" customHeight="1">
      <c r="A36" s="285" t="s">
        <v>3</v>
      </c>
    </row>
    <row r="37" s="286" customFormat="1" ht="11.25" customHeight="1">
      <c r="A37" s="279" t="s">
        <v>187</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I5:I6"/>
    <mergeCell ref="J5:J6"/>
    <mergeCell ref="A6:A7"/>
    <mergeCell ref="A9:A13"/>
    <mergeCell ref="B9:B13"/>
    <mergeCell ref="C9:C13"/>
    <mergeCell ref="D9:D13"/>
    <mergeCell ref="E9:E13"/>
    <mergeCell ref="B5:B6"/>
    <mergeCell ref="E5:E6"/>
    <mergeCell ref="K23:L23"/>
    <mergeCell ref="K13:L13"/>
    <mergeCell ref="A14:A18"/>
    <mergeCell ref="B14:B18"/>
    <mergeCell ref="C14:C18"/>
    <mergeCell ref="D14:D18"/>
    <mergeCell ref="E14:E18"/>
    <mergeCell ref="K18:L18"/>
    <mergeCell ref="H5:H6"/>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 ref="Q5:R5"/>
    <mergeCell ref="K5:N5"/>
    <mergeCell ref="O5:P5"/>
    <mergeCell ref="L2:M2"/>
    <mergeCell ref="N2:O2"/>
    <mergeCell ref="P2:Q2"/>
    <mergeCell ref="L3:M3"/>
    <mergeCell ref="N3:O3"/>
    <mergeCell ref="P3:Q3"/>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N59"/>
  <sheetViews>
    <sheetView tabSelected="1" view="pageBreakPreview" zoomScale="85" zoomScaleNormal="75" zoomScaleSheetLayoutView="85" zoomScalePageLayoutView="0" workbookViewId="0" topLeftCell="A1">
      <selection activeCell="T27" sqref="T27"/>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0.375" style="40" hidden="1" customWidth="1"/>
    <col min="7" max="7" width="12.25390625" style="40" customWidth="1"/>
    <col min="8" max="8" width="12.375" style="40" customWidth="1"/>
    <col min="9" max="9" width="12.25390625" style="40" bestFit="1" customWidth="1"/>
    <col min="10" max="10" width="7.125" style="40" bestFit="1" customWidth="1"/>
    <col min="11" max="12" width="10.375" style="40" hidden="1" customWidth="1"/>
    <col min="13" max="13" width="14.125" style="40" bestFit="1" customWidth="1"/>
    <col min="14" max="14" width="13.125" style="40" bestFit="1" customWidth="1"/>
    <col min="15" max="15" width="6.125" style="40" customWidth="1"/>
    <col min="16" max="16" width="10.00390625" style="40" customWidth="1"/>
    <col min="17" max="17" width="5.25390625" style="40" customWidth="1"/>
    <col min="18" max="18" width="10.00390625" style="40" customWidth="1"/>
    <col min="19" max="19" width="10.75390625" style="40" customWidth="1"/>
    <col min="20" max="20" width="10.625" style="40" customWidth="1"/>
    <col min="21" max="21" width="10.875" style="40" customWidth="1"/>
    <col min="22" max="22" width="12.50390625" style="40" customWidth="1"/>
    <col min="23" max="23" width="13.25390625" style="40" customWidth="1"/>
    <col min="24" max="24" width="11.25390625" style="40" customWidth="1"/>
    <col min="25" max="25" width="11.625" style="40" customWidth="1"/>
    <col min="26" max="28" width="11.625" style="40" hidden="1" customWidth="1"/>
    <col min="29" max="30" width="11.25390625" style="40" customWidth="1"/>
    <col min="31" max="31" width="13.00390625" style="40" customWidth="1"/>
    <col min="32" max="32" width="1.37890625" style="40" customWidth="1"/>
    <col min="33" max="33" width="9.125" style="40" customWidth="1"/>
    <col min="34" max="34" width="16.375" style="40" customWidth="1"/>
    <col min="35" max="35" width="3.125" style="40" customWidth="1"/>
    <col min="36" max="36" width="5.625" style="41" customWidth="1"/>
    <col min="37" max="37" width="3.125" style="41" customWidth="1"/>
    <col min="38" max="38" width="3.125" style="40" customWidth="1"/>
    <col min="39" max="39" width="8.25390625" style="40" customWidth="1"/>
    <col min="40" max="16384" width="9.625" style="40" customWidth="1"/>
  </cols>
  <sheetData>
    <row r="1" spans="1:37" ht="24.75" customHeight="1" thickBot="1">
      <c r="A1" s="185" t="s">
        <v>398</v>
      </c>
      <c r="B1" s="39"/>
      <c r="Y1" s="160" t="s">
        <v>22</v>
      </c>
      <c r="Z1" s="884">
        <f>'1_総括表'!E3</f>
        <v>0</v>
      </c>
      <c r="AA1" s="885"/>
      <c r="AB1" s="885"/>
      <c r="AC1" s="885"/>
      <c r="AD1" s="886"/>
      <c r="AE1" s="160" t="s">
        <v>23</v>
      </c>
      <c r="AF1" s="1163">
        <f>'1_総括表'!Z3</f>
        <v>0</v>
      </c>
      <c r="AG1" s="1164"/>
      <c r="AH1" s="1165"/>
      <c r="AI1" s="41"/>
      <c r="AJ1" s="40"/>
      <c r="AK1" s="40"/>
    </row>
    <row r="2" spans="1:37" ht="24.75" customHeight="1" thickBot="1">
      <c r="A2" s="42"/>
      <c r="Y2" s="161" t="s">
        <v>20</v>
      </c>
      <c r="Z2" s="1033">
        <f>'1_総括表'!E4</f>
        <v>0</v>
      </c>
      <c r="AA2" s="1166"/>
      <c r="AB2" s="1166"/>
      <c r="AC2" s="1166"/>
      <c r="AD2" s="1167"/>
      <c r="AE2" s="161" t="s">
        <v>21</v>
      </c>
      <c r="AF2" s="1163">
        <f>'1_総括表'!Z4</f>
        <v>0</v>
      </c>
      <c r="AG2" s="1164"/>
      <c r="AH2" s="1165"/>
      <c r="AI2" s="41"/>
      <c r="AJ2" s="40"/>
      <c r="AK2" s="40"/>
    </row>
    <row r="3" spans="1:34" ht="31.5" customHeight="1" thickBot="1">
      <c r="A3" s="275" t="s">
        <v>199</v>
      </c>
      <c r="B3" s="274"/>
      <c r="AG3" s="43"/>
      <c r="AH3" s="43" t="s">
        <v>25</v>
      </c>
    </row>
    <row r="4" spans="1:37" s="44" customFormat="1" ht="22.5" customHeight="1" thickBot="1">
      <c r="A4" s="883" t="s">
        <v>29</v>
      </c>
      <c r="B4" s="878" t="s">
        <v>145</v>
      </c>
      <c r="C4" s="894" t="s">
        <v>98</v>
      </c>
      <c r="D4" s="897" t="s">
        <v>96</v>
      </c>
      <c r="E4" s="899" t="s">
        <v>84</v>
      </c>
      <c r="F4" s="900"/>
      <c r="G4" s="901"/>
      <c r="H4" s="902" t="s">
        <v>90</v>
      </c>
      <c r="I4" s="903"/>
      <c r="J4" s="903"/>
      <c r="K4" s="903"/>
      <c r="L4" s="903"/>
      <c r="M4" s="903"/>
      <c r="N4" s="901"/>
      <c r="O4" s="848" t="s">
        <v>93</v>
      </c>
      <c r="P4" s="849"/>
      <c r="Q4" s="904"/>
      <c r="R4" s="904"/>
      <c r="S4" s="904"/>
      <c r="T4" s="904"/>
      <c r="U4" s="905"/>
      <c r="V4" s="878" t="s">
        <v>1</v>
      </c>
      <c r="W4" s="878" t="s">
        <v>94</v>
      </c>
      <c r="X4" s="878" t="s">
        <v>95</v>
      </c>
      <c r="Y4" s="878" t="s">
        <v>62</v>
      </c>
      <c r="Z4" s="1161" t="s">
        <v>232</v>
      </c>
      <c r="AA4" s="1161" t="s">
        <v>232</v>
      </c>
      <c r="AB4" s="1161" t="s">
        <v>232</v>
      </c>
      <c r="AC4" s="878" t="s">
        <v>368</v>
      </c>
      <c r="AD4" s="878" t="s">
        <v>83</v>
      </c>
      <c r="AE4" s="906" t="s">
        <v>164</v>
      </c>
      <c r="AF4" s="908" t="s">
        <v>4</v>
      </c>
      <c r="AG4" s="909"/>
      <c r="AH4" s="910"/>
      <c r="AJ4" s="917" t="s">
        <v>27</v>
      </c>
      <c r="AK4" s="917" t="s">
        <v>369</v>
      </c>
    </row>
    <row r="5" spans="1:37" s="44" customFormat="1" ht="39" customHeight="1" thickBot="1">
      <c r="A5" s="890"/>
      <c r="B5" s="892"/>
      <c r="C5" s="895"/>
      <c r="D5" s="898"/>
      <c r="E5" s="698"/>
      <c r="F5" s="718" t="s">
        <v>317</v>
      </c>
      <c r="G5" s="1112" t="s">
        <v>68</v>
      </c>
      <c r="H5" s="1114" t="s">
        <v>370</v>
      </c>
      <c r="I5" s="927" t="s">
        <v>371</v>
      </c>
      <c r="J5" s="1116" t="s">
        <v>137</v>
      </c>
      <c r="K5" s="719" t="s">
        <v>232</v>
      </c>
      <c r="L5" s="720" t="s">
        <v>232</v>
      </c>
      <c r="M5" s="1139" t="s">
        <v>136</v>
      </c>
      <c r="N5" s="1112" t="s">
        <v>0</v>
      </c>
      <c r="O5" s="848" t="s">
        <v>163</v>
      </c>
      <c r="P5" s="849"/>
      <c r="Q5" s="848" t="s">
        <v>157</v>
      </c>
      <c r="R5" s="1104"/>
      <c r="S5" s="1105" t="s">
        <v>372</v>
      </c>
      <c r="T5" s="936" t="s">
        <v>92</v>
      </c>
      <c r="U5" s="1107" t="s">
        <v>91</v>
      </c>
      <c r="V5" s="892"/>
      <c r="W5" s="892"/>
      <c r="X5" s="892"/>
      <c r="Y5" s="892"/>
      <c r="Z5" s="1162"/>
      <c r="AA5" s="1162"/>
      <c r="AB5" s="1162"/>
      <c r="AC5" s="892"/>
      <c r="AD5" s="892"/>
      <c r="AE5" s="907"/>
      <c r="AF5" s="1119"/>
      <c r="AG5" s="1120"/>
      <c r="AH5" s="913"/>
      <c r="AJ5" s="1121"/>
      <c r="AK5" s="1121"/>
    </row>
    <row r="6" spans="1:37" s="44" customFormat="1" ht="50.25" customHeight="1">
      <c r="A6" s="890"/>
      <c r="B6" s="892"/>
      <c r="C6" s="895"/>
      <c r="D6" s="1125"/>
      <c r="E6" s="697" t="s">
        <v>125</v>
      </c>
      <c r="F6" s="721" t="s">
        <v>235</v>
      </c>
      <c r="G6" s="1113"/>
      <c r="H6" s="1115"/>
      <c r="I6" s="928"/>
      <c r="J6" s="1117"/>
      <c r="K6" s="488" t="s">
        <v>236</v>
      </c>
      <c r="L6" s="470" t="s">
        <v>237</v>
      </c>
      <c r="M6" s="1140"/>
      <c r="N6" s="1113"/>
      <c r="O6" s="1158" t="s">
        <v>15</v>
      </c>
      <c r="P6" s="302" t="s">
        <v>147</v>
      </c>
      <c r="Q6" s="1158" t="s">
        <v>15</v>
      </c>
      <c r="R6" s="302" t="s">
        <v>147</v>
      </c>
      <c r="S6" s="1106"/>
      <c r="T6" s="937"/>
      <c r="U6" s="1108"/>
      <c r="V6" s="967"/>
      <c r="W6" s="890"/>
      <c r="X6" s="892"/>
      <c r="Y6" s="890"/>
      <c r="Z6" s="722" t="s">
        <v>238</v>
      </c>
      <c r="AA6" s="722" t="s">
        <v>239</v>
      </c>
      <c r="AB6" s="722" t="s">
        <v>373</v>
      </c>
      <c r="AC6" s="890"/>
      <c r="AD6" s="890"/>
      <c r="AE6" s="1118"/>
      <c r="AF6" s="911"/>
      <c r="AG6" s="912"/>
      <c r="AH6" s="913"/>
      <c r="AJ6" s="918"/>
      <c r="AK6" s="918"/>
    </row>
    <row r="7" spans="1:37" s="44" customFormat="1" ht="17.25" customHeight="1" thickBot="1">
      <c r="A7" s="890"/>
      <c r="B7" s="892"/>
      <c r="C7" s="895"/>
      <c r="D7" s="479" t="s">
        <v>374</v>
      </c>
      <c r="E7" s="488" t="s">
        <v>375</v>
      </c>
      <c r="F7" s="487"/>
      <c r="G7" s="478" t="s">
        <v>376</v>
      </c>
      <c r="H7" s="476" t="s">
        <v>377</v>
      </c>
      <c r="I7" s="486" t="s">
        <v>378</v>
      </c>
      <c r="J7" s="470" t="s">
        <v>379</v>
      </c>
      <c r="K7" s="488"/>
      <c r="L7" s="470"/>
      <c r="M7" s="694" t="s">
        <v>380</v>
      </c>
      <c r="N7" s="693" t="s">
        <v>381</v>
      </c>
      <c r="O7" s="1159"/>
      <c r="P7" s="723" t="s">
        <v>382</v>
      </c>
      <c r="Q7" s="1159"/>
      <c r="R7" s="723" t="s">
        <v>383</v>
      </c>
      <c r="S7" s="724" t="s">
        <v>384</v>
      </c>
      <c r="T7" s="540" t="s">
        <v>385</v>
      </c>
      <c r="U7" s="477" t="s">
        <v>386</v>
      </c>
      <c r="V7" s="472" t="s">
        <v>387</v>
      </c>
      <c r="W7" s="472" t="s">
        <v>388</v>
      </c>
      <c r="X7" s="472" t="s">
        <v>389</v>
      </c>
      <c r="Y7" s="472" t="s">
        <v>390</v>
      </c>
      <c r="Z7" s="469"/>
      <c r="AA7" s="469"/>
      <c r="AB7" s="469" t="s">
        <v>391</v>
      </c>
      <c r="AC7" s="472" t="s">
        <v>392</v>
      </c>
      <c r="AD7" s="472" t="s">
        <v>393</v>
      </c>
      <c r="AE7" s="475" t="s">
        <v>394</v>
      </c>
      <c r="AF7" s="911"/>
      <c r="AG7" s="912"/>
      <c r="AH7" s="913"/>
      <c r="AJ7" s="920"/>
      <c r="AK7" s="920"/>
    </row>
    <row r="8" spans="1:40" s="53" customFormat="1" ht="18.75" customHeight="1" thickBot="1">
      <c r="A8" s="725">
        <f>IF(B8="","",ROW($A8)-ROW($A$7))</f>
      </c>
      <c r="B8" s="726"/>
      <c r="C8" s="727"/>
      <c r="D8" s="728"/>
      <c r="E8" s="729"/>
      <c r="F8" s="227"/>
      <c r="G8" s="730">
        <f>IF(A8="","",IF(F8&gt;30,30,F8))</f>
      </c>
      <c r="H8" s="397">
        <f>IF(A8="","",(D8*G8))</f>
      </c>
      <c r="I8" s="607"/>
      <c r="J8" s="610"/>
      <c r="K8" s="609"/>
      <c r="L8" s="610"/>
      <c r="M8" s="397">
        <f>IF(A8="","",ROUNDDOWN((I8*K8/12+H8),0))</f>
      </c>
      <c r="N8" s="611">
        <f>IF(A8="","",ROUNDDOWN(10032*G8*(K8/J8),0))</f>
      </c>
      <c r="O8" s="731"/>
      <c r="P8" s="398">
        <f>IF($H8="","",IF($O8="Ａ",LOOKUP($D8,{8000,8500,9000,10000,10032,12000},{0,1532,1032,32,0,0}),IF($O8="Ｂ",LOOKUP($D8,{8000,8500,9000,10000,10032,12000},{0,1532,1032,408,408,408}),IF($O8="Ｃ",LOOKUP($D8,{8000,8500,9000,10000,10032,12000},{782,2814,2814,2814,2814,2814}),0))))</f>
      </c>
      <c r="Q8" s="439"/>
      <c r="R8" s="613">
        <f>IF($H8="","",IF($Q8="Ａ",LOOKUP($D8,{8000,8500,9000,10000,10032,12000},{0,1532,1032,32,0,0}),IF($Q8="Ｂ",LOOKUP($D8,{8000,8500,9000,10000,10032,12000},{0,1532,1032,408,408,408}),IF($Q8="Ｃ",LOOKUP($D8,{8000,8500,9000,10000,10032,12000},{782,2814,2814,2814,2814,2814}),0))))</f>
      </c>
      <c r="S8" s="420">
        <f>IF(L8&gt;=7,R8,IF(AND(J8+L8&lt;=7,L8&gt;=4),P8,IF(ISERROR(ROUNDUP(P8*3/12+R8*9/12,0)),"",ROUNDUP(P8*3/12+R8*9/12,0))))</f>
      </c>
      <c r="T8" s="401">
        <f>IF(B8="","",SUMIF('2-3_調整額内訳⑤(新・新制度)'!B:B,$B8,'2-3_調整額内訳⑤(新・新制度)'!AF:AF))</f>
      </c>
      <c r="U8" s="665">
        <f aca="true" t="shared" si="0" ref="U8:U44">IF(B8="","",SUM(S8:T8))</f>
      </c>
      <c r="V8" s="401">
        <f aca="true" t="shared" si="1" ref="V8:V44">IF(B8="","",ROUNDDOWN(U8*G8,0))</f>
      </c>
      <c r="W8" s="665">
        <f aca="true" t="shared" si="2" ref="W8:W44">IF(M8&gt;=N8,N8,M8)</f>
      </c>
      <c r="X8" s="732"/>
      <c r="Y8" s="665">
        <f aca="true" t="shared" si="3" ref="Y8:Y44">IF(A8="","",IF((M8-W8)&lt;X8,W8-(M8-X8),0))</f>
      </c>
      <c r="Z8" s="732"/>
      <c r="AA8" s="733" t="str">
        <f aca="true" t="shared" si="4" ref="AA8:AA44">_xlfn.IFERROR(D8*(E8-F8)*(K8/J8),"0")</f>
        <v>0</v>
      </c>
      <c r="AB8" s="734">
        <f>_xlfn.IFERROR(IF(AA8-Z8&gt;0,0,AA8-Z8),"0")</f>
        <v>0</v>
      </c>
      <c r="AC8" s="732"/>
      <c r="AD8" s="401">
        <f>IF(B8="","",MAX(0,W8-Y8-AC8))</f>
      </c>
      <c r="AE8" s="735">
        <f aca="true" t="shared" si="5" ref="AE8:AE44">IF(B8="","",IF(MIN(V8,AD8)+AB8&gt;0,MIN(V8,AD8)+AB8,0))</f>
      </c>
      <c r="AF8" s="1160"/>
      <c r="AG8" s="1142"/>
      <c r="AH8" s="1143"/>
      <c r="AJ8" s="54">
        <f aca="true" t="shared" si="6" ref="AJ8:AJ44">IF(A8&gt;0,ASC(C8&amp;Q8),"")</f>
      </c>
      <c r="AK8" s="54">
        <f aca="true" t="shared" si="7" ref="AK8:AK44">IF(B8="","",IF(AE8&gt;0,1,0))</f>
      </c>
      <c r="AM8" s="55" t="s">
        <v>12</v>
      </c>
      <c r="AN8" s="44"/>
    </row>
    <row r="9" spans="1:40" s="53" customFormat="1" ht="18.75" customHeight="1" thickBot="1" thickTop="1">
      <c r="A9" s="736">
        <f>IF(B9="","",ROW($A9)-ROW($A$7))</f>
      </c>
      <c r="B9" s="737"/>
      <c r="C9" s="738"/>
      <c r="D9" s="394"/>
      <c r="E9" s="739"/>
      <c r="F9" s="198"/>
      <c r="G9" s="740">
        <f>IF(A9="","",IF(F9&gt;30,30,F9))</f>
      </c>
      <c r="H9" s="395">
        <f>IF(A9="","",(D9*G9))</f>
      </c>
      <c r="I9" s="621"/>
      <c r="J9" s="105"/>
      <c r="K9" s="623"/>
      <c r="L9" s="105"/>
      <c r="M9" s="395">
        <f>IF(A9="","",ROUNDDOWN((I9*K9/12+H9),0))</f>
      </c>
      <c r="N9" s="624">
        <f>IF(A9="","",ROUNDDOWN(10032*G9*(K9/J9),0))</f>
      </c>
      <c r="O9" s="741"/>
      <c r="P9" s="399">
        <f>IF($H9="","",IF($O9="Ａ",LOOKUP($D9,{8000,8500,9000,10000,10032,12000},{0,1532,1032,32,0,0}),IF($O9="Ｂ",LOOKUP($D9,{8000,8500,9000,10000,10032,12000},{0,1532,1032,408,408,408}),IF($O9="Ｃ",LOOKUP($D9,{8000,8500,9000,10000,10032,12000},{782,2814,2814,2814,2814,2814}),0))))</f>
      </c>
      <c r="Q9" s="441"/>
      <c r="R9" s="626">
        <f>IF($H9="","",IF($Q9="Ａ",LOOKUP($D9,{8000,8500,9000,10000,10032,12000},{0,1532,1032,32,0,0}),IF($Q9="Ｂ",LOOKUP($D9,{8000,8500,9000,10000,10032,12000},{0,1532,1032,408,408,408}),IF($Q9="Ｃ",LOOKUP($D9,{8000,8500,9000,10000,10032,12000},{782,2814,2814,2814,2814,2814}),0))))</f>
      </c>
      <c r="S9" s="402">
        <f>IF(L9&gt;=7,R9,IF(AND(J9+L9&lt;=7,L9&gt;=4),P9,IF(ISERROR(ROUNDUP(P9*3/12+R9*9/12,0)),"",ROUNDUP(P9*3/12+R9*9/12,0))))</f>
      </c>
      <c r="T9" s="404">
        <f>IF(B9="","",SUMIF('2-3_調整額内訳⑤(新・新制度)'!B:B,$B9,'2-3_調整額内訳⑤(新・新制度)'!AF:AF))</f>
      </c>
      <c r="U9" s="403">
        <f t="shared" si="0"/>
      </c>
      <c r="V9" s="404">
        <f t="shared" si="1"/>
      </c>
      <c r="W9" s="403">
        <f t="shared" si="2"/>
      </c>
      <c r="X9" s="405"/>
      <c r="Y9" s="403">
        <f t="shared" si="3"/>
      </c>
      <c r="Z9" s="405"/>
      <c r="AA9" s="742" t="str">
        <f t="shared" si="4"/>
        <v>0</v>
      </c>
      <c r="AB9" s="743">
        <f>_xlfn.IFERROR(IF(AA9-Z9&gt;0,0,AA9-Z9),"0")</f>
        <v>0</v>
      </c>
      <c r="AC9" s="405"/>
      <c r="AD9" s="404">
        <f aca="true" t="shared" si="8" ref="AD9:AD44">IF(B9="","",MAX(0,W9-Y9-AC9))</f>
      </c>
      <c r="AE9" s="744">
        <f t="shared" si="5"/>
      </c>
      <c r="AF9" s="1156"/>
      <c r="AG9" s="1145"/>
      <c r="AH9" s="1146"/>
      <c r="AJ9" s="61">
        <f t="shared" si="6"/>
      </c>
      <c r="AK9" s="61">
        <f t="shared" si="7"/>
      </c>
      <c r="AM9" s="55" t="s">
        <v>11</v>
      </c>
      <c r="AN9" s="62" t="str">
        <f>IF(T45='2-3_調整額内訳⑤(新・新制度)'!AF39,"OK","ERR")</f>
        <v>OK</v>
      </c>
    </row>
    <row r="10" spans="1:40" s="53" customFormat="1" ht="18.75" customHeight="1" thickTop="1">
      <c r="A10" s="736">
        <f>IF(B10="","",ROW($A10)-ROW($A$7))</f>
      </c>
      <c r="B10" s="737"/>
      <c r="C10" s="738"/>
      <c r="D10" s="394"/>
      <c r="E10" s="739"/>
      <c r="F10" s="198"/>
      <c r="G10" s="740">
        <f>IF(A10="","",IF(F10&gt;30,30,F10))</f>
      </c>
      <c r="H10" s="395">
        <f>IF(A10="","",(D10*G10))</f>
      </c>
      <c r="I10" s="621"/>
      <c r="J10" s="105"/>
      <c r="K10" s="623"/>
      <c r="L10" s="105"/>
      <c r="M10" s="395">
        <f>IF(A10="","",ROUNDDOWN((I10*K10/12+H10),0))</f>
      </c>
      <c r="N10" s="624">
        <f>IF(A10="","",ROUNDDOWN(10032*G10*(K10/J10),0))</f>
      </c>
      <c r="O10" s="741"/>
      <c r="P10" s="399">
        <f>IF($H10="","",IF($O10="Ａ",LOOKUP($D10,{8000,8500,9000,10000,10032,12000},{0,1532,1032,32,0,0}),IF($O10="Ｂ",LOOKUP($D10,{8000,8500,9000,10000,10032,12000},{0,1532,1032,408,408,408}),IF($O10="Ｃ",LOOKUP($D10,{8000,8500,9000,10000,10032,12000},{782,2814,2814,2814,2814,2814}),0))))</f>
      </c>
      <c r="Q10" s="441"/>
      <c r="R10" s="626">
        <f>IF($H10="","",IF($Q10="Ａ",LOOKUP($D10,{8000,8500,9000,10000,10032,12000},{0,1532,1032,32,0,0}),IF($Q10="Ｂ",LOOKUP($D10,{8000,8500,9000,10000,10032,12000},{0,1532,1032,408,408,408}),IF($Q10="Ｃ",LOOKUP($D10,{8000,8500,9000,10000,10032,12000},{782,2814,2814,2814,2814,2814}),0))))</f>
      </c>
      <c r="S10" s="402">
        <f aca="true" t="shared" si="9" ref="S10:S44">IF(L10&gt;=7,R10,IF(AND(J10+L10&lt;=7,L10&gt;=4),P10,IF(ISERROR(ROUNDUP(P10*3/12+R10*9/12,0)),"",ROUNDUP(P10*3/12+R10*9/12,0))))</f>
      </c>
      <c r="T10" s="404">
        <f>IF(B10="","",SUMIF('2-3_調整額内訳⑤(新・新制度)'!B:B,$B10,'2-3_調整額内訳⑤(新・新制度)'!AF:AF))</f>
      </c>
      <c r="U10" s="403">
        <f t="shared" si="0"/>
      </c>
      <c r="V10" s="404">
        <f t="shared" si="1"/>
      </c>
      <c r="W10" s="403">
        <f t="shared" si="2"/>
      </c>
      <c r="X10" s="405"/>
      <c r="Y10" s="403">
        <f t="shared" si="3"/>
      </c>
      <c r="Z10" s="405"/>
      <c r="AA10" s="742" t="str">
        <f t="shared" si="4"/>
        <v>0</v>
      </c>
      <c r="AB10" s="743">
        <f>_xlfn.IFERROR(IF(AA10-Z10&gt;0,0,AA10-Z10),"0")</f>
        <v>0</v>
      </c>
      <c r="AC10" s="405"/>
      <c r="AD10" s="404">
        <f t="shared" si="8"/>
      </c>
      <c r="AE10" s="744">
        <f t="shared" si="5"/>
      </c>
      <c r="AF10" s="1156"/>
      <c r="AG10" s="1145"/>
      <c r="AH10" s="1146"/>
      <c r="AJ10" s="61">
        <f t="shared" si="6"/>
      </c>
      <c r="AK10" s="61">
        <f t="shared" si="7"/>
      </c>
      <c r="AM10" s="55"/>
      <c r="AN10" s="63"/>
    </row>
    <row r="11" spans="1:37" s="53" customFormat="1" ht="18.75" customHeight="1">
      <c r="A11" s="736">
        <f aca="true" t="shared" si="10" ref="A11:A44">IF(B11="","",ROW($A11)-ROW($A$7))</f>
      </c>
      <c r="B11" s="737"/>
      <c r="C11" s="738"/>
      <c r="D11" s="394"/>
      <c r="E11" s="739"/>
      <c r="F11" s="198"/>
      <c r="G11" s="740">
        <f aca="true" t="shared" si="11" ref="G11:G44">IF(A11="","",IF(F11&gt;30,30,F11))</f>
      </c>
      <c r="H11" s="395">
        <f aca="true" t="shared" si="12" ref="H11:H44">IF(A11="","",(D11*G11))</f>
      </c>
      <c r="I11" s="621"/>
      <c r="J11" s="105"/>
      <c r="K11" s="623"/>
      <c r="L11" s="105"/>
      <c r="M11" s="395">
        <f aca="true" t="shared" si="13" ref="M11:M44">IF(A11="","",ROUNDDOWN((I11*K11/12+H11),0))</f>
      </c>
      <c r="N11" s="624">
        <f aca="true" t="shared" si="14" ref="N11:N44">IF(A11="","",ROUNDDOWN(10032*G11*(K11/J11),0))</f>
      </c>
      <c r="O11" s="741"/>
      <c r="P11" s="399">
        <f>IF($H11="","",IF($O11="Ａ",LOOKUP($D11,{8000,8500,9000,10000,10032,12000},{0,1532,1032,32,0,0}),IF($O11="Ｂ",LOOKUP($D11,{8000,8500,9000,10000,10032,12000},{0,1532,1032,408,408,408}),IF($O11="Ｃ",LOOKUP($D11,{8000,8500,9000,10000,10032,12000},{782,2814,2814,2814,2814,2814}),0))))</f>
      </c>
      <c r="Q11" s="441"/>
      <c r="R11" s="626">
        <f>IF($H11="","",IF($Q11="Ａ",LOOKUP($D11,{8000,8500,9000,10000,10032,12000},{0,1532,1032,32,0,0}),IF($Q11="Ｂ",LOOKUP($D11,{8000,8500,9000,10000,10032,12000},{0,1532,1032,408,408,408}),IF($Q11="Ｃ",LOOKUP($D11,{8000,8500,9000,10000,10032,12000},{782,2814,2814,2814,2814,2814}),0))))</f>
      </c>
      <c r="S11" s="402">
        <f t="shared" si="9"/>
      </c>
      <c r="T11" s="404">
        <f>IF(B11="","",SUMIF('2-3_調整額内訳⑤(新・新制度)'!B:B,$B11,'2-3_調整額内訳⑤(新・新制度)'!AF:AF))</f>
      </c>
      <c r="U11" s="403">
        <f t="shared" si="0"/>
      </c>
      <c r="V11" s="404">
        <f t="shared" si="1"/>
      </c>
      <c r="W11" s="403">
        <f t="shared" si="2"/>
      </c>
      <c r="X11" s="405"/>
      <c r="Y11" s="403">
        <f t="shared" si="3"/>
      </c>
      <c r="Z11" s="405"/>
      <c r="AA11" s="742" t="str">
        <f t="shared" si="4"/>
        <v>0</v>
      </c>
      <c r="AB11" s="743">
        <f aca="true" t="shared" si="15" ref="AB11:AB44">_xlfn.IFERROR(IF(AA11-Z11&gt;0,0,AA11-Z11),"0")</f>
        <v>0</v>
      </c>
      <c r="AC11" s="405"/>
      <c r="AD11" s="404">
        <f t="shared" si="8"/>
      </c>
      <c r="AE11" s="744">
        <f t="shared" si="5"/>
      </c>
      <c r="AF11" s="1156"/>
      <c r="AG11" s="1145"/>
      <c r="AH11" s="1146"/>
      <c r="AJ11" s="61">
        <f t="shared" si="6"/>
      </c>
      <c r="AK11" s="61">
        <f t="shared" si="7"/>
      </c>
    </row>
    <row r="12" spans="1:37" s="53" customFormat="1" ht="18.75" customHeight="1">
      <c r="A12" s="736">
        <f t="shared" si="10"/>
      </c>
      <c r="B12" s="737"/>
      <c r="C12" s="738"/>
      <c r="D12" s="394"/>
      <c r="E12" s="739"/>
      <c r="F12" s="198"/>
      <c r="G12" s="740">
        <f t="shared" si="11"/>
      </c>
      <c r="H12" s="395">
        <f t="shared" si="12"/>
      </c>
      <c r="I12" s="621"/>
      <c r="J12" s="105"/>
      <c r="K12" s="623"/>
      <c r="L12" s="105"/>
      <c r="M12" s="395">
        <f t="shared" si="13"/>
      </c>
      <c r="N12" s="624">
        <f t="shared" si="14"/>
      </c>
      <c r="O12" s="741"/>
      <c r="P12" s="399">
        <f>IF($H12="","",IF($O12="Ａ",LOOKUP($D12,{8000,8500,9000,10000,10032,12000},{0,1532,1032,32,0,0}),IF($O12="Ｂ",LOOKUP($D12,{8000,8500,9000,10000,10032,12000},{0,1532,1032,408,408,408}),IF($O12="Ｃ",LOOKUP($D12,{8000,8500,9000,10000,10032,12000},{782,2814,2814,2814,2814,2814}),0))))</f>
      </c>
      <c r="Q12" s="441"/>
      <c r="R12" s="626">
        <f>IF($H12="","",IF($Q12="Ａ",LOOKUP($D12,{8000,8500,9000,10000,10032,12000},{0,1532,1032,32,0,0}),IF($Q12="Ｂ",LOOKUP($D12,{8000,8500,9000,10000,10032,12000},{0,1532,1032,408,408,408}),IF($Q12="Ｃ",LOOKUP($D12,{8000,8500,9000,10000,10032,12000},{782,2814,2814,2814,2814,2814}),0))))</f>
      </c>
      <c r="S12" s="402">
        <f t="shared" si="9"/>
      </c>
      <c r="T12" s="404">
        <f>IF(B12="","",SUMIF('2-3_調整額内訳⑤(新・新制度)'!B:B,$B12,'2-3_調整額内訳⑤(新・新制度)'!AF:AF))</f>
      </c>
      <c r="U12" s="403">
        <f t="shared" si="0"/>
      </c>
      <c r="V12" s="404">
        <f t="shared" si="1"/>
      </c>
      <c r="W12" s="403">
        <f t="shared" si="2"/>
      </c>
      <c r="X12" s="405"/>
      <c r="Y12" s="403">
        <f t="shared" si="3"/>
      </c>
      <c r="Z12" s="405"/>
      <c r="AA12" s="742" t="str">
        <f t="shared" si="4"/>
        <v>0</v>
      </c>
      <c r="AB12" s="743">
        <f t="shared" si="15"/>
        <v>0</v>
      </c>
      <c r="AC12" s="405"/>
      <c r="AD12" s="404">
        <f t="shared" si="8"/>
      </c>
      <c r="AE12" s="744">
        <f t="shared" si="5"/>
      </c>
      <c r="AF12" s="1156"/>
      <c r="AG12" s="1145"/>
      <c r="AH12" s="1146"/>
      <c r="AJ12" s="61">
        <f t="shared" si="6"/>
      </c>
      <c r="AK12" s="61">
        <f t="shared" si="7"/>
      </c>
    </row>
    <row r="13" spans="1:37" s="53" customFormat="1" ht="18.75" customHeight="1">
      <c r="A13" s="736">
        <f t="shared" si="10"/>
      </c>
      <c r="B13" s="233"/>
      <c r="C13" s="738"/>
      <c r="D13" s="394"/>
      <c r="E13" s="739"/>
      <c r="F13" s="198"/>
      <c r="G13" s="740">
        <f t="shared" si="11"/>
      </c>
      <c r="H13" s="395">
        <f t="shared" si="12"/>
      </c>
      <c r="I13" s="621"/>
      <c r="J13" s="105"/>
      <c r="K13" s="623"/>
      <c r="L13" s="105"/>
      <c r="M13" s="395">
        <f t="shared" si="13"/>
      </c>
      <c r="N13" s="624">
        <f t="shared" si="14"/>
      </c>
      <c r="O13" s="741"/>
      <c r="P13" s="399">
        <f>IF($H13="","",IF($O13="Ａ",LOOKUP($D13,{8000,8500,9000,10000,10032,12000},{0,1532,1032,32,0,0}),IF($O13="Ｂ",LOOKUP($D13,{8000,8500,9000,10000,10032,12000},{0,1532,1032,408,408,408}),IF($O13="Ｃ",LOOKUP($D13,{8000,8500,9000,10000,10032,12000},{782,2814,2814,2814,2814,2814}),0))))</f>
      </c>
      <c r="Q13" s="441"/>
      <c r="R13" s="626">
        <f>IF($H13="","",IF($Q13="Ａ",LOOKUP($D13,{8000,8500,9000,10000,10032,12000},{0,1532,1032,32,0,0}),IF($Q13="Ｂ",LOOKUP($D13,{8000,8500,9000,10000,10032,12000},{0,1532,1032,408,408,408}),IF($Q13="Ｃ",LOOKUP($D13,{8000,8500,9000,10000,10032,12000},{782,2814,2814,2814,2814,2814}),0))))</f>
      </c>
      <c r="S13" s="402">
        <f t="shared" si="9"/>
      </c>
      <c r="T13" s="404">
        <f>IF(B13="","",SUMIF('2-3_調整額内訳⑤(新・新制度)'!B:B,$B13,'2-3_調整額内訳⑤(新・新制度)'!AF:AF))</f>
      </c>
      <c r="U13" s="403">
        <f t="shared" si="0"/>
      </c>
      <c r="V13" s="404">
        <f t="shared" si="1"/>
      </c>
      <c r="W13" s="403">
        <f t="shared" si="2"/>
      </c>
      <c r="X13" s="405"/>
      <c r="Y13" s="403">
        <f t="shared" si="3"/>
      </c>
      <c r="Z13" s="405"/>
      <c r="AA13" s="742" t="str">
        <f t="shared" si="4"/>
        <v>0</v>
      </c>
      <c r="AB13" s="743">
        <f t="shared" si="15"/>
        <v>0</v>
      </c>
      <c r="AC13" s="405"/>
      <c r="AD13" s="404">
        <f t="shared" si="8"/>
      </c>
      <c r="AE13" s="744">
        <f t="shared" si="5"/>
      </c>
      <c r="AF13" s="1156"/>
      <c r="AG13" s="1145"/>
      <c r="AH13" s="1146"/>
      <c r="AJ13" s="61">
        <f t="shared" si="6"/>
      </c>
      <c r="AK13" s="61">
        <f t="shared" si="7"/>
      </c>
    </row>
    <row r="14" spans="1:37" s="53" customFormat="1" ht="18.75" customHeight="1">
      <c r="A14" s="736">
        <f t="shared" si="10"/>
      </c>
      <c r="B14" s="233"/>
      <c r="C14" s="738"/>
      <c r="D14" s="394"/>
      <c r="E14" s="739"/>
      <c r="F14" s="198"/>
      <c r="G14" s="740">
        <f t="shared" si="11"/>
      </c>
      <c r="H14" s="395">
        <f t="shared" si="12"/>
      </c>
      <c r="I14" s="621"/>
      <c r="J14" s="105"/>
      <c r="K14" s="623"/>
      <c r="L14" s="105"/>
      <c r="M14" s="395">
        <f t="shared" si="13"/>
      </c>
      <c r="N14" s="624">
        <f t="shared" si="14"/>
      </c>
      <c r="O14" s="741"/>
      <c r="P14" s="399">
        <f>IF($H14="","",IF($O14="Ａ",LOOKUP($D14,{8000,8500,9000,10000,10032,12000},{0,1532,1032,32,0,0}),IF($O14="Ｂ",LOOKUP($D14,{8000,8500,9000,10000,10032,12000},{0,1532,1032,408,408,408}),IF($O14="Ｃ",LOOKUP($D14,{8000,8500,9000,10000,10032,12000},{782,2814,2814,2814,2814,2814}),0))))</f>
      </c>
      <c r="Q14" s="441"/>
      <c r="R14" s="626">
        <f>IF($H14="","",IF($Q14="Ａ",LOOKUP($D14,{8000,8500,9000,10000,10032,12000},{0,1532,1032,32,0,0}),IF($Q14="Ｂ",LOOKUP($D14,{8000,8500,9000,10000,10032,12000},{0,1532,1032,408,408,408}),IF($Q14="Ｃ",LOOKUP($D14,{8000,8500,9000,10000,10032,12000},{782,2814,2814,2814,2814,2814}),0))))</f>
      </c>
      <c r="S14" s="402">
        <f t="shared" si="9"/>
      </c>
      <c r="T14" s="404">
        <f>IF(B14="","",SUMIF('2-3_調整額内訳⑤(新・新制度)'!B:B,$B14,'2-3_調整額内訳⑤(新・新制度)'!AF:AF))</f>
      </c>
      <c r="U14" s="403">
        <f t="shared" si="0"/>
      </c>
      <c r="V14" s="404">
        <f t="shared" si="1"/>
      </c>
      <c r="W14" s="403">
        <f t="shared" si="2"/>
      </c>
      <c r="X14" s="405"/>
      <c r="Y14" s="403">
        <f t="shared" si="3"/>
      </c>
      <c r="Z14" s="405"/>
      <c r="AA14" s="742" t="str">
        <f t="shared" si="4"/>
        <v>0</v>
      </c>
      <c r="AB14" s="743">
        <f t="shared" si="15"/>
        <v>0</v>
      </c>
      <c r="AC14" s="405"/>
      <c r="AD14" s="404">
        <f t="shared" si="8"/>
      </c>
      <c r="AE14" s="744">
        <f t="shared" si="5"/>
      </c>
      <c r="AF14" s="1156"/>
      <c r="AG14" s="1145"/>
      <c r="AH14" s="1146"/>
      <c r="AJ14" s="61">
        <f t="shared" si="6"/>
      </c>
      <c r="AK14" s="61">
        <f t="shared" si="7"/>
      </c>
    </row>
    <row r="15" spans="1:37" s="53" customFormat="1" ht="18.75" customHeight="1">
      <c r="A15" s="736">
        <f t="shared" si="10"/>
      </c>
      <c r="B15" s="233"/>
      <c r="C15" s="738"/>
      <c r="D15" s="394"/>
      <c r="E15" s="739"/>
      <c r="F15" s="198"/>
      <c r="G15" s="740">
        <f t="shared" si="11"/>
      </c>
      <c r="H15" s="395">
        <f t="shared" si="12"/>
      </c>
      <c r="I15" s="621"/>
      <c r="J15" s="105"/>
      <c r="K15" s="623"/>
      <c r="L15" s="105"/>
      <c r="M15" s="395">
        <f t="shared" si="13"/>
      </c>
      <c r="N15" s="624">
        <f t="shared" si="14"/>
      </c>
      <c r="O15" s="741"/>
      <c r="P15" s="399">
        <f>IF($H15="","",IF($O15="Ａ",LOOKUP($D15,{8000,8500,9000,10000,10032,12000},{0,1532,1032,32,0,0}),IF($O15="Ｂ",LOOKUP($D15,{8000,8500,9000,10000,10032,12000},{0,1532,1032,408,408,408}),IF($O15="Ｃ",LOOKUP($D15,{8000,8500,9000,10000,10032,12000},{782,2814,2814,2814,2814,2814}),0))))</f>
      </c>
      <c r="Q15" s="441"/>
      <c r="R15" s="626">
        <f>IF($H15="","",IF($Q15="Ａ",LOOKUP($D15,{8000,8500,9000,10000,10032,12000},{0,1532,1032,32,0,0}),IF($Q15="Ｂ",LOOKUP($D15,{8000,8500,9000,10000,10032,12000},{0,1532,1032,408,408,408}),IF($Q15="Ｃ",LOOKUP($D15,{8000,8500,9000,10000,10032,12000},{782,2814,2814,2814,2814,2814}),0))))</f>
      </c>
      <c r="S15" s="402">
        <f t="shared" si="9"/>
      </c>
      <c r="T15" s="759">
        <f>IF(B15="","",SUMIF('2-3_調整額内訳⑤(新・新制度)'!B:B,$B15,'2-3_調整額内訳⑤(新・新制度)'!AF:AF))</f>
      </c>
      <c r="U15" s="760">
        <f t="shared" si="0"/>
      </c>
      <c r="V15" s="404">
        <f t="shared" si="1"/>
      </c>
      <c r="W15" s="403">
        <f t="shared" si="2"/>
      </c>
      <c r="X15" s="405"/>
      <c r="Y15" s="403">
        <f t="shared" si="3"/>
      </c>
      <c r="Z15" s="405"/>
      <c r="AA15" s="742" t="str">
        <f t="shared" si="4"/>
        <v>0</v>
      </c>
      <c r="AB15" s="743">
        <f t="shared" si="15"/>
        <v>0</v>
      </c>
      <c r="AC15" s="405"/>
      <c r="AD15" s="404">
        <f t="shared" si="8"/>
      </c>
      <c r="AE15" s="744">
        <f t="shared" si="5"/>
      </c>
      <c r="AF15" s="1156"/>
      <c r="AG15" s="1145"/>
      <c r="AH15" s="1146"/>
      <c r="AJ15" s="61">
        <f t="shared" si="6"/>
      </c>
      <c r="AK15" s="61">
        <f t="shared" si="7"/>
      </c>
    </row>
    <row r="16" spans="1:37" s="53" customFormat="1" ht="18.75" customHeight="1">
      <c r="A16" s="736">
        <f t="shared" si="10"/>
      </c>
      <c r="B16" s="233"/>
      <c r="C16" s="738"/>
      <c r="D16" s="394"/>
      <c r="E16" s="739"/>
      <c r="F16" s="198"/>
      <c r="G16" s="740">
        <f t="shared" si="11"/>
      </c>
      <c r="H16" s="395">
        <f t="shared" si="12"/>
      </c>
      <c r="I16" s="621"/>
      <c r="J16" s="105"/>
      <c r="K16" s="623"/>
      <c r="L16" s="105"/>
      <c r="M16" s="395">
        <f t="shared" si="13"/>
      </c>
      <c r="N16" s="624">
        <f t="shared" si="14"/>
      </c>
      <c r="O16" s="741"/>
      <c r="P16" s="399">
        <f>IF($H16="","",IF($O16="Ａ",LOOKUP($D16,{8000,8500,9000,10000,10032,12000},{0,1532,1032,32,0,0}),IF($O16="Ｂ",LOOKUP($D16,{8000,8500,9000,10000,10032,12000},{0,1532,1032,408,408,408}),IF($O16="Ｃ",LOOKUP($D16,{8000,8500,9000,10000,10032,12000},{782,2814,2814,2814,2814,2814}),0))))</f>
      </c>
      <c r="Q16" s="441"/>
      <c r="R16" s="626">
        <f>IF($H16="","",IF($Q16="Ａ",LOOKUP($D16,{8000,8500,9000,10000,10032,12000},{0,1532,1032,32,0,0}),IF($Q16="Ｂ",LOOKUP($D16,{8000,8500,9000,10000,10032,12000},{0,1532,1032,408,408,408}),IF($Q16="Ｃ",LOOKUP($D16,{8000,8500,9000,10000,10032,12000},{782,2814,2814,2814,2814,2814}),0))))</f>
      </c>
      <c r="S16" s="402">
        <f t="shared" si="9"/>
      </c>
      <c r="T16" s="404">
        <f>IF(B16="","",SUMIF('2-3_調整額内訳⑤(新・新制度)'!B:B,$B16,'2-3_調整額内訳⑤(新・新制度)'!AF:AF))</f>
      </c>
      <c r="U16" s="403">
        <f t="shared" si="0"/>
      </c>
      <c r="V16" s="404">
        <f t="shared" si="1"/>
      </c>
      <c r="W16" s="403">
        <f t="shared" si="2"/>
      </c>
      <c r="X16" s="405"/>
      <c r="Y16" s="403">
        <f t="shared" si="3"/>
      </c>
      <c r="Z16" s="405"/>
      <c r="AA16" s="742" t="str">
        <f t="shared" si="4"/>
        <v>0</v>
      </c>
      <c r="AB16" s="743">
        <f t="shared" si="15"/>
        <v>0</v>
      </c>
      <c r="AC16" s="405"/>
      <c r="AD16" s="404">
        <f t="shared" si="8"/>
      </c>
      <c r="AE16" s="744">
        <f t="shared" si="5"/>
      </c>
      <c r="AF16" s="1156"/>
      <c r="AG16" s="1145"/>
      <c r="AH16" s="1146"/>
      <c r="AJ16" s="61">
        <f t="shared" si="6"/>
      </c>
      <c r="AK16" s="61">
        <f t="shared" si="7"/>
      </c>
    </row>
    <row r="17" spans="1:37" s="53" customFormat="1" ht="18.75" customHeight="1">
      <c r="A17" s="736">
        <f t="shared" si="10"/>
      </c>
      <c r="B17" s="233"/>
      <c r="C17" s="738"/>
      <c r="D17" s="394"/>
      <c r="E17" s="739"/>
      <c r="F17" s="198"/>
      <c r="G17" s="740">
        <f t="shared" si="11"/>
      </c>
      <c r="H17" s="395">
        <f t="shared" si="12"/>
      </c>
      <c r="I17" s="621"/>
      <c r="J17" s="105"/>
      <c r="K17" s="623"/>
      <c r="L17" s="105"/>
      <c r="M17" s="395">
        <f t="shared" si="13"/>
      </c>
      <c r="N17" s="624">
        <f t="shared" si="14"/>
      </c>
      <c r="O17" s="741"/>
      <c r="P17" s="399">
        <f>IF($H17="","",IF($O17="Ａ",LOOKUP($D17,{8000,8500,9000,10000,10032,12000},{0,1532,1032,32,0,0}),IF($O17="Ｂ",LOOKUP($D17,{8000,8500,9000,10000,10032,12000},{0,1532,1032,408,408,408}),IF($O17="Ｃ",LOOKUP($D17,{8000,8500,9000,10000,10032,12000},{782,2814,2814,2814,2814,2814}),0))))</f>
      </c>
      <c r="Q17" s="441"/>
      <c r="R17" s="626">
        <f>IF($H17="","",IF($Q17="Ａ",LOOKUP($D17,{8000,8500,9000,10000,10032,12000},{0,1532,1032,32,0,0}),IF($Q17="Ｂ",LOOKUP($D17,{8000,8500,9000,10000,10032,12000},{0,1532,1032,408,408,408}),IF($Q17="Ｃ",LOOKUP($D17,{8000,8500,9000,10000,10032,12000},{782,2814,2814,2814,2814,2814}),0))))</f>
      </c>
      <c r="S17" s="402">
        <f t="shared" si="9"/>
      </c>
      <c r="T17" s="404">
        <f>IF(B17="","",SUMIF('2-3_調整額内訳⑤(新・新制度)'!B:B,$B17,'2-3_調整額内訳⑤(新・新制度)'!AF:AF))</f>
      </c>
      <c r="U17" s="403">
        <f t="shared" si="0"/>
      </c>
      <c r="V17" s="404">
        <f t="shared" si="1"/>
      </c>
      <c r="W17" s="403">
        <f t="shared" si="2"/>
      </c>
      <c r="X17" s="405"/>
      <c r="Y17" s="403">
        <f t="shared" si="3"/>
      </c>
      <c r="Z17" s="405"/>
      <c r="AA17" s="742" t="str">
        <f t="shared" si="4"/>
        <v>0</v>
      </c>
      <c r="AB17" s="743">
        <f t="shared" si="15"/>
        <v>0</v>
      </c>
      <c r="AC17" s="405"/>
      <c r="AD17" s="404">
        <f t="shared" si="8"/>
      </c>
      <c r="AE17" s="744">
        <f t="shared" si="5"/>
      </c>
      <c r="AF17" s="1156"/>
      <c r="AG17" s="1145"/>
      <c r="AH17" s="1146"/>
      <c r="AJ17" s="61">
        <f t="shared" si="6"/>
      </c>
      <c r="AK17" s="61">
        <f t="shared" si="7"/>
      </c>
    </row>
    <row r="18" spans="1:37" s="53" customFormat="1" ht="18.75" customHeight="1">
      <c r="A18" s="736">
        <f t="shared" si="10"/>
      </c>
      <c r="B18" s="233"/>
      <c r="C18" s="738"/>
      <c r="D18" s="394"/>
      <c r="E18" s="739"/>
      <c r="F18" s="198"/>
      <c r="G18" s="740">
        <f t="shared" si="11"/>
      </c>
      <c r="H18" s="395">
        <f t="shared" si="12"/>
      </c>
      <c r="I18" s="621"/>
      <c r="J18" s="105"/>
      <c r="K18" s="623"/>
      <c r="L18" s="105"/>
      <c r="M18" s="395">
        <f t="shared" si="13"/>
      </c>
      <c r="N18" s="624">
        <f t="shared" si="14"/>
      </c>
      <c r="O18" s="741"/>
      <c r="P18" s="399">
        <f>IF($H18="","",IF($O18="Ａ",LOOKUP($D18,{8000,8500,9000,10000,10032,12000},{0,1532,1032,32,0,0}),IF($O18="Ｂ",LOOKUP($D18,{8000,8500,9000,10000,10032,12000},{0,1532,1032,408,408,408}),IF($O18="Ｃ",LOOKUP($D18,{8000,8500,9000,10000,10032,12000},{782,2814,2814,2814,2814,2814}),0))))</f>
      </c>
      <c r="Q18" s="441"/>
      <c r="R18" s="626">
        <f>IF($H18="","",IF($Q18="Ａ",LOOKUP($D18,{8000,8500,9000,10000,10032,12000},{0,1532,1032,32,0,0}),IF($Q18="Ｂ",LOOKUP($D18,{8000,8500,9000,10000,10032,12000},{0,1532,1032,408,408,408}),IF($Q18="Ｃ",LOOKUP($D18,{8000,8500,9000,10000,10032,12000},{782,2814,2814,2814,2814,2814}),0))))</f>
      </c>
      <c r="S18" s="402">
        <f t="shared" si="9"/>
      </c>
      <c r="T18" s="404">
        <f>IF(B18="","",SUMIF('2-3_調整額内訳⑤(新・新制度)'!B:B,$B18,'2-3_調整額内訳⑤(新・新制度)'!AF:AF))</f>
      </c>
      <c r="U18" s="403">
        <f t="shared" si="0"/>
      </c>
      <c r="V18" s="404">
        <f t="shared" si="1"/>
      </c>
      <c r="W18" s="403">
        <f t="shared" si="2"/>
      </c>
      <c r="X18" s="405"/>
      <c r="Y18" s="403">
        <f t="shared" si="3"/>
      </c>
      <c r="Z18" s="405"/>
      <c r="AA18" s="742" t="str">
        <f t="shared" si="4"/>
        <v>0</v>
      </c>
      <c r="AB18" s="743">
        <f t="shared" si="15"/>
        <v>0</v>
      </c>
      <c r="AC18" s="405"/>
      <c r="AD18" s="404">
        <f t="shared" si="8"/>
      </c>
      <c r="AE18" s="744">
        <f t="shared" si="5"/>
      </c>
      <c r="AF18" s="1156"/>
      <c r="AG18" s="1145"/>
      <c r="AH18" s="1146"/>
      <c r="AJ18" s="61">
        <f t="shared" si="6"/>
      </c>
      <c r="AK18" s="61">
        <f t="shared" si="7"/>
      </c>
    </row>
    <row r="19" spans="1:37" s="53" customFormat="1" ht="18.75" customHeight="1">
      <c r="A19" s="736">
        <f t="shared" si="10"/>
      </c>
      <c r="B19" s="233"/>
      <c r="C19" s="738"/>
      <c r="D19" s="394"/>
      <c r="E19" s="739"/>
      <c r="F19" s="198"/>
      <c r="G19" s="740">
        <f t="shared" si="11"/>
      </c>
      <c r="H19" s="395">
        <f t="shared" si="12"/>
      </c>
      <c r="I19" s="621"/>
      <c r="J19" s="105"/>
      <c r="K19" s="623"/>
      <c r="L19" s="105"/>
      <c r="M19" s="395">
        <f t="shared" si="13"/>
      </c>
      <c r="N19" s="624">
        <f t="shared" si="14"/>
      </c>
      <c r="O19" s="741"/>
      <c r="P19" s="399">
        <f>IF($H19="","",IF($O19="Ａ",LOOKUP($D19,{8000,8500,9000,10000,10032,12000},{0,1532,1032,32,0,0}),IF($O19="Ｂ",LOOKUP($D19,{8000,8500,9000,10000,10032,12000},{0,1532,1032,408,408,408}),IF($O19="Ｃ",LOOKUP($D19,{8000,8500,9000,10000,10032,12000},{782,2814,2814,2814,2814,2814}),0))))</f>
      </c>
      <c r="Q19" s="441"/>
      <c r="R19" s="626">
        <f>IF($H19="","",IF($Q19="Ａ",LOOKUP($D19,{8000,8500,9000,10000,10032,12000},{0,1532,1032,32,0,0}),IF($Q19="Ｂ",LOOKUP($D19,{8000,8500,9000,10000,10032,12000},{0,1532,1032,408,408,408}),IF($Q19="Ｃ",LOOKUP($D19,{8000,8500,9000,10000,10032,12000},{782,2814,2814,2814,2814,2814}),0))))</f>
      </c>
      <c r="S19" s="402">
        <f t="shared" si="9"/>
      </c>
      <c r="T19" s="404">
        <f>IF(B19="","",SUMIF('2-3_調整額内訳⑤(新・新制度)'!B:B,$B19,'2-3_調整額内訳⑤(新・新制度)'!AF:AF))</f>
      </c>
      <c r="U19" s="403">
        <f t="shared" si="0"/>
      </c>
      <c r="V19" s="404">
        <f t="shared" si="1"/>
      </c>
      <c r="W19" s="403">
        <f t="shared" si="2"/>
      </c>
      <c r="X19" s="405"/>
      <c r="Y19" s="403">
        <f t="shared" si="3"/>
      </c>
      <c r="Z19" s="405"/>
      <c r="AA19" s="742" t="str">
        <f t="shared" si="4"/>
        <v>0</v>
      </c>
      <c r="AB19" s="743">
        <f t="shared" si="15"/>
        <v>0</v>
      </c>
      <c r="AC19" s="405"/>
      <c r="AD19" s="404">
        <f t="shared" si="8"/>
      </c>
      <c r="AE19" s="744">
        <f t="shared" si="5"/>
      </c>
      <c r="AF19" s="1156"/>
      <c r="AG19" s="1145"/>
      <c r="AH19" s="1146"/>
      <c r="AJ19" s="61">
        <f t="shared" si="6"/>
      </c>
      <c r="AK19" s="61">
        <f t="shared" si="7"/>
      </c>
    </row>
    <row r="20" spans="1:37" s="53" customFormat="1" ht="18.75" customHeight="1">
      <c r="A20" s="736">
        <f t="shared" si="10"/>
      </c>
      <c r="B20" s="233"/>
      <c r="C20" s="738"/>
      <c r="D20" s="394"/>
      <c r="E20" s="739"/>
      <c r="F20" s="198"/>
      <c r="G20" s="740">
        <f t="shared" si="11"/>
      </c>
      <c r="H20" s="395">
        <f t="shared" si="12"/>
      </c>
      <c r="I20" s="621"/>
      <c r="J20" s="105"/>
      <c r="K20" s="623"/>
      <c r="L20" s="105"/>
      <c r="M20" s="395">
        <f t="shared" si="13"/>
      </c>
      <c r="N20" s="624">
        <f t="shared" si="14"/>
      </c>
      <c r="O20" s="741"/>
      <c r="P20" s="399">
        <f>IF($H20="","",IF($O20="Ａ",LOOKUP($D20,{8000,8500,9000,10000,10032,12000},{0,1532,1032,32,0,0}),IF($O20="Ｂ",LOOKUP($D20,{8000,8500,9000,10000,10032,12000},{0,1532,1032,408,408,408}),IF($O20="Ｃ",LOOKUP($D20,{8000,8500,9000,10000,10032,12000},{782,2814,2814,2814,2814,2814}),0))))</f>
      </c>
      <c r="Q20" s="441"/>
      <c r="R20" s="626">
        <f>IF($H20="","",IF($Q20="Ａ",LOOKUP($D20,{8000,8500,9000,10000,10032,12000},{0,1532,1032,32,0,0}),IF($Q20="Ｂ",LOOKUP($D20,{8000,8500,9000,10000,10032,12000},{0,1532,1032,408,408,408}),IF($Q20="Ｃ",LOOKUP($D20,{8000,8500,9000,10000,10032,12000},{782,2814,2814,2814,2814,2814}),0))))</f>
      </c>
      <c r="S20" s="402">
        <f t="shared" si="9"/>
      </c>
      <c r="T20" s="404">
        <f>IF(B20="","",SUMIF('2-3_調整額内訳⑤(新・新制度)'!B:B,$B20,'2-3_調整額内訳⑤(新・新制度)'!AF:AF))</f>
      </c>
      <c r="U20" s="403">
        <f t="shared" si="0"/>
      </c>
      <c r="V20" s="404">
        <f t="shared" si="1"/>
      </c>
      <c r="W20" s="403">
        <f t="shared" si="2"/>
      </c>
      <c r="X20" s="405"/>
      <c r="Y20" s="403">
        <f t="shared" si="3"/>
      </c>
      <c r="Z20" s="405"/>
      <c r="AA20" s="742" t="str">
        <f t="shared" si="4"/>
        <v>0</v>
      </c>
      <c r="AB20" s="743">
        <f t="shared" si="15"/>
        <v>0</v>
      </c>
      <c r="AC20" s="405"/>
      <c r="AD20" s="404">
        <f t="shared" si="8"/>
      </c>
      <c r="AE20" s="744">
        <f t="shared" si="5"/>
      </c>
      <c r="AF20" s="1156"/>
      <c r="AG20" s="1145"/>
      <c r="AH20" s="1146"/>
      <c r="AJ20" s="61">
        <f t="shared" si="6"/>
      </c>
      <c r="AK20" s="61">
        <f t="shared" si="7"/>
      </c>
    </row>
    <row r="21" spans="1:37" s="53" customFormat="1" ht="18.75" customHeight="1">
      <c r="A21" s="736">
        <f t="shared" si="10"/>
      </c>
      <c r="B21" s="233"/>
      <c r="C21" s="738"/>
      <c r="D21" s="394"/>
      <c r="E21" s="739"/>
      <c r="F21" s="198"/>
      <c r="G21" s="740">
        <f t="shared" si="11"/>
      </c>
      <c r="H21" s="395">
        <f t="shared" si="12"/>
      </c>
      <c r="I21" s="621"/>
      <c r="J21" s="105"/>
      <c r="K21" s="623"/>
      <c r="L21" s="105"/>
      <c r="M21" s="395">
        <f t="shared" si="13"/>
      </c>
      <c r="N21" s="624">
        <f t="shared" si="14"/>
      </c>
      <c r="O21" s="741"/>
      <c r="P21" s="399">
        <f>IF($H21="","",IF($O21="Ａ",LOOKUP($D21,{8000,8500,9000,10000,10032,12000},{0,1532,1032,32,0,0}),IF($O21="Ｂ",LOOKUP($D21,{8000,8500,9000,10000,10032,12000},{0,1532,1032,408,408,408}),IF($O21="Ｃ",LOOKUP($D21,{8000,8500,9000,10000,10032,12000},{782,2814,2814,2814,2814,2814}),0))))</f>
      </c>
      <c r="Q21" s="441"/>
      <c r="R21" s="626">
        <f>IF($H21="","",IF($Q21="Ａ",LOOKUP($D21,{8000,8500,9000,10000,10032,12000},{0,1532,1032,32,0,0}),IF($Q21="Ｂ",LOOKUP($D21,{8000,8500,9000,10000,10032,12000},{0,1532,1032,408,408,408}),IF($Q21="Ｃ",LOOKUP($D21,{8000,8500,9000,10000,10032,12000},{782,2814,2814,2814,2814,2814}),0))))</f>
      </c>
      <c r="S21" s="402">
        <f t="shared" si="9"/>
      </c>
      <c r="T21" s="404">
        <f>IF(B21="","",SUMIF('2-3_調整額内訳⑤(新・新制度)'!B:B,$B21,'2-3_調整額内訳⑤(新・新制度)'!AF:AF))</f>
      </c>
      <c r="U21" s="403">
        <f t="shared" si="0"/>
      </c>
      <c r="V21" s="404">
        <f t="shared" si="1"/>
      </c>
      <c r="W21" s="403">
        <f t="shared" si="2"/>
      </c>
      <c r="X21" s="405"/>
      <c r="Y21" s="403">
        <f t="shared" si="3"/>
      </c>
      <c r="Z21" s="405"/>
      <c r="AA21" s="742" t="str">
        <f t="shared" si="4"/>
        <v>0</v>
      </c>
      <c r="AB21" s="743">
        <f t="shared" si="15"/>
        <v>0</v>
      </c>
      <c r="AC21" s="405"/>
      <c r="AD21" s="404">
        <f t="shared" si="8"/>
      </c>
      <c r="AE21" s="744">
        <f t="shared" si="5"/>
      </c>
      <c r="AF21" s="1156"/>
      <c r="AG21" s="1145"/>
      <c r="AH21" s="1146"/>
      <c r="AJ21" s="61">
        <f t="shared" si="6"/>
      </c>
      <c r="AK21" s="61">
        <f t="shared" si="7"/>
      </c>
    </row>
    <row r="22" spans="1:37" s="53" customFormat="1" ht="18.75" customHeight="1">
      <c r="A22" s="736">
        <f t="shared" si="10"/>
      </c>
      <c r="B22" s="233"/>
      <c r="C22" s="738"/>
      <c r="D22" s="394"/>
      <c r="E22" s="739"/>
      <c r="F22" s="198"/>
      <c r="G22" s="740">
        <f t="shared" si="11"/>
      </c>
      <c r="H22" s="395">
        <f t="shared" si="12"/>
      </c>
      <c r="I22" s="621"/>
      <c r="J22" s="105"/>
      <c r="K22" s="623"/>
      <c r="L22" s="105"/>
      <c r="M22" s="395">
        <f t="shared" si="13"/>
      </c>
      <c r="N22" s="624">
        <f t="shared" si="14"/>
      </c>
      <c r="O22" s="741"/>
      <c r="P22" s="399">
        <f>IF($H22="","",IF($O22="Ａ",LOOKUP($D22,{8000,8500,9000,10000,10032,12000},{0,1532,1032,32,0,0}),IF($O22="Ｂ",LOOKUP($D22,{8000,8500,9000,10000,10032,12000},{0,1532,1032,408,408,408}),IF($O22="Ｃ",LOOKUP($D22,{8000,8500,9000,10000,10032,12000},{782,2814,2814,2814,2814,2814}),0))))</f>
      </c>
      <c r="Q22" s="441"/>
      <c r="R22" s="626">
        <f>IF($H22="","",IF($Q22="Ａ",LOOKUP($D22,{8000,8500,9000,10000,10032,12000},{0,1532,1032,32,0,0}),IF($Q22="Ｂ",LOOKUP($D22,{8000,8500,9000,10000,10032,12000},{0,1532,1032,408,408,408}),IF($Q22="Ｃ",LOOKUP($D22,{8000,8500,9000,10000,10032,12000},{782,2814,2814,2814,2814,2814}),0))))</f>
      </c>
      <c r="S22" s="402">
        <f t="shared" si="9"/>
      </c>
      <c r="T22" s="404">
        <f>IF(B22="","",SUMIF('2-3_調整額内訳⑤(新・新制度)'!B:B,$B22,'2-3_調整額内訳⑤(新・新制度)'!AF:AF))</f>
      </c>
      <c r="U22" s="403">
        <f t="shared" si="0"/>
      </c>
      <c r="V22" s="404">
        <f t="shared" si="1"/>
      </c>
      <c r="W22" s="403">
        <f t="shared" si="2"/>
      </c>
      <c r="X22" s="405"/>
      <c r="Y22" s="403">
        <f t="shared" si="3"/>
      </c>
      <c r="Z22" s="405"/>
      <c r="AA22" s="742" t="str">
        <f t="shared" si="4"/>
        <v>0</v>
      </c>
      <c r="AB22" s="743">
        <f t="shared" si="15"/>
        <v>0</v>
      </c>
      <c r="AC22" s="405"/>
      <c r="AD22" s="404">
        <f t="shared" si="8"/>
      </c>
      <c r="AE22" s="744">
        <f t="shared" si="5"/>
      </c>
      <c r="AF22" s="1156"/>
      <c r="AG22" s="1145"/>
      <c r="AH22" s="1146"/>
      <c r="AJ22" s="61">
        <f t="shared" si="6"/>
      </c>
      <c r="AK22" s="61">
        <f t="shared" si="7"/>
      </c>
    </row>
    <row r="23" spans="1:37" s="53" customFormat="1" ht="18.75" customHeight="1">
      <c r="A23" s="736">
        <f t="shared" si="10"/>
      </c>
      <c r="B23" s="233"/>
      <c r="C23" s="738"/>
      <c r="D23" s="394"/>
      <c r="E23" s="739"/>
      <c r="F23" s="198"/>
      <c r="G23" s="740">
        <f t="shared" si="11"/>
      </c>
      <c r="H23" s="395">
        <f t="shared" si="12"/>
      </c>
      <c r="I23" s="621"/>
      <c r="J23" s="105"/>
      <c r="K23" s="623"/>
      <c r="L23" s="105"/>
      <c r="M23" s="395">
        <f t="shared" si="13"/>
      </c>
      <c r="N23" s="624">
        <f t="shared" si="14"/>
      </c>
      <c r="O23" s="741"/>
      <c r="P23" s="399">
        <f>IF($H23="","",IF($O23="Ａ",LOOKUP($D23,{8000,8500,9000,10000,10032,12000},{0,1532,1032,32,0,0}),IF($O23="Ｂ",LOOKUP($D23,{8000,8500,9000,10000,10032,12000},{0,1532,1032,408,408,408}),IF($O23="Ｃ",LOOKUP($D23,{8000,8500,9000,10000,10032,12000},{782,2814,2814,2814,2814,2814}),0))))</f>
      </c>
      <c r="Q23" s="441"/>
      <c r="R23" s="626">
        <f>IF($H23="","",IF($Q23="Ａ",LOOKUP($D23,{8000,8500,9000,10000,10032,12000},{0,1532,1032,32,0,0}),IF($Q23="Ｂ",LOOKUP($D23,{8000,8500,9000,10000,10032,12000},{0,1532,1032,408,408,408}),IF($Q23="Ｃ",LOOKUP($D23,{8000,8500,9000,10000,10032,12000},{782,2814,2814,2814,2814,2814}),0))))</f>
      </c>
      <c r="S23" s="402">
        <f t="shared" si="9"/>
      </c>
      <c r="T23" s="404">
        <f>IF(B23="","",SUMIF('2-3_調整額内訳⑤(新・新制度)'!B:B,$B23,'2-3_調整額内訳⑤(新・新制度)'!AF:AF))</f>
      </c>
      <c r="U23" s="403">
        <f t="shared" si="0"/>
      </c>
      <c r="V23" s="404">
        <f t="shared" si="1"/>
      </c>
      <c r="W23" s="403">
        <f t="shared" si="2"/>
      </c>
      <c r="X23" s="405"/>
      <c r="Y23" s="403">
        <f t="shared" si="3"/>
      </c>
      <c r="Z23" s="405"/>
      <c r="AA23" s="742" t="str">
        <f t="shared" si="4"/>
        <v>0</v>
      </c>
      <c r="AB23" s="743">
        <f t="shared" si="15"/>
        <v>0</v>
      </c>
      <c r="AC23" s="405"/>
      <c r="AD23" s="404">
        <f t="shared" si="8"/>
      </c>
      <c r="AE23" s="744">
        <f t="shared" si="5"/>
      </c>
      <c r="AF23" s="1156"/>
      <c r="AG23" s="1145"/>
      <c r="AH23" s="1146"/>
      <c r="AJ23" s="61">
        <f t="shared" si="6"/>
      </c>
      <c r="AK23" s="61">
        <f t="shared" si="7"/>
      </c>
    </row>
    <row r="24" spans="1:37" s="53" customFormat="1" ht="18.75" customHeight="1">
      <c r="A24" s="736">
        <f t="shared" si="10"/>
      </c>
      <c r="B24" s="233"/>
      <c r="C24" s="738"/>
      <c r="D24" s="394"/>
      <c r="E24" s="739"/>
      <c r="F24" s="198"/>
      <c r="G24" s="740">
        <f t="shared" si="11"/>
      </c>
      <c r="H24" s="395">
        <f t="shared" si="12"/>
      </c>
      <c r="I24" s="621"/>
      <c r="J24" s="105"/>
      <c r="K24" s="623"/>
      <c r="L24" s="105"/>
      <c r="M24" s="395">
        <f t="shared" si="13"/>
      </c>
      <c r="N24" s="624">
        <f t="shared" si="14"/>
      </c>
      <c r="O24" s="741"/>
      <c r="P24" s="399">
        <f>IF($H24="","",IF($O24="Ａ",LOOKUP($D24,{8000,8500,9000,10000,10032,12000},{0,1532,1032,32,0,0}),IF($O24="Ｂ",LOOKUP($D24,{8000,8500,9000,10000,10032,12000},{0,1532,1032,408,408,408}),IF($O24="Ｃ",LOOKUP($D24,{8000,8500,9000,10000,10032,12000},{782,2814,2814,2814,2814,2814}),0))))</f>
      </c>
      <c r="Q24" s="441"/>
      <c r="R24" s="626">
        <f>IF($H24="","",IF($Q24="Ａ",LOOKUP($D24,{8000,8500,9000,10000,10032,12000},{0,1532,1032,32,0,0}),IF($Q24="Ｂ",LOOKUP($D24,{8000,8500,9000,10000,10032,12000},{0,1532,1032,408,408,408}),IF($Q24="Ｃ",LOOKUP($D24,{8000,8500,9000,10000,10032,12000},{782,2814,2814,2814,2814,2814}),0))))</f>
      </c>
      <c r="S24" s="402">
        <f t="shared" si="9"/>
      </c>
      <c r="T24" s="404">
        <f>IF(B24="","",SUMIF('2-3_調整額内訳⑤(新・新制度)'!B:B,$B24,'2-3_調整額内訳⑤(新・新制度)'!AF:AF))</f>
      </c>
      <c r="U24" s="403">
        <f t="shared" si="0"/>
      </c>
      <c r="V24" s="404">
        <f t="shared" si="1"/>
      </c>
      <c r="W24" s="403">
        <f t="shared" si="2"/>
      </c>
      <c r="X24" s="405"/>
      <c r="Y24" s="403">
        <f t="shared" si="3"/>
      </c>
      <c r="Z24" s="405"/>
      <c r="AA24" s="742" t="str">
        <f t="shared" si="4"/>
        <v>0</v>
      </c>
      <c r="AB24" s="743">
        <f t="shared" si="15"/>
        <v>0</v>
      </c>
      <c r="AC24" s="405"/>
      <c r="AD24" s="404">
        <f t="shared" si="8"/>
      </c>
      <c r="AE24" s="744">
        <f t="shared" si="5"/>
      </c>
      <c r="AF24" s="1156"/>
      <c r="AG24" s="1145"/>
      <c r="AH24" s="1146"/>
      <c r="AJ24" s="61">
        <f t="shared" si="6"/>
      </c>
      <c r="AK24" s="61">
        <f t="shared" si="7"/>
      </c>
    </row>
    <row r="25" spans="1:37" s="53" customFormat="1" ht="18.75" customHeight="1">
      <c r="A25" s="736">
        <f t="shared" si="10"/>
      </c>
      <c r="B25" s="233"/>
      <c r="C25" s="738"/>
      <c r="D25" s="394"/>
      <c r="E25" s="739"/>
      <c r="F25" s="198"/>
      <c r="G25" s="740">
        <f t="shared" si="11"/>
      </c>
      <c r="H25" s="395">
        <f t="shared" si="12"/>
      </c>
      <c r="I25" s="621"/>
      <c r="J25" s="105"/>
      <c r="K25" s="623"/>
      <c r="L25" s="105"/>
      <c r="M25" s="395">
        <f t="shared" si="13"/>
      </c>
      <c r="N25" s="624">
        <f t="shared" si="14"/>
      </c>
      <c r="O25" s="741"/>
      <c r="P25" s="399">
        <f>IF($H25="","",IF($O25="Ａ",LOOKUP($D25,{8000,8500,9000,10000,10032,12000},{0,1532,1032,32,0,0}),IF($O25="Ｂ",LOOKUP($D25,{8000,8500,9000,10000,10032,12000},{0,1532,1032,408,408,408}),IF($O25="Ｃ",LOOKUP($D25,{8000,8500,9000,10000,10032,12000},{782,2814,2814,2814,2814,2814}),0))))</f>
      </c>
      <c r="Q25" s="441"/>
      <c r="R25" s="626">
        <f>IF($H25="","",IF($Q25="Ａ",LOOKUP($D25,{8000,8500,9000,10000,10032,12000},{0,1532,1032,32,0,0}),IF($Q25="Ｂ",LOOKUP($D25,{8000,8500,9000,10000,10032,12000},{0,1532,1032,408,408,408}),IF($Q25="Ｃ",LOOKUP($D25,{8000,8500,9000,10000,10032,12000},{782,2814,2814,2814,2814,2814}),0))))</f>
      </c>
      <c r="S25" s="402">
        <f t="shared" si="9"/>
      </c>
      <c r="T25" s="404">
        <f>IF(B25="","",SUMIF('2-3_調整額内訳⑤(新・新制度)'!B:B,$B25,'2-3_調整額内訳⑤(新・新制度)'!AF:AF))</f>
      </c>
      <c r="U25" s="403">
        <f t="shared" si="0"/>
      </c>
      <c r="V25" s="404">
        <f t="shared" si="1"/>
      </c>
      <c r="W25" s="403">
        <f t="shared" si="2"/>
      </c>
      <c r="X25" s="405"/>
      <c r="Y25" s="403">
        <f t="shared" si="3"/>
      </c>
      <c r="Z25" s="405"/>
      <c r="AA25" s="742" t="str">
        <f t="shared" si="4"/>
        <v>0</v>
      </c>
      <c r="AB25" s="743">
        <f t="shared" si="15"/>
        <v>0</v>
      </c>
      <c r="AC25" s="405"/>
      <c r="AD25" s="404">
        <f t="shared" si="8"/>
      </c>
      <c r="AE25" s="744">
        <f t="shared" si="5"/>
      </c>
      <c r="AF25" s="1156"/>
      <c r="AG25" s="1145"/>
      <c r="AH25" s="1146"/>
      <c r="AJ25" s="61">
        <f t="shared" si="6"/>
      </c>
      <c r="AK25" s="61">
        <f t="shared" si="7"/>
      </c>
    </row>
    <row r="26" spans="1:37" s="53" customFormat="1" ht="18.75" customHeight="1">
      <c r="A26" s="736">
        <f t="shared" si="10"/>
      </c>
      <c r="B26" s="233"/>
      <c r="C26" s="738"/>
      <c r="D26" s="394"/>
      <c r="E26" s="739"/>
      <c r="F26" s="198"/>
      <c r="G26" s="740">
        <f t="shared" si="11"/>
      </c>
      <c r="H26" s="395">
        <f t="shared" si="12"/>
      </c>
      <c r="I26" s="621"/>
      <c r="J26" s="105"/>
      <c r="K26" s="623"/>
      <c r="L26" s="105"/>
      <c r="M26" s="395">
        <f t="shared" si="13"/>
      </c>
      <c r="N26" s="624">
        <f t="shared" si="14"/>
      </c>
      <c r="O26" s="741"/>
      <c r="P26" s="399">
        <f>IF($H26="","",IF($O26="Ａ",LOOKUP($D26,{8000,8500,9000,10000,10032,12000},{0,1532,1032,32,0,0}),IF($O26="Ｂ",LOOKUP($D26,{8000,8500,9000,10000,10032,12000},{0,1532,1032,408,408,408}),IF($O26="Ｃ",LOOKUP($D26,{8000,8500,9000,10000,10032,12000},{782,2814,2814,2814,2814,2814}),0))))</f>
      </c>
      <c r="Q26" s="441"/>
      <c r="R26" s="626">
        <f>IF($H26="","",IF($Q26="Ａ",LOOKUP($D26,{8000,8500,9000,10000,10032,12000},{0,1532,1032,32,0,0}),IF($Q26="Ｂ",LOOKUP($D26,{8000,8500,9000,10000,10032,12000},{0,1532,1032,408,408,408}),IF($Q26="Ｃ",LOOKUP($D26,{8000,8500,9000,10000,10032,12000},{782,2814,2814,2814,2814,2814}),0))))</f>
      </c>
      <c r="S26" s="402">
        <f t="shared" si="9"/>
      </c>
      <c r="T26" s="404">
        <f>IF(B26="","",SUMIF('2-3_調整額内訳⑤(新・新制度)'!B:B,$B26,'2-3_調整額内訳⑤(新・新制度)'!AF:AF))</f>
      </c>
      <c r="U26" s="403">
        <f t="shared" si="0"/>
      </c>
      <c r="V26" s="404">
        <f t="shared" si="1"/>
      </c>
      <c r="W26" s="403">
        <f t="shared" si="2"/>
      </c>
      <c r="X26" s="405"/>
      <c r="Y26" s="403">
        <f t="shared" si="3"/>
      </c>
      <c r="Z26" s="405"/>
      <c r="AA26" s="742" t="str">
        <f t="shared" si="4"/>
        <v>0</v>
      </c>
      <c r="AB26" s="743">
        <f t="shared" si="15"/>
        <v>0</v>
      </c>
      <c r="AC26" s="405"/>
      <c r="AD26" s="404">
        <f t="shared" si="8"/>
      </c>
      <c r="AE26" s="744">
        <f t="shared" si="5"/>
      </c>
      <c r="AF26" s="1156"/>
      <c r="AG26" s="1145"/>
      <c r="AH26" s="1146"/>
      <c r="AJ26" s="61">
        <f t="shared" si="6"/>
      </c>
      <c r="AK26" s="61">
        <f t="shared" si="7"/>
      </c>
    </row>
    <row r="27" spans="1:37" s="53" customFormat="1" ht="18.75" customHeight="1">
      <c r="A27" s="736">
        <f t="shared" si="10"/>
      </c>
      <c r="B27" s="233"/>
      <c r="C27" s="738"/>
      <c r="D27" s="394"/>
      <c r="E27" s="739"/>
      <c r="F27" s="198"/>
      <c r="G27" s="740">
        <f t="shared" si="11"/>
      </c>
      <c r="H27" s="395">
        <f t="shared" si="12"/>
      </c>
      <c r="I27" s="621"/>
      <c r="J27" s="105"/>
      <c r="K27" s="623"/>
      <c r="L27" s="105"/>
      <c r="M27" s="395">
        <f t="shared" si="13"/>
      </c>
      <c r="N27" s="624">
        <f t="shared" si="14"/>
      </c>
      <c r="O27" s="741"/>
      <c r="P27" s="399">
        <f>IF($H27="","",IF($O27="Ａ",LOOKUP($D27,{8000,8500,9000,10000,10032,12000},{0,1532,1032,32,0,0}),IF($O27="Ｂ",LOOKUP($D27,{8000,8500,9000,10000,10032,12000},{0,1532,1032,408,408,408}),IF($O27="Ｃ",LOOKUP($D27,{8000,8500,9000,10000,10032,12000},{782,2814,2814,2814,2814,2814}),0))))</f>
      </c>
      <c r="Q27" s="441"/>
      <c r="R27" s="626">
        <f>IF($H27="","",IF($Q27="Ａ",LOOKUP($D27,{8000,8500,9000,10000,10032,12000},{0,1532,1032,32,0,0}),IF($Q27="Ｂ",LOOKUP($D27,{8000,8500,9000,10000,10032,12000},{0,1532,1032,408,408,408}),IF($Q27="Ｃ",LOOKUP($D27,{8000,8500,9000,10000,10032,12000},{782,2814,2814,2814,2814,2814}),0))))</f>
      </c>
      <c r="S27" s="402">
        <f t="shared" si="9"/>
      </c>
      <c r="T27" s="404">
        <f>IF(B27="","",SUMIF('2-3_調整額内訳⑤(新・新制度)'!B:B,$B27,'2-3_調整額内訳⑤(新・新制度)'!AF:AF))</f>
      </c>
      <c r="U27" s="403">
        <f t="shared" si="0"/>
      </c>
      <c r="V27" s="404">
        <f t="shared" si="1"/>
      </c>
      <c r="W27" s="403">
        <f t="shared" si="2"/>
      </c>
      <c r="X27" s="405"/>
      <c r="Y27" s="403">
        <f t="shared" si="3"/>
      </c>
      <c r="Z27" s="405"/>
      <c r="AA27" s="742" t="str">
        <f t="shared" si="4"/>
        <v>0</v>
      </c>
      <c r="AB27" s="743">
        <f t="shared" si="15"/>
        <v>0</v>
      </c>
      <c r="AC27" s="405"/>
      <c r="AD27" s="404">
        <f t="shared" si="8"/>
      </c>
      <c r="AE27" s="744">
        <f t="shared" si="5"/>
      </c>
      <c r="AF27" s="1156"/>
      <c r="AG27" s="1145"/>
      <c r="AH27" s="1146"/>
      <c r="AJ27" s="61">
        <f t="shared" si="6"/>
      </c>
      <c r="AK27" s="61">
        <f t="shared" si="7"/>
      </c>
    </row>
    <row r="28" spans="1:37" s="53" customFormat="1" ht="18.75" customHeight="1">
      <c r="A28" s="736">
        <f t="shared" si="10"/>
      </c>
      <c r="B28" s="233"/>
      <c r="C28" s="738"/>
      <c r="D28" s="394"/>
      <c r="E28" s="739"/>
      <c r="F28" s="198"/>
      <c r="G28" s="740">
        <f t="shared" si="11"/>
      </c>
      <c r="H28" s="395">
        <f t="shared" si="12"/>
      </c>
      <c r="I28" s="621"/>
      <c r="J28" s="105"/>
      <c r="K28" s="623"/>
      <c r="L28" s="105"/>
      <c r="M28" s="395">
        <f t="shared" si="13"/>
      </c>
      <c r="N28" s="624">
        <f t="shared" si="14"/>
      </c>
      <c r="O28" s="741"/>
      <c r="P28" s="399">
        <f>IF($H28="","",IF($O28="Ａ",LOOKUP($D28,{8000,8500,9000,10000,10032,12000},{0,1532,1032,32,0,0}),IF($O28="Ｂ",LOOKUP($D28,{8000,8500,9000,10000,10032,12000},{0,1532,1032,408,408,408}),IF($O28="Ｃ",LOOKUP($D28,{8000,8500,9000,10000,10032,12000},{782,2814,2814,2814,2814,2814}),0))))</f>
      </c>
      <c r="Q28" s="441"/>
      <c r="R28" s="626">
        <f>IF($H28="","",IF($Q28="Ａ",LOOKUP($D28,{8000,8500,9000,10000,10032,12000},{0,1532,1032,32,0,0}),IF($Q28="Ｂ",LOOKUP($D28,{8000,8500,9000,10000,10032,12000},{0,1532,1032,408,408,408}),IF($Q28="Ｃ",LOOKUP($D28,{8000,8500,9000,10000,10032,12000},{782,2814,2814,2814,2814,2814}),0))))</f>
      </c>
      <c r="S28" s="402">
        <f t="shared" si="9"/>
      </c>
      <c r="T28" s="404">
        <f>IF(B28="","",SUMIF('2-3_調整額内訳⑤(新・新制度)'!B:B,$B28,'2-3_調整額内訳⑤(新・新制度)'!AF:AF))</f>
      </c>
      <c r="U28" s="403">
        <f t="shared" si="0"/>
      </c>
      <c r="V28" s="404">
        <f t="shared" si="1"/>
      </c>
      <c r="W28" s="403">
        <f t="shared" si="2"/>
      </c>
      <c r="X28" s="405"/>
      <c r="Y28" s="403">
        <f t="shared" si="3"/>
      </c>
      <c r="Z28" s="405"/>
      <c r="AA28" s="742" t="str">
        <f t="shared" si="4"/>
        <v>0</v>
      </c>
      <c r="AB28" s="743">
        <f t="shared" si="15"/>
        <v>0</v>
      </c>
      <c r="AC28" s="405"/>
      <c r="AD28" s="404">
        <f t="shared" si="8"/>
      </c>
      <c r="AE28" s="744">
        <f t="shared" si="5"/>
      </c>
      <c r="AF28" s="1156"/>
      <c r="AG28" s="1145"/>
      <c r="AH28" s="1146"/>
      <c r="AJ28" s="61">
        <f t="shared" si="6"/>
      </c>
      <c r="AK28" s="61">
        <f t="shared" si="7"/>
      </c>
    </row>
    <row r="29" spans="1:37" s="53" customFormat="1" ht="18.75" customHeight="1">
      <c r="A29" s="736">
        <f t="shared" si="10"/>
      </c>
      <c r="B29" s="233"/>
      <c r="C29" s="738"/>
      <c r="D29" s="394"/>
      <c r="E29" s="739"/>
      <c r="F29" s="198"/>
      <c r="G29" s="740">
        <f t="shared" si="11"/>
      </c>
      <c r="H29" s="395">
        <f t="shared" si="12"/>
      </c>
      <c r="I29" s="621"/>
      <c r="J29" s="105"/>
      <c r="K29" s="623"/>
      <c r="L29" s="105"/>
      <c r="M29" s="395">
        <f t="shared" si="13"/>
      </c>
      <c r="N29" s="624">
        <f t="shared" si="14"/>
      </c>
      <c r="O29" s="741"/>
      <c r="P29" s="399">
        <f>IF($H29="","",IF($O29="Ａ",LOOKUP($D29,{8000,8500,9000,10000,10032,12000},{0,1532,1032,32,0,0}),IF($O29="Ｂ",LOOKUP($D29,{8000,8500,9000,10000,10032,12000},{0,1532,1032,408,408,408}),IF($O29="Ｃ",LOOKUP($D29,{8000,8500,9000,10000,10032,12000},{782,2814,2814,2814,2814,2814}),0))))</f>
      </c>
      <c r="Q29" s="441"/>
      <c r="R29" s="626">
        <f>IF($H29="","",IF($Q29="Ａ",LOOKUP($D29,{8000,8500,9000,10000,10032,12000},{0,1532,1032,32,0,0}),IF($Q29="Ｂ",LOOKUP($D29,{8000,8500,9000,10000,10032,12000},{0,1532,1032,408,408,408}),IF($Q29="Ｃ",LOOKUP($D29,{8000,8500,9000,10000,10032,12000},{782,2814,2814,2814,2814,2814}),0))))</f>
      </c>
      <c r="S29" s="402">
        <f t="shared" si="9"/>
      </c>
      <c r="T29" s="404">
        <f>IF(B29="","",SUMIF('2-3_調整額内訳⑤(新・新制度)'!B:B,$B29,'2-3_調整額内訳⑤(新・新制度)'!AF:AF))</f>
      </c>
      <c r="U29" s="403">
        <f t="shared" si="0"/>
      </c>
      <c r="V29" s="404">
        <f t="shared" si="1"/>
      </c>
      <c r="W29" s="403">
        <f t="shared" si="2"/>
      </c>
      <c r="X29" s="405"/>
      <c r="Y29" s="403">
        <f t="shared" si="3"/>
      </c>
      <c r="Z29" s="405"/>
      <c r="AA29" s="742" t="str">
        <f t="shared" si="4"/>
        <v>0</v>
      </c>
      <c r="AB29" s="743">
        <f t="shared" si="15"/>
        <v>0</v>
      </c>
      <c r="AC29" s="405"/>
      <c r="AD29" s="404">
        <f t="shared" si="8"/>
      </c>
      <c r="AE29" s="744">
        <f t="shared" si="5"/>
      </c>
      <c r="AF29" s="1156"/>
      <c r="AG29" s="1145"/>
      <c r="AH29" s="1146"/>
      <c r="AJ29" s="61">
        <f t="shared" si="6"/>
      </c>
      <c r="AK29" s="61">
        <f t="shared" si="7"/>
      </c>
    </row>
    <row r="30" spans="1:37" s="53" customFormat="1" ht="18.75" customHeight="1">
      <c r="A30" s="736">
        <f t="shared" si="10"/>
      </c>
      <c r="B30" s="233"/>
      <c r="C30" s="738"/>
      <c r="D30" s="394"/>
      <c r="E30" s="739"/>
      <c r="F30" s="198"/>
      <c r="G30" s="740">
        <f t="shared" si="11"/>
      </c>
      <c r="H30" s="395">
        <f t="shared" si="12"/>
      </c>
      <c r="I30" s="621"/>
      <c r="J30" s="105"/>
      <c r="K30" s="623"/>
      <c r="L30" s="105"/>
      <c r="M30" s="395">
        <f t="shared" si="13"/>
      </c>
      <c r="N30" s="624">
        <f t="shared" si="14"/>
      </c>
      <c r="O30" s="741"/>
      <c r="P30" s="399">
        <f>IF($H30="","",IF($O30="Ａ",LOOKUP($D30,{8000,8500,9000,10000,10032,12000},{0,1532,1032,32,0,0}),IF($O30="Ｂ",LOOKUP($D30,{8000,8500,9000,10000,10032,12000},{0,1532,1032,408,408,408}),IF($O30="Ｃ",LOOKUP($D30,{8000,8500,9000,10000,10032,12000},{782,2814,2814,2814,2814,2814}),0))))</f>
      </c>
      <c r="Q30" s="441"/>
      <c r="R30" s="626">
        <f>IF($H30="","",IF($Q30="Ａ",LOOKUP($D30,{8000,8500,9000,10000,10032,12000},{0,1532,1032,32,0,0}),IF($Q30="Ｂ",LOOKUP($D30,{8000,8500,9000,10000,10032,12000},{0,1532,1032,408,408,408}),IF($Q30="Ｃ",LOOKUP($D30,{8000,8500,9000,10000,10032,12000},{782,2814,2814,2814,2814,2814}),0))))</f>
      </c>
      <c r="S30" s="402">
        <f t="shared" si="9"/>
      </c>
      <c r="T30" s="404">
        <f>IF(B30="","",SUMIF('2-3_調整額内訳⑤(新・新制度)'!B:B,$B30,'2-3_調整額内訳⑤(新・新制度)'!AF:AF))</f>
      </c>
      <c r="U30" s="403">
        <f t="shared" si="0"/>
      </c>
      <c r="V30" s="404">
        <f t="shared" si="1"/>
      </c>
      <c r="W30" s="403">
        <f t="shared" si="2"/>
      </c>
      <c r="X30" s="405"/>
      <c r="Y30" s="403">
        <f t="shared" si="3"/>
      </c>
      <c r="Z30" s="405"/>
      <c r="AA30" s="742" t="str">
        <f t="shared" si="4"/>
        <v>0</v>
      </c>
      <c r="AB30" s="743">
        <f t="shared" si="15"/>
        <v>0</v>
      </c>
      <c r="AC30" s="405"/>
      <c r="AD30" s="404">
        <f t="shared" si="8"/>
      </c>
      <c r="AE30" s="744">
        <f t="shared" si="5"/>
      </c>
      <c r="AF30" s="1156"/>
      <c r="AG30" s="1145"/>
      <c r="AH30" s="1146"/>
      <c r="AJ30" s="61">
        <f t="shared" si="6"/>
      </c>
      <c r="AK30" s="61">
        <f t="shared" si="7"/>
      </c>
    </row>
    <row r="31" spans="1:37" s="53" customFormat="1" ht="18.75" customHeight="1">
      <c r="A31" s="736">
        <f t="shared" si="10"/>
      </c>
      <c r="B31" s="233"/>
      <c r="C31" s="738"/>
      <c r="D31" s="394"/>
      <c r="E31" s="739"/>
      <c r="F31" s="198"/>
      <c r="G31" s="740">
        <f t="shared" si="11"/>
      </c>
      <c r="H31" s="395">
        <f t="shared" si="12"/>
      </c>
      <c r="I31" s="621"/>
      <c r="J31" s="105"/>
      <c r="K31" s="623"/>
      <c r="L31" s="105"/>
      <c r="M31" s="395">
        <f t="shared" si="13"/>
      </c>
      <c r="N31" s="624">
        <f t="shared" si="14"/>
      </c>
      <c r="O31" s="741"/>
      <c r="P31" s="399">
        <f>IF($H31="","",IF($O31="Ａ",LOOKUP($D31,{8000,8500,9000,10000,10032,12000},{0,1532,1032,32,0,0}),IF($O31="Ｂ",LOOKUP($D31,{8000,8500,9000,10000,10032,12000},{0,1532,1032,408,408,408}),IF($O31="Ｃ",LOOKUP($D31,{8000,8500,9000,10000,10032,12000},{782,2814,2814,2814,2814,2814}),0))))</f>
      </c>
      <c r="Q31" s="441"/>
      <c r="R31" s="626">
        <f>IF($H31="","",IF($Q31="Ａ",LOOKUP($D31,{8000,8500,9000,10000,10032,12000},{0,1532,1032,32,0,0}),IF($Q31="Ｂ",LOOKUP($D31,{8000,8500,9000,10000,10032,12000},{0,1532,1032,408,408,408}),IF($Q31="Ｃ",LOOKUP($D31,{8000,8500,9000,10000,10032,12000},{782,2814,2814,2814,2814,2814}),0))))</f>
      </c>
      <c r="S31" s="402">
        <f t="shared" si="9"/>
      </c>
      <c r="T31" s="404">
        <f>IF(B31="","",SUMIF('2-3_調整額内訳⑤(新・新制度)'!B:B,$B31,'2-3_調整額内訳⑤(新・新制度)'!AF:AF))</f>
      </c>
      <c r="U31" s="403">
        <f t="shared" si="0"/>
      </c>
      <c r="V31" s="404">
        <f t="shared" si="1"/>
      </c>
      <c r="W31" s="403">
        <f t="shared" si="2"/>
      </c>
      <c r="X31" s="405"/>
      <c r="Y31" s="403">
        <f t="shared" si="3"/>
      </c>
      <c r="Z31" s="405"/>
      <c r="AA31" s="742" t="str">
        <f t="shared" si="4"/>
        <v>0</v>
      </c>
      <c r="AB31" s="743">
        <f t="shared" si="15"/>
        <v>0</v>
      </c>
      <c r="AC31" s="405"/>
      <c r="AD31" s="404">
        <f t="shared" si="8"/>
      </c>
      <c r="AE31" s="744">
        <f t="shared" si="5"/>
      </c>
      <c r="AF31" s="1156"/>
      <c r="AG31" s="1145"/>
      <c r="AH31" s="1146"/>
      <c r="AJ31" s="61">
        <f t="shared" si="6"/>
      </c>
      <c r="AK31" s="61">
        <f t="shared" si="7"/>
      </c>
    </row>
    <row r="32" spans="1:37" s="53" customFormat="1" ht="18.75" customHeight="1">
      <c r="A32" s="736">
        <f t="shared" si="10"/>
      </c>
      <c r="B32" s="233"/>
      <c r="C32" s="738"/>
      <c r="D32" s="394"/>
      <c r="E32" s="739"/>
      <c r="F32" s="198"/>
      <c r="G32" s="740">
        <f t="shared" si="11"/>
      </c>
      <c r="H32" s="395">
        <f t="shared" si="12"/>
      </c>
      <c r="I32" s="621"/>
      <c r="J32" s="105"/>
      <c r="K32" s="623"/>
      <c r="L32" s="105"/>
      <c r="M32" s="395">
        <f t="shared" si="13"/>
      </c>
      <c r="N32" s="624">
        <f t="shared" si="14"/>
      </c>
      <c r="O32" s="741"/>
      <c r="P32" s="399">
        <f>IF($H32="","",IF($O32="Ａ",LOOKUP($D32,{8000,8500,9000,10000,10032,12000},{0,1532,1032,32,0,0}),IF($O32="Ｂ",LOOKUP($D32,{8000,8500,9000,10000,10032,12000},{0,1532,1032,408,408,408}),IF($O32="Ｃ",LOOKUP($D32,{8000,8500,9000,10000,10032,12000},{782,2814,2814,2814,2814,2814}),0))))</f>
      </c>
      <c r="Q32" s="441"/>
      <c r="R32" s="626">
        <f>IF($H32="","",IF($Q32="Ａ",LOOKUP($D32,{8000,8500,9000,10000,10032,12000},{0,1532,1032,32,0,0}),IF($Q32="Ｂ",LOOKUP($D32,{8000,8500,9000,10000,10032,12000},{0,1532,1032,408,408,408}),IF($Q32="Ｃ",LOOKUP($D32,{8000,8500,9000,10000,10032,12000},{782,2814,2814,2814,2814,2814}),0))))</f>
      </c>
      <c r="S32" s="402">
        <f t="shared" si="9"/>
      </c>
      <c r="T32" s="404">
        <f>IF(B32="","",SUMIF('2-3_調整額内訳⑤(新・新制度)'!B:B,$B32,'2-3_調整額内訳⑤(新・新制度)'!AF:AF))</f>
      </c>
      <c r="U32" s="403">
        <f t="shared" si="0"/>
      </c>
      <c r="V32" s="404">
        <f t="shared" si="1"/>
      </c>
      <c r="W32" s="403">
        <f t="shared" si="2"/>
      </c>
      <c r="X32" s="405"/>
      <c r="Y32" s="403">
        <f t="shared" si="3"/>
      </c>
      <c r="Z32" s="405"/>
      <c r="AA32" s="742" t="str">
        <f t="shared" si="4"/>
        <v>0</v>
      </c>
      <c r="AB32" s="743">
        <f t="shared" si="15"/>
        <v>0</v>
      </c>
      <c r="AC32" s="405"/>
      <c r="AD32" s="404">
        <f t="shared" si="8"/>
      </c>
      <c r="AE32" s="744">
        <f t="shared" si="5"/>
      </c>
      <c r="AF32" s="1156"/>
      <c r="AG32" s="1145"/>
      <c r="AH32" s="1146"/>
      <c r="AJ32" s="61">
        <f t="shared" si="6"/>
      </c>
      <c r="AK32" s="61">
        <f t="shared" si="7"/>
      </c>
    </row>
    <row r="33" spans="1:37" s="53" customFormat="1" ht="18.75" customHeight="1">
      <c r="A33" s="736">
        <f t="shared" si="10"/>
      </c>
      <c r="B33" s="233"/>
      <c r="C33" s="738"/>
      <c r="D33" s="394"/>
      <c r="E33" s="739"/>
      <c r="F33" s="198"/>
      <c r="G33" s="740">
        <f t="shared" si="11"/>
      </c>
      <c r="H33" s="395">
        <f t="shared" si="12"/>
      </c>
      <c r="I33" s="621"/>
      <c r="J33" s="105"/>
      <c r="K33" s="623"/>
      <c r="L33" s="105"/>
      <c r="M33" s="395">
        <f t="shared" si="13"/>
      </c>
      <c r="N33" s="624">
        <f t="shared" si="14"/>
      </c>
      <c r="O33" s="741"/>
      <c r="P33" s="399">
        <f>IF($H33="","",IF($O33="Ａ",LOOKUP($D33,{8000,8500,9000,10000,10032,12000},{0,1532,1032,32,0,0}),IF($O33="Ｂ",LOOKUP($D33,{8000,8500,9000,10000,10032,12000},{0,1532,1032,408,408,408}),IF($O33="Ｃ",LOOKUP($D33,{8000,8500,9000,10000,10032,12000},{782,2814,2814,2814,2814,2814}),0))))</f>
      </c>
      <c r="Q33" s="441"/>
      <c r="R33" s="626">
        <f>IF($H33="","",IF($Q33="Ａ",LOOKUP($D33,{8000,8500,9000,10000,10032,12000},{0,1532,1032,32,0,0}),IF($Q33="Ｂ",LOOKUP($D33,{8000,8500,9000,10000,10032,12000},{0,1532,1032,408,408,408}),IF($Q33="Ｃ",LOOKUP($D33,{8000,8500,9000,10000,10032,12000},{782,2814,2814,2814,2814,2814}),0))))</f>
      </c>
      <c r="S33" s="402">
        <f t="shared" si="9"/>
      </c>
      <c r="T33" s="404">
        <f>IF(B33="","",SUMIF('2-3_調整額内訳⑤(新・新制度)'!B:B,$B33,'2-3_調整額内訳⑤(新・新制度)'!AF:AF))</f>
      </c>
      <c r="U33" s="403">
        <f t="shared" si="0"/>
      </c>
      <c r="V33" s="404">
        <f t="shared" si="1"/>
      </c>
      <c r="W33" s="403">
        <f t="shared" si="2"/>
      </c>
      <c r="X33" s="405"/>
      <c r="Y33" s="403">
        <f t="shared" si="3"/>
      </c>
      <c r="Z33" s="405"/>
      <c r="AA33" s="742" t="str">
        <f t="shared" si="4"/>
        <v>0</v>
      </c>
      <c r="AB33" s="743">
        <f t="shared" si="15"/>
        <v>0</v>
      </c>
      <c r="AC33" s="405"/>
      <c r="AD33" s="404">
        <f t="shared" si="8"/>
      </c>
      <c r="AE33" s="744">
        <f t="shared" si="5"/>
      </c>
      <c r="AF33" s="1156"/>
      <c r="AG33" s="1145"/>
      <c r="AH33" s="1146"/>
      <c r="AJ33" s="61">
        <f t="shared" si="6"/>
      </c>
      <c r="AK33" s="61">
        <f t="shared" si="7"/>
      </c>
    </row>
    <row r="34" spans="1:37" s="53" customFormat="1" ht="18.75" customHeight="1">
      <c r="A34" s="736">
        <f t="shared" si="10"/>
      </c>
      <c r="B34" s="233"/>
      <c r="C34" s="738"/>
      <c r="D34" s="394"/>
      <c r="E34" s="739"/>
      <c r="F34" s="198"/>
      <c r="G34" s="740">
        <f t="shared" si="11"/>
      </c>
      <c r="H34" s="395">
        <f t="shared" si="12"/>
      </c>
      <c r="I34" s="621"/>
      <c r="J34" s="105"/>
      <c r="K34" s="623"/>
      <c r="L34" s="105"/>
      <c r="M34" s="395">
        <f t="shared" si="13"/>
      </c>
      <c r="N34" s="624">
        <f t="shared" si="14"/>
      </c>
      <c r="O34" s="741"/>
      <c r="P34" s="399">
        <f>IF($H34="","",IF($O34="Ａ",LOOKUP($D34,{8000,8500,9000,10000,10032,12000},{0,1532,1032,32,0,0}),IF($O34="Ｂ",LOOKUP($D34,{8000,8500,9000,10000,10032,12000},{0,1532,1032,408,408,408}),IF($O34="Ｃ",LOOKUP($D34,{8000,8500,9000,10000,10032,12000},{782,2814,2814,2814,2814,2814}),0))))</f>
      </c>
      <c r="Q34" s="441"/>
      <c r="R34" s="626">
        <f>IF($H34="","",IF($Q34="Ａ",LOOKUP($D34,{8000,8500,9000,10000,10032,12000},{0,1532,1032,32,0,0}),IF($Q34="Ｂ",LOOKUP($D34,{8000,8500,9000,10000,10032,12000},{0,1532,1032,408,408,408}),IF($Q34="Ｃ",LOOKUP($D34,{8000,8500,9000,10000,10032,12000},{782,2814,2814,2814,2814,2814}),0))))</f>
      </c>
      <c r="S34" s="402">
        <f t="shared" si="9"/>
      </c>
      <c r="T34" s="404">
        <f>IF(B34="","",SUMIF('2-3_調整額内訳⑤(新・新制度)'!B:B,$B34,'2-3_調整額内訳⑤(新・新制度)'!AF:AF))</f>
      </c>
      <c r="U34" s="403">
        <f t="shared" si="0"/>
      </c>
      <c r="V34" s="404">
        <f t="shared" si="1"/>
      </c>
      <c r="W34" s="403">
        <f t="shared" si="2"/>
      </c>
      <c r="X34" s="405"/>
      <c r="Y34" s="403">
        <f t="shared" si="3"/>
      </c>
      <c r="Z34" s="405"/>
      <c r="AA34" s="742" t="str">
        <f t="shared" si="4"/>
        <v>0</v>
      </c>
      <c r="AB34" s="743">
        <f t="shared" si="15"/>
        <v>0</v>
      </c>
      <c r="AC34" s="405"/>
      <c r="AD34" s="404">
        <f t="shared" si="8"/>
      </c>
      <c r="AE34" s="744">
        <f t="shared" si="5"/>
      </c>
      <c r="AF34" s="1156"/>
      <c r="AG34" s="1145"/>
      <c r="AH34" s="1146"/>
      <c r="AJ34" s="61">
        <f t="shared" si="6"/>
      </c>
      <c r="AK34" s="61">
        <f t="shared" si="7"/>
      </c>
    </row>
    <row r="35" spans="1:37" s="53" customFormat="1" ht="18.75" customHeight="1">
      <c r="A35" s="736">
        <f t="shared" si="10"/>
      </c>
      <c r="B35" s="233"/>
      <c r="C35" s="738"/>
      <c r="D35" s="394"/>
      <c r="E35" s="739"/>
      <c r="F35" s="198"/>
      <c r="G35" s="740">
        <f t="shared" si="11"/>
      </c>
      <c r="H35" s="395">
        <f t="shared" si="12"/>
      </c>
      <c r="I35" s="621"/>
      <c r="J35" s="105"/>
      <c r="K35" s="623"/>
      <c r="L35" s="105"/>
      <c r="M35" s="395">
        <f t="shared" si="13"/>
      </c>
      <c r="N35" s="624">
        <f t="shared" si="14"/>
      </c>
      <c r="O35" s="741"/>
      <c r="P35" s="399">
        <f>IF($H35="","",IF($O35="Ａ",LOOKUP($D35,{8000,8500,9000,10000,10032,12000},{0,1532,1032,32,0,0}),IF($O35="Ｂ",LOOKUP($D35,{8000,8500,9000,10000,10032,12000},{0,1532,1032,408,408,408}),IF($O35="Ｃ",LOOKUP($D35,{8000,8500,9000,10000,10032,12000},{782,2814,2814,2814,2814,2814}),0))))</f>
      </c>
      <c r="Q35" s="441"/>
      <c r="R35" s="626">
        <f>IF($H35="","",IF($Q35="Ａ",LOOKUP($D35,{8000,8500,9000,10000,10032,12000},{0,1532,1032,32,0,0}),IF($Q35="Ｂ",LOOKUP($D35,{8000,8500,9000,10000,10032,12000},{0,1532,1032,408,408,408}),IF($Q35="Ｃ",LOOKUP($D35,{8000,8500,9000,10000,10032,12000},{782,2814,2814,2814,2814,2814}),0))))</f>
      </c>
      <c r="S35" s="402">
        <f t="shared" si="9"/>
      </c>
      <c r="T35" s="404">
        <f>IF(B35="","",SUMIF('2-3_調整額内訳⑤(新・新制度)'!B:B,$B35,'2-3_調整額内訳⑤(新・新制度)'!AF:AF))</f>
      </c>
      <c r="U35" s="403">
        <f t="shared" si="0"/>
      </c>
      <c r="V35" s="404">
        <f t="shared" si="1"/>
      </c>
      <c r="W35" s="403">
        <f t="shared" si="2"/>
      </c>
      <c r="X35" s="405"/>
      <c r="Y35" s="403">
        <f t="shared" si="3"/>
      </c>
      <c r="Z35" s="405"/>
      <c r="AA35" s="742" t="str">
        <f t="shared" si="4"/>
        <v>0</v>
      </c>
      <c r="AB35" s="743">
        <f t="shared" si="15"/>
        <v>0</v>
      </c>
      <c r="AC35" s="405"/>
      <c r="AD35" s="404">
        <f t="shared" si="8"/>
      </c>
      <c r="AE35" s="744">
        <f t="shared" si="5"/>
      </c>
      <c r="AF35" s="1156"/>
      <c r="AG35" s="1145"/>
      <c r="AH35" s="1146"/>
      <c r="AJ35" s="61">
        <f t="shared" si="6"/>
      </c>
      <c r="AK35" s="61">
        <f t="shared" si="7"/>
      </c>
    </row>
    <row r="36" spans="1:37" s="53" customFormat="1" ht="18.75" customHeight="1">
      <c r="A36" s="736">
        <f t="shared" si="10"/>
      </c>
      <c r="B36" s="233"/>
      <c r="C36" s="738"/>
      <c r="D36" s="394"/>
      <c r="E36" s="739"/>
      <c r="F36" s="198"/>
      <c r="G36" s="740">
        <f t="shared" si="11"/>
      </c>
      <c r="H36" s="395">
        <f t="shared" si="12"/>
      </c>
      <c r="I36" s="621"/>
      <c r="J36" s="105"/>
      <c r="K36" s="623"/>
      <c r="L36" s="105"/>
      <c r="M36" s="395">
        <f t="shared" si="13"/>
      </c>
      <c r="N36" s="624">
        <f t="shared" si="14"/>
      </c>
      <c r="O36" s="741"/>
      <c r="P36" s="399">
        <f>IF($H36="","",IF($O36="Ａ",LOOKUP($D36,{8000,8500,9000,10000,10032,12000},{0,1532,1032,32,0,0}),IF($O36="Ｂ",LOOKUP($D36,{8000,8500,9000,10000,10032,12000},{0,1532,1032,408,408,408}),IF($O36="Ｃ",LOOKUP($D36,{8000,8500,9000,10000,10032,12000},{782,2814,2814,2814,2814,2814}),0))))</f>
      </c>
      <c r="Q36" s="441"/>
      <c r="R36" s="626">
        <f>IF($H36="","",IF($Q36="Ａ",LOOKUP($D36,{8000,8500,9000,10000,10032,12000},{0,1532,1032,32,0,0}),IF($Q36="Ｂ",LOOKUP($D36,{8000,8500,9000,10000,10032,12000},{0,1532,1032,408,408,408}),IF($Q36="Ｃ",LOOKUP($D36,{8000,8500,9000,10000,10032,12000},{782,2814,2814,2814,2814,2814}),0))))</f>
      </c>
      <c r="S36" s="402">
        <f t="shared" si="9"/>
      </c>
      <c r="T36" s="404">
        <f>IF(B36="","",SUMIF('2-3_調整額内訳⑤(新・新制度)'!B:B,$B36,'2-3_調整額内訳⑤(新・新制度)'!AF:AF))</f>
      </c>
      <c r="U36" s="403">
        <f t="shared" si="0"/>
      </c>
      <c r="V36" s="404">
        <f t="shared" si="1"/>
      </c>
      <c r="W36" s="403">
        <f t="shared" si="2"/>
      </c>
      <c r="X36" s="405"/>
      <c r="Y36" s="403">
        <f t="shared" si="3"/>
      </c>
      <c r="Z36" s="405"/>
      <c r="AA36" s="742" t="str">
        <f t="shared" si="4"/>
        <v>0</v>
      </c>
      <c r="AB36" s="743">
        <f t="shared" si="15"/>
        <v>0</v>
      </c>
      <c r="AC36" s="405"/>
      <c r="AD36" s="404">
        <f t="shared" si="8"/>
      </c>
      <c r="AE36" s="744">
        <f t="shared" si="5"/>
      </c>
      <c r="AF36" s="1156"/>
      <c r="AG36" s="1145"/>
      <c r="AH36" s="1146"/>
      <c r="AJ36" s="61">
        <f t="shared" si="6"/>
      </c>
      <c r="AK36" s="61">
        <f t="shared" si="7"/>
      </c>
    </row>
    <row r="37" spans="1:37" s="53" customFormat="1" ht="18.75" customHeight="1">
      <c r="A37" s="736">
        <f t="shared" si="10"/>
      </c>
      <c r="B37" s="233"/>
      <c r="C37" s="738"/>
      <c r="D37" s="394"/>
      <c r="E37" s="739"/>
      <c r="F37" s="198"/>
      <c r="G37" s="740">
        <f t="shared" si="11"/>
      </c>
      <c r="H37" s="395">
        <f t="shared" si="12"/>
      </c>
      <c r="I37" s="621"/>
      <c r="J37" s="105"/>
      <c r="K37" s="623"/>
      <c r="L37" s="105"/>
      <c r="M37" s="395">
        <f t="shared" si="13"/>
      </c>
      <c r="N37" s="624">
        <f t="shared" si="14"/>
      </c>
      <c r="O37" s="741"/>
      <c r="P37" s="399">
        <f>IF($H37="","",IF($O37="Ａ",LOOKUP($D37,{8000,8500,9000,10000,10032,12000},{0,1532,1032,32,0,0}),IF($O37="Ｂ",LOOKUP($D37,{8000,8500,9000,10000,10032,12000},{0,1532,1032,408,408,408}),IF($O37="Ｃ",LOOKUP($D37,{8000,8500,9000,10000,10032,12000},{782,2814,2814,2814,2814,2814}),0))))</f>
      </c>
      <c r="Q37" s="441"/>
      <c r="R37" s="626">
        <f>IF($H37="","",IF($Q37="Ａ",LOOKUP($D37,{8000,8500,9000,10000,10032,12000},{0,1532,1032,32,0,0}),IF($Q37="Ｂ",LOOKUP($D37,{8000,8500,9000,10000,10032,12000},{0,1532,1032,408,408,408}),IF($Q37="Ｃ",LOOKUP($D37,{8000,8500,9000,10000,10032,12000},{782,2814,2814,2814,2814,2814}),0))))</f>
      </c>
      <c r="S37" s="402">
        <f t="shared" si="9"/>
      </c>
      <c r="T37" s="404">
        <f>IF(B37="","",SUMIF('2-3_調整額内訳⑤(新・新制度)'!B:B,$B37,'2-3_調整額内訳⑤(新・新制度)'!AF:AF))</f>
      </c>
      <c r="U37" s="403">
        <f t="shared" si="0"/>
      </c>
      <c r="V37" s="404">
        <f t="shared" si="1"/>
      </c>
      <c r="W37" s="403">
        <f t="shared" si="2"/>
      </c>
      <c r="X37" s="405"/>
      <c r="Y37" s="403">
        <f t="shared" si="3"/>
      </c>
      <c r="Z37" s="405"/>
      <c r="AA37" s="742" t="str">
        <f t="shared" si="4"/>
        <v>0</v>
      </c>
      <c r="AB37" s="743">
        <f t="shared" si="15"/>
        <v>0</v>
      </c>
      <c r="AC37" s="405"/>
      <c r="AD37" s="404">
        <f t="shared" si="8"/>
      </c>
      <c r="AE37" s="744">
        <f t="shared" si="5"/>
      </c>
      <c r="AF37" s="1156"/>
      <c r="AG37" s="1145"/>
      <c r="AH37" s="1146"/>
      <c r="AJ37" s="61">
        <f t="shared" si="6"/>
      </c>
      <c r="AK37" s="61">
        <f t="shared" si="7"/>
      </c>
    </row>
    <row r="38" spans="1:37" s="53" customFormat="1" ht="18.75" customHeight="1">
      <c r="A38" s="736">
        <f t="shared" si="10"/>
      </c>
      <c r="B38" s="233"/>
      <c r="C38" s="738"/>
      <c r="D38" s="394"/>
      <c r="E38" s="739"/>
      <c r="F38" s="198"/>
      <c r="G38" s="740">
        <f t="shared" si="11"/>
      </c>
      <c r="H38" s="395">
        <f t="shared" si="12"/>
      </c>
      <c r="I38" s="621"/>
      <c r="J38" s="105"/>
      <c r="K38" s="623"/>
      <c r="L38" s="105"/>
      <c r="M38" s="395">
        <f t="shared" si="13"/>
      </c>
      <c r="N38" s="624">
        <f t="shared" si="14"/>
      </c>
      <c r="O38" s="741"/>
      <c r="P38" s="399">
        <f>IF($H38="","",IF($O38="Ａ",LOOKUP($D38,{8000,8500,9000,10000,10032,12000},{0,1532,1032,32,0,0}),IF($O38="Ｂ",LOOKUP($D38,{8000,8500,9000,10000,10032,12000},{0,1532,1032,408,408,408}),IF($O38="Ｃ",LOOKUP($D38,{8000,8500,9000,10000,10032,12000},{782,2814,2814,2814,2814,2814}),0))))</f>
      </c>
      <c r="Q38" s="441"/>
      <c r="R38" s="626">
        <f>IF($H38="","",IF($Q38="Ａ",LOOKUP($D38,{8000,8500,9000,10000,10032,12000},{0,1532,1032,32,0,0}),IF($Q38="Ｂ",LOOKUP($D38,{8000,8500,9000,10000,10032,12000},{0,1532,1032,408,408,408}),IF($Q38="Ｃ",LOOKUP($D38,{8000,8500,9000,10000,10032,12000},{782,2814,2814,2814,2814,2814}),0))))</f>
      </c>
      <c r="S38" s="402">
        <f t="shared" si="9"/>
      </c>
      <c r="T38" s="404">
        <f>IF(B38="","",SUMIF('2-3_調整額内訳⑤(新・新制度)'!B:B,$B38,'2-3_調整額内訳⑤(新・新制度)'!AF:AF))</f>
      </c>
      <c r="U38" s="403">
        <f t="shared" si="0"/>
      </c>
      <c r="V38" s="404">
        <f t="shared" si="1"/>
      </c>
      <c r="W38" s="403">
        <f t="shared" si="2"/>
      </c>
      <c r="X38" s="405"/>
      <c r="Y38" s="403">
        <f t="shared" si="3"/>
      </c>
      <c r="Z38" s="405"/>
      <c r="AA38" s="742" t="str">
        <f t="shared" si="4"/>
        <v>0</v>
      </c>
      <c r="AB38" s="743">
        <f t="shared" si="15"/>
        <v>0</v>
      </c>
      <c r="AC38" s="405"/>
      <c r="AD38" s="404">
        <f t="shared" si="8"/>
      </c>
      <c r="AE38" s="744">
        <f t="shared" si="5"/>
      </c>
      <c r="AF38" s="1156"/>
      <c r="AG38" s="1145"/>
      <c r="AH38" s="1146"/>
      <c r="AJ38" s="61">
        <f t="shared" si="6"/>
      </c>
      <c r="AK38" s="61">
        <f t="shared" si="7"/>
      </c>
    </row>
    <row r="39" spans="1:37" s="53" customFormat="1" ht="18.75" customHeight="1">
      <c r="A39" s="736">
        <f t="shared" si="10"/>
      </c>
      <c r="B39" s="233"/>
      <c r="C39" s="738"/>
      <c r="D39" s="394"/>
      <c r="E39" s="739"/>
      <c r="F39" s="198"/>
      <c r="G39" s="740">
        <f t="shared" si="11"/>
      </c>
      <c r="H39" s="395">
        <f t="shared" si="12"/>
      </c>
      <c r="I39" s="621"/>
      <c r="J39" s="105"/>
      <c r="K39" s="623"/>
      <c r="L39" s="105"/>
      <c r="M39" s="395">
        <f t="shared" si="13"/>
      </c>
      <c r="N39" s="624">
        <f t="shared" si="14"/>
      </c>
      <c r="O39" s="741"/>
      <c r="P39" s="399">
        <f>IF($H39="","",IF($O39="Ａ",LOOKUP($D39,{8000,8500,9000,10000,10032,12000},{0,1532,1032,32,0,0}),IF($O39="Ｂ",LOOKUP($D39,{8000,8500,9000,10000,10032,12000},{0,1532,1032,408,408,408}),IF($O39="Ｃ",LOOKUP($D39,{8000,8500,9000,10000,10032,12000},{782,2814,2814,2814,2814,2814}),0))))</f>
      </c>
      <c r="Q39" s="441"/>
      <c r="R39" s="626">
        <f>IF($H39="","",IF($Q39="Ａ",LOOKUP($D39,{8000,8500,9000,10000,10032,12000},{0,1532,1032,32,0,0}),IF($Q39="Ｂ",LOOKUP($D39,{8000,8500,9000,10000,10032,12000},{0,1532,1032,408,408,408}),IF($Q39="Ｃ",LOOKUP($D39,{8000,8500,9000,10000,10032,12000},{782,2814,2814,2814,2814,2814}),0))))</f>
      </c>
      <c r="S39" s="402">
        <f t="shared" si="9"/>
      </c>
      <c r="T39" s="404">
        <f>IF(B39="","",SUMIF('2-3_調整額内訳⑤(新・新制度)'!B:B,$B39,'2-3_調整額内訳⑤(新・新制度)'!AF:AF))</f>
      </c>
      <c r="U39" s="403">
        <f t="shared" si="0"/>
      </c>
      <c r="V39" s="404">
        <f t="shared" si="1"/>
      </c>
      <c r="W39" s="403">
        <f t="shared" si="2"/>
      </c>
      <c r="X39" s="405"/>
      <c r="Y39" s="403">
        <f t="shared" si="3"/>
      </c>
      <c r="Z39" s="405"/>
      <c r="AA39" s="742" t="str">
        <f t="shared" si="4"/>
        <v>0</v>
      </c>
      <c r="AB39" s="743">
        <f t="shared" si="15"/>
        <v>0</v>
      </c>
      <c r="AC39" s="405"/>
      <c r="AD39" s="404">
        <f t="shared" si="8"/>
      </c>
      <c r="AE39" s="744">
        <f t="shared" si="5"/>
      </c>
      <c r="AF39" s="1156"/>
      <c r="AG39" s="1145"/>
      <c r="AH39" s="1146"/>
      <c r="AJ39" s="61">
        <f t="shared" si="6"/>
      </c>
      <c r="AK39" s="61">
        <f t="shared" si="7"/>
      </c>
    </row>
    <row r="40" spans="1:37" s="53" customFormat="1" ht="18.75" customHeight="1">
      <c r="A40" s="736">
        <f t="shared" si="10"/>
      </c>
      <c r="B40" s="233"/>
      <c r="C40" s="738"/>
      <c r="D40" s="394"/>
      <c r="E40" s="739"/>
      <c r="F40" s="198"/>
      <c r="G40" s="740">
        <f t="shared" si="11"/>
      </c>
      <c r="H40" s="395">
        <f t="shared" si="12"/>
      </c>
      <c r="I40" s="621"/>
      <c r="J40" s="105"/>
      <c r="K40" s="623"/>
      <c r="L40" s="105"/>
      <c r="M40" s="395">
        <f t="shared" si="13"/>
      </c>
      <c r="N40" s="624">
        <f t="shared" si="14"/>
      </c>
      <c r="O40" s="741"/>
      <c r="P40" s="399">
        <f>IF($H40="","",IF($O40="Ａ",LOOKUP($D40,{8000,8500,9000,10000,10032,12000},{0,1532,1032,32,0,0}),IF($O40="Ｂ",LOOKUP($D40,{8000,8500,9000,10000,10032,12000},{0,1532,1032,408,408,408}),IF($O40="Ｃ",LOOKUP($D40,{8000,8500,9000,10000,10032,12000},{782,2814,2814,2814,2814,2814}),0))))</f>
      </c>
      <c r="Q40" s="441"/>
      <c r="R40" s="626">
        <f>IF($H40="","",IF($Q40="Ａ",LOOKUP($D40,{8000,8500,9000,10000,10032,12000},{0,1532,1032,32,0,0}),IF($Q40="Ｂ",LOOKUP($D40,{8000,8500,9000,10000,10032,12000},{0,1532,1032,408,408,408}),IF($Q40="Ｃ",LOOKUP($D40,{8000,8500,9000,10000,10032,12000},{782,2814,2814,2814,2814,2814}),0))))</f>
      </c>
      <c r="S40" s="402">
        <f t="shared" si="9"/>
      </c>
      <c r="T40" s="404">
        <f>IF(B40="","",SUMIF('2-3_調整額内訳⑤(新・新制度)'!B:B,$B40,'2-3_調整額内訳⑤(新・新制度)'!AF:AF))</f>
      </c>
      <c r="U40" s="403">
        <f t="shared" si="0"/>
      </c>
      <c r="V40" s="404">
        <f t="shared" si="1"/>
      </c>
      <c r="W40" s="403">
        <f t="shared" si="2"/>
      </c>
      <c r="X40" s="405"/>
      <c r="Y40" s="403">
        <f t="shared" si="3"/>
      </c>
      <c r="Z40" s="405"/>
      <c r="AA40" s="742" t="str">
        <f t="shared" si="4"/>
        <v>0</v>
      </c>
      <c r="AB40" s="743">
        <f t="shared" si="15"/>
        <v>0</v>
      </c>
      <c r="AC40" s="405"/>
      <c r="AD40" s="404">
        <f t="shared" si="8"/>
      </c>
      <c r="AE40" s="744">
        <f t="shared" si="5"/>
      </c>
      <c r="AF40" s="1156"/>
      <c r="AG40" s="1145"/>
      <c r="AH40" s="1146"/>
      <c r="AJ40" s="61">
        <f t="shared" si="6"/>
      </c>
      <c r="AK40" s="61">
        <f t="shared" si="7"/>
      </c>
    </row>
    <row r="41" spans="1:37" s="53" customFormat="1" ht="18.75" customHeight="1">
      <c r="A41" s="736">
        <f t="shared" si="10"/>
      </c>
      <c r="B41" s="233"/>
      <c r="C41" s="738"/>
      <c r="D41" s="394"/>
      <c r="E41" s="739"/>
      <c r="F41" s="198"/>
      <c r="G41" s="740">
        <f t="shared" si="11"/>
      </c>
      <c r="H41" s="395">
        <f t="shared" si="12"/>
      </c>
      <c r="I41" s="621"/>
      <c r="J41" s="105"/>
      <c r="K41" s="623"/>
      <c r="L41" s="105"/>
      <c r="M41" s="395">
        <f t="shared" si="13"/>
      </c>
      <c r="N41" s="624">
        <f t="shared" si="14"/>
      </c>
      <c r="O41" s="741"/>
      <c r="P41" s="399">
        <f>IF($H41="","",IF($O41="Ａ",LOOKUP($D41,{8000,8500,9000,10000,10032,12000},{0,1532,1032,32,0,0}),IF($O41="Ｂ",LOOKUP($D41,{8000,8500,9000,10000,10032,12000},{0,1532,1032,408,408,408}),IF($O41="Ｃ",LOOKUP($D41,{8000,8500,9000,10000,10032,12000},{782,2814,2814,2814,2814,2814}),0))))</f>
      </c>
      <c r="Q41" s="441"/>
      <c r="R41" s="626">
        <f>IF($H41="","",IF($Q41="Ａ",LOOKUP($D41,{8000,8500,9000,10000,10032,12000},{0,1532,1032,32,0,0}),IF($Q41="Ｂ",LOOKUP($D41,{8000,8500,9000,10000,10032,12000},{0,1532,1032,408,408,408}),IF($Q41="Ｃ",LOOKUP($D41,{8000,8500,9000,10000,10032,12000},{782,2814,2814,2814,2814,2814}),0))))</f>
      </c>
      <c r="S41" s="402">
        <f t="shared" si="9"/>
      </c>
      <c r="T41" s="404">
        <f>IF(B41="","",SUMIF('2-3_調整額内訳⑤(新・新制度)'!B:B,$B41,'2-3_調整額内訳⑤(新・新制度)'!AF:AF))</f>
      </c>
      <c r="U41" s="403">
        <f t="shared" si="0"/>
      </c>
      <c r="V41" s="404">
        <f t="shared" si="1"/>
      </c>
      <c r="W41" s="403">
        <f t="shared" si="2"/>
      </c>
      <c r="X41" s="405"/>
      <c r="Y41" s="403">
        <f t="shared" si="3"/>
      </c>
      <c r="Z41" s="405"/>
      <c r="AA41" s="742" t="str">
        <f t="shared" si="4"/>
        <v>0</v>
      </c>
      <c r="AB41" s="743">
        <f t="shared" si="15"/>
        <v>0</v>
      </c>
      <c r="AC41" s="405"/>
      <c r="AD41" s="404">
        <f t="shared" si="8"/>
      </c>
      <c r="AE41" s="744">
        <f t="shared" si="5"/>
      </c>
      <c r="AF41" s="1156"/>
      <c r="AG41" s="1145"/>
      <c r="AH41" s="1146"/>
      <c r="AJ41" s="61">
        <f t="shared" si="6"/>
      </c>
      <c r="AK41" s="61">
        <f t="shared" si="7"/>
      </c>
    </row>
    <row r="42" spans="1:37" s="53" customFormat="1" ht="18.75" customHeight="1">
      <c r="A42" s="736">
        <f t="shared" si="10"/>
      </c>
      <c r="B42" s="233"/>
      <c r="C42" s="738"/>
      <c r="D42" s="394"/>
      <c r="E42" s="739"/>
      <c r="F42" s="198"/>
      <c r="G42" s="740">
        <f t="shared" si="11"/>
      </c>
      <c r="H42" s="395">
        <f t="shared" si="12"/>
      </c>
      <c r="I42" s="621"/>
      <c r="J42" s="105"/>
      <c r="K42" s="623"/>
      <c r="L42" s="105"/>
      <c r="M42" s="395">
        <f t="shared" si="13"/>
      </c>
      <c r="N42" s="624">
        <f t="shared" si="14"/>
      </c>
      <c r="O42" s="741"/>
      <c r="P42" s="399">
        <f>IF($H42="","",IF($O42="Ａ",LOOKUP($D42,{8000,8500,9000,10000,10032,12000},{0,1532,1032,32,0,0}),IF($O42="Ｂ",LOOKUP($D42,{8000,8500,9000,10000,10032,12000},{0,1532,1032,408,408,408}),IF($O42="Ｃ",LOOKUP($D42,{8000,8500,9000,10000,10032,12000},{782,2814,2814,2814,2814,2814}),0))))</f>
      </c>
      <c r="Q42" s="441"/>
      <c r="R42" s="626">
        <f>IF($H42="","",IF($Q42="Ａ",LOOKUP($D42,{8000,8500,9000,10000,10032,12000},{0,1532,1032,32,0,0}),IF($Q42="Ｂ",LOOKUP($D42,{8000,8500,9000,10000,10032,12000},{0,1532,1032,408,408,408}),IF($Q42="Ｃ",LOOKUP($D42,{8000,8500,9000,10000,10032,12000},{782,2814,2814,2814,2814,2814}),0))))</f>
      </c>
      <c r="S42" s="402">
        <f t="shared" si="9"/>
      </c>
      <c r="T42" s="404">
        <f>IF(B42="","",SUMIF('2-3_調整額内訳⑤(新・新制度)'!B:B,$B42,'2-3_調整額内訳⑤(新・新制度)'!AF:AF))</f>
      </c>
      <c r="U42" s="403">
        <f t="shared" si="0"/>
      </c>
      <c r="V42" s="404">
        <f t="shared" si="1"/>
      </c>
      <c r="W42" s="403">
        <f t="shared" si="2"/>
      </c>
      <c r="X42" s="405"/>
      <c r="Y42" s="403">
        <f t="shared" si="3"/>
      </c>
      <c r="Z42" s="405"/>
      <c r="AA42" s="742" t="str">
        <f t="shared" si="4"/>
        <v>0</v>
      </c>
      <c r="AB42" s="743">
        <f t="shared" si="15"/>
        <v>0</v>
      </c>
      <c r="AC42" s="405"/>
      <c r="AD42" s="404">
        <f t="shared" si="8"/>
      </c>
      <c r="AE42" s="744">
        <f t="shared" si="5"/>
      </c>
      <c r="AF42" s="1156"/>
      <c r="AG42" s="1145"/>
      <c r="AH42" s="1146"/>
      <c r="AJ42" s="61">
        <f t="shared" si="6"/>
      </c>
      <c r="AK42" s="61">
        <f t="shared" si="7"/>
      </c>
    </row>
    <row r="43" spans="1:37" s="53" customFormat="1" ht="18.75" customHeight="1">
      <c r="A43" s="736">
        <f t="shared" si="10"/>
      </c>
      <c r="B43" s="233"/>
      <c r="C43" s="738"/>
      <c r="D43" s="394"/>
      <c r="E43" s="739"/>
      <c r="F43" s="198"/>
      <c r="G43" s="740">
        <f t="shared" si="11"/>
      </c>
      <c r="H43" s="395">
        <f t="shared" si="12"/>
      </c>
      <c r="I43" s="621"/>
      <c r="J43" s="105"/>
      <c r="K43" s="623"/>
      <c r="L43" s="105"/>
      <c r="M43" s="395">
        <f t="shared" si="13"/>
      </c>
      <c r="N43" s="624">
        <f t="shared" si="14"/>
      </c>
      <c r="O43" s="741"/>
      <c r="P43" s="399">
        <f>IF($H43="","",IF($O43="Ａ",LOOKUP($D43,{8000,8500,9000,10000,10032,12000},{0,1532,1032,32,0,0}),IF($O43="Ｂ",LOOKUP($D43,{8000,8500,9000,10000,10032,12000},{0,1532,1032,408,408,408}),IF($O43="Ｃ",LOOKUP($D43,{8000,8500,9000,10000,10032,12000},{782,2814,2814,2814,2814,2814}),0))))</f>
      </c>
      <c r="Q43" s="441"/>
      <c r="R43" s="626">
        <f>IF($H43="","",IF($Q43="Ａ",LOOKUP($D43,{8000,8500,9000,10000,10032,12000},{0,1532,1032,32,0,0}),IF($Q43="Ｂ",LOOKUP($D43,{8000,8500,9000,10000,10032,12000},{0,1532,1032,408,408,408}),IF($Q43="Ｃ",LOOKUP($D43,{8000,8500,9000,10000,10032,12000},{782,2814,2814,2814,2814,2814}),0))))</f>
      </c>
      <c r="S43" s="402">
        <f t="shared" si="9"/>
      </c>
      <c r="T43" s="404">
        <f>IF(B43="","",SUMIF('2-3_調整額内訳⑤(新・新制度)'!B:B,$B43,'2-3_調整額内訳⑤(新・新制度)'!AF:AF))</f>
      </c>
      <c r="U43" s="403">
        <f t="shared" si="0"/>
      </c>
      <c r="V43" s="404">
        <f t="shared" si="1"/>
      </c>
      <c r="W43" s="403">
        <f t="shared" si="2"/>
      </c>
      <c r="X43" s="405"/>
      <c r="Y43" s="403">
        <f t="shared" si="3"/>
      </c>
      <c r="Z43" s="405"/>
      <c r="AA43" s="742" t="str">
        <f t="shared" si="4"/>
        <v>0</v>
      </c>
      <c r="AB43" s="743">
        <f t="shared" si="15"/>
        <v>0</v>
      </c>
      <c r="AC43" s="405"/>
      <c r="AD43" s="404">
        <f t="shared" si="8"/>
      </c>
      <c r="AE43" s="744">
        <f t="shared" si="5"/>
      </c>
      <c r="AF43" s="1156"/>
      <c r="AG43" s="1145"/>
      <c r="AH43" s="1146"/>
      <c r="AJ43" s="61">
        <f t="shared" si="6"/>
      </c>
      <c r="AK43" s="61">
        <f t="shared" si="7"/>
      </c>
    </row>
    <row r="44" spans="1:37" s="53" customFormat="1" ht="18.75" customHeight="1" thickBot="1">
      <c r="A44" s="745">
        <f t="shared" si="10"/>
      </c>
      <c r="B44" s="235"/>
      <c r="C44" s="746"/>
      <c r="D44" s="747"/>
      <c r="E44" s="748"/>
      <c r="F44" s="199"/>
      <c r="G44" s="749">
        <f t="shared" si="11"/>
      </c>
      <c r="H44" s="396">
        <f t="shared" si="12"/>
      </c>
      <c r="I44" s="641"/>
      <c r="J44" s="106"/>
      <c r="K44" s="643"/>
      <c r="L44" s="106"/>
      <c r="M44" s="396">
        <f t="shared" si="13"/>
      </c>
      <c r="N44" s="644">
        <f t="shared" si="14"/>
      </c>
      <c r="O44" s="750"/>
      <c r="P44" s="400">
        <f>IF($H44="","",IF($O44="Ａ",LOOKUP($D44,{8000,8500,9000,10000,10032,12000},{0,1532,1032,32,0,0}),IF($O44="Ｂ",LOOKUP($D44,{8000,8500,9000,10000,10032,12000},{0,1532,1032,408,408,408}),IF($O44="Ｃ",LOOKUP($D44,{8000,8500,9000,10000,10032,12000},{782,2814,2814,2814,2814,2814}),0))))</f>
      </c>
      <c r="Q44" s="443"/>
      <c r="R44" s="646">
        <f>IF($H44="","",IF($Q44="Ａ",LOOKUP($D44,{8000,8500,9000,10000,10032,12000},{0,1532,1032,32,0,0}),IF($Q44="Ｂ",LOOKUP($D44,{8000,8500,9000,10000,10032,12000},{0,1532,1032,408,408,408}),IF($Q44="Ｃ",LOOKUP($D44,{8000,8500,9000,10000,10032,12000},{782,2814,2814,2814,2814,2814}),0))))</f>
      </c>
      <c r="S44" s="651">
        <f t="shared" si="9"/>
      </c>
      <c r="T44" s="406">
        <f>IF(B44="","",SUMIF('2-3_調整額内訳⑤(新・新制度)'!B:B,$B44,'2-3_調整額内訳⑤(新・新制度)'!AF:AF))</f>
      </c>
      <c r="U44" s="666">
        <f t="shared" si="0"/>
      </c>
      <c r="V44" s="406">
        <f t="shared" si="1"/>
      </c>
      <c r="W44" s="666">
        <f t="shared" si="2"/>
      </c>
      <c r="X44" s="751"/>
      <c r="Y44" s="666">
        <f t="shared" si="3"/>
      </c>
      <c r="Z44" s="751"/>
      <c r="AA44" s="752" t="str">
        <f t="shared" si="4"/>
        <v>0</v>
      </c>
      <c r="AB44" s="753">
        <f t="shared" si="15"/>
        <v>0</v>
      </c>
      <c r="AC44" s="751"/>
      <c r="AD44" s="406">
        <f t="shared" si="8"/>
      </c>
      <c r="AE44" s="754">
        <f t="shared" si="5"/>
      </c>
      <c r="AF44" s="1157"/>
      <c r="AG44" s="1148"/>
      <c r="AH44" s="1149"/>
      <c r="AJ44" s="61">
        <f t="shared" si="6"/>
      </c>
      <c r="AK44" s="61">
        <f t="shared" si="7"/>
      </c>
    </row>
    <row r="45" spans="1:37" s="66" customFormat="1" ht="25.5" customHeight="1" thickBot="1">
      <c r="A45" s="1101" t="s">
        <v>140</v>
      </c>
      <c r="B45" s="1102"/>
      <c r="C45" s="1102"/>
      <c r="D45" s="1103"/>
      <c r="E45" s="517">
        <f>SUM(E8:E44)</f>
        <v>0</v>
      </c>
      <c r="F45" s="755"/>
      <c r="G45" s="519">
        <f>SUM(G8:G44)</f>
        <v>0</v>
      </c>
      <c r="H45" s="445" t="s">
        <v>395</v>
      </c>
      <c r="I45" s="681" t="s">
        <v>395</v>
      </c>
      <c r="J45" s="657" t="s">
        <v>395</v>
      </c>
      <c r="K45" s="535"/>
      <c r="L45" s="756"/>
      <c r="M45" s="658">
        <f>SUM(M8:M44)</f>
        <v>0</v>
      </c>
      <c r="N45" s="659" t="s">
        <v>134</v>
      </c>
      <c r="O45" s="445" t="s">
        <v>395</v>
      </c>
      <c r="P45" s="659"/>
      <c r="Q45" s="445" t="s">
        <v>134</v>
      </c>
      <c r="R45" s="659"/>
      <c r="S45" s="660">
        <f aca="true" t="shared" si="16" ref="S45:AE45">SUM(S8:S44)</f>
        <v>0</v>
      </c>
      <c r="T45" s="661">
        <f t="shared" si="16"/>
        <v>0</v>
      </c>
      <c r="U45" s="662">
        <f t="shared" si="16"/>
        <v>0</v>
      </c>
      <c r="V45" s="663">
        <f t="shared" si="16"/>
        <v>0</v>
      </c>
      <c r="W45" s="663">
        <f>SUM(W8:W44)</f>
        <v>0</v>
      </c>
      <c r="X45" s="663">
        <f t="shared" si="16"/>
        <v>0</v>
      </c>
      <c r="Y45" s="663">
        <f t="shared" si="16"/>
        <v>0</v>
      </c>
      <c r="Z45" s="663">
        <f>SUM(Z8:Z44)</f>
        <v>0</v>
      </c>
      <c r="AA45" s="663"/>
      <c r="AB45" s="663"/>
      <c r="AC45" s="663">
        <f t="shared" si="16"/>
        <v>0</v>
      </c>
      <c r="AD45" s="663">
        <f t="shared" si="16"/>
        <v>0</v>
      </c>
      <c r="AE45" s="664">
        <f t="shared" si="16"/>
        <v>0</v>
      </c>
      <c r="AF45" s="1024"/>
      <c r="AG45" s="1025"/>
      <c r="AH45" s="1026"/>
      <c r="AJ45" s="67"/>
      <c r="AK45" s="67"/>
    </row>
    <row r="46" spans="1:37" s="287" customFormat="1" ht="15.75" customHeight="1">
      <c r="A46" s="287" t="s">
        <v>26</v>
      </c>
      <c r="O46" s="288"/>
      <c r="Q46" s="288"/>
      <c r="AJ46" s="289"/>
      <c r="AK46" s="289"/>
    </row>
    <row r="47" spans="1:37" s="287" customFormat="1" ht="15.75" customHeight="1">
      <c r="A47" s="287" t="s">
        <v>132</v>
      </c>
      <c r="O47" s="288"/>
      <c r="Q47" s="288"/>
      <c r="AJ47" s="289"/>
      <c r="AK47" s="289"/>
    </row>
    <row r="48" spans="1:37" s="287" customFormat="1" ht="15.75" customHeight="1">
      <c r="A48" s="287" t="s">
        <v>146</v>
      </c>
      <c r="O48" s="288"/>
      <c r="Q48" s="288"/>
      <c r="AJ48" s="289"/>
      <c r="AK48" s="289"/>
    </row>
    <row r="49" spans="1:37" s="287" customFormat="1" ht="15.75" customHeight="1">
      <c r="A49" s="287" t="s">
        <v>138</v>
      </c>
      <c r="O49" s="288"/>
      <c r="Q49" s="288"/>
      <c r="AJ49" s="289"/>
      <c r="AK49" s="289"/>
    </row>
    <row r="50" spans="1:37" s="287" customFormat="1" ht="15.75" customHeight="1">
      <c r="A50" s="287" t="s">
        <v>263</v>
      </c>
      <c r="O50" s="288"/>
      <c r="Q50" s="288"/>
      <c r="AJ50" s="289"/>
      <c r="AK50" s="289"/>
    </row>
    <row r="51" spans="1:37" s="287" customFormat="1" ht="15.75" customHeight="1">
      <c r="A51" s="287" t="s">
        <v>228</v>
      </c>
      <c r="O51" s="288"/>
      <c r="Q51" s="288"/>
      <c r="AJ51" s="289"/>
      <c r="AK51" s="289"/>
    </row>
    <row r="52" spans="1:37" s="287" customFormat="1" ht="15.75" customHeight="1">
      <c r="A52" s="287" t="s">
        <v>154</v>
      </c>
      <c r="O52" s="288"/>
      <c r="Q52" s="288"/>
      <c r="AJ52" s="289"/>
      <c r="AK52" s="289"/>
    </row>
    <row r="53" spans="1:37" s="287" customFormat="1" ht="15.75" customHeight="1">
      <c r="A53" s="287" t="s">
        <v>155</v>
      </c>
      <c r="O53" s="288"/>
      <c r="Q53" s="288"/>
      <c r="AJ53" s="289"/>
      <c r="AK53" s="289"/>
    </row>
    <row r="54" spans="1:37" s="287" customFormat="1" ht="15.75" customHeight="1">
      <c r="A54" s="287" t="s">
        <v>264</v>
      </c>
      <c r="O54" s="288"/>
      <c r="Q54" s="288"/>
      <c r="AJ54" s="289"/>
      <c r="AK54" s="289"/>
    </row>
    <row r="55" spans="1:37" s="287" customFormat="1" ht="15.75" customHeight="1">
      <c r="A55" s="287" t="s">
        <v>202</v>
      </c>
      <c r="O55" s="288"/>
      <c r="Q55" s="288"/>
      <c r="AJ55" s="289"/>
      <c r="AK55" s="289"/>
    </row>
    <row r="56" spans="1:36" s="287" customFormat="1" ht="15.75" customHeight="1">
      <c r="A56" s="287" t="s">
        <v>203</v>
      </c>
      <c r="O56" s="288"/>
      <c r="Q56" s="288"/>
      <c r="AI56" s="289"/>
      <c r="AJ56" s="289"/>
    </row>
    <row r="57" spans="1:37" s="287" customFormat="1" ht="15.75" customHeight="1">
      <c r="A57" s="287" t="s">
        <v>141</v>
      </c>
      <c r="O57" s="288"/>
      <c r="Q57" s="288"/>
      <c r="AJ57" s="289"/>
      <c r="AK57" s="289"/>
    </row>
    <row r="58" spans="1:37" s="287" customFormat="1" ht="15.75" customHeight="1">
      <c r="A58" s="287" t="s">
        <v>142</v>
      </c>
      <c r="O58" s="288"/>
      <c r="Q58" s="288"/>
      <c r="AJ58" s="289"/>
      <c r="AK58" s="289"/>
    </row>
    <row r="59" spans="1:37" s="287" customFormat="1" ht="15.75" customHeight="1">
      <c r="A59" s="287" t="s">
        <v>143</v>
      </c>
      <c r="O59" s="288"/>
      <c r="Q59" s="288"/>
      <c r="AJ59" s="289"/>
      <c r="AK59" s="28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6">
    <mergeCell ref="Z1:AD1"/>
    <mergeCell ref="AF1:AH1"/>
    <mergeCell ref="Z2:AD2"/>
    <mergeCell ref="AF2:AH2"/>
    <mergeCell ref="A4:A7"/>
    <mergeCell ref="B4:B7"/>
    <mergeCell ref="C4:C7"/>
    <mergeCell ref="D4:D6"/>
    <mergeCell ref="E4:G4"/>
    <mergeCell ref="H4:N4"/>
    <mergeCell ref="O4:U4"/>
    <mergeCell ref="V4:V6"/>
    <mergeCell ref="W4:W6"/>
    <mergeCell ref="X4:X6"/>
    <mergeCell ref="Y4:Y6"/>
    <mergeCell ref="Z4:Z5"/>
    <mergeCell ref="S5:S6"/>
    <mergeCell ref="T5:T6"/>
    <mergeCell ref="U5:U6"/>
    <mergeCell ref="O6:O7"/>
    <mergeCell ref="AA4:AA5"/>
    <mergeCell ref="AB4:AB5"/>
    <mergeCell ref="AC4:AC6"/>
    <mergeCell ref="AD4:AD6"/>
    <mergeCell ref="AE4:AE6"/>
    <mergeCell ref="AF4:AH7"/>
    <mergeCell ref="AJ4:AJ7"/>
    <mergeCell ref="AK4:AK7"/>
    <mergeCell ref="G5:G6"/>
    <mergeCell ref="H5:H6"/>
    <mergeCell ref="I5:I6"/>
    <mergeCell ref="J5:J6"/>
    <mergeCell ref="M5:M6"/>
    <mergeCell ref="N5:N6"/>
    <mergeCell ref="O5:P5"/>
    <mergeCell ref="Q5:R5"/>
    <mergeCell ref="Q6:Q7"/>
    <mergeCell ref="AF8:AH8"/>
    <mergeCell ref="AF9:AH9"/>
    <mergeCell ref="AF10:AH10"/>
    <mergeCell ref="AF11:AH11"/>
    <mergeCell ref="AF12:AH12"/>
    <mergeCell ref="AF13:AH13"/>
    <mergeCell ref="AF14:AH14"/>
    <mergeCell ref="AF15:AH15"/>
    <mergeCell ref="AF16:AH16"/>
    <mergeCell ref="AF17:AH17"/>
    <mergeCell ref="AF18:AH18"/>
    <mergeCell ref="AF19:AH19"/>
    <mergeCell ref="AF20:AH20"/>
    <mergeCell ref="AF21:AH21"/>
    <mergeCell ref="AF22:AH22"/>
    <mergeCell ref="AF23:AH23"/>
    <mergeCell ref="AF24:AH24"/>
    <mergeCell ref="AF25:AH25"/>
    <mergeCell ref="AF26:AH26"/>
    <mergeCell ref="AF27:AH27"/>
    <mergeCell ref="AF28:AH28"/>
    <mergeCell ref="AF29:AH29"/>
    <mergeCell ref="AF30:AH30"/>
    <mergeCell ref="AF31:AH31"/>
    <mergeCell ref="AF32:AH32"/>
    <mergeCell ref="AF33:AH33"/>
    <mergeCell ref="AF34:AH34"/>
    <mergeCell ref="AF35:AH35"/>
    <mergeCell ref="AF36:AH36"/>
    <mergeCell ref="AF43:AH43"/>
    <mergeCell ref="AF44:AH44"/>
    <mergeCell ref="A45:D45"/>
    <mergeCell ref="AF45:AH45"/>
    <mergeCell ref="AF37:AH37"/>
    <mergeCell ref="AF38:AH38"/>
    <mergeCell ref="AF39:AH39"/>
    <mergeCell ref="AF40:AH40"/>
    <mergeCell ref="AF41:AH41"/>
    <mergeCell ref="AF42:AH42"/>
  </mergeCells>
  <dataValidations count="3">
    <dataValidation type="whole" allowBlank="1" showInputMessage="1" showErrorMessage="1" sqref="M8:M44 H8:I44 X8:X44">
      <formula1>0</formula1>
      <formula2>9999999</formula2>
    </dataValidation>
    <dataValidation type="whole" allowBlank="1" showInputMessage="1" showErrorMessage="1" sqref="C8:C44">
      <formula1>1</formula1>
      <formula2>4</formula2>
    </dataValidation>
    <dataValidation type="list" allowBlank="1" showInputMessage="1" showErrorMessage="1" sqref="Q8:Q44 O8:O44">
      <formula1>"Ａ,Ｂ,Ｃ,Ｄ"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17.xml><?xml version="1.0" encoding="utf-8"?>
<worksheet xmlns="http://schemas.openxmlformats.org/spreadsheetml/2006/main" xmlns:r="http://schemas.openxmlformats.org/officeDocument/2006/relationships">
  <sheetPr>
    <tabColor rgb="FF7030A0"/>
  </sheetPr>
  <dimension ref="A1:AO44"/>
  <sheetViews>
    <sheetView tabSelected="1" view="pageBreakPreview" zoomScale="70" zoomScaleNormal="75" zoomScaleSheetLayoutView="70" zoomScalePageLayoutView="0" workbookViewId="0" topLeftCell="A1">
      <selection activeCell="T27" sqref="T27"/>
    </sheetView>
  </sheetViews>
  <sheetFormatPr defaultColWidth="9.625" defaultRowHeight="13.5"/>
  <cols>
    <col min="1" max="1" width="6.25390625" style="40" customWidth="1"/>
    <col min="2" max="2" width="15.625" style="223" customWidth="1"/>
    <col min="3" max="3" width="6.00390625" style="241"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216</v>
      </c>
      <c r="B1" s="222"/>
      <c r="W1" s="954" t="s">
        <v>22</v>
      </c>
      <c r="X1" s="954"/>
      <c r="Y1" s="954"/>
      <c r="Z1" s="884">
        <f>'1_総括表'!E3</f>
        <v>0</v>
      </c>
      <c r="AA1" s="955"/>
      <c r="AB1" s="955"/>
      <c r="AC1" s="955"/>
      <c r="AD1" s="955"/>
      <c r="AE1" s="955"/>
      <c r="AF1" s="956"/>
      <c r="AG1" s="160" t="s">
        <v>23</v>
      </c>
      <c r="AH1" s="957">
        <f>'1_総括表'!Z3</f>
        <v>0</v>
      </c>
      <c r="AI1" s="958"/>
      <c r="AK1" s="46"/>
      <c r="AL1" s="46"/>
    </row>
    <row r="2" spans="1:38" ht="24.75" customHeight="1" thickBot="1">
      <c r="A2" s="42"/>
      <c r="W2" s="959" t="s">
        <v>20</v>
      </c>
      <c r="X2" s="959"/>
      <c r="Y2" s="959"/>
      <c r="Z2" s="887">
        <f>'1_総括表'!E4</f>
        <v>0</v>
      </c>
      <c r="AA2" s="960"/>
      <c r="AB2" s="960"/>
      <c r="AC2" s="960"/>
      <c r="AD2" s="960"/>
      <c r="AE2" s="960"/>
      <c r="AF2" s="961"/>
      <c r="AG2" s="161" t="s">
        <v>21</v>
      </c>
      <c r="AH2" s="962">
        <f>'1_総括表'!Z4</f>
        <v>0</v>
      </c>
      <c r="AI2" s="963"/>
      <c r="AK2" s="70"/>
      <c r="AL2" s="71"/>
    </row>
    <row r="3" spans="1:38" ht="19.5" thickBot="1">
      <c r="A3" s="273" t="s">
        <v>204</v>
      </c>
      <c r="B3" s="224"/>
      <c r="AH3" s="43"/>
      <c r="AI3" s="43" t="s">
        <v>25</v>
      </c>
      <c r="AK3" s="70"/>
      <c r="AL3" s="71"/>
    </row>
    <row r="4" spans="1:38" s="44" customFormat="1" ht="18.75" customHeight="1" thickBot="1">
      <c r="A4" s="883" t="s">
        <v>29</v>
      </c>
      <c r="B4" s="1126" t="s">
        <v>148</v>
      </c>
      <c r="C4" s="894" t="s">
        <v>13</v>
      </c>
      <c r="D4" s="878" t="s">
        <v>67</v>
      </c>
      <c r="E4" s="878" t="s">
        <v>87</v>
      </c>
      <c r="F4" s="872" t="s">
        <v>227</v>
      </c>
      <c r="G4" s="873"/>
      <c r="H4" s="873"/>
      <c r="I4" s="873"/>
      <c r="J4" s="874"/>
      <c r="K4" s="968" t="s">
        <v>58</v>
      </c>
      <c r="L4" s="969"/>
      <c r="M4" s="969"/>
      <c r="N4" s="969"/>
      <c r="O4" s="969"/>
      <c r="P4" s="969"/>
      <c r="Q4" s="969"/>
      <c r="R4" s="969"/>
      <c r="S4" s="969"/>
      <c r="T4" s="969"/>
      <c r="U4" s="969"/>
      <c r="V4" s="969"/>
      <c r="W4" s="969"/>
      <c r="X4" s="969"/>
      <c r="Y4" s="969"/>
      <c r="Z4" s="969"/>
      <c r="AA4" s="969"/>
      <c r="AB4" s="969"/>
      <c r="AC4" s="969"/>
      <c r="AD4" s="975"/>
      <c r="AE4" s="878" t="s">
        <v>56</v>
      </c>
      <c r="AF4" s="970" t="s">
        <v>57</v>
      </c>
      <c r="AG4" s="973" t="s">
        <v>59</v>
      </c>
      <c r="AH4" s="974"/>
      <c r="AI4" s="975"/>
      <c r="AK4" s="70"/>
      <c r="AL4" s="71"/>
    </row>
    <row r="5" spans="1:38" s="44" customFormat="1" ht="18.75" customHeight="1" thickBot="1">
      <c r="A5" s="890"/>
      <c r="B5" s="1127"/>
      <c r="C5" s="895"/>
      <c r="D5" s="892"/>
      <c r="E5" s="892"/>
      <c r="F5" s="968" t="s">
        <v>88</v>
      </c>
      <c r="G5" s="981"/>
      <c r="H5" s="982"/>
      <c r="I5" s="982"/>
      <c r="J5" s="983"/>
      <c r="K5" s="984" t="s">
        <v>55</v>
      </c>
      <c r="L5" s="985"/>
      <c r="M5" s="985"/>
      <c r="N5" s="985"/>
      <c r="O5" s="985"/>
      <c r="P5" s="985"/>
      <c r="Q5" s="985"/>
      <c r="R5" s="985"/>
      <c r="S5" s="985"/>
      <c r="T5" s="985"/>
      <c r="U5" s="985"/>
      <c r="V5" s="986"/>
      <c r="W5" s="872" t="s">
        <v>97</v>
      </c>
      <c r="X5" s="873"/>
      <c r="Y5" s="873"/>
      <c r="Z5" s="873"/>
      <c r="AA5" s="873"/>
      <c r="AB5" s="873"/>
      <c r="AC5" s="873"/>
      <c r="AD5" s="874"/>
      <c r="AE5" s="892"/>
      <c r="AF5" s="971"/>
      <c r="AG5" s="976"/>
      <c r="AH5" s="977"/>
      <c r="AI5" s="978"/>
      <c r="AK5" s="70"/>
      <c r="AL5" s="71"/>
    </row>
    <row r="6" spans="1:38" s="44" customFormat="1" ht="21.75" customHeight="1" thickBot="1">
      <c r="A6" s="890"/>
      <c r="B6" s="1127"/>
      <c r="C6" s="895"/>
      <c r="D6" s="892"/>
      <c r="E6" s="892"/>
      <c r="F6" s="987" t="s">
        <v>15</v>
      </c>
      <c r="G6" s="964" t="s">
        <v>43</v>
      </c>
      <c r="H6" s="987" t="s">
        <v>15</v>
      </c>
      <c r="I6" s="964" t="s">
        <v>43</v>
      </c>
      <c r="J6" s="966" t="s">
        <v>89</v>
      </c>
      <c r="K6" s="1129" t="s">
        <v>53</v>
      </c>
      <c r="L6" s="1129"/>
      <c r="M6" s="1129"/>
      <c r="N6" s="989" t="s">
        <v>54</v>
      </c>
      <c r="O6" s="990"/>
      <c r="P6" s="990"/>
      <c r="Q6" s="990"/>
      <c r="R6" s="990"/>
      <c r="S6" s="990"/>
      <c r="T6" s="990"/>
      <c r="U6" s="990"/>
      <c r="V6" s="991"/>
      <c r="W6" s="968" t="s">
        <v>74</v>
      </c>
      <c r="X6" s="993" t="s">
        <v>74</v>
      </c>
      <c r="Y6" s="968" t="s">
        <v>80</v>
      </c>
      <c r="Z6" s="996" t="s">
        <v>80</v>
      </c>
      <c r="AA6" s="1068" t="s">
        <v>81</v>
      </c>
      <c r="AB6" s="1071" t="s">
        <v>81</v>
      </c>
      <c r="AC6" s="1150" t="s">
        <v>152</v>
      </c>
      <c r="AD6" s="1153" t="s">
        <v>152</v>
      </c>
      <c r="AE6" s="892"/>
      <c r="AF6" s="972"/>
      <c r="AG6" s="979"/>
      <c r="AH6" s="980"/>
      <c r="AI6" s="978"/>
      <c r="AK6" s="70"/>
      <c r="AL6" s="72"/>
    </row>
    <row r="7" spans="1:41" s="44" customFormat="1" ht="20.25" customHeight="1" thickBot="1">
      <c r="A7" s="890"/>
      <c r="B7" s="1127"/>
      <c r="C7" s="895"/>
      <c r="D7" s="892"/>
      <c r="E7" s="892"/>
      <c r="F7" s="988"/>
      <c r="G7" s="965"/>
      <c r="H7" s="988"/>
      <c r="I7" s="965"/>
      <c r="J7" s="967"/>
      <c r="K7" s="872" t="s">
        <v>47</v>
      </c>
      <c r="L7" s="1130" t="s">
        <v>48</v>
      </c>
      <c r="M7" s="874" t="s">
        <v>49</v>
      </c>
      <c r="N7" s="872" t="s">
        <v>44</v>
      </c>
      <c r="O7" s="1130" t="s">
        <v>75</v>
      </c>
      <c r="P7" s="1130" t="s">
        <v>76</v>
      </c>
      <c r="Q7" s="1130" t="s">
        <v>77</v>
      </c>
      <c r="R7" s="1130" t="s">
        <v>45</v>
      </c>
      <c r="S7" s="1130" t="s">
        <v>46</v>
      </c>
      <c r="T7" s="1130" t="s">
        <v>50</v>
      </c>
      <c r="U7" s="1130" t="s">
        <v>51</v>
      </c>
      <c r="V7" s="874" t="s">
        <v>52</v>
      </c>
      <c r="W7" s="979"/>
      <c r="X7" s="994"/>
      <c r="Y7" s="979"/>
      <c r="Z7" s="997"/>
      <c r="AA7" s="1069"/>
      <c r="AB7" s="1072"/>
      <c r="AC7" s="1151"/>
      <c r="AD7" s="1154"/>
      <c r="AE7" s="892"/>
      <c r="AF7" s="972"/>
      <c r="AG7" s="979"/>
      <c r="AH7" s="980"/>
      <c r="AI7" s="978"/>
      <c r="AK7" s="1011" t="s">
        <v>27</v>
      </c>
      <c r="AL7" s="1011" t="s">
        <v>70</v>
      </c>
      <c r="AM7" s="73"/>
      <c r="AN7" s="73"/>
      <c r="AO7" s="73"/>
    </row>
    <row r="8" spans="1:38" s="44" customFormat="1" ht="18.75" customHeight="1" thickBot="1">
      <c r="A8" s="891"/>
      <c r="B8" s="1128"/>
      <c r="C8" s="895"/>
      <c r="D8" s="892"/>
      <c r="E8" s="892"/>
      <c r="F8" s="988"/>
      <c r="G8" s="473" t="s">
        <v>72</v>
      </c>
      <c r="H8" s="988"/>
      <c r="I8" s="473" t="s">
        <v>73</v>
      </c>
      <c r="J8" s="472" t="s">
        <v>78</v>
      </c>
      <c r="K8" s="968"/>
      <c r="L8" s="999"/>
      <c r="M8" s="975"/>
      <c r="N8" s="968"/>
      <c r="O8" s="999"/>
      <c r="P8" s="999"/>
      <c r="Q8" s="999"/>
      <c r="R8" s="999"/>
      <c r="S8" s="999"/>
      <c r="T8" s="999"/>
      <c r="U8" s="999"/>
      <c r="V8" s="975"/>
      <c r="W8" s="992"/>
      <c r="X8" s="995"/>
      <c r="Y8" s="992"/>
      <c r="Z8" s="998"/>
      <c r="AA8" s="1070"/>
      <c r="AB8" s="1073"/>
      <c r="AC8" s="1152"/>
      <c r="AD8" s="1155"/>
      <c r="AE8" s="472" t="s">
        <v>79</v>
      </c>
      <c r="AF8" s="74" t="s">
        <v>71</v>
      </c>
      <c r="AG8" s="979"/>
      <c r="AH8" s="980"/>
      <c r="AI8" s="978"/>
      <c r="AK8" s="1012"/>
      <c r="AL8" s="1012"/>
    </row>
    <row r="9" spans="1:38" s="53" customFormat="1" ht="18.75" customHeight="1">
      <c r="A9" s="26">
        <f>IF(B9="","",ROW($A9)-ROW($A$8))</f>
      </c>
      <c r="B9" s="711"/>
      <c r="C9" s="715">
        <f>IF(B9="","",VLOOKUP($B9,'2-2_算定表⑤(新・新制度)'!$B$8:$S$65536,2,FALSE))</f>
      </c>
      <c r="D9" s="712">
        <f>IF(B9="","",VLOOKUP($B9,'2-2_算定表⑤(新・新制度)'!$B$8:$S$65536,3,FALSE))</f>
      </c>
      <c r="E9" s="562">
        <f>IF(B9="","",VLOOKUP($B9,'2-2_算定表⑤(新・新制度)'!$B$8:$S$65536,6,FALSE))</f>
      </c>
      <c r="F9" s="708">
        <f>IF(B9="","",VLOOKUP($B9,'2-2_算定表⑤(新・新制度)'!$B$8:$S$65536,14,FALSE))</f>
      </c>
      <c r="G9" s="398">
        <f>IF(B9="","",VLOOKUP($B9,'2-2_算定表⑤(新・新制度)'!$B$8:$S$65536,15,FALSE))</f>
      </c>
      <c r="H9" s="708">
        <f>IF(B9="","",VLOOKUP($B9,'2-2_算定表⑤(新・新制度)'!$B$8:$S$65536,16,FALSE))</f>
      </c>
      <c r="I9" s="398">
        <f>IF(B9="","",VLOOKUP($B9,'2-2_算定表⑤(新・新制度)'!$B$8:$S$65536,17,FALSE))</f>
      </c>
      <c r="J9" s="699">
        <f>IF(B9="","",VLOOKUP($B9,'2-2_算定表⑤(新・新制度)'!$B$8:$S$65536,18,FALSE))</f>
      </c>
      <c r="K9" s="705">
        <f>IF($B9="","",VLOOKUP($B9,'2-2_算定表⑤(新・新制度)'!$B$8:$S$65536,14,FALSE))</f>
      </c>
      <c r="L9" s="408">
        <f>IF($B9="","",VLOOKUP($B9,'2-2_算定表⑤(新・新制度)'!$B$8:$S$65536,14,FALSE))</f>
      </c>
      <c r="M9" s="671">
        <f>IF($B9="","",VLOOKUP($B9,'2-2_算定表⑤(新・新制度)'!$B$8:$S$65536,14,FALSE))</f>
      </c>
      <c r="N9" s="705">
        <f>IF($B9="","",VLOOKUP($B9,'2-2_算定表⑤(新・新制度)'!$B$8:$S$65536,16,FALSE))</f>
      </c>
      <c r="O9" s="408">
        <f>IF($B9="","",VLOOKUP($B9,'2-2_算定表⑤(新・新制度)'!$B$8:$S$65536,16,FALSE))</f>
      </c>
      <c r="P9" s="408">
        <f>IF($B9="","",VLOOKUP($B9,'2-2_算定表⑤(新・新制度)'!$B$8:$S$65536,16,FALSE))</f>
      </c>
      <c r="Q9" s="408">
        <f>IF($B9="","",VLOOKUP($B9,'2-2_算定表⑤(新・新制度)'!$B$8:$S$65536,16,FALSE))</f>
      </c>
      <c r="R9" s="408">
        <f>IF($B9="","",VLOOKUP($B9,'2-2_算定表⑤(新・新制度)'!$B$8:$S$65536,16,FALSE))</f>
      </c>
      <c r="S9" s="408">
        <f>IF($B9="","",VLOOKUP($B9,'2-2_算定表⑤(新・新制度)'!$B$8:$S$65536,16,FALSE))</f>
      </c>
      <c r="T9" s="408">
        <f>IF($B9="","",VLOOKUP($B9,'2-2_算定表⑤(新・新制度)'!$B$8:$S$65536,16,FALSE))</f>
      </c>
      <c r="U9" s="408">
        <f>IF($B9="","",VLOOKUP($B9,'2-2_算定表⑤(新・新制度)'!$B$8:$S$65536,16,FALSE))</f>
      </c>
      <c r="V9" s="671">
        <f>IF($B9="","",VLOOKUP($B9,'2-2_算定表⑤(新・新制度)'!$B$8:$S$65536,16,FALSE))</f>
      </c>
      <c r="W9" s="413">
        <f>IF($B9="","",COUNTIF($K9:$M9,W$6))</f>
      </c>
      <c r="X9" s="410">
        <f>IF($B9="","",COUNTIF($N9:$V9,X$6))</f>
      </c>
      <c r="Y9" s="409">
        <f>IF($B9="","",COUNTIF($K9:$M9,Y$6))</f>
      </c>
      <c r="Z9" s="411">
        <f>IF($B9="","",COUNTIF($N9:$V9,Z$6))</f>
      </c>
      <c r="AA9" s="413">
        <f>IF($B9="","",COUNTIF($K9:$M9,AA$6))</f>
      </c>
      <c r="AB9" s="411">
        <f>IF($B9="","",COUNTIF($N9:$V9,AB$6))</f>
      </c>
      <c r="AC9" s="412">
        <f>IF($B9="","",COUNTIF($K9:$M9,AC$6))</f>
      </c>
      <c r="AD9" s="413">
        <f>IF($B9="","",COUNTIF($N9:$V9,AD$6))</f>
      </c>
      <c r="AE9" s="401">
        <f>IF(B9="","",ROUNDUP((G9/VLOOKUP($B9,'2-2_算定表⑤(新・新制度)'!$B$8:$AH$44,9,FALSE)*W9)+(I9/VLOOKUP($B9,'2-2_算定表⑤(新・新制度)'!$B$8:$AH$44,9,FALSE)*X9)+(G9/VLOOKUP($B9,'2-2_算定表⑤(新・新制度)'!$B$8:$AH$44,9,FALSE)*Y9)+(I9/VLOOKUP($B9,'2-2_算定表⑤(新・新制度)'!$B$8:$AH$44,9,FALSE)*Z9)+(G9/VLOOKUP($B9,'2-2_算定表⑤(新・新制度)'!$B$8:$AH$44,9,FALSE)*AA9)+(I9/VLOOKUP($B9,'2-2_算定表⑤(新・新制度)'!$B$8:$AH$44,9,FALSE)*AB9),0))</f>
      </c>
      <c r="AF9" s="665">
        <f>IF(B9="","",AE9-J9)</f>
      </c>
      <c r="AG9" s="1013">
        <f>IF(B9="","",VLOOKUP($B9,'2-2_算定表⑤(新・新制度)'!$B$8:$AF$65536,31,FALSE))</f>
      </c>
      <c r="AH9" s="1014" t="s">
        <v>182</v>
      </c>
      <c r="AI9" s="1015" t="s">
        <v>182</v>
      </c>
      <c r="AK9" s="61">
        <f>IF(A9&gt;0,ASC(C9&amp;H9),"")</f>
      </c>
      <c r="AL9" s="61">
        <f>IF(B9="","",IF(AF9=0,0,1))</f>
      </c>
    </row>
    <row r="10" spans="1:38" s="53" customFormat="1" ht="18.75" customHeight="1">
      <c r="A10" s="34">
        <f aca="true" t="shared" si="0" ref="A10:A38">IF(B10="","",ROW($A10)-ROW($A$8))</f>
      </c>
      <c r="B10" s="577"/>
      <c r="C10" s="716">
        <f>IF(B10="","",VLOOKUP($B10,'2-2_算定表⑤(新・新制度)'!$B$8:$S$65536,2,FALSE))</f>
      </c>
      <c r="D10" s="713">
        <f>IF(B10="","",VLOOKUP($B10,'2-2_算定表⑤(新・新制度)'!$B$8:$S$65536,3,FALSE))</f>
      </c>
      <c r="E10" s="565">
        <f>IF(B10="","",VLOOKUP($B10,'2-2_算定表⑤(新・新制度)'!$B$8:$S$65536,6,FALSE))</f>
      </c>
      <c r="F10" s="709">
        <f>IF(B10="","",VLOOKUP($B10,'2-2_算定表⑤(新・新制度)'!$B$8:$S$65536,14,FALSE))</f>
      </c>
      <c r="G10" s="399">
        <f>IF(B10="","",VLOOKUP($B10,'2-2_算定表⑤(新・新制度)'!$B$8:$S$65536,15,FALSE))</f>
      </c>
      <c r="H10" s="709">
        <f>IF(B10="","",VLOOKUP($B10,'2-2_算定表⑤(新・新制度)'!$B$8:$S$65536,16,FALSE))</f>
      </c>
      <c r="I10" s="399">
        <f>IF(B10="","",VLOOKUP($B10,'2-2_算定表⑤(新・新制度)'!$B$8:$S$65536,17,FALSE))</f>
      </c>
      <c r="J10" s="700">
        <f>IF(B10="","",VLOOKUP($B10,'2-2_算定表⑤(新・新制度)'!$B$8:$S$65536,18,FALSE))</f>
      </c>
      <c r="K10" s="706">
        <f>IF($B10="","",VLOOKUP($B10,'2-2_算定表⑤(新・新制度)'!$B$8:$S$65536,14,FALSE))</f>
      </c>
      <c r="L10" s="421">
        <f>IF($B10="","",VLOOKUP($B10,'2-2_算定表⑤(新・新制度)'!$B$8:$S$65536,14,FALSE))</f>
      </c>
      <c r="M10" s="673">
        <f>IF($B10="","",VLOOKUP($B10,'2-2_算定表⑤(新・新制度)'!$B$8:$S$65536,14,FALSE))</f>
      </c>
      <c r="N10" s="706">
        <f>IF($B10="","",VLOOKUP($B10,'2-2_算定表⑤(新・新制度)'!$B$8:$S$65536,16,FALSE))</f>
      </c>
      <c r="O10" s="421">
        <f>IF($B10="","",VLOOKUP($B10,'2-2_算定表⑤(新・新制度)'!$B$8:$S$65536,16,FALSE))</f>
      </c>
      <c r="P10" s="421">
        <f>IF($B10="","",VLOOKUP($B10,'2-2_算定表⑤(新・新制度)'!$B$8:$S$65536,16,FALSE))</f>
      </c>
      <c r="Q10" s="421">
        <f>IF($B10="","",VLOOKUP($B10,'2-2_算定表⑤(新・新制度)'!$B$8:$S$65536,16,FALSE))</f>
      </c>
      <c r="R10" s="421">
        <f>IF($B10="","",VLOOKUP($B10,'2-2_算定表⑤(新・新制度)'!$B$8:$S$65536,16,FALSE))</f>
      </c>
      <c r="S10" s="421">
        <f>IF($B10="","",VLOOKUP($B10,'2-2_算定表⑤(新・新制度)'!$B$8:$S$65536,16,FALSE))</f>
      </c>
      <c r="T10" s="421">
        <f>IF($B10="","",VLOOKUP($B10,'2-2_算定表⑤(新・新制度)'!$B$8:$S$65536,16,FALSE))</f>
      </c>
      <c r="U10" s="421">
        <f>IF($B10="","",VLOOKUP($B10,'2-2_算定表⑤(新・新制度)'!$B$8:$S$65536,16,FALSE))</f>
      </c>
      <c r="V10" s="673">
        <f>IF($B10="","",VLOOKUP($B10,'2-2_算定表⑤(新・新制度)'!$B$8:$S$65536,16,FALSE))</f>
      </c>
      <c r="W10" s="419">
        <f aca="true" t="shared" si="1" ref="W10:W38">IF($B10="","",COUNTIF($K10:$M10,W$6))</f>
      </c>
      <c r="X10" s="423">
        <f aca="true" t="shared" si="2" ref="X10:X38">IF($B10="","",COUNTIF($N10:$V10,X$6))</f>
      </c>
      <c r="Y10" s="422">
        <f aca="true" t="shared" si="3" ref="Y10:Y38">IF($B10="","",COUNTIF($K10:$M10,Y$6))</f>
      </c>
      <c r="Z10" s="424">
        <f aca="true" t="shared" si="4" ref="Z10:Z38">IF($B10="","",COUNTIF($N10:$V10,Z$6))</f>
      </c>
      <c r="AA10" s="419">
        <f aca="true" t="shared" si="5" ref="AA10:AA38">IF($B10="","",COUNTIF($K10:$M10,AA$6))</f>
      </c>
      <c r="AB10" s="424">
        <f aca="true" t="shared" si="6" ref="AB10:AB38">IF($B10="","",COUNTIF($N10:$V10,AB$6))</f>
      </c>
      <c r="AC10" s="418">
        <f aca="true" t="shared" si="7" ref="AC10:AC38">IF($B10="","",COUNTIF($K10:$M10,AC$6))</f>
      </c>
      <c r="AD10" s="419">
        <f aca="true" t="shared" si="8" ref="AD10:AD38">IF($B10="","",COUNTIF($N10:$V10,AD$6))</f>
      </c>
      <c r="AE10" s="404">
        <f>IF(B10="","",ROUNDUP((G10/VLOOKUP($B10,'2-2_算定表⑤(新・新制度)'!$B$8:$AH$44,9,FALSE)*W10)+(I10/VLOOKUP($B10,'2-2_算定表⑤(新・新制度)'!$B$8:$AH$44,9,FALSE)*X10)+(G10/VLOOKUP($B10,'2-2_算定表⑤(新・新制度)'!$B$8:$AH$44,9,FALSE)*Y10)+(I10/VLOOKUP($B10,'2-2_算定表⑤(新・新制度)'!$B$8:$AH$44,9,FALSE)*Z10)+(G10/VLOOKUP($B10,'2-2_算定表⑤(新・新制度)'!$B$8:$AH$44,9,FALSE)*AA10)+(I10/VLOOKUP($B10,'2-2_算定表⑤(新・新制度)'!$B$8:$AH$44,9,FALSE)*AB10),0))</f>
      </c>
      <c r="AF10" s="680">
        <f>IF(B10="","",AE10-J10)</f>
      </c>
      <c r="AG10" s="1016">
        <f>IF(B10="","",VLOOKUP($B10,'2-2_算定表⑤(新・新制度)'!$B$8:$AF$65536,31,FALSE))</f>
      </c>
      <c r="AH10" s="1017" t="s">
        <v>182</v>
      </c>
      <c r="AI10" s="1018" t="s">
        <v>182</v>
      </c>
      <c r="AK10" s="54">
        <f>IF(A10&gt;0,ASC(C10&amp;H10),"")</f>
      </c>
      <c r="AL10" s="54">
        <f aca="true" t="shared" si="9" ref="AL10:AL38">IF(B10="","",IF(AF10=0,0,1))</f>
      </c>
    </row>
    <row r="11" spans="1:38" s="53" customFormat="1" ht="18.75" customHeight="1">
      <c r="A11" s="27">
        <f t="shared" si="0"/>
      </c>
      <c r="B11" s="577"/>
      <c r="C11" s="716">
        <f>IF(B11="","",VLOOKUP($B11,'2-2_算定表⑤(新・新制度)'!$B$8:$S$65536,2,FALSE))</f>
      </c>
      <c r="D11" s="713">
        <f>IF(B11="","",VLOOKUP($B11,'2-2_算定表⑤(新・新制度)'!$B$8:$S$65536,3,FALSE))</f>
      </c>
      <c r="E11" s="565">
        <f>IF(B11="","",VLOOKUP($B11,'2-2_算定表⑤(新・新制度)'!$B$8:$S$65536,6,FALSE))</f>
      </c>
      <c r="F11" s="709">
        <f>IF(B11="","",VLOOKUP($B11,'2-2_算定表⑤(新・新制度)'!$B$8:$S$65536,14,FALSE))</f>
      </c>
      <c r="G11" s="399">
        <f>IF(B11="","",VLOOKUP($B11,'2-2_算定表⑤(新・新制度)'!$B$8:$S$65536,15,FALSE))</f>
      </c>
      <c r="H11" s="709">
        <f>IF(B11="","",VLOOKUP($B11,'2-2_算定表⑤(新・新制度)'!$B$8:$S$65536,16,FALSE))</f>
      </c>
      <c r="I11" s="399">
        <f>IF(B11="","",VLOOKUP($B11,'2-2_算定表⑤(新・新制度)'!$B$8:$S$65536,17,FALSE))</f>
      </c>
      <c r="J11" s="700">
        <f>IF(B11="","",VLOOKUP($B11,'2-2_算定表⑤(新・新制度)'!$B$8:$S$65536,18,FALSE))</f>
      </c>
      <c r="K11" s="706">
        <f>IF($B11="","",VLOOKUP($B11,'2-2_算定表⑤(新・新制度)'!$B$8:$S$65536,14,FALSE))</f>
      </c>
      <c r="L11" s="421">
        <f>IF($B11="","",VLOOKUP($B11,'2-2_算定表⑤(新・新制度)'!$B$8:$S$65536,14,FALSE))</f>
      </c>
      <c r="M11" s="673">
        <f>IF($B11="","",VLOOKUP($B11,'2-2_算定表⑤(新・新制度)'!$B$8:$S$65536,14,FALSE))</f>
      </c>
      <c r="N11" s="706">
        <f>IF($B11="","",VLOOKUP($B11,'2-2_算定表⑤(新・新制度)'!$B$8:$S$65536,16,FALSE))</f>
      </c>
      <c r="O11" s="421">
        <f>IF($B11="","",VLOOKUP($B11,'2-2_算定表⑤(新・新制度)'!$B$8:$S$65536,16,FALSE))</f>
      </c>
      <c r="P11" s="421">
        <f>IF($B11="","",VLOOKUP($B11,'2-2_算定表⑤(新・新制度)'!$B$8:$S$65536,16,FALSE))</f>
      </c>
      <c r="Q11" s="421">
        <f>IF($B11="","",VLOOKUP($B11,'2-2_算定表⑤(新・新制度)'!$B$8:$S$65536,16,FALSE))</f>
      </c>
      <c r="R11" s="421">
        <f>IF($B11="","",VLOOKUP($B11,'2-2_算定表⑤(新・新制度)'!$B$8:$S$65536,16,FALSE))</f>
      </c>
      <c r="S11" s="421">
        <f>IF($B11="","",VLOOKUP($B11,'2-2_算定表⑤(新・新制度)'!$B$8:$S$65536,16,FALSE))</f>
      </c>
      <c r="T11" s="421">
        <f>IF($B11="","",VLOOKUP($B11,'2-2_算定表⑤(新・新制度)'!$B$8:$S$65536,16,FALSE))</f>
      </c>
      <c r="U11" s="421">
        <f>IF($B11="","",VLOOKUP($B11,'2-2_算定表⑤(新・新制度)'!$B$8:$S$65536,16,FALSE))</f>
      </c>
      <c r="V11" s="673">
        <f>IF($B11="","",VLOOKUP($B11,'2-2_算定表⑤(新・新制度)'!$B$8:$S$65536,16,FALSE))</f>
      </c>
      <c r="W11" s="419">
        <f t="shared" si="1"/>
      </c>
      <c r="X11" s="423">
        <f t="shared" si="2"/>
      </c>
      <c r="Y11" s="422">
        <f t="shared" si="3"/>
      </c>
      <c r="Z11" s="424">
        <f t="shared" si="4"/>
      </c>
      <c r="AA11" s="419">
        <f t="shared" si="5"/>
      </c>
      <c r="AB11" s="424">
        <f t="shared" si="6"/>
      </c>
      <c r="AC11" s="418">
        <f t="shared" si="7"/>
      </c>
      <c r="AD11" s="419">
        <f t="shared" si="8"/>
      </c>
      <c r="AE11" s="404">
        <f>IF(B11="","",ROUNDUP((G11/VLOOKUP($B11,'2-2_算定表⑤(新・新制度)'!$B$8:$AH$44,9,FALSE)*W11)+(I11/VLOOKUP($B11,'2-2_算定表⑤(新・新制度)'!$B$8:$AH$44,9,FALSE)*X11)+(G11/VLOOKUP($B11,'2-2_算定表⑤(新・新制度)'!$B$8:$AH$44,9,FALSE)*Y11)+(I11/VLOOKUP($B11,'2-2_算定表⑤(新・新制度)'!$B$8:$AH$44,9,FALSE)*Z11)+(G11/VLOOKUP($B11,'2-2_算定表⑤(新・新制度)'!$B$8:$AH$44,9,FALSE)*AA11)+(I11/VLOOKUP($B11,'2-2_算定表⑤(新・新制度)'!$B$8:$AH$44,9,FALSE)*AB11),0))</f>
      </c>
      <c r="AF11" s="403">
        <f aca="true" t="shared" si="10" ref="AF11:AF38">IF(B11="","",AE11-J11)</f>
      </c>
      <c r="AG11" s="1016">
        <f>IF(B11="","",VLOOKUP($B11,'2-2_算定表⑤(新・新制度)'!$B$8:$AF$65536,31,FALSE))</f>
      </c>
      <c r="AH11" s="1017" t="s">
        <v>182</v>
      </c>
      <c r="AI11" s="1018" t="s">
        <v>182</v>
      </c>
      <c r="AK11" s="61">
        <f aca="true" t="shared" si="11" ref="AK11:AK38">IF(A11&gt;0,ASC(C11&amp;H11),"")</f>
      </c>
      <c r="AL11" s="61">
        <f t="shared" si="9"/>
      </c>
    </row>
    <row r="12" spans="1:38" s="53" customFormat="1" ht="18.75" customHeight="1">
      <c r="A12" s="27">
        <f t="shared" si="0"/>
      </c>
      <c r="B12" s="577"/>
      <c r="C12" s="716">
        <f>IF(B12="","",VLOOKUP($B12,'2-2_算定表⑤(新・新制度)'!$B$8:$S$65536,2,FALSE))</f>
      </c>
      <c r="D12" s="713">
        <f>IF(B12="","",VLOOKUP($B12,'2-2_算定表⑤(新・新制度)'!$B$8:$S$65536,3,FALSE))</f>
      </c>
      <c r="E12" s="565">
        <f>IF(B12="","",VLOOKUP($B12,'2-2_算定表⑤(新・新制度)'!$B$8:$S$65536,6,FALSE))</f>
      </c>
      <c r="F12" s="709">
        <f>IF(B12="","",VLOOKUP($B12,'2-2_算定表⑤(新・新制度)'!$B$8:$S$65536,14,FALSE))</f>
      </c>
      <c r="G12" s="399">
        <f>IF(B12="","",VLOOKUP($B12,'2-2_算定表⑤(新・新制度)'!$B$8:$S$65536,15,FALSE))</f>
      </c>
      <c r="H12" s="709">
        <f>IF(B12="","",VLOOKUP($B12,'2-2_算定表⑤(新・新制度)'!$B$8:$S$65536,16,FALSE))</f>
      </c>
      <c r="I12" s="399">
        <f>IF(B12="","",VLOOKUP($B12,'2-2_算定表⑤(新・新制度)'!$B$8:$S$65536,17,FALSE))</f>
      </c>
      <c r="J12" s="700">
        <f>IF(B12="","",VLOOKUP($B12,'2-2_算定表⑤(新・新制度)'!$B$8:$S$65536,18,FALSE))</f>
      </c>
      <c r="K12" s="706">
        <f>IF($B12="","",VLOOKUP($B12,'2-2_算定表⑤(新・新制度)'!$B$8:$S$65536,14,FALSE))</f>
      </c>
      <c r="L12" s="421">
        <f>IF($B12="","",VLOOKUP($B12,'2-2_算定表⑤(新・新制度)'!$B$8:$S$65536,14,FALSE))</f>
      </c>
      <c r="M12" s="673">
        <f>IF($B12="","",VLOOKUP($B12,'2-2_算定表⑤(新・新制度)'!$B$8:$S$65536,14,FALSE))</f>
      </c>
      <c r="N12" s="706">
        <f>IF($B12="","",VLOOKUP($B12,'2-2_算定表⑤(新・新制度)'!$B$8:$S$65536,16,FALSE))</f>
      </c>
      <c r="O12" s="421">
        <f>IF($B12="","",VLOOKUP($B12,'2-2_算定表⑤(新・新制度)'!$B$8:$S$65536,16,FALSE))</f>
      </c>
      <c r="P12" s="421">
        <f>IF($B12="","",VLOOKUP($B12,'2-2_算定表⑤(新・新制度)'!$B$8:$S$65536,16,FALSE))</f>
      </c>
      <c r="Q12" s="421">
        <f>IF($B12="","",VLOOKUP($B12,'2-2_算定表⑤(新・新制度)'!$B$8:$S$65536,16,FALSE))</f>
      </c>
      <c r="R12" s="421">
        <f>IF($B12="","",VLOOKUP($B12,'2-2_算定表⑤(新・新制度)'!$B$8:$S$65536,16,FALSE))</f>
      </c>
      <c r="S12" s="421">
        <f>IF($B12="","",VLOOKUP($B12,'2-2_算定表⑤(新・新制度)'!$B$8:$S$65536,16,FALSE))</f>
      </c>
      <c r="T12" s="421">
        <f>IF($B12="","",VLOOKUP($B12,'2-2_算定表⑤(新・新制度)'!$B$8:$S$65536,16,FALSE))</f>
      </c>
      <c r="U12" s="421">
        <f>IF($B12="","",VLOOKUP($B12,'2-2_算定表⑤(新・新制度)'!$B$8:$S$65536,16,FALSE))</f>
      </c>
      <c r="V12" s="673">
        <f>IF($B12="","",VLOOKUP($B12,'2-2_算定表⑤(新・新制度)'!$B$8:$S$65536,16,FALSE))</f>
      </c>
      <c r="W12" s="419">
        <f t="shared" si="1"/>
      </c>
      <c r="X12" s="423">
        <f t="shared" si="2"/>
      </c>
      <c r="Y12" s="422">
        <f t="shared" si="3"/>
      </c>
      <c r="Z12" s="424">
        <f t="shared" si="4"/>
      </c>
      <c r="AA12" s="419">
        <f t="shared" si="5"/>
      </c>
      <c r="AB12" s="424">
        <f t="shared" si="6"/>
      </c>
      <c r="AC12" s="418">
        <f t="shared" si="7"/>
      </c>
      <c r="AD12" s="419">
        <f t="shared" si="8"/>
      </c>
      <c r="AE12" s="404">
        <f>IF(B12="","",ROUNDUP((G12/VLOOKUP($B12,'2-2_算定表⑤(新・新制度)'!$B$8:$AH$44,9,FALSE)*W12)+(I12/VLOOKUP($B12,'2-2_算定表⑤(新・新制度)'!$B$8:$AH$44,9,FALSE)*X12)+(G12/VLOOKUP($B12,'2-2_算定表⑤(新・新制度)'!$B$8:$AH$44,9,FALSE)*Y12)+(I12/VLOOKUP($B12,'2-2_算定表⑤(新・新制度)'!$B$8:$AH$44,9,FALSE)*Z12)+(G12/VLOOKUP($B12,'2-2_算定表⑤(新・新制度)'!$B$8:$AH$44,9,FALSE)*AA12)+(I12/VLOOKUP($B12,'2-2_算定表⑤(新・新制度)'!$B$8:$AH$44,9,FALSE)*AB12),0))</f>
      </c>
      <c r="AF12" s="403">
        <f t="shared" si="10"/>
      </c>
      <c r="AG12" s="1016">
        <f>IF(B12="","",VLOOKUP($B12,'2-2_算定表⑤(新・新制度)'!$B$8:$AF$65536,31,FALSE))</f>
      </c>
      <c r="AH12" s="1017" t="s">
        <v>182</v>
      </c>
      <c r="AI12" s="1018" t="s">
        <v>182</v>
      </c>
      <c r="AK12" s="61">
        <f t="shared" si="11"/>
      </c>
      <c r="AL12" s="61">
        <f t="shared" si="9"/>
      </c>
    </row>
    <row r="13" spans="1:38" s="53" customFormat="1" ht="18.75" customHeight="1">
      <c r="A13" s="27">
        <f t="shared" si="0"/>
      </c>
      <c r="B13" s="577"/>
      <c r="C13" s="716">
        <f>IF(B13="","",VLOOKUP($B13,'2-2_算定表⑤(新・新制度)'!$B$8:$S$65536,2,FALSE))</f>
      </c>
      <c r="D13" s="713">
        <f>IF(B13="","",VLOOKUP($B13,'2-2_算定表⑤(新・新制度)'!$B$8:$S$65536,3,FALSE))</f>
      </c>
      <c r="E13" s="565">
        <f>IF(B13="","",VLOOKUP($B13,'2-2_算定表⑤(新・新制度)'!$B$8:$S$65536,6,FALSE))</f>
      </c>
      <c r="F13" s="709">
        <f>IF(B13="","",VLOOKUP($B13,'2-2_算定表⑤(新・新制度)'!$B$8:$S$65536,14,FALSE))</f>
      </c>
      <c r="G13" s="399">
        <f>IF(B13="","",VLOOKUP($B13,'2-2_算定表⑤(新・新制度)'!$B$8:$S$65536,15,FALSE))</f>
      </c>
      <c r="H13" s="709">
        <f>IF(B13="","",VLOOKUP($B13,'2-2_算定表⑤(新・新制度)'!$B$8:$S$65536,16,FALSE))</f>
      </c>
      <c r="I13" s="399">
        <f>IF(B13="","",VLOOKUP($B13,'2-2_算定表⑤(新・新制度)'!$B$8:$S$65536,17,FALSE))</f>
      </c>
      <c r="J13" s="700">
        <f>IF(B13="","",VLOOKUP($B13,'2-2_算定表⑤(新・新制度)'!$B$8:$S$65536,18,FALSE))</f>
      </c>
      <c r="K13" s="706">
        <f>IF($B13="","",VLOOKUP($B13,'2-2_算定表⑤(新・新制度)'!$B$8:$S$65536,14,FALSE))</f>
      </c>
      <c r="L13" s="421">
        <f>IF($B13="","",VLOOKUP($B13,'2-2_算定表⑤(新・新制度)'!$B$8:$S$65536,14,FALSE))</f>
      </c>
      <c r="M13" s="673">
        <f>IF($B13="","",VLOOKUP($B13,'2-2_算定表⑤(新・新制度)'!$B$8:$S$65536,14,FALSE))</f>
      </c>
      <c r="N13" s="706">
        <f>IF($B13="","",VLOOKUP($B13,'2-2_算定表⑤(新・新制度)'!$B$8:$S$65536,16,FALSE))</f>
      </c>
      <c r="O13" s="421">
        <f>IF($B13="","",VLOOKUP($B13,'2-2_算定表⑤(新・新制度)'!$B$8:$S$65536,16,FALSE))</f>
      </c>
      <c r="P13" s="421">
        <f>IF($B13="","",VLOOKUP($B13,'2-2_算定表⑤(新・新制度)'!$B$8:$S$65536,16,FALSE))</f>
      </c>
      <c r="Q13" s="421">
        <f>IF($B13="","",VLOOKUP($B13,'2-2_算定表⑤(新・新制度)'!$B$8:$S$65536,16,FALSE))</f>
      </c>
      <c r="R13" s="421">
        <f>IF($B13="","",VLOOKUP($B13,'2-2_算定表⑤(新・新制度)'!$B$8:$S$65536,16,FALSE))</f>
      </c>
      <c r="S13" s="421">
        <f>IF($B13="","",VLOOKUP($B13,'2-2_算定表⑤(新・新制度)'!$B$8:$S$65536,16,FALSE))</f>
      </c>
      <c r="T13" s="421">
        <f>IF($B13="","",VLOOKUP($B13,'2-2_算定表⑤(新・新制度)'!$B$8:$S$65536,16,FALSE))</f>
      </c>
      <c r="U13" s="421">
        <f>IF($B13="","",VLOOKUP($B13,'2-2_算定表⑤(新・新制度)'!$B$8:$S$65536,16,FALSE))</f>
      </c>
      <c r="V13" s="673">
        <f>IF($B13="","",VLOOKUP($B13,'2-2_算定表⑤(新・新制度)'!$B$8:$S$65536,16,FALSE))</f>
      </c>
      <c r="W13" s="419">
        <f t="shared" si="1"/>
      </c>
      <c r="X13" s="423">
        <f t="shared" si="2"/>
      </c>
      <c r="Y13" s="422">
        <f t="shared" si="3"/>
      </c>
      <c r="Z13" s="424">
        <f t="shared" si="4"/>
      </c>
      <c r="AA13" s="419">
        <f t="shared" si="5"/>
      </c>
      <c r="AB13" s="424">
        <f t="shared" si="6"/>
      </c>
      <c r="AC13" s="418">
        <f t="shared" si="7"/>
      </c>
      <c r="AD13" s="419">
        <f t="shared" si="8"/>
      </c>
      <c r="AE13" s="404">
        <f>IF(B13="","",ROUNDUP((G13/VLOOKUP($B13,'2-2_算定表⑤(新・新制度)'!$B$8:$AH$44,9,FALSE)*W13)+(I13/VLOOKUP($B13,'2-2_算定表⑤(新・新制度)'!$B$8:$AH$44,9,FALSE)*X13)+(G13/VLOOKUP($B13,'2-2_算定表⑤(新・新制度)'!$B$8:$AH$44,9,FALSE)*Y13)+(I13/VLOOKUP($B13,'2-2_算定表⑤(新・新制度)'!$B$8:$AH$44,9,FALSE)*Z13)+(G13/VLOOKUP($B13,'2-2_算定表⑤(新・新制度)'!$B$8:$AH$44,9,FALSE)*AA13)+(I13/VLOOKUP($B13,'2-2_算定表⑤(新・新制度)'!$B$8:$AH$44,9,FALSE)*AB13),0))</f>
      </c>
      <c r="AF13" s="403">
        <f>IF(B13="","",AE13-J13)</f>
      </c>
      <c r="AG13" s="1016">
        <f>IF(B13="","",VLOOKUP($B13,'2-2_算定表⑤(新・新制度)'!$B$8:$AF$65536,31,FALSE))</f>
      </c>
      <c r="AH13" s="1017" t="s">
        <v>182</v>
      </c>
      <c r="AI13" s="1018" t="s">
        <v>182</v>
      </c>
      <c r="AK13" s="61">
        <f t="shared" si="11"/>
      </c>
      <c r="AL13" s="61">
        <f t="shared" si="9"/>
      </c>
    </row>
    <row r="14" spans="1:38" s="53" customFormat="1" ht="18.75" customHeight="1">
      <c r="A14" s="27">
        <f t="shared" si="0"/>
      </c>
      <c r="B14" s="577"/>
      <c r="C14" s="716">
        <f>IF(B14="","",VLOOKUP($B14,'2-2_算定表⑤(新・新制度)'!$B$8:$S$65536,2,FALSE))</f>
      </c>
      <c r="D14" s="713">
        <f>IF(B14="","",VLOOKUP($B14,'2-2_算定表⑤(新・新制度)'!$B$8:$S$65536,3,FALSE))</f>
      </c>
      <c r="E14" s="565">
        <f>IF(B14="","",VLOOKUP($B14,'2-2_算定表⑤(新・新制度)'!$B$8:$S$65536,6,FALSE))</f>
      </c>
      <c r="F14" s="709">
        <f>IF(B14="","",VLOOKUP($B14,'2-2_算定表⑤(新・新制度)'!$B$8:$S$65536,14,FALSE))</f>
      </c>
      <c r="G14" s="399">
        <f>IF(B14="","",VLOOKUP($B14,'2-2_算定表⑤(新・新制度)'!$B$8:$S$65536,15,FALSE))</f>
      </c>
      <c r="H14" s="709">
        <f>IF(B14="","",VLOOKUP($B14,'2-2_算定表⑤(新・新制度)'!$B$8:$S$65536,16,FALSE))</f>
      </c>
      <c r="I14" s="399">
        <f>IF(B14="","",VLOOKUP($B14,'2-2_算定表⑤(新・新制度)'!$B$8:$S$65536,17,FALSE))</f>
      </c>
      <c r="J14" s="700">
        <f>IF(B14="","",VLOOKUP($B14,'2-2_算定表⑤(新・新制度)'!$B$8:$S$65536,18,FALSE))</f>
      </c>
      <c r="K14" s="706">
        <f>IF($B14="","",VLOOKUP($B14,'2-2_算定表⑤(新・新制度)'!$B$8:$S$65536,14,FALSE))</f>
      </c>
      <c r="L14" s="421">
        <f>IF($B14="","",VLOOKUP($B14,'2-2_算定表⑤(新・新制度)'!$B$8:$S$65536,14,FALSE))</f>
      </c>
      <c r="M14" s="673">
        <f>IF($B14="","",VLOOKUP($B14,'2-2_算定表⑤(新・新制度)'!$B$8:$S$65536,14,FALSE))</f>
      </c>
      <c r="N14" s="706">
        <f>IF($B14="","",VLOOKUP($B14,'2-2_算定表⑤(新・新制度)'!$B$8:$S$65536,16,FALSE))</f>
      </c>
      <c r="O14" s="421">
        <f>IF($B14="","",VLOOKUP($B14,'2-2_算定表⑤(新・新制度)'!$B$8:$S$65536,16,FALSE))</f>
      </c>
      <c r="P14" s="421">
        <f>IF($B14="","",VLOOKUP($B14,'2-2_算定表⑤(新・新制度)'!$B$8:$S$65536,16,FALSE))</f>
      </c>
      <c r="Q14" s="421">
        <f>IF($B14="","",VLOOKUP($B14,'2-2_算定表⑤(新・新制度)'!$B$8:$S$65536,16,FALSE))</f>
      </c>
      <c r="R14" s="421">
        <f>IF($B14="","",VLOOKUP($B14,'2-2_算定表⑤(新・新制度)'!$B$8:$S$65536,16,FALSE))</f>
      </c>
      <c r="S14" s="421">
        <f>IF($B14="","",VLOOKUP($B14,'2-2_算定表⑤(新・新制度)'!$B$8:$S$65536,16,FALSE))</f>
      </c>
      <c r="T14" s="421">
        <f>IF($B14="","",VLOOKUP($B14,'2-2_算定表⑤(新・新制度)'!$B$8:$S$65536,16,FALSE))</f>
      </c>
      <c r="U14" s="421">
        <f>IF($B14="","",VLOOKUP($B14,'2-2_算定表⑤(新・新制度)'!$B$8:$S$65536,16,FALSE))</f>
      </c>
      <c r="V14" s="673">
        <f>IF($B14="","",VLOOKUP($B14,'2-2_算定表⑤(新・新制度)'!$B$8:$S$65536,16,FALSE))</f>
      </c>
      <c r="W14" s="419">
        <f t="shared" si="1"/>
      </c>
      <c r="X14" s="423">
        <f t="shared" si="2"/>
      </c>
      <c r="Y14" s="422">
        <f t="shared" si="3"/>
      </c>
      <c r="Z14" s="424">
        <f t="shared" si="4"/>
      </c>
      <c r="AA14" s="419">
        <f t="shared" si="5"/>
      </c>
      <c r="AB14" s="424">
        <f t="shared" si="6"/>
      </c>
      <c r="AC14" s="418">
        <f t="shared" si="7"/>
      </c>
      <c r="AD14" s="419">
        <f t="shared" si="8"/>
      </c>
      <c r="AE14" s="404">
        <f>IF(B14="","",ROUNDUP((G14/VLOOKUP($B14,'2-2_算定表⑤(新・新制度)'!$B$8:$AH$44,9,FALSE)*W14)+(I14/VLOOKUP($B14,'2-2_算定表⑤(新・新制度)'!$B$8:$AH$44,9,FALSE)*X14)+(G14/VLOOKUP($B14,'2-2_算定表⑤(新・新制度)'!$B$8:$AH$44,9,FALSE)*Y14)+(I14/VLOOKUP($B14,'2-2_算定表⑤(新・新制度)'!$B$8:$AH$44,9,FALSE)*Z14)+(G14/VLOOKUP($B14,'2-2_算定表⑤(新・新制度)'!$B$8:$AH$44,9,FALSE)*AA14)+(I14/VLOOKUP($B14,'2-2_算定表⑤(新・新制度)'!$B$8:$AH$44,9,FALSE)*AB14),0))</f>
      </c>
      <c r="AF14" s="403">
        <f t="shared" si="10"/>
      </c>
      <c r="AG14" s="1016">
        <f>IF(B14="","",VLOOKUP($B14,'2-2_算定表⑤(新・新制度)'!$B$8:$AF$65536,31,FALSE))</f>
      </c>
      <c r="AH14" s="1017" t="s">
        <v>182</v>
      </c>
      <c r="AI14" s="1018" t="s">
        <v>182</v>
      </c>
      <c r="AK14" s="61">
        <f t="shared" si="11"/>
      </c>
      <c r="AL14" s="61">
        <f t="shared" si="9"/>
      </c>
    </row>
    <row r="15" spans="1:38" s="53" customFormat="1" ht="18.75" customHeight="1">
      <c r="A15" s="27">
        <f t="shared" si="0"/>
      </c>
      <c r="B15" s="577"/>
      <c r="C15" s="716">
        <f>IF(B15="","",VLOOKUP($B15,'2-2_算定表⑤(新・新制度)'!$B$8:$S$65536,2,FALSE))</f>
      </c>
      <c r="D15" s="713">
        <f>IF(B15="","",VLOOKUP($B15,'2-2_算定表⑤(新・新制度)'!$B$8:$S$65536,3,FALSE))</f>
      </c>
      <c r="E15" s="565">
        <f>IF(B15="","",VLOOKUP($B15,'2-2_算定表⑤(新・新制度)'!$B$8:$S$65536,6,FALSE))</f>
      </c>
      <c r="F15" s="709">
        <f>IF(B15="","",VLOOKUP($B15,'2-2_算定表⑤(新・新制度)'!$B$8:$S$65536,14,FALSE))</f>
      </c>
      <c r="G15" s="399">
        <f>IF(B15="","",VLOOKUP($B15,'2-2_算定表⑤(新・新制度)'!$B$8:$S$65536,15,FALSE))</f>
      </c>
      <c r="H15" s="709">
        <f>IF(B15="","",VLOOKUP($B15,'2-2_算定表⑤(新・新制度)'!$B$8:$S$65536,16,FALSE))</f>
      </c>
      <c r="I15" s="399">
        <f>IF(B15="","",VLOOKUP($B15,'2-2_算定表⑤(新・新制度)'!$B$8:$S$65536,17,FALSE))</f>
      </c>
      <c r="J15" s="700">
        <f>IF(B15="","",VLOOKUP($B15,'2-2_算定表⑤(新・新制度)'!$B$8:$S$65536,18,FALSE))</f>
      </c>
      <c r="K15" s="706">
        <f>IF($B15="","",VLOOKUP($B15,'2-2_算定表⑤(新・新制度)'!$B$8:$S$65536,14,FALSE))</f>
      </c>
      <c r="L15" s="421">
        <f>IF($B15="","",VLOOKUP($B15,'2-2_算定表⑤(新・新制度)'!$B$8:$S$65536,14,FALSE))</f>
      </c>
      <c r="M15" s="673">
        <f>IF($B15="","",VLOOKUP($B15,'2-2_算定表⑤(新・新制度)'!$B$8:$S$65536,14,FALSE))</f>
      </c>
      <c r="N15" s="706">
        <f>IF($B15="","",VLOOKUP($B15,'2-2_算定表⑤(新・新制度)'!$B$8:$S$65536,16,FALSE))</f>
      </c>
      <c r="O15" s="421">
        <f>IF($B15="","",VLOOKUP($B15,'2-2_算定表⑤(新・新制度)'!$B$8:$S$65536,16,FALSE))</f>
      </c>
      <c r="P15" s="421">
        <f>IF($B15="","",VLOOKUP($B15,'2-2_算定表⑤(新・新制度)'!$B$8:$S$65536,16,FALSE))</f>
      </c>
      <c r="Q15" s="421">
        <f>IF($B15="","",VLOOKUP($B15,'2-2_算定表⑤(新・新制度)'!$B$8:$S$65536,16,FALSE))</f>
      </c>
      <c r="R15" s="421">
        <f>IF($B15="","",VLOOKUP($B15,'2-2_算定表⑤(新・新制度)'!$B$8:$S$65536,16,FALSE))</f>
      </c>
      <c r="S15" s="421">
        <f>IF($B15="","",VLOOKUP($B15,'2-2_算定表⑤(新・新制度)'!$B$8:$S$65536,16,FALSE))</f>
      </c>
      <c r="T15" s="758">
        <f>IF($B15="","",VLOOKUP($B15,'2-2_算定表⑤(新・新制度)'!$B$8:$S$65536,16,FALSE))</f>
      </c>
      <c r="U15" s="758">
        <f>IF($B15="","",VLOOKUP($B15,'2-2_算定表⑤(新・新制度)'!$B$8:$S$65536,16,FALSE))</f>
      </c>
      <c r="V15" s="673">
        <f>IF($B15="","",VLOOKUP($B15,'2-2_算定表⑤(新・新制度)'!$B$8:$S$65536,16,FALSE))</f>
      </c>
      <c r="W15" s="419">
        <f t="shared" si="1"/>
      </c>
      <c r="X15" s="423">
        <f t="shared" si="2"/>
      </c>
      <c r="Y15" s="422">
        <f t="shared" si="3"/>
      </c>
      <c r="Z15" s="424">
        <f t="shared" si="4"/>
      </c>
      <c r="AA15" s="419">
        <f t="shared" si="5"/>
      </c>
      <c r="AB15" s="424">
        <f t="shared" si="6"/>
      </c>
      <c r="AC15" s="418">
        <f t="shared" si="7"/>
      </c>
      <c r="AD15" s="419">
        <f t="shared" si="8"/>
      </c>
      <c r="AE15" s="404">
        <f>IF(B15="","",ROUNDUP((G15/VLOOKUP($B15,'2-2_算定表⑤(新・新制度)'!$B$8:$AH$44,9,FALSE)*W15)+(I15/VLOOKUP($B15,'2-2_算定表⑤(新・新制度)'!$B$8:$AH$44,9,FALSE)*X15)+(G15/VLOOKUP($B15,'2-2_算定表⑤(新・新制度)'!$B$8:$AH$44,9,FALSE)*Y15)+(I15/VLOOKUP($B15,'2-2_算定表⑤(新・新制度)'!$B$8:$AH$44,9,FALSE)*Z15)+(G15/VLOOKUP($B15,'2-2_算定表⑤(新・新制度)'!$B$8:$AH$44,9,FALSE)*AA15)+(I15/VLOOKUP($B15,'2-2_算定表⑤(新・新制度)'!$B$8:$AH$44,9,FALSE)*AB15),0))</f>
      </c>
      <c r="AF15" s="403">
        <f t="shared" si="10"/>
      </c>
      <c r="AG15" s="1016">
        <f>IF(B15="","",VLOOKUP($B15,'2-2_算定表⑤(新・新制度)'!$B$8:$AF$65536,31,FALSE))</f>
      </c>
      <c r="AH15" s="1017" t="s">
        <v>182</v>
      </c>
      <c r="AI15" s="1018" t="s">
        <v>182</v>
      </c>
      <c r="AK15" s="61">
        <f t="shared" si="11"/>
      </c>
      <c r="AL15" s="61">
        <f t="shared" si="9"/>
      </c>
    </row>
    <row r="16" spans="1:38" s="53" customFormat="1" ht="18.75" customHeight="1">
      <c r="A16" s="27">
        <f t="shared" si="0"/>
      </c>
      <c r="B16" s="577"/>
      <c r="C16" s="716">
        <f>IF(B16="","",VLOOKUP($B16,'2-2_算定表⑤(新・新制度)'!$B$8:$S$65536,2,FALSE))</f>
      </c>
      <c r="D16" s="713">
        <f>IF(B16="","",VLOOKUP($B16,'2-2_算定表⑤(新・新制度)'!$B$8:$S$65536,3,FALSE))</f>
      </c>
      <c r="E16" s="565">
        <f>IF(B16="","",VLOOKUP($B16,'2-2_算定表⑤(新・新制度)'!$B$8:$S$65536,6,FALSE))</f>
      </c>
      <c r="F16" s="709">
        <f>IF(B16="","",VLOOKUP($B16,'2-2_算定表⑤(新・新制度)'!$B$8:$S$65536,14,FALSE))</f>
      </c>
      <c r="G16" s="399">
        <f>IF(B16="","",VLOOKUP($B16,'2-2_算定表⑤(新・新制度)'!$B$8:$S$65536,15,FALSE))</f>
      </c>
      <c r="H16" s="709">
        <f>IF(B16="","",VLOOKUP($B16,'2-2_算定表⑤(新・新制度)'!$B$8:$S$65536,16,FALSE))</f>
      </c>
      <c r="I16" s="399">
        <f>IF(B16="","",VLOOKUP($B16,'2-2_算定表⑤(新・新制度)'!$B$8:$S$65536,17,FALSE))</f>
      </c>
      <c r="J16" s="700">
        <f>IF(B16="","",VLOOKUP($B16,'2-2_算定表⑤(新・新制度)'!$B$8:$S$65536,18,FALSE))</f>
      </c>
      <c r="K16" s="706">
        <f>IF($B16="","",VLOOKUP($B16,'2-2_算定表⑤(新・新制度)'!$B$8:$S$65536,14,FALSE))</f>
      </c>
      <c r="L16" s="421">
        <f>IF($B16="","",VLOOKUP($B16,'2-2_算定表⑤(新・新制度)'!$B$8:$S$65536,14,FALSE))</f>
      </c>
      <c r="M16" s="673">
        <f>IF($B16="","",VLOOKUP($B16,'2-2_算定表⑤(新・新制度)'!$B$8:$S$65536,14,FALSE))</f>
      </c>
      <c r="N16" s="706">
        <f>IF($B16="","",VLOOKUP($B16,'2-2_算定表⑤(新・新制度)'!$B$8:$S$65536,16,FALSE))</f>
      </c>
      <c r="O16" s="421">
        <f>IF($B16="","",VLOOKUP($B16,'2-2_算定表⑤(新・新制度)'!$B$8:$S$65536,16,FALSE))</f>
      </c>
      <c r="P16" s="421">
        <f>IF($B16="","",VLOOKUP($B16,'2-2_算定表⑤(新・新制度)'!$B$8:$S$65536,16,FALSE))</f>
      </c>
      <c r="Q16" s="421">
        <f>IF($B16="","",VLOOKUP($B16,'2-2_算定表⑤(新・新制度)'!$B$8:$S$65536,16,FALSE))</f>
      </c>
      <c r="R16" s="421">
        <f>IF($B16="","",VLOOKUP($B16,'2-2_算定表⑤(新・新制度)'!$B$8:$S$65536,16,FALSE))</f>
      </c>
      <c r="S16" s="421">
        <f>IF($B16="","",VLOOKUP($B16,'2-2_算定表⑤(新・新制度)'!$B$8:$S$65536,16,FALSE))</f>
      </c>
      <c r="T16" s="421">
        <f>IF($B16="","",VLOOKUP($B16,'2-2_算定表⑤(新・新制度)'!$B$8:$S$65536,16,FALSE))</f>
      </c>
      <c r="U16" s="421">
        <f>IF($B16="","",VLOOKUP($B16,'2-2_算定表⑤(新・新制度)'!$B$8:$S$65536,16,FALSE))</f>
      </c>
      <c r="V16" s="673">
        <f>IF($B16="","",VLOOKUP($B16,'2-2_算定表⑤(新・新制度)'!$B$8:$S$65536,16,FALSE))</f>
      </c>
      <c r="W16" s="419">
        <f t="shared" si="1"/>
      </c>
      <c r="X16" s="423">
        <f t="shared" si="2"/>
      </c>
      <c r="Y16" s="422">
        <f t="shared" si="3"/>
      </c>
      <c r="Z16" s="424">
        <f t="shared" si="4"/>
      </c>
      <c r="AA16" s="419">
        <f t="shared" si="5"/>
      </c>
      <c r="AB16" s="424">
        <f t="shared" si="6"/>
      </c>
      <c r="AC16" s="418">
        <f t="shared" si="7"/>
      </c>
      <c r="AD16" s="419">
        <f t="shared" si="8"/>
      </c>
      <c r="AE16" s="404">
        <f>IF(B16="","",ROUNDUP((G16/VLOOKUP($B16,'2-2_算定表⑤(新・新制度)'!$B$8:$AH$44,9,FALSE)*W16)+(I16/VLOOKUP($B16,'2-2_算定表⑤(新・新制度)'!$B$8:$AH$44,9,FALSE)*X16)+(G16/VLOOKUP($B16,'2-2_算定表⑤(新・新制度)'!$B$8:$AH$44,9,FALSE)*Y16)+(I16/VLOOKUP($B16,'2-2_算定表⑤(新・新制度)'!$B$8:$AH$44,9,FALSE)*Z16)+(G16/VLOOKUP($B16,'2-2_算定表⑤(新・新制度)'!$B$8:$AH$44,9,FALSE)*AA16)+(I16/VLOOKUP($B16,'2-2_算定表⑤(新・新制度)'!$B$8:$AH$44,9,FALSE)*AB16),0))</f>
      </c>
      <c r="AF16" s="403">
        <f t="shared" si="10"/>
      </c>
      <c r="AG16" s="1016">
        <f>IF(B16="","",VLOOKUP($B16,'2-2_算定表⑤(新・新制度)'!$B$8:$AF$65536,31,FALSE))</f>
      </c>
      <c r="AH16" s="1017" t="s">
        <v>182</v>
      </c>
      <c r="AI16" s="1018" t="s">
        <v>182</v>
      </c>
      <c r="AK16" s="61">
        <f t="shared" si="11"/>
      </c>
      <c r="AL16" s="61">
        <f t="shared" si="9"/>
      </c>
    </row>
    <row r="17" spans="1:38" s="53" customFormat="1" ht="18.75" customHeight="1">
      <c r="A17" s="27">
        <f t="shared" si="0"/>
      </c>
      <c r="B17" s="577"/>
      <c r="C17" s="716">
        <f>IF(B17="","",VLOOKUP($B17,'2-2_算定表⑤(新・新制度)'!$B$8:$S$65536,2,FALSE))</f>
      </c>
      <c r="D17" s="713">
        <f>IF(B17="","",VLOOKUP($B17,'2-2_算定表⑤(新・新制度)'!$B$8:$S$65536,3,FALSE))</f>
      </c>
      <c r="E17" s="565">
        <f>IF(B17="","",VLOOKUP($B17,'2-2_算定表⑤(新・新制度)'!$B$8:$S$65536,6,FALSE))</f>
      </c>
      <c r="F17" s="709">
        <f>IF(B17="","",VLOOKUP($B17,'2-2_算定表⑤(新・新制度)'!$B$8:$S$65536,14,FALSE))</f>
      </c>
      <c r="G17" s="399">
        <f>IF(B17="","",VLOOKUP($B17,'2-2_算定表⑤(新・新制度)'!$B$8:$S$65536,15,FALSE))</f>
      </c>
      <c r="H17" s="709">
        <f>IF(B17="","",VLOOKUP($B17,'2-2_算定表⑤(新・新制度)'!$B$8:$S$65536,16,FALSE))</f>
      </c>
      <c r="I17" s="399">
        <f>IF(B17="","",VLOOKUP($B17,'2-2_算定表⑤(新・新制度)'!$B$8:$S$65536,17,FALSE))</f>
      </c>
      <c r="J17" s="700">
        <f>IF(B17="","",VLOOKUP($B17,'2-2_算定表⑤(新・新制度)'!$B$8:$S$65536,18,FALSE))</f>
      </c>
      <c r="K17" s="706">
        <f>IF($B17="","",VLOOKUP($B17,'2-2_算定表⑤(新・新制度)'!$B$8:$S$65536,14,FALSE))</f>
      </c>
      <c r="L17" s="421">
        <f>IF($B17="","",VLOOKUP($B17,'2-2_算定表⑤(新・新制度)'!$B$8:$S$65536,14,FALSE))</f>
      </c>
      <c r="M17" s="673">
        <f>IF($B17="","",VLOOKUP($B17,'2-2_算定表⑤(新・新制度)'!$B$8:$S$65536,14,FALSE))</f>
      </c>
      <c r="N17" s="706">
        <f>IF($B17="","",VLOOKUP($B17,'2-2_算定表⑤(新・新制度)'!$B$8:$S$65536,16,FALSE))</f>
      </c>
      <c r="O17" s="421">
        <f>IF($B17="","",VLOOKUP($B17,'2-2_算定表⑤(新・新制度)'!$B$8:$S$65536,16,FALSE))</f>
      </c>
      <c r="P17" s="421">
        <f>IF($B17="","",VLOOKUP($B17,'2-2_算定表⑤(新・新制度)'!$B$8:$S$65536,16,FALSE))</f>
      </c>
      <c r="Q17" s="421">
        <f>IF($B17="","",VLOOKUP($B17,'2-2_算定表⑤(新・新制度)'!$B$8:$S$65536,16,FALSE))</f>
      </c>
      <c r="R17" s="421">
        <f>IF($B17="","",VLOOKUP($B17,'2-2_算定表⑤(新・新制度)'!$B$8:$S$65536,16,FALSE))</f>
      </c>
      <c r="S17" s="421">
        <f>IF($B17="","",VLOOKUP($B17,'2-2_算定表⑤(新・新制度)'!$B$8:$S$65536,16,FALSE))</f>
      </c>
      <c r="T17" s="421">
        <f>IF($B17="","",VLOOKUP($B17,'2-2_算定表⑤(新・新制度)'!$B$8:$S$65536,16,FALSE))</f>
      </c>
      <c r="U17" s="421">
        <f>IF($B17="","",VLOOKUP($B17,'2-2_算定表⑤(新・新制度)'!$B$8:$S$65536,16,FALSE))</f>
      </c>
      <c r="V17" s="673">
        <f>IF($B17="","",VLOOKUP($B17,'2-2_算定表⑤(新・新制度)'!$B$8:$S$65536,16,FALSE))</f>
      </c>
      <c r="W17" s="419">
        <f t="shared" si="1"/>
      </c>
      <c r="X17" s="423">
        <f t="shared" si="2"/>
      </c>
      <c r="Y17" s="422">
        <f t="shared" si="3"/>
      </c>
      <c r="Z17" s="424">
        <f t="shared" si="4"/>
      </c>
      <c r="AA17" s="419">
        <f t="shared" si="5"/>
      </c>
      <c r="AB17" s="424">
        <f t="shared" si="6"/>
      </c>
      <c r="AC17" s="418">
        <f t="shared" si="7"/>
      </c>
      <c r="AD17" s="419">
        <f t="shared" si="8"/>
      </c>
      <c r="AE17" s="404">
        <f>IF(B17="","",ROUNDUP((G17/VLOOKUP($B17,'2-2_算定表⑤(新・新制度)'!$B$8:$AH$44,9,FALSE)*W17)+(I17/VLOOKUP($B17,'2-2_算定表⑤(新・新制度)'!$B$8:$AH$44,9,FALSE)*X17)+(G17/VLOOKUP($B17,'2-2_算定表⑤(新・新制度)'!$B$8:$AH$44,9,FALSE)*Y17)+(I17/VLOOKUP($B17,'2-2_算定表⑤(新・新制度)'!$B$8:$AH$44,9,FALSE)*Z17)+(G17/VLOOKUP($B17,'2-2_算定表⑤(新・新制度)'!$B$8:$AH$44,9,FALSE)*AA17)+(I17/VLOOKUP($B17,'2-2_算定表⑤(新・新制度)'!$B$8:$AH$44,9,FALSE)*AB17),0))</f>
      </c>
      <c r="AF17" s="403">
        <f t="shared" si="10"/>
      </c>
      <c r="AG17" s="1016">
        <f>IF(B17="","",VLOOKUP($B17,'2-2_算定表⑤(新・新制度)'!$B$8:$AF$65536,31,FALSE))</f>
      </c>
      <c r="AH17" s="1017" t="s">
        <v>182</v>
      </c>
      <c r="AI17" s="1018" t="s">
        <v>182</v>
      </c>
      <c r="AK17" s="61">
        <f t="shared" si="11"/>
      </c>
      <c r="AL17" s="61">
        <f t="shared" si="9"/>
      </c>
    </row>
    <row r="18" spans="1:38" s="53" customFormat="1" ht="18.75" customHeight="1">
      <c r="A18" s="27">
        <f t="shared" si="0"/>
      </c>
      <c r="B18" s="577"/>
      <c r="C18" s="716">
        <f>IF(B18="","",VLOOKUP($B18,'2-2_算定表⑤(新・新制度)'!$B$8:$S$65536,2,FALSE))</f>
      </c>
      <c r="D18" s="713">
        <f>IF(B18="","",VLOOKUP($B18,'2-2_算定表⑤(新・新制度)'!$B$8:$S$65536,3,FALSE))</f>
      </c>
      <c r="E18" s="565">
        <f>IF(B18="","",VLOOKUP($B18,'2-2_算定表⑤(新・新制度)'!$B$8:$S$65536,6,FALSE))</f>
      </c>
      <c r="F18" s="709">
        <f>IF(B18="","",VLOOKUP($B18,'2-2_算定表⑤(新・新制度)'!$B$8:$S$65536,14,FALSE))</f>
      </c>
      <c r="G18" s="399">
        <f>IF(B18="","",VLOOKUP($B18,'2-2_算定表⑤(新・新制度)'!$B$8:$S$65536,15,FALSE))</f>
      </c>
      <c r="H18" s="709">
        <f>IF(B18="","",VLOOKUP($B18,'2-2_算定表⑤(新・新制度)'!$B$8:$S$65536,16,FALSE))</f>
      </c>
      <c r="I18" s="399">
        <f>IF(B18="","",VLOOKUP($B18,'2-2_算定表⑤(新・新制度)'!$B$8:$S$65536,17,FALSE))</f>
      </c>
      <c r="J18" s="700">
        <f>IF(B18="","",VLOOKUP($B18,'2-2_算定表⑤(新・新制度)'!$B$8:$S$65536,18,FALSE))</f>
      </c>
      <c r="K18" s="706">
        <f>IF($B18="","",VLOOKUP($B18,'2-2_算定表⑤(新・新制度)'!$B$8:$S$65536,14,FALSE))</f>
      </c>
      <c r="L18" s="421">
        <f>IF($B18="","",VLOOKUP($B18,'2-2_算定表⑤(新・新制度)'!$B$8:$S$65536,14,FALSE))</f>
      </c>
      <c r="M18" s="673">
        <f>IF($B18="","",VLOOKUP($B18,'2-2_算定表⑤(新・新制度)'!$B$8:$S$65536,14,FALSE))</f>
      </c>
      <c r="N18" s="706">
        <f>IF($B18="","",VLOOKUP($B18,'2-2_算定表⑤(新・新制度)'!$B$8:$S$65536,16,FALSE))</f>
      </c>
      <c r="O18" s="421">
        <f>IF($B18="","",VLOOKUP($B18,'2-2_算定表⑤(新・新制度)'!$B$8:$S$65536,16,FALSE))</f>
      </c>
      <c r="P18" s="421">
        <f>IF($B18="","",VLOOKUP($B18,'2-2_算定表⑤(新・新制度)'!$B$8:$S$65536,16,FALSE))</f>
      </c>
      <c r="Q18" s="421">
        <f>IF($B18="","",VLOOKUP($B18,'2-2_算定表⑤(新・新制度)'!$B$8:$S$65536,16,FALSE))</f>
      </c>
      <c r="R18" s="421">
        <f>IF($B18="","",VLOOKUP($B18,'2-2_算定表⑤(新・新制度)'!$B$8:$S$65536,16,FALSE))</f>
      </c>
      <c r="S18" s="421">
        <f>IF($B18="","",VLOOKUP($B18,'2-2_算定表⑤(新・新制度)'!$B$8:$S$65536,16,FALSE))</f>
      </c>
      <c r="T18" s="421">
        <f>IF($B18="","",VLOOKUP($B18,'2-2_算定表⑤(新・新制度)'!$B$8:$S$65536,16,FALSE))</f>
      </c>
      <c r="U18" s="421">
        <f>IF($B18="","",VLOOKUP($B18,'2-2_算定表⑤(新・新制度)'!$B$8:$S$65536,16,FALSE))</f>
      </c>
      <c r="V18" s="673">
        <f>IF($B18="","",VLOOKUP($B18,'2-2_算定表⑤(新・新制度)'!$B$8:$S$65536,16,FALSE))</f>
      </c>
      <c r="W18" s="419">
        <f t="shared" si="1"/>
      </c>
      <c r="X18" s="423">
        <f t="shared" si="2"/>
      </c>
      <c r="Y18" s="422">
        <f t="shared" si="3"/>
      </c>
      <c r="Z18" s="424">
        <f t="shared" si="4"/>
      </c>
      <c r="AA18" s="419">
        <f t="shared" si="5"/>
      </c>
      <c r="AB18" s="424">
        <f t="shared" si="6"/>
      </c>
      <c r="AC18" s="418">
        <f t="shared" si="7"/>
      </c>
      <c r="AD18" s="419">
        <f t="shared" si="8"/>
      </c>
      <c r="AE18" s="404">
        <f>IF(B18="","",ROUNDUP((G18/VLOOKUP($B18,'2-2_算定表⑤(新・新制度)'!$B$8:$AH$44,9,FALSE)*W18)+(I18/VLOOKUP($B18,'2-2_算定表⑤(新・新制度)'!$B$8:$AH$44,9,FALSE)*X18)+(G18/VLOOKUP($B18,'2-2_算定表⑤(新・新制度)'!$B$8:$AH$44,9,FALSE)*Y18)+(I18/VLOOKUP($B18,'2-2_算定表⑤(新・新制度)'!$B$8:$AH$44,9,FALSE)*Z18)+(G18/VLOOKUP($B18,'2-2_算定表⑤(新・新制度)'!$B$8:$AH$44,9,FALSE)*AA18)+(I18/VLOOKUP($B18,'2-2_算定表⑤(新・新制度)'!$B$8:$AH$44,9,FALSE)*AB18),0))</f>
      </c>
      <c r="AF18" s="403">
        <f t="shared" si="10"/>
      </c>
      <c r="AG18" s="1016">
        <f>IF(B18="","",VLOOKUP($B18,'2-2_算定表⑤(新・新制度)'!$B$8:$AF$65536,31,FALSE))</f>
      </c>
      <c r="AH18" s="1017" t="s">
        <v>182</v>
      </c>
      <c r="AI18" s="1018" t="s">
        <v>182</v>
      </c>
      <c r="AK18" s="61">
        <f t="shared" si="11"/>
      </c>
      <c r="AL18" s="61">
        <f t="shared" si="9"/>
      </c>
    </row>
    <row r="19" spans="1:38" s="53" customFormat="1" ht="18.75" customHeight="1">
      <c r="A19" s="27">
        <f t="shared" si="0"/>
      </c>
      <c r="B19" s="577"/>
      <c r="C19" s="716">
        <f>IF(B19="","",VLOOKUP($B19,'2-2_算定表⑤(新・新制度)'!$B$8:$S$65536,2,FALSE))</f>
      </c>
      <c r="D19" s="713">
        <f>IF(B19="","",VLOOKUP($B19,'2-2_算定表⑤(新・新制度)'!$B$8:$S$65536,3,FALSE))</f>
      </c>
      <c r="E19" s="565">
        <f>IF(B19="","",VLOOKUP($B19,'2-2_算定表⑤(新・新制度)'!$B$8:$S$65536,6,FALSE))</f>
      </c>
      <c r="F19" s="709">
        <f>IF(B19="","",VLOOKUP($B19,'2-2_算定表⑤(新・新制度)'!$B$8:$S$65536,14,FALSE))</f>
      </c>
      <c r="G19" s="399">
        <f>IF(B19="","",VLOOKUP($B19,'2-2_算定表⑤(新・新制度)'!$B$8:$S$65536,15,FALSE))</f>
      </c>
      <c r="H19" s="709">
        <f>IF(B19="","",VLOOKUP($B19,'2-2_算定表⑤(新・新制度)'!$B$8:$S$65536,16,FALSE))</f>
      </c>
      <c r="I19" s="399">
        <f>IF(B19="","",VLOOKUP($B19,'2-2_算定表⑤(新・新制度)'!$B$8:$S$65536,17,FALSE))</f>
      </c>
      <c r="J19" s="700">
        <f>IF(B19="","",VLOOKUP($B19,'2-2_算定表⑤(新・新制度)'!$B$8:$S$65536,18,FALSE))</f>
      </c>
      <c r="K19" s="706">
        <f>IF($B19="","",VLOOKUP($B19,'2-2_算定表⑤(新・新制度)'!$B$8:$S$65536,14,FALSE))</f>
      </c>
      <c r="L19" s="421">
        <f>IF($B19="","",VLOOKUP($B19,'2-2_算定表⑤(新・新制度)'!$B$8:$S$65536,14,FALSE))</f>
      </c>
      <c r="M19" s="673">
        <f>IF($B19="","",VLOOKUP($B19,'2-2_算定表⑤(新・新制度)'!$B$8:$S$65536,14,FALSE))</f>
      </c>
      <c r="N19" s="706">
        <f>IF($B19="","",VLOOKUP($B19,'2-2_算定表⑤(新・新制度)'!$B$8:$S$65536,16,FALSE))</f>
      </c>
      <c r="O19" s="421">
        <f>IF($B19="","",VLOOKUP($B19,'2-2_算定表⑤(新・新制度)'!$B$8:$S$65536,16,FALSE))</f>
      </c>
      <c r="P19" s="421">
        <f>IF($B19="","",VLOOKUP($B19,'2-2_算定表⑤(新・新制度)'!$B$8:$S$65536,16,FALSE))</f>
      </c>
      <c r="Q19" s="421">
        <f>IF($B19="","",VLOOKUP($B19,'2-2_算定表⑤(新・新制度)'!$B$8:$S$65536,16,FALSE))</f>
      </c>
      <c r="R19" s="421">
        <f>IF($B19="","",VLOOKUP($B19,'2-2_算定表⑤(新・新制度)'!$B$8:$S$65536,16,FALSE))</f>
      </c>
      <c r="S19" s="421">
        <f>IF($B19="","",VLOOKUP($B19,'2-2_算定表⑤(新・新制度)'!$B$8:$S$65536,16,FALSE))</f>
      </c>
      <c r="T19" s="421">
        <f>IF($B19="","",VLOOKUP($B19,'2-2_算定表⑤(新・新制度)'!$B$8:$S$65536,16,FALSE))</f>
      </c>
      <c r="U19" s="421">
        <f>IF($B19="","",VLOOKUP($B19,'2-2_算定表⑤(新・新制度)'!$B$8:$S$65536,16,FALSE))</f>
      </c>
      <c r="V19" s="673">
        <f>IF($B19="","",VLOOKUP($B19,'2-2_算定表⑤(新・新制度)'!$B$8:$S$65536,16,FALSE))</f>
      </c>
      <c r="W19" s="419">
        <f t="shared" si="1"/>
      </c>
      <c r="X19" s="423">
        <f t="shared" si="2"/>
      </c>
      <c r="Y19" s="422">
        <f t="shared" si="3"/>
      </c>
      <c r="Z19" s="424">
        <f t="shared" si="4"/>
      </c>
      <c r="AA19" s="419">
        <f t="shared" si="5"/>
      </c>
      <c r="AB19" s="424">
        <f t="shared" si="6"/>
      </c>
      <c r="AC19" s="418">
        <f t="shared" si="7"/>
      </c>
      <c r="AD19" s="419">
        <f t="shared" si="8"/>
      </c>
      <c r="AE19" s="404">
        <f>IF(B19="","",ROUNDUP((G19/VLOOKUP($B19,'2-2_算定表⑤(新・新制度)'!$B$8:$AH$44,9,FALSE)*W19)+(I19/VLOOKUP($B19,'2-2_算定表⑤(新・新制度)'!$B$8:$AH$44,9,FALSE)*X19)+(G19/VLOOKUP($B19,'2-2_算定表⑤(新・新制度)'!$B$8:$AH$44,9,FALSE)*Y19)+(I19/VLOOKUP($B19,'2-2_算定表⑤(新・新制度)'!$B$8:$AH$44,9,FALSE)*Z19)+(G19/VLOOKUP($B19,'2-2_算定表⑤(新・新制度)'!$B$8:$AH$44,9,FALSE)*AA19)+(I19/VLOOKUP($B19,'2-2_算定表⑤(新・新制度)'!$B$8:$AH$44,9,FALSE)*AB19),0))</f>
      </c>
      <c r="AF19" s="403">
        <f t="shared" si="10"/>
      </c>
      <c r="AG19" s="1016">
        <f>IF(B19="","",VLOOKUP($B19,'2-2_算定表⑤(新・新制度)'!$B$8:$AF$65536,31,FALSE))</f>
      </c>
      <c r="AH19" s="1017" t="s">
        <v>182</v>
      </c>
      <c r="AI19" s="1018" t="s">
        <v>182</v>
      </c>
      <c r="AK19" s="61">
        <f t="shared" si="11"/>
      </c>
      <c r="AL19" s="61">
        <f t="shared" si="9"/>
      </c>
    </row>
    <row r="20" spans="1:38" s="53" customFormat="1" ht="18.75" customHeight="1">
      <c r="A20" s="27">
        <f t="shared" si="0"/>
      </c>
      <c r="B20" s="577"/>
      <c r="C20" s="716">
        <f>IF(B20="","",VLOOKUP($B20,'2-2_算定表⑤(新・新制度)'!$B$8:$S$65536,2,FALSE))</f>
      </c>
      <c r="D20" s="713">
        <f>IF(B20="","",VLOOKUP($B20,'2-2_算定表⑤(新・新制度)'!$B$8:$S$65536,3,FALSE))</f>
      </c>
      <c r="E20" s="565">
        <f>IF(B20="","",VLOOKUP($B20,'2-2_算定表⑤(新・新制度)'!$B$8:$S$65536,6,FALSE))</f>
      </c>
      <c r="F20" s="709">
        <f>IF(B20="","",VLOOKUP($B20,'2-2_算定表⑤(新・新制度)'!$B$8:$S$65536,14,FALSE))</f>
      </c>
      <c r="G20" s="399">
        <f>IF(B20="","",VLOOKUP($B20,'2-2_算定表⑤(新・新制度)'!$B$8:$S$65536,15,FALSE))</f>
      </c>
      <c r="H20" s="709">
        <f>IF(B20="","",VLOOKUP($B20,'2-2_算定表⑤(新・新制度)'!$B$8:$S$65536,16,FALSE))</f>
      </c>
      <c r="I20" s="399">
        <f>IF(B20="","",VLOOKUP($B20,'2-2_算定表⑤(新・新制度)'!$B$8:$S$65536,17,FALSE))</f>
      </c>
      <c r="J20" s="700">
        <f>IF(B20="","",VLOOKUP($B20,'2-2_算定表⑤(新・新制度)'!$B$8:$S$65536,18,FALSE))</f>
      </c>
      <c r="K20" s="706">
        <f>IF($B20="","",VLOOKUP($B20,'2-2_算定表⑤(新・新制度)'!$B$8:$S$65536,14,FALSE))</f>
      </c>
      <c r="L20" s="421">
        <f>IF($B20="","",VLOOKUP($B20,'2-2_算定表⑤(新・新制度)'!$B$8:$S$65536,14,FALSE))</f>
      </c>
      <c r="M20" s="673">
        <f>IF($B20="","",VLOOKUP($B20,'2-2_算定表⑤(新・新制度)'!$B$8:$S$65536,14,FALSE))</f>
      </c>
      <c r="N20" s="706">
        <f>IF($B20="","",VLOOKUP($B20,'2-2_算定表⑤(新・新制度)'!$B$8:$S$65536,16,FALSE))</f>
      </c>
      <c r="O20" s="421">
        <f>IF($B20="","",VLOOKUP($B20,'2-2_算定表⑤(新・新制度)'!$B$8:$S$65536,16,FALSE))</f>
      </c>
      <c r="P20" s="421">
        <f>IF($B20="","",VLOOKUP($B20,'2-2_算定表⑤(新・新制度)'!$B$8:$S$65536,16,FALSE))</f>
      </c>
      <c r="Q20" s="421">
        <f>IF($B20="","",VLOOKUP($B20,'2-2_算定表⑤(新・新制度)'!$B$8:$S$65536,16,FALSE))</f>
      </c>
      <c r="R20" s="421">
        <f>IF($B20="","",VLOOKUP($B20,'2-2_算定表⑤(新・新制度)'!$B$8:$S$65536,16,FALSE))</f>
      </c>
      <c r="S20" s="421">
        <f>IF($B20="","",VLOOKUP($B20,'2-2_算定表⑤(新・新制度)'!$B$8:$S$65536,16,FALSE))</f>
      </c>
      <c r="T20" s="421">
        <f>IF($B20="","",VLOOKUP($B20,'2-2_算定表⑤(新・新制度)'!$B$8:$S$65536,16,FALSE))</f>
      </c>
      <c r="U20" s="421">
        <f>IF($B20="","",VLOOKUP($B20,'2-2_算定表⑤(新・新制度)'!$B$8:$S$65536,16,FALSE))</f>
      </c>
      <c r="V20" s="673">
        <f>IF($B20="","",VLOOKUP($B20,'2-2_算定表⑤(新・新制度)'!$B$8:$S$65536,16,FALSE))</f>
      </c>
      <c r="W20" s="419">
        <f t="shared" si="1"/>
      </c>
      <c r="X20" s="423">
        <f t="shared" si="2"/>
      </c>
      <c r="Y20" s="422">
        <f t="shared" si="3"/>
      </c>
      <c r="Z20" s="424">
        <f t="shared" si="4"/>
      </c>
      <c r="AA20" s="419">
        <f t="shared" si="5"/>
      </c>
      <c r="AB20" s="424">
        <f t="shared" si="6"/>
      </c>
      <c r="AC20" s="418">
        <f t="shared" si="7"/>
      </c>
      <c r="AD20" s="419">
        <f t="shared" si="8"/>
      </c>
      <c r="AE20" s="404">
        <f>IF(B20="","",ROUNDUP((G20/VLOOKUP($B20,'2-2_算定表⑤(新・新制度)'!$B$8:$AH$44,9,FALSE)*W20)+(I20/VLOOKUP($B20,'2-2_算定表⑤(新・新制度)'!$B$8:$AH$44,9,FALSE)*X20)+(G20/VLOOKUP($B20,'2-2_算定表⑤(新・新制度)'!$B$8:$AH$44,9,FALSE)*Y20)+(I20/VLOOKUP($B20,'2-2_算定表⑤(新・新制度)'!$B$8:$AH$44,9,FALSE)*Z20)+(G20/VLOOKUP($B20,'2-2_算定表⑤(新・新制度)'!$B$8:$AH$44,9,FALSE)*AA20)+(I20/VLOOKUP($B20,'2-2_算定表⑤(新・新制度)'!$B$8:$AH$44,9,FALSE)*AB20),0))</f>
      </c>
      <c r="AF20" s="403">
        <f t="shared" si="10"/>
      </c>
      <c r="AG20" s="1016">
        <f>IF(B20="","",VLOOKUP($B20,'2-2_算定表⑤(新・新制度)'!$B$8:$AF$65536,31,FALSE))</f>
      </c>
      <c r="AH20" s="1017" t="s">
        <v>182</v>
      </c>
      <c r="AI20" s="1018" t="s">
        <v>182</v>
      </c>
      <c r="AK20" s="61">
        <f t="shared" si="11"/>
      </c>
      <c r="AL20" s="61">
        <f t="shared" si="9"/>
      </c>
    </row>
    <row r="21" spans="1:38" s="53" customFormat="1" ht="18.75" customHeight="1">
      <c r="A21" s="27">
        <f t="shared" si="0"/>
      </c>
      <c r="B21" s="577"/>
      <c r="C21" s="716">
        <f>IF(B21="","",VLOOKUP($B21,'2-2_算定表⑤(新・新制度)'!$B$8:$S$65536,2,FALSE))</f>
      </c>
      <c r="D21" s="713">
        <f>IF(B21="","",VLOOKUP($B21,'2-2_算定表⑤(新・新制度)'!$B$8:$S$65536,3,FALSE))</f>
      </c>
      <c r="E21" s="565">
        <f>IF(B21="","",VLOOKUP($B21,'2-2_算定表⑤(新・新制度)'!$B$8:$S$65536,6,FALSE))</f>
      </c>
      <c r="F21" s="709">
        <f>IF(B21="","",VLOOKUP($B21,'2-2_算定表⑤(新・新制度)'!$B$8:$S$65536,14,FALSE))</f>
      </c>
      <c r="G21" s="399">
        <f>IF(B21="","",VLOOKUP($B21,'2-2_算定表⑤(新・新制度)'!$B$8:$S$65536,15,FALSE))</f>
      </c>
      <c r="H21" s="709">
        <f>IF(B21="","",VLOOKUP($B21,'2-2_算定表⑤(新・新制度)'!$B$8:$S$65536,16,FALSE))</f>
      </c>
      <c r="I21" s="399">
        <f>IF(B21="","",VLOOKUP($B21,'2-2_算定表⑤(新・新制度)'!$B$8:$S$65536,17,FALSE))</f>
      </c>
      <c r="J21" s="700">
        <f>IF(B21="","",VLOOKUP($B21,'2-2_算定表⑤(新・新制度)'!$B$8:$S$65536,18,FALSE))</f>
      </c>
      <c r="K21" s="706">
        <f>IF($B21="","",VLOOKUP($B21,'2-2_算定表⑤(新・新制度)'!$B$8:$S$65536,14,FALSE))</f>
      </c>
      <c r="L21" s="421">
        <f>IF($B21="","",VLOOKUP($B21,'2-2_算定表⑤(新・新制度)'!$B$8:$S$65536,14,FALSE))</f>
      </c>
      <c r="M21" s="673">
        <f>IF($B21="","",VLOOKUP($B21,'2-2_算定表⑤(新・新制度)'!$B$8:$S$65536,14,FALSE))</f>
      </c>
      <c r="N21" s="706">
        <f>IF($B21="","",VLOOKUP($B21,'2-2_算定表⑤(新・新制度)'!$B$8:$S$65536,16,FALSE))</f>
      </c>
      <c r="O21" s="421">
        <f>IF($B21="","",VLOOKUP($B21,'2-2_算定表⑤(新・新制度)'!$B$8:$S$65536,16,FALSE))</f>
      </c>
      <c r="P21" s="421">
        <f>IF($B21="","",VLOOKUP($B21,'2-2_算定表⑤(新・新制度)'!$B$8:$S$65536,16,FALSE))</f>
      </c>
      <c r="Q21" s="421">
        <f>IF($B21="","",VLOOKUP($B21,'2-2_算定表⑤(新・新制度)'!$B$8:$S$65536,16,FALSE))</f>
      </c>
      <c r="R21" s="421">
        <f>IF($B21="","",VLOOKUP($B21,'2-2_算定表⑤(新・新制度)'!$B$8:$S$65536,16,FALSE))</f>
      </c>
      <c r="S21" s="421">
        <f>IF($B21="","",VLOOKUP($B21,'2-2_算定表⑤(新・新制度)'!$B$8:$S$65536,16,FALSE))</f>
      </c>
      <c r="T21" s="421">
        <f>IF($B21="","",VLOOKUP($B21,'2-2_算定表⑤(新・新制度)'!$B$8:$S$65536,16,FALSE))</f>
      </c>
      <c r="U21" s="421">
        <f>IF($B21="","",VLOOKUP($B21,'2-2_算定表⑤(新・新制度)'!$B$8:$S$65536,16,FALSE))</f>
      </c>
      <c r="V21" s="673">
        <f>IF($B21="","",VLOOKUP($B21,'2-2_算定表⑤(新・新制度)'!$B$8:$S$65536,16,FALSE))</f>
      </c>
      <c r="W21" s="419">
        <f t="shared" si="1"/>
      </c>
      <c r="X21" s="423">
        <f t="shared" si="2"/>
      </c>
      <c r="Y21" s="422">
        <f t="shared" si="3"/>
      </c>
      <c r="Z21" s="424">
        <f t="shared" si="4"/>
      </c>
      <c r="AA21" s="419">
        <f t="shared" si="5"/>
      </c>
      <c r="AB21" s="424">
        <f t="shared" si="6"/>
      </c>
      <c r="AC21" s="418">
        <f t="shared" si="7"/>
      </c>
      <c r="AD21" s="419">
        <f t="shared" si="8"/>
      </c>
      <c r="AE21" s="404">
        <f>IF(B21="","",ROUNDUP((G21/VLOOKUP($B21,'2-2_算定表⑤(新・新制度)'!$B$8:$AH$44,9,FALSE)*W21)+(I21/VLOOKUP($B21,'2-2_算定表⑤(新・新制度)'!$B$8:$AH$44,9,FALSE)*X21)+(G21/VLOOKUP($B21,'2-2_算定表⑤(新・新制度)'!$B$8:$AH$44,9,FALSE)*Y21)+(I21/VLOOKUP($B21,'2-2_算定表⑤(新・新制度)'!$B$8:$AH$44,9,FALSE)*Z21)+(G21/VLOOKUP($B21,'2-2_算定表⑤(新・新制度)'!$B$8:$AH$44,9,FALSE)*AA21)+(I21/VLOOKUP($B21,'2-2_算定表⑤(新・新制度)'!$B$8:$AH$44,9,FALSE)*AB21),0))</f>
      </c>
      <c r="AF21" s="403">
        <f t="shared" si="10"/>
      </c>
      <c r="AG21" s="1016">
        <f>IF(B21="","",VLOOKUP($B21,'2-2_算定表⑤(新・新制度)'!$B$8:$AF$65536,31,FALSE))</f>
      </c>
      <c r="AH21" s="1017" t="s">
        <v>182</v>
      </c>
      <c r="AI21" s="1018" t="s">
        <v>182</v>
      </c>
      <c r="AK21" s="61">
        <f t="shared" si="11"/>
      </c>
      <c r="AL21" s="61">
        <f t="shared" si="9"/>
      </c>
    </row>
    <row r="22" spans="1:38" s="53" customFormat="1" ht="18.75" customHeight="1">
      <c r="A22" s="27">
        <f t="shared" si="0"/>
      </c>
      <c r="B22" s="577"/>
      <c r="C22" s="716">
        <f>IF(B22="","",VLOOKUP($B22,'2-2_算定表⑤(新・新制度)'!$B$8:$S$65536,2,FALSE))</f>
      </c>
      <c r="D22" s="713">
        <f>IF(B22="","",VLOOKUP($B22,'2-2_算定表⑤(新・新制度)'!$B$8:$S$65536,3,FALSE))</f>
      </c>
      <c r="E22" s="565">
        <f>IF(B22="","",VLOOKUP($B22,'2-2_算定表⑤(新・新制度)'!$B$8:$S$65536,6,FALSE))</f>
      </c>
      <c r="F22" s="709">
        <f>IF(B22="","",VLOOKUP($B22,'2-2_算定表⑤(新・新制度)'!$B$8:$S$65536,14,FALSE))</f>
      </c>
      <c r="G22" s="399">
        <f>IF(B22="","",VLOOKUP($B22,'2-2_算定表⑤(新・新制度)'!$B$8:$S$65536,15,FALSE))</f>
      </c>
      <c r="H22" s="709">
        <f>IF(B22="","",VLOOKUP($B22,'2-2_算定表⑤(新・新制度)'!$B$8:$S$65536,16,FALSE))</f>
      </c>
      <c r="I22" s="399">
        <f>IF(B22="","",VLOOKUP($B22,'2-2_算定表⑤(新・新制度)'!$B$8:$S$65536,17,FALSE))</f>
      </c>
      <c r="J22" s="700">
        <f>IF(B22="","",VLOOKUP($B22,'2-2_算定表⑤(新・新制度)'!$B$8:$S$65536,18,FALSE))</f>
      </c>
      <c r="K22" s="706">
        <f>IF($B22="","",VLOOKUP($B22,'2-2_算定表⑤(新・新制度)'!$B$8:$S$65536,14,FALSE))</f>
      </c>
      <c r="L22" s="421">
        <f>IF($B22="","",VLOOKUP($B22,'2-2_算定表⑤(新・新制度)'!$B$8:$S$65536,14,FALSE))</f>
      </c>
      <c r="M22" s="673">
        <f>IF($B22="","",VLOOKUP($B22,'2-2_算定表⑤(新・新制度)'!$B$8:$S$65536,14,FALSE))</f>
      </c>
      <c r="N22" s="706">
        <f>IF($B22="","",VLOOKUP($B22,'2-2_算定表⑤(新・新制度)'!$B$8:$S$65536,16,FALSE))</f>
      </c>
      <c r="O22" s="421">
        <f>IF($B22="","",VLOOKUP($B22,'2-2_算定表⑤(新・新制度)'!$B$8:$S$65536,16,FALSE))</f>
      </c>
      <c r="P22" s="421">
        <f>IF($B22="","",VLOOKUP($B22,'2-2_算定表⑤(新・新制度)'!$B$8:$S$65536,16,FALSE))</f>
      </c>
      <c r="Q22" s="421">
        <f>IF($B22="","",VLOOKUP($B22,'2-2_算定表⑤(新・新制度)'!$B$8:$S$65536,16,FALSE))</f>
      </c>
      <c r="R22" s="421">
        <f>IF($B22="","",VLOOKUP($B22,'2-2_算定表⑤(新・新制度)'!$B$8:$S$65536,16,FALSE))</f>
      </c>
      <c r="S22" s="421">
        <f>IF($B22="","",VLOOKUP($B22,'2-2_算定表⑤(新・新制度)'!$B$8:$S$65536,16,FALSE))</f>
      </c>
      <c r="T22" s="421">
        <f>IF($B22="","",VLOOKUP($B22,'2-2_算定表⑤(新・新制度)'!$B$8:$S$65536,16,FALSE))</f>
      </c>
      <c r="U22" s="421">
        <f>IF($B22="","",VLOOKUP($B22,'2-2_算定表⑤(新・新制度)'!$B$8:$S$65536,16,FALSE))</f>
      </c>
      <c r="V22" s="673">
        <f>IF($B22="","",VLOOKUP($B22,'2-2_算定表⑤(新・新制度)'!$B$8:$S$65536,16,FALSE))</f>
      </c>
      <c r="W22" s="419">
        <f t="shared" si="1"/>
      </c>
      <c r="X22" s="423">
        <f t="shared" si="2"/>
      </c>
      <c r="Y22" s="422">
        <f t="shared" si="3"/>
      </c>
      <c r="Z22" s="424">
        <f t="shared" si="4"/>
      </c>
      <c r="AA22" s="419">
        <f t="shared" si="5"/>
      </c>
      <c r="AB22" s="424">
        <f t="shared" si="6"/>
      </c>
      <c r="AC22" s="418">
        <f t="shared" si="7"/>
      </c>
      <c r="AD22" s="419">
        <f t="shared" si="8"/>
      </c>
      <c r="AE22" s="404">
        <f>IF(B22="","",ROUNDUP((G22/VLOOKUP($B22,'2-2_算定表⑤(新・新制度)'!$B$8:$AH$44,9,FALSE)*W22)+(I22/VLOOKUP($B22,'2-2_算定表⑤(新・新制度)'!$B$8:$AH$44,9,FALSE)*X22)+(G22/VLOOKUP($B22,'2-2_算定表⑤(新・新制度)'!$B$8:$AH$44,9,FALSE)*Y22)+(I22/VLOOKUP($B22,'2-2_算定表⑤(新・新制度)'!$B$8:$AH$44,9,FALSE)*Z22)+(G22/VLOOKUP($B22,'2-2_算定表⑤(新・新制度)'!$B$8:$AH$44,9,FALSE)*AA22)+(I22/VLOOKUP($B22,'2-2_算定表⑤(新・新制度)'!$B$8:$AH$44,9,FALSE)*AB22),0))</f>
      </c>
      <c r="AF22" s="403">
        <f t="shared" si="10"/>
      </c>
      <c r="AG22" s="1016">
        <f>IF(B22="","",VLOOKUP($B22,'2-2_算定表⑤(新・新制度)'!$B$8:$AF$65536,31,FALSE))</f>
      </c>
      <c r="AH22" s="1017" t="s">
        <v>182</v>
      </c>
      <c r="AI22" s="1018" t="s">
        <v>182</v>
      </c>
      <c r="AK22" s="61">
        <f t="shared" si="11"/>
      </c>
      <c r="AL22" s="61">
        <f t="shared" si="9"/>
      </c>
    </row>
    <row r="23" spans="1:38" s="53" customFormat="1" ht="18.75" customHeight="1">
      <c r="A23" s="27">
        <f t="shared" si="0"/>
      </c>
      <c r="B23" s="577"/>
      <c r="C23" s="716">
        <f>IF(B23="","",VLOOKUP($B23,'2-2_算定表⑤(新・新制度)'!$B$8:$S$65536,2,FALSE))</f>
      </c>
      <c r="D23" s="713">
        <f>IF(B23="","",VLOOKUP($B23,'2-2_算定表⑤(新・新制度)'!$B$8:$S$65536,3,FALSE))</f>
      </c>
      <c r="E23" s="565">
        <f>IF(B23="","",VLOOKUP($B23,'2-2_算定表⑤(新・新制度)'!$B$8:$S$65536,6,FALSE))</f>
      </c>
      <c r="F23" s="709">
        <f>IF(B23="","",VLOOKUP($B23,'2-2_算定表⑤(新・新制度)'!$B$8:$S$65536,14,FALSE))</f>
      </c>
      <c r="G23" s="399">
        <f>IF(B23="","",VLOOKUP($B23,'2-2_算定表⑤(新・新制度)'!$B$8:$S$65536,15,FALSE))</f>
      </c>
      <c r="H23" s="709">
        <f>IF(B23="","",VLOOKUP($B23,'2-2_算定表⑤(新・新制度)'!$B$8:$S$65536,16,FALSE))</f>
      </c>
      <c r="I23" s="399">
        <f>IF(B23="","",VLOOKUP($B23,'2-2_算定表⑤(新・新制度)'!$B$8:$S$65536,17,FALSE))</f>
      </c>
      <c r="J23" s="700">
        <f>IF(B23="","",VLOOKUP($B23,'2-2_算定表⑤(新・新制度)'!$B$8:$S$65536,18,FALSE))</f>
      </c>
      <c r="K23" s="706">
        <f>IF($B23="","",VLOOKUP($B23,'2-2_算定表⑤(新・新制度)'!$B$8:$S$65536,14,FALSE))</f>
      </c>
      <c r="L23" s="421">
        <f>IF($B23="","",VLOOKUP($B23,'2-2_算定表⑤(新・新制度)'!$B$8:$S$65536,14,FALSE))</f>
      </c>
      <c r="M23" s="673">
        <f>IF($B23="","",VLOOKUP($B23,'2-2_算定表⑤(新・新制度)'!$B$8:$S$65536,14,FALSE))</f>
      </c>
      <c r="N23" s="706">
        <f>IF($B23="","",VLOOKUP($B23,'2-2_算定表⑤(新・新制度)'!$B$8:$S$65536,16,FALSE))</f>
      </c>
      <c r="O23" s="421">
        <f>IF($B23="","",VLOOKUP($B23,'2-2_算定表⑤(新・新制度)'!$B$8:$S$65536,16,FALSE))</f>
      </c>
      <c r="P23" s="421">
        <f>IF($B23="","",VLOOKUP($B23,'2-2_算定表⑤(新・新制度)'!$B$8:$S$65536,16,FALSE))</f>
      </c>
      <c r="Q23" s="421">
        <f>IF($B23="","",VLOOKUP($B23,'2-2_算定表⑤(新・新制度)'!$B$8:$S$65536,16,FALSE))</f>
      </c>
      <c r="R23" s="421">
        <f>IF($B23="","",VLOOKUP($B23,'2-2_算定表⑤(新・新制度)'!$B$8:$S$65536,16,FALSE))</f>
      </c>
      <c r="S23" s="421">
        <f>IF($B23="","",VLOOKUP($B23,'2-2_算定表⑤(新・新制度)'!$B$8:$S$65536,16,FALSE))</f>
      </c>
      <c r="T23" s="421">
        <f>IF($B23="","",VLOOKUP($B23,'2-2_算定表⑤(新・新制度)'!$B$8:$S$65536,16,FALSE))</f>
      </c>
      <c r="U23" s="421">
        <f>IF($B23="","",VLOOKUP($B23,'2-2_算定表⑤(新・新制度)'!$B$8:$S$65536,16,FALSE))</f>
      </c>
      <c r="V23" s="673">
        <f>IF($B23="","",VLOOKUP($B23,'2-2_算定表⑤(新・新制度)'!$B$8:$S$65536,16,FALSE))</f>
      </c>
      <c r="W23" s="419">
        <f t="shared" si="1"/>
      </c>
      <c r="X23" s="423">
        <f t="shared" si="2"/>
      </c>
      <c r="Y23" s="422">
        <f t="shared" si="3"/>
      </c>
      <c r="Z23" s="424">
        <f t="shared" si="4"/>
      </c>
      <c r="AA23" s="419">
        <f t="shared" si="5"/>
      </c>
      <c r="AB23" s="424">
        <f t="shared" si="6"/>
      </c>
      <c r="AC23" s="418">
        <f t="shared" si="7"/>
      </c>
      <c r="AD23" s="419">
        <f t="shared" si="8"/>
      </c>
      <c r="AE23" s="404">
        <f>IF(B23="","",ROUNDUP((G23/VLOOKUP($B23,'2-2_算定表⑤(新・新制度)'!$B$8:$AH$44,9,FALSE)*W23)+(I23/VLOOKUP($B23,'2-2_算定表⑤(新・新制度)'!$B$8:$AH$44,9,FALSE)*X23)+(G23/VLOOKUP($B23,'2-2_算定表⑤(新・新制度)'!$B$8:$AH$44,9,FALSE)*Y23)+(I23/VLOOKUP($B23,'2-2_算定表⑤(新・新制度)'!$B$8:$AH$44,9,FALSE)*Z23)+(G23/VLOOKUP($B23,'2-2_算定表⑤(新・新制度)'!$B$8:$AH$44,9,FALSE)*AA23)+(I23/VLOOKUP($B23,'2-2_算定表⑤(新・新制度)'!$B$8:$AH$44,9,FALSE)*AB23),0))</f>
      </c>
      <c r="AF23" s="403">
        <f t="shared" si="10"/>
      </c>
      <c r="AG23" s="1016">
        <f>IF(B23="","",VLOOKUP($B23,'2-2_算定表⑤(新・新制度)'!$B$8:$AF$65536,31,FALSE))</f>
      </c>
      <c r="AH23" s="1017" t="s">
        <v>182</v>
      </c>
      <c r="AI23" s="1018" t="s">
        <v>182</v>
      </c>
      <c r="AK23" s="61">
        <f t="shared" si="11"/>
      </c>
      <c r="AL23" s="61">
        <f t="shared" si="9"/>
      </c>
    </row>
    <row r="24" spans="1:38" s="53" customFormat="1" ht="18.75" customHeight="1">
      <c r="A24" s="27">
        <f t="shared" si="0"/>
      </c>
      <c r="B24" s="577"/>
      <c r="C24" s="716">
        <f>IF(B24="","",VLOOKUP($B24,'2-2_算定表⑤(新・新制度)'!$B$8:$S$65536,2,FALSE))</f>
      </c>
      <c r="D24" s="713">
        <f>IF(B24="","",VLOOKUP($B24,'2-2_算定表⑤(新・新制度)'!$B$8:$S$65536,3,FALSE))</f>
      </c>
      <c r="E24" s="565">
        <f>IF(B24="","",VLOOKUP($B24,'2-2_算定表⑤(新・新制度)'!$B$8:$S$65536,6,FALSE))</f>
      </c>
      <c r="F24" s="709">
        <f>IF(B24="","",VLOOKUP($B24,'2-2_算定表⑤(新・新制度)'!$B$8:$S$65536,14,FALSE))</f>
      </c>
      <c r="G24" s="399">
        <f>IF(B24="","",VLOOKUP($B24,'2-2_算定表⑤(新・新制度)'!$B$8:$S$65536,15,FALSE))</f>
      </c>
      <c r="H24" s="709">
        <f>IF(B24="","",VLOOKUP($B24,'2-2_算定表⑤(新・新制度)'!$B$8:$S$65536,16,FALSE))</f>
      </c>
      <c r="I24" s="399">
        <f>IF(B24="","",VLOOKUP($B24,'2-2_算定表⑤(新・新制度)'!$B$8:$S$65536,17,FALSE))</f>
      </c>
      <c r="J24" s="700">
        <f>IF(B24="","",VLOOKUP($B24,'2-2_算定表⑤(新・新制度)'!$B$8:$S$65536,18,FALSE))</f>
      </c>
      <c r="K24" s="706">
        <f>IF($B24="","",VLOOKUP($B24,'2-2_算定表⑤(新・新制度)'!$B$8:$S$65536,14,FALSE))</f>
      </c>
      <c r="L24" s="421">
        <f>IF($B24="","",VLOOKUP($B24,'2-2_算定表⑤(新・新制度)'!$B$8:$S$65536,14,FALSE))</f>
      </c>
      <c r="M24" s="673">
        <f>IF($B24="","",VLOOKUP($B24,'2-2_算定表⑤(新・新制度)'!$B$8:$S$65536,14,FALSE))</f>
      </c>
      <c r="N24" s="706">
        <f>IF($B24="","",VLOOKUP($B24,'2-2_算定表⑤(新・新制度)'!$B$8:$S$65536,16,FALSE))</f>
      </c>
      <c r="O24" s="421">
        <f>IF($B24="","",VLOOKUP($B24,'2-2_算定表⑤(新・新制度)'!$B$8:$S$65536,16,FALSE))</f>
      </c>
      <c r="P24" s="421">
        <f>IF($B24="","",VLOOKUP($B24,'2-2_算定表⑤(新・新制度)'!$B$8:$S$65536,16,FALSE))</f>
      </c>
      <c r="Q24" s="421">
        <f>IF($B24="","",VLOOKUP($B24,'2-2_算定表⑤(新・新制度)'!$B$8:$S$65536,16,FALSE))</f>
      </c>
      <c r="R24" s="421">
        <f>IF($B24="","",VLOOKUP($B24,'2-2_算定表⑤(新・新制度)'!$B$8:$S$65536,16,FALSE))</f>
      </c>
      <c r="S24" s="421">
        <f>IF($B24="","",VLOOKUP($B24,'2-2_算定表⑤(新・新制度)'!$B$8:$S$65536,16,FALSE))</f>
      </c>
      <c r="T24" s="421">
        <f>IF($B24="","",VLOOKUP($B24,'2-2_算定表⑤(新・新制度)'!$B$8:$S$65536,16,FALSE))</f>
      </c>
      <c r="U24" s="421">
        <f>IF($B24="","",VLOOKUP($B24,'2-2_算定表⑤(新・新制度)'!$B$8:$S$65536,16,FALSE))</f>
      </c>
      <c r="V24" s="673">
        <f>IF($B24="","",VLOOKUP($B24,'2-2_算定表⑤(新・新制度)'!$B$8:$S$65536,16,FALSE))</f>
      </c>
      <c r="W24" s="419">
        <f t="shared" si="1"/>
      </c>
      <c r="X24" s="423">
        <f t="shared" si="2"/>
      </c>
      <c r="Y24" s="422">
        <f t="shared" si="3"/>
      </c>
      <c r="Z24" s="424">
        <f t="shared" si="4"/>
      </c>
      <c r="AA24" s="419">
        <f t="shared" si="5"/>
      </c>
      <c r="AB24" s="424">
        <f t="shared" si="6"/>
      </c>
      <c r="AC24" s="418">
        <f t="shared" si="7"/>
      </c>
      <c r="AD24" s="419">
        <f t="shared" si="8"/>
      </c>
      <c r="AE24" s="404">
        <f>IF(B24="","",ROUNDUP((G24/VLOOKUP($B24,'2-2_算定表⑤(新・新制度)'!$B$8:$AH$44,9,FALSE)*W24)+(I24/VLOOKUP($B24,'2-2_算定表⑤(新・新制度)'!$B$8:$AH$44,9,FALSE)*X24)+(G24/VLOOKUP($B24,'2-2_算定表⑤(新・新制度)'!$B$8:$AH$44,9,FALSE)*Y24)+(I24/VLOOKUP($B24,'2-2_算定表⑤(新・新制度)'!$B$8:$AH$44,9,FALSE)*Z24)+(G24/VLOOKUP($B24,'2-2_算定表⑤(新・新制度)'!$B$8:$AH$44,9,FALSE)*AA24)+(I24/VLOOKUP($B24,'2-2_算定表⑤(新・新制度)'!$B$8:$AH$44,9,FALSE)*AB24),0))</f>
      </c>
      <c r="AF24" s="403">
        <f t="shared" si="10"/>
      </c>
      <c r="AG24" s="1016">
        <f>IF(B24="","",VLOOKUP($B24,'2-2_算定表⑤(新・新制度)'!$B$8:$AF$65536,31,FALSE))</f>
      </c>
      <c r="AH24" s="1017" t="s">
        <v>182</v>
      </c>
      <c r="AI24" s="1018" t="s">
        <v>182</v>
      </c>
      <c r="AK24" s="61">
        <f t="shared" si="11"/>
      </c>
      <c r="AL24" s="61">
        <f t="shared" si="9"/>
      </c>
    </row>
    <row r="25" spans="1:38" s="53" customFormat="1" ht="18.75" customHeight="1">
      <c r="A25" s="27">
        <f t="shared" si="0"/>
      </c>
      <c r="B25" s="577"/>
      <c r="C25" s="716">
        <f>IF(B25="","",VLOOKUP($B25,'2-2_算定表⑤(新・新制度)'!$B$8:$S$65536,2,FALSE))</f>
      </c>
      <c r="D25" s="713">
        <f>IF(B25="","",VLOOKUP($B25,'2-2_算定表⑤(新・新制度)'!$B$8:$S$65536,3,FALSE))</f>
      </c>
      <c r="E25" s="565">
        <f>IF(B25="","",VLOOKUP($B25,'2-2_算定表⑤(新・新制度)'!$B$8:$S$65536,6,FALSE))</f>
      </c>
      <c r="F25" s="709">
        <f>IF(B25="","",VLOOKUP($B25,'2-2_算定表⑤(新・新制度)'!$B$8:$S$65536,14,FALSE))</f>
      </c>
      <c r="G25" s="399">
        <f>IF(B25="","",VLOOKUP($B25,'2-2_算定表⑤(新・新制度)'!$B$8:$S$65536,15,FALSE))</f>
      </c>
      <c r="H25" s="709">
        <f>IF(B25="","",VLOOKUP($B25,'2-2_算定表⑤(新・新制度)'!$B$8:$S$65536,16,FALSE))</f>
      </c>
      <c r="I25" s="399">
        <f>IF(B25="","",VLOOKUP($B25,'2-2_算定表⑤(新・新制度)'!$B$8:$S$65536,17,FALSE))</f>
      </c>
      <c r="J25" s="700">
        <f>IF(B25="","",VLOOKUP($B25,'2-2_算定表⑤(新・新制度)'!$B$8:$S$65536,18,FALSE))</f>
      </c>
      <c r="K25" s="706">
        <f>IF($B25="","",VLOOKUP($B25,'2-2_算定表⑤(新・新制度)'!$B$8:$S$65536,14,FALSE))</f>
      </c>
      <c r="L25" s="421">
        <f>IF($B25="","",VLOOKUP($B25,'2-2_算定表⑤(新・新制度)'!$B$8:$S$65536,14,FALSE))</f>
      </c>
      <c r="M25" s="673">
        <f>IF($B25="","",VLOOKUP($B25,'2-2_算定表⑤(新・新制度)'!$B$8:$S$65536,14,FALSE))</f>
      </c>
      <c r="N25" s="706">
        <f>IF($B25="","",VLOOKUP($B25,'2-2_算定表⑤(新・新制度)'!$B$8:$S$65536,16,FALSE))</f>
      </c>
      <c r="O25" s="421">
        <f>IF($B25="","",VLOOKUP($B25,'2-2_算定表⑤(新・新制度)'!$B$8:$S$65536,16,FALSE))</f>
      </c>
      <c r="P25" s="421">
        <f>IF($B25="","",VLOOKUP($B25,'2-2_算定表⑤(新・新制度)'!$B$8:$S$65536,16,FALSE))</f>
      </c>
      <c r="Q25" s="421">
        <f>IF($B25="","",VLOOKUP($B25,'2-2_算定表⑤(新・新制度)'!$B$8:$S$65536,16,FALSE))</f>
      </c>
      <c r="R25" s="421">
        <f>IF($B25="","",VLOOKUP($B25,'2-2_算定表⑤(新・新制度)'!$B$8:$S$65536,16,FALSE))</f>
      </c>
      <c r="S25" s="421">
        <f>IF($B25="","",VLOOKUP($B25,'2-2_算定表⑤(新・新制度)'!$B$8:$S$65536,16,FALSE))</f>
      </c>
      <c r="T25" s="421">
        <f>IF($B25="","",VLOOKUP($B25,'2-2_算定表⑤(新・新制度)'!$B$8:$S$65536,16,FALSE))</f>
      </c>
      <c r="U25" s="421">
        <f>IF($B25="","",VLOOKUP($B25,'2-2_算定表⑤(新・新制度)'!$B$8:$S$65536,16,FALSE))</f>
      </c>
      <c r="V25" s="673">
        <f>IF($B25="","",VLOOKUP($B25,'2-2_算定表⑤(新・新制度)'!$B$8:$S$65536,16,FALSE))</f>
      </c>
      <c r="W25" s="419">
        <f t="shared" si="1"/>
      </c>
      <c r="X25" s="423">
        <f t="shared" si="2"/>
      </c>
      <c r="Y25" s="422">
        <f t="shared" si="3"/>
      </c>
      <c r="Z25" s="424">
        <f t="shared" si="4"/>
      </c>
      <c r="AA25" s="419">
        <f t="shared" si="5"/>
      </c>
      <c r="AB25" s="424">
        <f t="shared" si="6"/>
      </c>
      <c r="AC25" s="418">
        <f t="shared" si="7"/>
      </c>
      <c r="AD25" s="419">
        <f t="shared" si="8"/>
      </c>
      <c r="AE25" s="404">
        <f>IF(B25="","",ROUNDUP((G25/VLOOKUP($B25,'2-2_算定表⑤(新・新制度)'!$B$8:$AH$44,9,FALSE)*W25)+(I25/VLOOKUP($B25,'2-2_算定表⑤(新・新制度)'!$B$8:$AH$44,9,FALSE)*X25)+(G25/VLOOKUP($B25,'2-2_算定表⑤(新・新制度)'!$B$8:$AH$44,9,FALSE)*Y25)+(I25/VLOOKUP($B25,'2-2_算定表⑤(新・新制度)'!$B$8:$AH$44,9,FALSE)*Z25)+(G25/VLOOKUP($B25,'2-2_算定表⑤(新・新制度)'!$B$8:$AH$44,9,FALSE)*AA25)+(I25/VLOOKUP($B25,'2-2_算定表⑤(新・新制度)'!$B$8:$AH$44,9,FALSE)*AB25),0))</f>
      </c>
      <c r="AF25" s="403">
        <f t="shared" si="10"/>
      </c>
      <c r="AG25" s="1016">
        <f>IF(B25="","",VLOOKUP($B25,'2-2_算定表⑤(新・新制度)'!$B$8:$AF$65536,31,FALSE))</f>
      </c>
      <c r="AH25" s="1017" t="s">
        <v>182</v>
      </c>
      <c r="AI25" s="1018" t="s">
        <v>182</v>
      </c>
      <c r="AK25" s="61">
        <f t="shared" si="11"/>
      </c>
      <c r="AL25" s="61">
        <f t="shared" si="9"/>
      </c>
    </row>
    <row r="26" spans="1:38" s="53" customFormat="1" ht="18.75" customHeight="1">
      <c r="A26" s="27">
        <f t="shared" si="0"/>
      </c>
      <c r="B26" s="577"/>
      <c r="C26" s="716">
        <f>IF(B26="","",VLOOKUP($B26,'2-2_算定表⑤(新・新制度)'!$B$8:$S$65536,2,FALSE))</f>
      </c>
      <c r="D26" s="713">
        <f>IF(B26="","",VLOOKUP($B26,'2-2_算定表⑤(新・新制度)'!$B$8:$S$65536,3,FALSE))</f>
      </c>
      <c r="E26" s="565">
        <f>IF(B26="","",VLOOKUP($B26,'2-2_算定表⑤(新・新制度)'!$B$8:$S$65536,6,FALSE))</f>
      </c>
      <c r="F26" s="709">
        <f>IF(B26="","",VLOOKUP($B26,'2-2_算定表⑤(新・新制度)'!$B$8:$S$65536,14,FALSE))</f>
      </c>
      <c r="G26" s="399">
        <f>IF(B26="","",VLOOKUP($B26,'2-2_算定表⑤(新・新制度)'!$B$8:$S$65536,15,FALSE))</f>
      </c>
      <c r="H26" s="709">
        <f>IF(B26="","",VLOOKUP($B26,'2-2_算定表⑤(新・新制度)'!$B$8:$S$65536,16,FALSE))</f>
      </c>
      <c r="I26" s="399">
        <f>IF(B26="","",VLOOKUP($B26,'2-2_算定表⑤(新・新制度)'!$B$8:$S$65536,17,FALSE))</f>
      </c>
      <c r="J26" s="700">
        <f>IF(B26="","",VLOOKUP($B26,'2-2_算定表⑤(新・新制度)'!$B$8:$S$65536,18,FALSE))</f>
      </c>
      <c r="K26" s="706">
        <f>IF($B26="","",VLOOKUP($B26,'2-2_算定表⑤(新・新制度)'!$B$8:$S$65536,14,FALSE))</f>
      </c>
      <c r="L26" s="421">
        <f>IF($B26="","",VLOOKUP($B26,'2-2_算定表⑤(新・新制度)'!$B$8:$S$65536,14,FALSE))</f>
      </c>
      <c r="M26" s="673">
        <f>IF($B26="","",VLOOKUP($B26,'2-2_算定表⑤(新・新制度)'!$B$8:$S$65536,14,FALSE))</f>
      </c>
      <c r="N26" s="706">
        <f>IF($B26="","",VLOOKUP($B26,'2-2_算定表⑤(新・新制度)'!$B$8:$S$65536,16,FALSE))</f>
      </c>
      <c r="O26" s="421">
        <f>IF($B26="","",VLOOKUP($B26,'2-2_算定表⑤(新・新制度)'!$B$8:$S$65536,16,FALSE))</f>
      </c>
      <c r="P26" s="421">
        <f>IF($B26="","",VLOOKUP($B26,'2-2_算定表⑤(新・新制度)'!$B$8:$S$65536,16,FALSE))</f>
      </c>
      <c r="Q26" s="421">
        <f>IF($B26="","",VLOOKUP($B26,'2-2_算定表⑤(新・新制度)'!$B$8:$S$65536,16,FALSE))</f>
      </c>
      <c r="R26" s="421">
        <f>IF($B26="","",VLOOKUP($B26,'2-2_算定表⑤(新・新制度)'!$B$8:$S$65536,16,FALSE))</f>
      </c>
      <c r="S26" s="421">
        <f>IF($B26="","",VLOOKUP($B26,'2-2_算定表⑤(新・新制度)'!$B$8:$S$65536,16,FALSE))</f>
      </c>
      <c r="T26" s="421">
        <f>IF($B26="","",VLOOKUP($B26,'2-2_算定表⑤(新・新制度)'!$B$8:$S$65536,16,FALSE))</f>
      </c>
      <c r="U26" s="421">
        <f>IF($B26="","",VLOOKUP($B26,'2-2_算定表⑤(新・新制度)'!$B$8:$S$65536,16,FALSE))</f>
      </c>
      <c r="V26" s="673">
        <f>IF($B26="","",VLOOKUP($B26,'2-2_算定表⑤(新・新制度)'!$B$8:$S$65536,16,FALSE))</f>
      </c>
      <c r="W26" s="419">
        <f t="shared" si="1"/>
      </c>
      <c r="X26" s="423">
        <f t="shared" si="2"/>
      </c>
      <c r="Y26" s="422">
        <f t="shared" si="3"/>
      </c>
      <c r="Z26" s="424">
        <f t="shared" si="4"/>
      </c>
      <c r="AA26" s="419">
        <f t="shared" si="5"/>
      </c>
      <c r="AB26" s="424">
        <f t="shared" si="6"/>
      </c>
      <c r="AC26" s="418">
        <f t="shared" si="7"/>
      </c>
      <c r="AD26" s="419">
        <f t="shared" si="8"/>
      </c>
      <c r="AE26" s="404">
        <f>IF(B26="","",ROUNDUP((G26/VLOOKUP($B26,'2-2_算定表⑤(新・新制度)'!$B$8:$AH$44,9,FALSE)*W26)+(I26/VLOOKUP($B26,'2-2_算定表⑤(新・新制度)'!$B$8:$AH$44,9,FALSE)*X26)+(G26/VLOOKUP($B26,'2-2_算定表⑤(新・新制度)'!$B$8:$AH$44,9,FALSE)*Y26)+(I26/VLOOKUP($B26,'2-2_算定表⑤(新・新制度)'!$B$8:$AH$44,9,FALSE)*Z26)+(G26/VLOOKUP($B26,'2-2_算定表⑤(新・新制度)'!$B$8:$AH$44,9,FALSE)*AA26)+(I26/VLOOKUP($B26,'2-2_算定表⑤(新・新制度)'!$B$8:$AH$44,9,FALSE)*AB26),0))</f>
      </c>
      <c r="AF26" s="403">
        <f t="shared" si="10"/>
      </c>
      <c r="AG26" s="1016">
        <f>IF(B26="","",VLOOKUP($B26,'2-2_算定表⑤(新・新制度)'!$B$8:$AF$65536,31,FALSE))</f>
      </c>
      <c r="AH26" s="1017" t="s">
        <v>182</v>
      </c>
      <c r="AI26" s="1018" t="s">
        <v>182</v>
      </c>
      <c r="AK26" s="61">
        <f t="shared" si="11"/>
      </c>
      <c r="AL26" s="61">
        <f t="shared" si="9"/>
      </c>
    </row>
    <row r="27" spans="1:38" s="53" customFormat="1" ht="18.75" customHeight="1">
      <c r="A27" s="27">
        <f t="shared" si="0"/>
      </c>
      <c r="B27" s="577"/>
      <c r="C27" s="716">
        <f>IF(B27="","",VLOOKUP($B27,'2-2_算定表⑤(新・新制度)'!$B$8:$S$65536,2,FALSE))</f>
      </c>
      <c r="D27" s="713">
        <f>IF(B27="","",VLOOKUP($B27,'2-2_算定表⑤(新・新制度)'!$B$8:$S$65536,3,FALSE))</f>
      </c>
      <c r="E27" s="565">
        <f>IF(B27="","",VLOOKUP($B27,'2-2_算定表⑤(新・新制度)'!$B$8:$S$65536,6,FALSE))</f>
      </c>
      <c r="F27" s="709">
        <f>IF(B27="","",VLOOKUP($B27,'2-2_算定表⑤(新・新制度)'!$B$8:$S$65536,14,FALSE))</f>
      </c>
      <c r="G27" s="399">
        <f>IF(B27="","",VLOOKUP($B27,'2-2_算定表⑤(新・新制度)'!$B$8:$S$65536,15,FALSE))</f>
      </c>
      <c r="H27" s="709">
        <f>IF(B27="","",VLOOKUP($B27,'2-2_算定表⑤(新・新制度)'!$B$8:$S$65536,16,FALSE))</f>
      </c>
      <c r="I27" s="399">
        <f>IF(B27="","",VLOOKUP($B27,'2-2_算定表⑤(新・新制度)'!$B$8:$S$65536,17,FALSE))</f>
      </c>
      <c r="J27" s="700">
        <f>IF(B27="","",VLOOKUP($B27,'2-2_算定表⑤(新・新制度)'!$B$8:$S$65536,18,FALSE))</f>
      </c>
      <c r="K27" s="706">
        <f>IF($B27="","",VLOOKUP($B27,'2-2_算定表⑤(新・新制度)'!$B$8:$S$65536,14,FALSE))</f>
      </c>
      <c r="L27" s="421">
        <f>IF($B27="","",VLOOKUP($B27,'2-2_算定表⑤(新・新制度)'!$B$8:$S$65536,14,FALSE))</f>
      </c>
      <c r="M27" s="673">
        <f>IF($B27="","",VLOOKUP($B27,'2-2_算定表⑤(新・新制度)'!$B$8:$S$65536,14,FALSE))</f>
      </c>
      <c r="N27" s="706">
        <f>IF($B27="","",VLOOKUP($B27,'2-2_算定表⑤(新・新制度)'!$B$8:$S$65536,16,FALSE))</f>
      </c>
      <c r="O27" s="421">
        <f>IF($B27="","",VLOOKUP($B27,'2-2_算定表⑤(新・新制度)'!$B$8:$S$65536,16,FALSE))</f>
      </c>
      <c r="P27" s="421">
        <f>IF($B27="","",VLOOKUP($B27,'2-2_算定表⑤(新・新制度)'!$B$8:$S$65536,16,FALSE))</f>
      </c>
      <c r="Q27" s="421">
        <f>IF($B27="","",VLOOKUP($B27,'2-2_算定表⑤(新・新制度)'!$B$8:$S$65536,16,FALSE))</f>
      </c>
      <c r="R27" s="421">
        <f>IF($B27="","",VLOOKUP($B27,'2-2_算定表⑤(新・新制度)'!$B$8:$S$65536,16,FALSE))</f>
      </c>
      <c r="S27" s="421">
        <f>IF($B27="","",VLOOKUP($B27,'2-2_算定表⑤(新・新制度)'!$B$8:$S$65536,16,FALSE))</f>
      </c>
      <c r="T27" s="421">
        <f>IF($B27="","",VLOOKUP($B27,'2-2_算定表⑤(新・新制度)'!$B$8:$S$65536,16,FALSE))</f>
      </c>
      <c r="U27" s="421">
        <f>IF($B27="","",VLOOKUP($B27,'2-2_算定表⑤(新・新制度)'!$B$8:$S$65536,16,FALSE))</f>
      </c>
      <c r="V27" s="673">
        <f>IF($B27="","",VLOOKUP($B27,'2-2_算定表⑤(新・新制度)'!$B$8:$S$65536,16,FALSE))</f>
      </c>
      <c r="W27" s="419">
        <f t="shared" si="1"/>
      </c>
      <c r="X27" s="423">
        <f t="shared" si="2"/>
      </c>
      <c r="Y27" s="422">
        <f t="shared" si="3"/>
      </c>
      <c r="Z27" s="424">
        <f t="shared" si="4"/>
      </c>
      <c r="AA27" s="419">
        <f t="shared" si="5"/>
      </c>
      <c r="AB27" s="424">
        <f t="shared" si="6"/>
      </c>
      <c r="AC27" s="418">
        <f t="shared" si="7"/>
      </c>
      <c r="AD27" s="419">
        <f t="shared" si="8"/>
      </c>
      <c r="AE27" s="404">
        <f>IF(B27="","",ROUNDUP((G27/VLOOKUP($B27,'2-2_算定表⑤(新・新制度)'!$B$8:$AH$44,9,FALSE)*W27)+(I27/VLOOKUP($B27,'2-2_算定表⑤(新・新制度)'!$B$8:$AH$44,9,FALSE)*X27)+(G27/VLOOKUP($B27,'2-2_算定表⑤(新・新制度)'!$B$8:$AH$44,9,FALSE)*Y27)+(I27/VLOOKUP($B27,'2-2_算定表⑤(新・新制度)'!$B$8:$AH$44,9,FALSE)*Z27)+(G27/VLOOKUP($B27,'2-2_算定表⑤(新・新制度)'!$B$8:$AH$44,9,FALSE)*AA27)+(I27/VLOOKUP($B27,'2-2_算定表⑤(新・新制度)'!$B$8:$AH$44,9,FALSE)*AB27),0))</f>
      </c>
      <c r="AF27" s="403">
        <f t="shared" si="10"/>
      </c>
      <c r="AG27" s="1016">
        <f>IF(B27="","",VLOOKUP($B27,'2-2_算定表⑤(新・新制度)'!$B$8:$AF$65536,31,FALSE))</f>
      </c>
      <c r="AH27" s="1017" t="s">
        <v>182</v>
      </c>
      <c r="AI27" s="1018" t="s">
        <v>182</v>
      </c>
      <c r="AK27" s="61">
        <f t="shared" si="11"/>
      </c>
      <c r="AL27" s="61">
        <f t="shared" si="9"/>
      </c>
    </row>
    <row r="28" spans="1:38" s="53" customFormat="1" ht="18.75" customHeight="1">
      <c r="A28" s="27">
        <f t="shared" si="0"/>
      </c>
      <c r="B28" s="577"/>
      <c r="C28" s="716">
        <f>IF(B28="","",VLOOKUP($B28,'2-2_算定表⑤(新・新制度)'!$B$8:$S$65536,2,FALSE))</f>
      </c>
      <c r="D28" s="713">
        <f>IF(B28="","",VLOOKUP($B28,'2-2_算定表⑤(新・新制度)'!$B$8:$S$65536,3,FALSE))</f>
      </c>
      <c r="E28" s="565">
        <f>IF(B28="","",VLOOKUP($B28,'2-2_算定表⑤(新・新制度)'!$B$8:$S$65536,6,FALSE))</f>
      </c>
      <c r="F28" s="709">
        <f>IF(B28="","",VLOOKUP($B28,'2-2_算定表⑤(新・新制度)'!$B$8:$S$65536,14,FALSE))</f>
      </c>
      <c r="G28" s="399">
        <f>IF(B28="","",VLOOKUP($B28,'2-2_算定表⑤(新・新制度)'!$B$8:$S$65536,15,FALSE))</f>
      </c>
      <c r="H28" s="709">
        <f>IF(B28="","",VLOOKUP($B28,'2-2_算定表⑤(新・新制度)'!$B$8:$S$65536,16,FALSE))</f>
      </c>
      <c r="I28" s="399">
        <f>IF(B28="","",VLOOKUP($B28,'2-2_算定表⑤(新・新制度)'!$B$8:$S$65536,17,FALSE))</f>
      </c>
      <c r="J28" s="700">
        <f>IF(B28="","",VLOOKUP($B28,'2-2_算定表⑤(新・新制度)'!$B$8:$S$65536,18,FALSE))</f>
      </c>
      <c r="K28" s="706">
        <f>IF($B28="","",VLOOKUP($B28,'2-2_算定表⑤(新・新制度)'!$B$8:$S$65536,14,FALSE))</f>
      </c>
      <c r="L28" s="421">
        <f>IF($B28="","",VLOOKUP($B28,'2-2_算定表⑤(新・新制度)'!$B$8:$S$65536,14,FALSE))</f>
      </c>
      <c r="M28" s="673">
        <f>IF($B28="","",VLOOKUP($B28,'2-2_算定表⑤(新・新制度)'!$B$8:$S$65536,14,FALSE))</f>
      </c>
      <c r="N28" s="706">
        <f>IF($B28="","",VLOOKUP($B28,'2-2_算定表⑤(新・新制度)'!$B$8:$S$65536,16,FALSE))</f>
      </c>
      <c r="O28" s="421">
        <f>IF($B28="","",VLOOKUP($B28,'2-2_算定表⑤(新・新制度)'!$B$8:$S$65536,16,FALSE))</f>
      </c>
      <c r="P28" s="421">
        <f>IF($B28="","",VLOOKUP($B28,'2-2_算定表⑤(新・新制度)'!$B$8:$S$65536,16,FALSE))</f>
      </c>
      <c r="Q28" s="421">
        <f>IF($B28="","",VLOOKUP($B28,'2-2_算定表⑤(新・新制度)'!$B$8:$S$65536,16,FALSE))</f>
      </c>
      <c r="R28" s="421">
        <f>IF($B28="","",VLOOKUP($B28,'2-2_算定表⑤(新・新制度)'!$B$8:$S$65536,16,FALSE))</f>
      </c>
      <c r="S28" s="421">
        <f>IF($B28="","",VLOOKUP($B28,'2-2_算定表⑤(新・新制度)'!$B$8:$S$65536,16,FALSE))</f>
      </c>
      <c r="T28" s="421">
        <f>IF($B28="","",VLOOKUP($B28,'2-2_算定表⑤(新・新制度)'!$B$8:$S$65536,16,FALSE))</f>
      </c>
      <c r="U28" s="421">
        <f>IF($B28="","",VLOOKUP($B28,'2-2_算定表⑤(新・新制度)'!$B$8:$S$65536,16,FALSE))</f>
      </c>
      <c r="V28" s="673">
        <f>IF($B28="","",VLOOKUP($B28,'2-2_算定表⑤(新・新制度)'!$B$8:$S$65536,16,FALSE))</f>
      </c>
      <c r="W28" s="419">
        <f t="shared" si="1"/>
      </c>
      <c r="X28" s="423">
        <f t="shared" si="2"/>
      </c>
      <c r="Y28" s="422">
        <f t="shared" si="3"/>
      </c>
      <c r="Z28" s="424">
        <f t="shared" si="4"/>
      </c>
      <c r="AA28" s="419">
        <f t="shared" si="5"/>
      </c>
      <c r="AB28" s="424">
        <f t="shared" si="6"/>
      </c>
      <c r="AC28" s="418">
        <f t="shared" si="7"/>
      </c>
      <c r="AD28" s="419">
        <f t="shared" si="8"/>
      </c>
      <c r="AE28" s="404">
        <f>IF(B28="","",ROUNDUP((G28/VLOOKUP($B28,'2-2_算定表⑤(新・新制度)'!$B$8:$AH$44,9,FALSE)*W28)+(I28/VLOOKUP($B28,'2-2_算定表⑤(新・新制度)'!$B$8:$AH$44,9,FALSE)*X28)+(G28/VLOOKUP($B28,'2-2_算定表⑤(新・新制度)'!$B$8:$AH$44,9,FALSE)*Y28)+(I28/VLOOKUP($B28,'2-2_算定表⑤(新・新制度)'!$B$8:$AH$44,9,FALSE)*Z28)+(G28/VLOOKUP($B28,'2-2_算定表⑤(新・新制度)'!$B$8:$AH$44,9,FALSE)*AA28)+(I28/VLOOKUP($B28,'2-2_算定表⑤(新・新制度)'!$B$8:$AH$44,9,FALSE)*AB28),0))</f>
      </c>
      <c r="AF28" s="403">
        <f t="shared" si="10"/>
      </c>
      <c r="AG28" s="1016">
        <f>IF(B28="","",VLOOKUP($B28,'2-2_算定表⑤(新・新制度)'!$B$8:$AF$65536,31,FALSE))</f>
      </c>
      <c r="AH28" s="1017" t="s">
        <v>182</v>
      </c>
      <c r="AI28" s="1018" t="s">
        <v>182</v>
      </c>
      <c r="AK28" s="61">
        <f t="shared" si="11"/>
      </c>
      <c r="AL28" s="61">
        <f t="shared" si="9"/>
      </c>
    </row>
    <row r="29" spans="1:38" s="53" customFormat="1" ht="18.75" customHeight="1">
      <c r="A29" s="27">
        <f t="shared" si="0"/>
      </c>
      <c r="B29" s="577"/>
      <c r="C29" s="716">
        <f>IF(B29="","",VLOOKUP($B29,'2-2_算定表⑤(新・新制度)'!$B$8:$S$65536,2,FALSE))</f>
      </c>
      <c r="D29" s="713">
        <f>IF(B29="","",VLOOKUP($B29,'2-2_算定表⑤(新・新制度)'!$B$8:$S$65536,3,FALSE))</f>
      </c>
      <c r="E29" s="565">
        <f>IF(B29="","",VLOOKUP($B29,'2-2_算定表⑤(新・新制度)'!$B$8:$S$65536,6,FALSE))</f>
      </c>
      <c r="F29" s="709">
        <f>IF(B29="","",VLOOKUP($B29,'2-2_算定表⑤(新・新制度)'!$B$8:$S$65536,14,FALSE))</f>
      </c>
      <c r="G29" s="399">
        <f>IF(B29="","",VLOOKUP($B29,'2-2_算定表⑤(新・新制度)'!$B$8:$S$65536,15,FALSE))</f>
      </c>
      <c r="H29" s="709">
        <f>IF(B29="","",VLOOKUP($B29,'2-2_算定表⑤(新・新制度)'!$B$8:$S$65536,16,FALSE))</f>
      </c>
      <c r="I29" s="399">
        <f>IF(B29="","",VLOOKUP($B29,'2-2_算定表⑤(新・新制度)'!$B$8:$S$65536,17,FALSE))</f>
      </c>
      <c r="J29" s="700">
        <f>IF(B29="","",VLOOKUP($B29,'2-2_算定表⑤(新・新制度)'!$B$8:$S$65536,18,FALSE))</f>
      </c>
      <c r="K29" s="706">
        <f>IF($B29="","",VLOOKUP($B29,'2-2_算定表⑤(新・新制度)'!$B$8:$S$65536,14,FALSE))</f>
      </c>
      <c r="L29" s="421">
        <f>IF($B29="","",VLOOKUP($B29,'2-2_算定表⑤(新・新制度)'!$B$8:$S$65536,14,FALSE))</f>
      </c>
      <c r="M29" s="673">
        <f>IF($B29="","",VLOOKUP($B29,'2-2_算定表⑤(新・新制度)'!$B$8:$S$65536,14,FALSE))</f>
      </c>
      <c r="N29" s="706">
        <f>IF($B29="","",VLOOKUP($B29,'2-2_算定表⑤(新・新制度)'!$B$8:$S$65536,16,FALSE))</f>
      </c>
      <c r="O29" s="421">
        <f>IF($B29="","",VLOOKUP($B29,'2-2_算定表⑤(新・新制度)'!$B$8:$S$65536,16,FALSE))</f>
      </c>
      <c r="P29" s="421">
        <f>IF($B29="","",VLOOKUP($B29,'2-2_算定表⑤(新・新制度)'!$B$8:$S$65536,16,FALSE))</f>
      </c>
      <c r="Q29" s="421">
        <f>IF($B29="","",VLOOKUP($B29,'2-2_算定表⑤(新・新制度)'!$B$8:$S$65536,16,FALSE))</f>
      </c>
      <c r="R29" s="421">
        <f>IF($B29="","",VLOOKUP($B29,'2-2_算定表⑤(新・新制度)'!$B$8:$S$65536,16,FALSE))</f>
      </c>
      <c r="S29" s="421">
        <f>IF($B29="","",VLOOKUP($B29,'2-2_算定表⑤(新・新制度)'!$B$8:$S$65536,16,FALSE))</f>
      </c>
      <c r="T29" s="421">
        <f>IF($B29="","",VLOOKUP($B29,'2-2_算定表⑤(新・新制度)'!$B$8:$S$65536,16,FALSE))</f>
      </c>
      <c r="U29" s="421">
        <f>IF($B29="","",VLOOKUP($B29,'2-2_算定表⑤(新・新制度)'!$B$8:$S$65536,16,FALSE))</f>
      </c>
      <c r="V29" s="673">
        <f>IF($B29="","",VLOOKUP($B29,'2-2_算定表⑤(新・新制度)'!$B$8:$S$65536,16,FALSE))</f>
      </c>
      <c r="W29" s="419">
        <f t="shared" si="1"/>
      </c>
      <c r="X29" s="423">
        <f t="shared" si="2"/>
      </c>
      <c r="Y29" s="422">
        <f t="shared" si="3"/>
      </c>
      <c r="Z29" s="424">
        <f t="shared" si="4"/>
      </c>
      <c r="AA29" s="419">
        <f t="shared" si="5"/>
      </c>
      <c r="AB29" s="424">
        <f t="shared" si="6"/>
      </c>
      <c r="AC29" s="418">
        <f t="shared" si="7"/>
      </c>
      <c r="AD29" s="419">
        <f t="shared" si="8"/>
      </c>
      <c r="AE29" s="404">
        <f>IF(B29="","",ROUNDUP((G29/VLOOKUP($B29,'2-2_算定表⑤(新・新制度)'!$B$8:$AH$44,9,FALSE)*W29)+(I29/VLOOKUP($B29,'2-2_算定表⑤(新・新制度)'!$B$8:$AH$44,9,FALSE)*X29)+(G29/VLOOKUP($B29,'2-2_算定表⑤(新・新制度)'!$B$8:$AH$44,9,FALSE)*Y29)+(I29/VLOOKUP($B29,'2-2_算定表⑤(新・新制度)'!$B$8:$AH$44,9,FALSE)*Z29)+(G29/VLOOKUP($B29,'2-2_算定表⑤(新・新制度)'!$B$8:$AH$44,9,FALSE)*AA29)+(I29/VLOOKUP($B29,'2-2_算定表⑤(新・新制度)'!$B$8:$AH$44,9,FALSE)*AB29),0))</f>
      </c>
      <c r="AF29" s="403">
        <f t="shared" si="10"/>
      </c>
      <c r="AG29" s="1016">
        <f>IF(B29="","",VLOOKUP($B29,'2-2_算定表⑤(新・新制度)'!$B$8:$AF$65536,31,FALSE))</f>
      </c>
      <c r="AH29" s="1017" t="s">
        <v>182</v>
      </c>
      <c r="AI29" s="1018" t="s">
        <v>182</v>
      </c>
      <c r="AK29" s="61">
        <f t="shared" si="11"/>
      </c>
      <c r="AL29" s="61">
        <f t="shared" si="9"/>
      </c>
    </row>
    <row r="30" spans="1:38" s="53" customFormat="1" ht="18.75" customHeight="1">
      <c r="A30" s="27">
        <f t="shared" si="0"/>
      </c>
      <c r="B30" s="577"/>
      <c r="C30" s="716">
        <f>IF(B30="","",VLOOKUP($B30,'2-2_算定表⑤(新・新制度)'!$B$8:$S$65536,2,FALSE))</f>
      </c>
      <c r="D30" s="713">
        <f>IF(B30="","",VLOOKUP($B30,'2-2_算定表⑤(新・新制度)'!$B$8:$S$65536,3,FALSE))</f>
      </c>
      <c r="E30" s="565">
        <f>IF(B30="","",VLOOKUP($B30,'2-2_算定表⑤(新・新制度)'!$B$8:$S$65536,6,FALSE))</f>
      </c>
      <c r="F30" s="709">
        <f>IF(B30="","",VLOOKUP($B30,'2-2_算定表⑤(新・新制度)'!$B$8:$S$65536,14,FALSE))</f>
      </c>
      <c r="G30" s="399">
        <f>IF(B30="","",VLOOKUP($B30,'2-2_算定表⑤(新・新制度)'!$B$8:$S$65536,15,FALSE))</f>
      </c>
      <c r="H30" s="709">
        <f>IF(B30="","",VLOOKUP($B30,'2-2_算定表⑤(新・新制度)'!$B$8:$S$65536,16,FALSE))</f>
      </c>
      <c r="I30" s="399">
        <f>IF(B30="","",VLOOKUP($B30,'2-2_算定表⑤(新・新制度)'!$B$8:$S$65536,17,FALSE))</f>
      </c>
      <c r="J30" s="700">
        <f>IF(B30="","",VLOOKUP($B30,'2-2_算定表⑤(新・新制度)'!$B$8:$S$65536,18,FALSE))</f>
      </c>
      <c r="K30" s="706">
        <f>IF($B30="","",VLOOKUP($B30,'2-2_算定表⑤(新・新制度)'!$B$8:$S$65536,14,FALSE))</f>
      </c>
      <c r="L30" s="421">
        <f>IF($B30="","",VLOOKUP($B30,'2-2_算定表⑤(新・新制度)'!$B$8:$S$65536,14,FALSE))</f>
      </c>
      <c r="M30" s="673">
        <f>IF($B30="","",VLOOKUP($B30,'2-2_算定表⑤(新・新制度)'!$B$8:$S$65536,14,FALSE))</f>
      </c>
      <c r="N30" s="706">
        <f>IF($B30="","",VLOOKUP($B30,'2-2_算定表⑤(新・新制度)'!$B$8:$S$65536,16,FALSE))</f>
      </c>
      <c r="O30" s="421">
        <f>IF($B30="","",VLOOKUP($B30,'2-2_算定表⑤(新・新制度)'!$B$8:$S$65536,16,FALSE))</f>
      </c>
      <c r="P30" s="421">
        <f>IF($B30="","",VLOOKUP($B30,'2-2_算定表⑤(新・新制度)'!$B$8:$S$65536,16,FALSE))</f>
      </c>
      <c r="Q30" s="421">
        <f>IF($B30="","",VLOOKUP($B30,'2-2_算定表⑤(新・新制度)'!$B$8:$S$65536,16,FALSE))</f>
      </c>
      <c r="R30" s="421">
        <f>IF($B30="","",VLOOKUP($B30,'2-2_算定表⑤(新・新制度)'!$B$8:$S$65536,16,FALSE))</f>
      </c>
      <c r="S30" s="421">
        <f>IF($B30="","",VLOOKUP($B30,'2-2_算定表⑤(新・新制度)'!$B$8:$S$65536,16,FALSE))</f>
      </c>
      <c r="T30" s="421">
        <f>IF($B30="","",VLOOKUP($B30,'2-2_算定表⑤(新・新制度)'!$B$8:$S$65536,16,FALSE))</f>
      </c>
      <c r="U30" s="421">
        <f>IF($B30="","",VLOOKUP($B30,'2-2_算定表⑤(新・新制度)'!$B$8:$S$65536,16,FALSE))</f>
      </c>
      <c r="V30" s="673">
        <f>IF($B30="","",VLOOKUP($B30,'2-2_算定表⑤(新・新制度)'!$B$8:$S$65536,16,FALSE))</f>
      </c>
      <c r="W30" s="419">
        <f t="shared" si="1"/>
      </c>
      <c r="X30" s="423">
        <f t="shared" si="2"/>
      </c>
      <c r="Y30" s="422">
        <f t="shared" si="3"/>
      </c>
      <c r="Z30" s="424">
        <f t="shared" si="4"/>
      </c>
      <c r="AA30" s="419">
        <f t="shared" si="5"/>
      </c>
      <c r="AB30" s="424">
        <f t="shared" si="6"/>
      </c>
      <c r="AC30" s="418">
        <f t="shared" si="7"/>
      </c>
      <c r="AD30" s="419">
        <f t="shared" si="8"/>
      </c>
      <c r="AE30" s="404">
        <f>IF(B30="","",ROUNDUP((G30/VLOOKUP($B30,'2-2_算定表⑤(新・新制度)'!$B$8:$AH$44,9,FALSE)*W30)+(I30/VLOOKUP($B30,'2-2_算定表⑤(新・新制度)'!$B$8:$AH$44,9,FALSE)*X30)+(G30/VLOOKUP($B30,'2-2_算定表⑤(新・新制度)'!$B$8:$AH$44,9,FALSE)*Y30)+(I30/VLOOKUP($B30,'2-2_算定表⑤(新・新制度)'!$B$8:$AH$44,9,FALSE)*Z30)+(G30/VLOOKUP($B30,'2-2_算定表⑤(新・新制度)'!$B$8:$AH$44,9,FALSE)*AA30)+(I30/VLOOKUP($B30,'2-2_算定表⑤(新・新制度)'!$B$8:$AH$44,9,FALSE)*AB30),0))</f>
      </c>
      <c r="AF30" s="403">
        <f t="shared" si="10"/>
      </c>
      <c r="AG30" s="1016">
        <f>IF(B30="","",VLOOKUP($B30,'2-2_算定表⑤(新・新制度)'!$B$8:$AF$65536,31,FALSE))</f>
      </c>
      <c r="AH30" s="1017" t="s">
        <v>182</v>
      </c>
      <c r="AI30" s="1018" t="s">
        <v>182</v>
      </c>
      <c r="AK30" s="61">
        <f>IF(A30&gt;0,ASC(C30&amp;H30),"")</f>
      </c>
      <c r="AL30" s="61">
        <f t="shared" si="9"/>
      </c>
    </row>
    <row r="31" spans="1:38" s="53" customFormat="1" ht="18.75" customHeight="1">
      <c r="A31" s="27">
        <f t="shared" si="0"/>
      </c>
      <c r="B31" s="577"/>
      <c r="C31" s="716">
        <f>IF(B31="","",VLOOKUP($B31,'2-2_算定表⑤(新・新制度)'!$B$8:$S$65536,2,FALSE))</f>
      </c>
      <c r="D31" s="713">
        <f>IF(B31="","",VLOOKUP($B31,'2-2_算定表⑤(新・新制度)'!$B$8:$S$65536,3,FALSE))</f>
      </c>
      <c r="E31" s="565">
        <f>IF(B31="","",VLOOKUP($B31,'2-2_算定表⑤(新・新制度)'!$B$8:$S$65536,6,FALSE))</f>
      </c>
      <c r="F31" s="709">
        <f>IF(B31="","",VLOOKUP($B31,'2-2_算定表⑤(新・新制度)'!$B$8:$S$65536,14,FALSE))</f>
      </c>
      <c r="G31" s="399">
        <f>IF(B31="","",VLOOKUP($B31,'2-2_算定表⑤(新・新制度)'!$B$8:$S$65536,15,FALSE))</f>
      </c>
      <c r="H31" s="709">
        <f>IF(B31="","",VLOOKUP($B31,'2-2_算定表⑤(新・新制度)'!$B$8:$S$65536,16,FALSE))</f>
      </c>
      <c r="I31" s="399">
        <f>IF(B31="","",VLOOKUP($B31,'2-2_算定表⑤(新・新制度)'!$B$8:$S$65536,17,FALSE))</f>
      </c>
      <c r="J31" s="700">
        <f>IF(B31="","",VLOOKUP($B31,'2-2_算定表⑤(新・新制度)'!$B$8:$S$65536,18,FALSE))</f>
      </c>
      <c r="K31" s="706">
        <f>IF($B31="","",VLOOKUP($B31,'2-2_算定表⑤(新・新制度)'!$B$8:$S$65536,14,FALSE))</f>
      </c>
      <c r="L31" s="421">
        <f>IF($B31="","",VLOOKUP($B31,'2-2_算定表⑤(新・新制度)'!$B$8:$S$65536,14,FALSE))</f>
      </c>
      <c r="M31" s="673">
        <f>IF($B31="","",VLOOKUP($B31,'2-2_算定表⑤(新・新制度)'!$B$8:$S$65536,14,FALSE))</f>
      </c>
      <c r="N31" s="706">
        <f>IF($B31="","",VLOOKUP($B31,'2-2_算定表⑤(新・新制度)'!$B$8:$S$65536,16,FALSE))</f>
      </c>
      <c r="O31" s="421">
        <f>IF($B31="","",VLOOKUP($B31,'2-2_算定表⑤(新・新制度)'!$B$8:$S$65536,16,FALSE))</f>
      </c>
      <c r="P31" s="421">
        <f>IF($B31="","",VLOOKUP($B31,'2-2_算定表⑤(新・新制度)'!$B$8:$S$65536,16,FALSE))</f>
      </c>
      <c r="Q31" s="421">
        <f>IF($B31="","",VLOOKUP($B31,'2-2_算定表⑤(新・新制度)'!$B$8:$S$65536,16,FALSE))</f>
      </c>
      <c r="R31" s="421">
        <f>IF($B31="","",VLOOKUP($B31,'2-2_算定表⑤(新・新制度)'!$B$8:$S$65536,16,FALSE))</f>
      </c>
      <c r="S31" s="421">
        <f>IF($B31="","",VLOOKUP($B31,'2-2_算定表⑤(新・新制度)'!$B$8:$S$65536,16,FALSE))</f>
      </c>
      <c r="T31" s="421">
        <f>IF($B31="","",VLOOKUP($B31,'2-2_算定表⑤(新・新制度)'!$B$8:$S$65536,16,FALSE))</f>
      </c>
      <c r="U31" s="421">
        <f>IF($B31="","",VLOOKUP($B31,'2-2_算定表⑤(新・新制度)'!$B$8:$S$65536,16,FALSE))</f>
      </c>
      <c r="V31" s="673">
        <f>IF($B31="","",VLOOKUP($B31,'2-2_算定表⑤(新・新制度)'!$B$8:$S$65536,16,FALSE))</f>
      </c>
      <c r="W31" s="419">
        <f t="shared" si="1"/>
      </c>
      <c r="X31" s="423">
        <f t="shared" si="2"/>
      </c>
      <c r="Y31" s="422">
        <f t="shared" si="3"/>
      </c>
      <c r="Z31" s="424">
        <f t="shared" si="4"/>
      </c>
      <c r="AA31" s="419">
        <f t="shared" si="5"/>
      </c>
      <c r="AB31" s="424">
        <f t="shared" si="6"/>
      </c>
      <c r="AC31" s="418">
        <f t="shared" si="7"/>
      </c>
      <c r="AD31" s="419">
        <f t="shared" si="8"/>
      </c>
      <c r="AE31" s="404">
        <f>IF(B31="","",ROUNDUP((G31/VLOOKUP($B31,'2-2_算定表⑤(新・新制度)'!$B$8:$AH$44,9,FALSE)*W31)+(I31/VLOOKUP($B31,'2-2_算定表⑤(新・新制度)'!$B$8:$AH$44,9,FALSE)*X31)+(G31/VLOOKUP($B31,'2-2_算定表⑤(新・新制度)'!$B$8:$AH$44,9,FALSE)*Y31)+(I31/VLOOKUP($B31,'2-2_算定表⑤(新・新制度)'!$B$8:$AH$44,9,FALSE)*Z31)+(G31/VLOOKUP($B31,'2-2_算定表⑤(新・新制度)'!$B$8:$AH$44,9,FALSE)*AA31)+(I31/VLOOKUP($B31,'2-2_算定表⑤(新・新制度)'!$B$8:$AH$44,9,FALSE)*AB31),0))</f>
      </c>
      <c r="AF31" s="403">
        <f t="shared" si="10"/>
      </c>
      <c r="AG31" s="1016">
        <f>IF(B31="","",VLOOKUP($B31,'2-2_算定表⑤(新・新制度)'!$B$8:$AF$65536,31,FALSE))</f>
      </c>
      <c r="AH31" s="1017" t="s">
        <v>182</v>
      </c>
      <c r="AI31" s="1018" t="s">
        <v>182</v>
      </c>
      <c r="AK31" s="61">
        <f>IF(A31&gt;0,ASC(C31&amp;H31),"")</f>
      </c>
      <c r="AL31" s="61">
        <f t="shared" si="9"/>
      </c>
    </row>
    <row r="32" spans="1:38" s="53" customFormat="1" ht="18.75" customHeight="1">
      <c r="A32" s="27">
        <f t="shared" si="0"/>
      </c>
      <c r="B32" s="577"/>
      <c r="C32" s="716">
        <f>IF(B32="","",VLOOKUP($B32,'2-2_算定表⑤(新・新制度)'!$B$8:$S$65536,2,FALSE))</f>
      </c>
      <c r="D32" s="713">
        <f>IF(B32="","",VLOOKUP($B32,'2-2_算定表⑤(新・新制度)'!$B$8:$S$65536,3,FALSE))</f>
      </c>
      <c r="E32" s="565">
        <f>IF(B32="","",VLOOKUP($B32,'2-2_算定表⑤(新・新制度)'!$B$8:$S$65536,6,FALSE))</f>
      </c>
      <c r="F32" s="709">
        <f>IF(B32="","",VLOOKUP($B32,'2-2_算定表⑤(新・新制度)'!$B$8:$S$65536,14,FALSE))</f>
      </c>
      <c r="G32" s="399">
        <f>IF(B32="","",VLOOKUP($B32,'2-2_算定表⑤(新・新制度)'!$B$8:$S$65536,15,FALSE))</f>
      </c>
      <c r="H32" s="709">
        <f>IF(B32="","",VLOOKUP($B32,'2-2_算定表⑤(新・新制度)'!$B$8:$S$65536,16,FALSE))</f>
      </c>
      <c r="I32" s="399">
        <f>IF(B32="","",VLOOKUP($B32,'2-2_算定表⑤(新・新制度)'!$B$8:$S$65536,17,FALSE))</f>
      </c>
      <c r="J32" s="700">
        <f>IF(B32="","",VLOOKUP($B32,'2-2_算定表⑤(新・新制度)'!$B$8:$S$65536,18,FALSE))</f>
      </c>
      <c r="K32" s="706">
        <f>IF($B32="","",VLOOKUP($B32,'2-2_算定表⑤(新・新制度)'!$B$8:$S$65536,14,FALSE))</f>
      </c>
      <c r="L32" s="421">
        <f>IF($B32="","",VLOOKUP($B32,'2-2_算定表⑤(新・新制度)'!$B$8:$S$65536,14,FALSE))</f>
      </c>
      <c r="M32" s="673">
        <f>IF($B32="","",VLOOKUP($B32,'2-2_算定表⑤(新・新制度)'!$B$8:$S$65536,14,FALSE))</f>
      </c>
      <c r="N32" s="706">
        <f>IF($B32="","",VLOOKUP($B32,'2-2_算定表⑤(新・新制度)'!$B$8:$S$65536,16,FALSE))</f>
      </c>
      <c r="O32" s="421">
        <f>IF($B32="","",VLOOKUP($B32,'2-2_算定表⑤(新・新制度)'!$B$8:$S$65536,16,FALSE))</f>
      </c>
      <c r="P32" s="421">
        <f>IF($B32="","",VLOOKUP($B32,'2-2_算定表⑤(新・新制度)'!$B$8:$S$65536,16,FALSE))</f>
      </c>
      <c r="Q32" s="421">
        <f>IF($B32="","",VLOOKUP($B32,'2-2_算定表⑤(新・新制度)'!$B$8:$S$65536,16,FALSE))</f>
      </c>
      <c r="R32" s="421">
        <f>IF($B32="","",VLOOKUP($B32,'2-2_算定表⑤(新・新制度)'!$B$8:$S$65536,16,FALSE))</f>
      </c>
      <c r="S32" s="421">
        <f>IF($B32="","",VLOOKUP($B32,'2-2_算定表⑤(新・新制度)'!$B$8:$S$65536,16,FALSE))</f>
      </c>
      <c r="T32" s="421">
        <f>IF($B32="","",VLOOKUP($B32,'2-2_算定表⑤(新・新制度)'!$B$8:$S$65536,16,FALSE))</f>
      </c>
      <c r="U32" s="421">
        <f>IF($B32="","",VLOOKUP($B32,'2-2_算定表⑤(新・新制度)'!$B$8:$S$65536,16,FALSE))</f>
      </c>
      <c r="V32" s="673">
        <f>IF($B32="","",VLOOKUP($B32,'2-2_算定表⑤(新・新制度)'!$B$8:$S$65536,16,FALSE))</f>
      </c>
      <c r="W32" s="419">
        <f t="shared" si="1"/>
      </c>
      <c r="X32" s="423">
        <f t="shared" si="2"/>
      </c>
      <c r="Y32" s="422">
        <f t="shared" si="3"/>
      </c>
      <c r="Z32" s="424">
        <f t="shared" si="4"/>
      </c>
      <c r="AA32" s="419">
        <f t="shared" si="5"/>
      </c>
      <c r="AB32" s="424">
        <f t="shared" si="6"/>
      </c>
      <c r="AC32" s="418">
        <f t="shared" si="7"/>
      </c>
      <c r="AD32" s="419">
        <f t="shared" si="8"/>
      </c>
      <c r="AE32" s="404">
        <f>IF(B32="","",ROUNDUP((G32/VLOOKUP($B32,'2-2_算定表⑤(新・新制度)'!$B$8:$AH$44,9,FALSE)*W32)+(I32/VLOOKUP($B32,'2-2_算定表⑤(新・新制度)'!$B$8:$AH$44,9,FALSE)*X32)+(G32/VLOOKUP($B32,'2-2_算定表⑤(新・新制度)'!$B$8:$AH$44,9,FALSE)*Y32)+(I32/VLOOKUP($B32,'2-2_算定表⑤(新・新制度)'!$B$8:$AH$44,9,FALSE)*Z32)+(G32/VLOOKUP($B32,'2-2_算定表⑤(新・新制度)'!$B$8:$AH$44,9,FALSE)*AA32)+(I32/VLOOKUP($B32,'2-2_算定表⑤(新・新制度)'!$B$8:$AH$44,9,FALSE)*AB32),0))</f>
      </c>
      <c r="AF32" s="403">
        <f t="shared" si="10"/>
      </c>
      <c r="AG32" s="1016">
        <f>IF(B32="","",VLOOKUP($B32,'2-2_算定表⑤(新・新制度)'!$B$8:$AF$65536,31,FALSE))</f>
      </c>
      <c r="AH32" s="1017" t="s">
        <v>182</v>
      </c>
      <c r="AI32" s="1018" t="s">
        <v>182</v>
      </c>
      <c r="AK32" s="61">
        <f>IF(A32&gt;0,ASC(C32&amp;H32),"")</f>
      </c>
      <c r="AL32" s="61">
        <f t="shared" si="9"/>
      </c>
    </row>
    <row r="33" spans="1:38" s="53" customFormat="1" ht="18.75" customHeight="1">
      <c r="A33" s="27">
        <f t="shared" si="0"/>
      </c>
      <c r="B33" s="577"/>
      <c r="C33" s="716">
        <f>IF(B33="","",VLOOKUP($B33,'2-2_算定表⑤(新・新制度)'!$B$8:$S$65536,2,FALSE))</f>
      </c>
      <c r="D33" s="713">
        <f>IF(B33="","",VLOOKUP($B33,'2-2_算定表⑤(新・新制度)'!$B$8:$S$65536,3,FALSE))</f>
      </c>
      <c r="E33" s="565">
        <f>IF(B33="","",VLOOKUP($B33,'2-2_算定表⑤(新・新制度)'!$B$8:$S$65536,6,FALSE))</f>
      </c>
      <c r="F33" s="709">
        <f>IF(B33="","",VLOOKUP($B33,'2-2_算定表⑤(新・新制度)'!$B$8:$S$65536,14,FALSE))</f>
      </c>
      <c r="G33" s="399">
        <f>IF(B33="","",VLOOKUP($B33,'2-2_算定表⑤(新・新制度)'!$B$8:$S$65536,15,FALSE))</f>
      </c>
      <c r="H33" s="709">
        <f>IF(B33="","",VLOOKUP($B33,'2-2_算定表⑤(新・新制度)'!$B$8:$S$65536,16,FALSE))</f>
      </c>
      <c r="I33" s="399">
        <f>IF(B33="","",VLOOKUP($B33,'2-2_算定表⑤(新・新制度)'!$B$8:$S$65536,17,FALSE))</f>
      </c>
      <c r="J33" s="700">
        <f>IF(B33="","",VLOOKUP($B33,'2-2_算定表⑤(新・新制度)'!$B$8:$S$65536,18,FALSE))</f>
      </c>
      <c r="K33" s="706">
        <f>IF($B33="","",VLOOKUP($B33,'2-2_算定表⑤(新・新制度)'!$B$8:$S$65536,14,FALSE))</f>
      </c>
      <c r="L33" s="421">
        <f>IF($B33="","",VLOOKUP($B33,'2-2_算定表⑤(新・新制度)'!$B$8:$S$65536,14,FALSE))</f>
      </c>
      <c r="M33" s="673">
        <f>IF($B33="","",VLOOKUP($B33,'2-2_算定表⑤(新・新制度)'!$B$8:$S$65536,14,FALSE))</f>
      </c>
      <c r="N33" s="706">
        <f>IF($B33="","",VLOOKUP($B33,'2-2_算定表⑤(新・新制度)'!$B$8:$S$65536,16,FALSE))</f>
      </c>
      <c r="O33" s="421">
        <f>IF($B33="","",VLOOKUP($B33,'2-2_算定表⑤(新・新制度)'!$B$8:$S$65536,16,FALSE))</f>
      </c>
      <c r="P33" s="421">
        <f>IF($B33="","",VLOOKUP($B33,'2-2_算定表⑤(新・新制度)'!$B$8:$S$65536,16,FALSE))</f>
      </c>
      <c r="Q33" s="421">
        <f>IF($B33="","",VLOOKUP($B33,'2-2_算定表⑤(新・新制度)'!$B$8:$S$65536,16,FALSE))</f>
      </c>
      <c r="R33" s="421">
        <f>IF($B33="","",VLOOKUP($B33,'2-2_算定表⑤(新・新制度)'!$B$8:$S$65536,16,FALSE))</f>
      </c>
      <c r="S33" s="421">
        <f>IF($B33="","",VLOOKUP($B33,'2-2_算定表⑤(新・新制度)'!$B$8:$S$65536,16,FALSE))</f>
      </c>
      <c r="T33" s="421">
        <f>IF($B33="","",VLOOKUP($B33,'2-2_算定表⑤(新・新制度)'!$B$8:$S$65536,16,FALSE))</f>
      </c>
      <c r="U33" s="421">
        <f>IF($B33="","",VLOOKUP($B33,'2-2_算定表⑤(新・新制度)'!$B$8:$S$65536,16,FALSE))</f>
      </c>
      <c r="V33" s="673">
        <f>IF($B33="","",VLOOKUP($B33,'2-2_算定表⑤(新・新制度)'!$B$8:$S$65536,16,FALSE))</f>
      </c>
      <c r="W33" s="419">
        <f t="shared" si="1"/>
      </c>
      <c r="X33" s="423">
        <f t="shared" si="2"/>
      </c>
      <c r="Y33" s="422">
        <f t="shared" si="3"/>
      </c>
      <c r="Z33" s="424">
        <f t="shared" si="4"/>
      </c>
      <c r="AA33" s="419">
        <f t="shared" si="5"/>
      </c>
      <c r="AB33" s="424">
        <f t="shared" si="6"/>
      </c>
      <c r="AC33" s="418">
        <f t="shared" si="7"/>
      </c>
      <c r="AD33" s="419">
        <f t="shared" si="8"/>
      </c>
      <c r="AE33" s="404">
        <f>IF(B33="","",ROUNDUP((G33/VLOOKUP($B33,'2-2_算定表⑤(新・新制度)'!$B$8:$AH$44,9,FALSE)*W33)+(I33/VLOOKUP($B33,'2-2_算定表⑤(新・新制度)'!$B$8:$AH$44,9,FALSE)*X33)+(G33/VLOOKUP($B33,'2-2_算定表⑤(新・新制度)'!$B$8:$AH$44,9,FALSE)*Y33)+(I33/VLOOKUP($B33,'2-2_算定表⑤(新・新制度)'!$B$8:$AH$44,9,FALSE)*Z33)+(G33/VLOOKUP($B33,'2-2_算定表⑤(新・新制度)'!$B$8:$AH$44,9,FALSE)*AA33)+(I33/VLOOKUP($B33,'2-2_算定表⑤(新・新制度)'!$B$8:$AH$44,9,FALSE)*AB33),0))</f>
      </c>
      <c r="AF33" s="403">
        <f t="shared" si="10"/>
      </c>
      <c r="AG33" s="1016">
        <f>IF(B33="","",VLOOKUP($B33,'2-2_算定表⑤(新・新制度)'!$B$8:$AF$65536,31,FALSE))</f>
      </c>
      <c r="AH33" s="1017" t="s">
        <v>182</v>
      </c>
      <c r="AI33" s="1018" t="s">
        <v>182</v>
      </c>
      <c r="AK33" s="61">
        <f t="shared" si="11"/>
      </c>
      <c r="AL33" s="61">
        <f t="shared" si="9"/>
      </c>
    </row>
    <row r="34" spans="1:38" s="53" customFormat="1" ht="18.75" customHeight="1">
      <c r="A34" s="27">
        <f t="shared" si="0"/>
      </c>
      <c r="B34" s="577"/>
      <c r="C34" s="716">
        <f>IF(B34="","",VLOOKUP($B34,'2-2_算定表⑤(新・新制度)'!$B$8:$S$65536,2,FALSE))</f>
      </c>
      <c r="D34" s="713">
        <f>IF(B34="","",VLOOKUP($B34,'2-2_算定表⑤(新・新制度)'!$B$8:$S$65536,3,FALSE))</f>
      </c>
      <c r="E34" s="565">
        <f>IF(B34="","",VLOOKUP($B34,'2-2_算定表⑤(新・新制度)'!$B$8:$S$65536,6,FALSE))</f>
      </c>
      <c r="F34" s="709">
        <f>IF(B34="","",VLOOKUP($B34,'2-2_算定表⑤(新・新制度)'!$B$8:$S$65536,14,FALSE))</f>
      </c>
      <c r="G34" s="399">
        <f>IF(B34="","",VLOOKUP($B34,'2-2_算定表⑤(新・新制度)'!$B$8:$S$65536,15,FALSE))</f>
      </c>
      <c r="H34" s="709">
        <f>IF(B34="","",VLOOKUP($B34,'2-2_算定表⑤(新・新制度)'!$B$8:$S$65536,16,FALSE))</f>
      </c>
      <c r="I34" s="399">
        <f>IF(B34="","",VLOOKUP($B34,'2-2_算定表⑤(新・新制度)'!$B$8:$S$65536,17,FALSE))</f>
      </c>
      <c r="J34" s="700">
        <f>IF(B34="","",VLOOKUP($B34,'2-2_算定表⑤(新・新制度)'!$B$8:$S$65536,18,FALSE))</f>
      </c>
      <c r="K34" s="706">
        <f>IF($B34="","",VLOOKUP($B34,'2-2_算定表⑤(新・新制度)'!$B$8:$S$65536,14,FALSE))</f>
      </c>
      <c r="L34" s="421">
        <f>IF($B34="","",VLOOKUP($B34,'2-2_算定表⑤(新・新制度)'!$B$8:$S$65536,14,FALSE))</f>
      </c>
      <c r="M34" s="673">
        <f>IF($B34="","",VLOOKUP($B34,'2-2_算定表⑤(新・新制度)'!$B$8:$S$65536,14,FALSE))</f>
      </c>
      <c r="N34" s="706">
        <f>IF($B34="","",VLOOKUP($B34,'2-2_算定表⑤(新・新制度)'!$B$8:$S$65536,16,FALSE))</f>
      </c>
      <c r="O34" s="421">
        <f>IF($B34="","",VLOOKUP($B34,'2-2_算定表⑤(新・新制度)'!$B$8:$S$65536,16,FALSE))</f>
      </c>
      <c r="P34" s="421">
        <f>IF($B34="","",VLOOKUP($B34,'2-2_算定表⑤(新・新制度)'!$B$8:$S$65536,16,FALSE))</f>
      </c>
      <c r="Q34" s="421">
        <f>IF($B34="","",VLOOKUP($B34,'2-2_算定表⑤(新・新制度)'!$B$8:$S$65536,16,FALSE))</f>
      </c>
      <c r="R34" s="421">
        <f>IF($B34="","",VLOOKUP($B34,'2-2_算定表⑤(新・新制度)'!$B$8:$S$65536,16,FALSE))</f>
      </c>
      <c r="S34" s="421">
        <f>IF($B34="","",VLOOKUP($B34,'2-2_算定表⑤(新・新制度)'!$B$8:$S$65536,16,FALSE))</f>
      </c>
      <c r="T34" s="421">
        <f>IF($B34="","",VLOOKUP($B34,'2-2_算定表⑤(新・新制度)'!$B$8:$S$65536,16,FALSE))</f>
      </c>
      <c r="U34" s="421">
        <f>IF($B34="","",VLOOKUP($B34,'2-2_算定表⑤(新・新制度)'!$B$8:$S$65536,16,FALSE))</f>
      </c>
      <c r="V34" s="673">
        <f>IF($B34="","",VLOOKUP($B34,'2-2_算定表⑤(新・新制度)'!$B$8:$S$65536,16,FALSE))</f>
      </c>
      <c r="W34" s="419">
        <f t="shared" si="1"/>
      </c>
      <c r="X34" s="423">
        <f t="shared" si="2"/>
      </c>
      <c r="Y34" s="422">
        <f t="shared" si="3"/>
      </c>
      <c r="Z34" s="424">
        <f t="shared" si="4"/>
      </c>
      <c r="AA34" s="419">
        <f t="shared" si="5"/>
      </c>
      <c r="AB34" s="424">
        <f t="shared" si="6"/>
      </c>
      <c r="AC34" s="418">
        <f t="shared" si="7"/>
      </c>
      <c r="AD34" s="419">
        <f t="shared" si="8"/>
      </c>
      <c r="AE34" s="404">
        <f>IF(B34="","",ROUNDUP((G34/VLOOKUP($B34,'2-2_算定表⑤(新・新制度)'!$B$8:$AH$44,9,FALSE)*W34)+(I34/VLOOKUP($B34,'2-2_算定表⑤(新・新制度)'!$B$8:$AH$44,9,FALSE)*X34)+(G34/VLOOKUP($B34,'2-2_算定表⑤(新・新制度)'!$B$8:$AH$44,9,FALSE)*Y34)+(I34/VLOOKUP($B34,'2-2_算定表⑤(新・新制度)'!$B$8:$AH$44,9,FALSE)*Z34)+(G34/VLOOKUP($B34,'2-2_算定表⑤(新・新制度)'!$B$8:$AH$44,9,FALSE)*AA34)+(I34/VLOOKUP($B34,'2-2_算定表⑤(新・新制度)'!$B$8:$AH$44,9,FALSE)*AB34),0))</f>
      </c>
      <c r="AF34" s="403">
        <f t="shared" si="10"/>
      </c>
      <c r="AG34" s="1016">
        <f>IF(B34="","",VLOOKUP($B34,'2-2_算定表⑤(新・新制度)'!$B$8:$AF$65536,31,FALSE))</f>
      </c>
      <c r="AH34" s="1017" t="s">
        <v>182</v>
      </c>
      <c r="AI34" s="1018" t="s">
        <v>182</v>
      </c>
      <c r="AK34" s="61">
        <f t="shared" si="11"/>
      </c>
      <c r="AL34" s="61">
        <f t="shared" si="9"/>
      </c>
    </row>
    <row r="35" spans="1:38" s="53" customFormat="1" ht="18.75" customHeight="1">
      <c r="A35" s="27">
        <f t="shared" si="0"/>
      </c>
      <c r="B35" s="577"/>
      <c r="C35" s="716">
        <f>IF(B35="","",VLOOKUP($B35,'2-2_算定表⑤(新・新制度)'!$B$8:$S$65536,2,FALSE))</f>
      </c>
      <c r="D35" s="713">
        <f>IF(B35="","",VLOOKUP($B35,'2-2_算定表⑤(新・新制度)'!$B$8:$S$65536,3,FALSE))</f>
      </c>
      <c r="E35" s="565">
        <f>IF(B35="","",VLOOKUP($B35,'2-2_算定表⑤(新・新制度)'!$B$8:$S$65536,6,FALSE))</f>
      </c>
      <c r="F35" s="709">
        <f>IF(B35="","",VLOOKUP($B35,'2-2_算定表⑤(新・新制度)'!$B$8:$S$65536,14,FALSE))</f>
      </c>
      <c r="G35" s="399">
        <f>IF(B35="","",VLOOKUP($B35,'2-2_算定表⑤(新・新制度)'!$B$8:$S$65536,15,FALSE))</f>
      </c>
      <c r="H35" s="709">
        <f>IF(B35="","",VLOOKUP($B35,'2-2_算定表⑤(新・新制度)'!$B$8:$S$65536,16,FALSE))</f>
      </c>
      <c r="I35" s="399">
        <f>IF(B35="","",VLOOKUP($B35,'2-2_算定表⑤(新・新制度)'!$B$8:$S$65536,17,FALSE))</f>
      </c>
      <c r="J35" s="700">
        <f>IF(B35="","",VLOOKUP($B35,'2-2_算定表⑤(新・新制度)'!$B$8:$S$65536,18,FALSE))</f>
      </c>
      <c r="K35" s="706">
        <f>IF($B35="","",VLOOKUP($B35,'2-2_算定表⑤(新・新制度)'!$B$8:$S$65536,14,FALSE))</f>
      </c>
      <c r="L35" s="421">
        <f>IF($B35="","",VLOOKUP($B35,'2-2_算定表⑤(新・新制度)'!$B$8:$S$65536,14,FALSE))</f>
      </c>
      <c r="M35" s="673">
        <f>IF($B35="","",VLOOKUP($B35,'2-2_算定表⑤(新・新制度)'!$B$8:$S$65536,14,FALSE))</f>
      </c>
      <c r="N35" s="706">
        <f>IF($B35="","",VLOOKUP($B35,'2-2_算定表⑤(新・新制度)'!$B$8:$S$65536,16,FALSE))</f>
      </c>
      <c r="O35" s="421">
        <f>IF($B35="","",VLOOKUP($B35,'2-2_算定表⑤(新・新制度)'!$B$8:$S$65536,16,FALSE))</f>
      </c>
      <c r="P35" s="421">
        <f>IF($B35="","",VLOOKUP($B35,'2-2_算定表⑤(新・新制度)'!$B$8:$S$65536,16,FALSE))</f>
      </c>
      <c r="Q35" s="421">
        <f>IF($B35="","",VLOOKUP($B35,'2-2_算定表⑤(新・新制度)'!$B$8:$S$65536,16,FALSE))</f>
      </c>
      <c r="R35" s="421">
        <f>IF($B35="","",VLOOKUP($B35,'2-2_算定表⑤(新・新制度)'!$B$8:$S$65536,16,FALSE))</f>
      </c>
      <c r="S35" s="421">
        <f>IF($B35="","",VLOOKUP($B35,'2-2_算定表⑤(新・新制度)'!$B$8:$S$65536,16,FALSE))</f>
      </c>
      <c r="T35" s="421">
        <f>IF($B35="","",VLOOKUP($B35,'2-2_算定表⑤(新・新制度)'!$B$8:$S$65536,16,FALSE))</f>
      </c>
      <c r="U35" s="421">
        <f>IF($B35="","",VLOOKUP($B35,'2-2_算定表⑤(新・新制度)'!$B$8:$S$65536,16,FALSE))</f>
      </c>
      <c r="V35" s="673">
        <f>IF($B35="","",VLOOKUP($B35,'2-2_算定表⑤(新・新制度)'!$B$8:$S$65536,16,FALSE))</f>
      </c>
      <c r="W35" s="419">
        <f t="shared" si="1"/>
      </c>
      <c r="X35" s="423">
        <f t="shared" si="2"/>
      </c>
      <c r="Y35" s="422">
        <f t="shared" si="3"/>
      </c>
      <c r="Z35" s="424">
        <f t="shared" si="4"/>
      </c>
      <c r="AA35" s="419">
        <f t="shared" si="5"/>
      </c>
      <c r="AB35" s="424">
        <f t="shared" si="6"/>
      </c>
      <c r="AC35" s="418">
        <f t="shared" si="7"/>
      </c>
      <c r="AD35" s="419">
        <f t="shared" si="8"/>
      </c>
      <c r="AE35" s="404">
        <f>IF(B35="","",ROUNDUP((G35/VLOOKUP($B35,'2-2_算定表⑤(新・新制度)'!$B$8:$AH$44,9,FALSE)*W35)+(I35/VLOOKUP($B35,'2-2_算定表⑤(新・新制度)'!$B$8:$AH$44,9,FALSE)*X35)+(G35/VLOOKUP($B35,'2-2_算定表⑤(新・新制度)'!$B$8:$AH$44,9,FALSE)*Y35)+(I35/VLOOKUP($B35,'2-2_算定表⑤(新・新制度)'!$B$8:$AH$44,9,FALSE)*Z35)+(G35/VLOOKUP($B35,'2-2_算定表⑤(新・新制度)'!$B$8:$AH$44,9,FALSE)*AA35)+(I35/VLOOKUP($B35,'2-2_算定表⑤(新・新制度)'!$B$8:$AH$44,9,FALSE)*AB35),0))</f>
      </c>
      <c r="AF35" s="403">
        <f t="shared" si="10"/>
      </c>
      <c r="AG35" s="1016">
        <f>IF(B35="","",VLOOKUP($B35,'2-2_算定表⑤(新・新制度)'!$B$8:$AF$65536,31,FALSE))</f>
      </c>
      <c r="AH35" s="1017" t="s">
        <v>182</v>
      </c>
      <c r="AI35" s="1018" t="s">
        <v>182</v>
      </c>
      <c r="AK35" s="61">
        <f t="shared" si="11"/>
      </c>
      <c r="AL35" s="61">
        <f t="shared" si="9"/>
      </c>
    </row>
    <row r="36" spans="1:38" s="53" customFormat="1" ht="18.75" customHeight="1">
      <c r="A36" s="27">
        <f t="shared" si="0"/>
      </c>
      <c r="B36" s="577"/>
      <c r="C36" s="716">
        <f>IF(B36="","",VLOOKUP($B36,'2-2_算定表⑤(新・新制度)'!$B$8:$S$65536,2,FALSE))</f>
      </c>
      <c r="D36" s="713">
        <f>IF(B36="","",VLOOKUP($B36,'2-2_算定表⑤(新・新制度)'!$B$8:$S$65536,3,FALSE))</f>
      </c>
      <c r="E36" s="565">
        <f>IF(B36="","",VLOOKUP($B36,'2-2_算定表⑤(新・新制度)'!$B$8:$S$65536,6,FALSE))</f>
      </c>
      <c r="F36" s="709">
        <f>IF(B36="","",VLOOKUP($B36,'2-2_算定表⑤(新・新制度)'!$B$8:$S$65536,14,FALSE))</f>
      </c>
      <c r="G36" s="399">
        <f>IF(B36="","",VLOOKUP($B36,'2-2_算定表⑤(新・新制度)'!$B$8:$S$65536,15,FALSE))</f>
      </c>
      <c r="H36" s="709">
        <f>IF(B36="","",VLOOKUP($B36,'2-2_算定表⑤(新・新制度)'!$B$8:$S$65536,16,FALSE))</f>
      </c>
      <c r="I36" s="399">
        <f>IF(B36="","",VLOOKUP($B36,'2-2_算定表⑤(新・新制度)'!$B$8:$S$65536,17,FALSE))</f>
      </c>
      <c r="J36" s="700">
        <f>IF(B36="","",VLOOKUP($B36,'2-2_算定表⑤(新・新制度)'!$B$8:$S$65536,18,FALSE))</f>
      </c>
      <c r="K36" s="706">
        <f>IF($B36="","",VLOOKUP($B36,'2-2_算定表⑤(新・新制度)'!$B$8:$S$65536,14,FALSE))</f>
      </c>
      <c r="L36" s="421">
        <f>IF($B36="","",VLOOKUP($B36,'2-2_算定表⑤(新・新制度)'!$B$8:$S$65536,14,FALSE))</f>
      </c>
      <c r="M36" s="673">
        <f>IF($B36="","",VLOOKUP($B36,'2-2_算定表⑤(新・新制度)'!$B$8:$S$65536,14,FALSE))</f>
      </c>
      <c r="N36" s="706">
        <f>IF($B36="","",VLOOKUP($B36,'2-2_算定表⑤(新・新制度)'!$B$8:$S$65536,16,FALSE))</f>
      </c>
      <c r="O36" s="421">
        <f>IF($B36="","",VLOOKUP($B36,'2-2_算定表⑤(新・新制度)'!$B$8:$S$65536,16,FALSE))</f>
      </c>
      <c r="P36" s="421">
        <f>IF($B36="","",VLOOKUP($B36,'2-2_算定表⑤(新・新制度)'!$B$8:$S$65536,16,FALSE))</f>
      </c>
      <c r="Q36" s="421">
        <f>IF($B36="","",VLOOKUP($B36,'2-2_算定表⑤(新・新制度)'!$B$8:$S$65536,16,FALSE))</f>
      </c>
      <c r="R36" s="421">
        <f>IF($B36="","",VLOOKUP($B36,'2-2_算定表⑤(新・新制度)'!$B$8:$S$65536,16,FALSE))</f>
      </c>
      <c r="S36" s="421">
        <f>IF($B36="","",VLOOKUP($B36,'2-2_算定表⑤(新・新制度)'!$B$8:$S$65536,16,FALSE))</f>
      </c>
      <c r="T36" s="421">
        <f>IF($B36="","",VLOOKUP($B36,'2-2_算定表⑤(新・新制度)'!$B$8:$S$65536,16,FALSE))</f>
      </c>
      <c r="U36" s="421">
        <f>IF($B36="","",VLOOKUP($B36,'2-2_算定表⑤(新・新制度)'!$B$8:$S$65536,16,FALSE))</f>
      </c>
      <c r="V36" s="673">
        <f>IF($B36="","",VLOOKUP($B36,'2-2_算定表⑤(新・新制度)'!$B$8:$S$65536,16,FALSE))</f>
      </c>
      <c r="W36" s="419">
        <f t="shared" si="1"/>
      </c>
      <c r="X36" s="423">
        <f t="shared" si="2"/>
      </c>
      <c r="Y36" s="422">
        <f t="shared" si="3"/>
      </c>
      <c r="Z36" s="424">
        <f t="shared" si="4"/>
      </c>
      <c r="AA36" s="419">
        <f t="shared" si="5"/>
      </c>
      <c r="AB36" s="424">
        <f t="shared" si="6"/>
      </c>
      <c r="AC36" s="418">
        <f t="shared" si="7"/>
      </c>
      <c r="AD36" s="419">
        <f t="shared" si="8"/>
      </c>
      <c r="AE36" s="404">
        <f>IF(B36="","",ROUNDUP((G36/VLOOKUP($B36,'2-2_算定表⑤(新・新制度)'!$B$8:$AH$44,9,FALSE)*W36)+(I36/VLOOKUP($B36,'2-2_算定表⑤(新・新制度)'!$B$8:$AH$44,9,FALSE)*X36)+(G36/VLOOKUP($B36,'2-2_算定表⑤(新・新制度)'!$B$8:$AH$44,9,FALSE)*Y36)+(I36/VLOOKUP($B36,'2-2_算定表⑤(新・新制度)'!$B$8:$AH$44,9,FALSE)*Z36)+(G36/VLOOKUP($B36,'2-2_算定表⑤(新・新制度)'!$B$8:$AH$44,9,FALSE)*AA36)+(I36/VLOOKUP($B36,'2-2_算定表⑤(新・新制度)'!$B$8:$AH$44,9,FALSE)*AB36),0))</f>
      </c>
      <c r="AF36" s="403">
        <f t="shared" si="10"/>
      </c>
      <c r="AG36" s="1016">
        <f>IF(B36="","",VLOOKUP($B36,'2-2_算定表⑤(新・新制度)'!$B$8:$AF$65536,31,FALSE))</f>
      </c>
      <c r="AH36" s="1017" t="s">
        <v>182</v>
      </c>
      <c r="AI36" s="1018" t="s">
        <v>182</v>
      </c>
      <c r="AK36" s="61">
        <f t="shared" si="11"/>
      </c>
      <c r="AL36" s="61">
        <f t="shared" si="9"/>
      </c>
    </row>
    <row r="37" spans="1:38" s="53" customFormat="1" ht="18.75" customHeight="1">
      <c r="A37" s="27">
        <f t="shared" si="0"/>
      </c>
      <c r="B37" s="577"/>
      <c r="C37" s="716">
        <f>IF(B37="","",VLOOKUP($B37,'2-2_算定表⑤(新・新制度)'!$B$8:$S$65536,2,FALSE))</f>
      </c>
      <c r="D37" s="713">
        <f>IF(B37="","",VLOOKUP($B37,'2-2_算定表⑤(新・新制度)'!$B$8:$S$65536,3,FALSE))</f>
      </c>
      <c r="E37" s="565">
        <f>IF(B37="","",VLOOKUP($B37,'2-2_算定表⑤(新・新制度)'!$B$8:$S$65536,6,FALSE))</f>
      </c>
      <c r="F37" s="709">
        <f>IF(B37="","",VLOOKUP($B37,'2-2_算定表⑤(新・新制度)'!$B$8:$S$65536,14,FALSE))</f>
      </c>
      <c r="G37" s="399">
        <f>IF(B37="","",VLOOKUP($B37,'2-2_算定表⑤(新・新制度)'!$B$8:$S$65536,15,FALSE))</f>
      </c>
      <c r="H37" s="709">
        <f>IF(B37="","",VLOOKUP($B37,'2-2_算定表⑤(新・新制度)'!$B$8:$S$65536,16,FALSE))</f>
      </c>
      <c r="I37" s="399">
        <f>IF(B37="","",VLOOKUP($B37,'2-2_算定表⑤(新・新制度)'!$B$8:$S$65536,17,FALSE))</f>
      </c>
      <c r="J37" s="700">
        <f>IF(B37="","",VLOOKUP($B37,'2-2_算定表⑤(新・新制度)'!$B$8:$S$65536,18,FALSE))</f>
      </c>
      <c r="K37" s="706">
        <f>IF($B37="","",VLOOKUP($B37,'2-2_算定表⑤(新・新制度)'!$B$8:$S$65536,14,FALSE))</f>
      </c>
      <c r="L37" s="421">
        <f>IF($B37="","",VLOOKUP($B37,'2-2_算定表⑤(新・新制度)'!$B$8:$S$65536,14,FALSE))</f>
      </c>
      <c r="M37" s="673">
        <f>IF($B37="","",VLOOKUP($B37,'2-2_算定表⑤(新・新制度)'!$B$8:$S$65536,14,FALSE))</f>
      </c>
      <c r="N37" s="706">
        <f>IF($B37="","",VLOOKUP($B37,'2-2_算定表⑤(新・新制度)'!$B$8:$S$65536,16,FALSE))</f>
      </c>
      <c r="O37" s="421">
        <f>IF($B37="","",VLOOKUP($B37,'2-2_算定表⑤(新・新制度)'!$B$8:$S$65536,16,FALSE))</f>
      </c>
      <c r="P37" s="421">
        <f>IF($B37="","",VLOOKUP($B37,'2-2_算定表⑤(新・新制度)'!$B$8:$S$65536,16,FALSE))</f>
      </c>
      <c r="Q37" s="421">
        <f>IF($B37="","",VLOOKUP($B37,'2-2_算定表⑤(新・新制度)'!$B$8:$S$65536,16,FALSE))</f>
      </c>
      <c r="R37" s="421">
        <f>IF($B37="","",VLOOKUP($B37,'2-2_算定表⑤(新・新制度)'!$B$8:$S$65536,16,FALSE))</f>
      </c>
      <c r="S37" s="421">
        <f>IF($B37="","",VLOOKUP($B37,'2-2_算定表⑤(新・新制度)'!$B$8:$S$65536,16,FALSE))</f>
      </c>
      <c r="T37" s="421">
        <f>IF($B37="","",VLOOKUP($B37,'2-2_算定表⑤(新・新制度)'!$B$8:$S$65536,16,FALSE))</f>
      </c>
      <c r="U37" s="421">
        <f>IF($B37="","",VLOOKUP($B37,'2-2_算定表⑤(新・新制度)'!$B$8:$S$65536,16,FALSE))</f>
      </c>
      <c r="V37" s="673">
        <f>IF($B37="","",VLOOKUP($B37,'2-2_算定表⑤(新・新制度)'!$B$8:$S$65536,16,FALSE))</f>
      </c>
      <c r="W37" s="419">
        <f t="shared" si="1"/>
      </c>
      <c r="X37" s="423">
        <f t="shared" si="2"/>
      </c>
      <c r="Y37" s="422">
        <f t="shared" si="3"/>
      </c>
      <c r="Z37" s="424">
        <f t="shared" si="4"/>
      </c>
      <c r="AA37" s="419">
        <f t="shared" si="5"/>
      </c>
      <c r="AB37" s="424">
        <f t="shared" si="6"/>
      </c>
      <c r="AC37" s="418">
        <f t="shared" si="7"/>
      </c>
      <c r="AD37" s="419">
        <f t="shared" si="8"/>
      </c>
      <c r="AE37" s="404">
        <f>IF(B37="","",ROUNDUP((G37/VLOOKUP($B37,'2-2_算定表⑤(新・新制度)'!$B$8:$AH$44,9,FALSE)*W37)+(I37/VLOOKUP($B37,'2-2_算定表⑤(新・新制度)'!$B$8:$AH$44,9,FALSE)*X37)+(G37/VLOOKUP($B37,'2-2_算定表⑤(新・新制度)'!$B$8:$AH$44,9,FALSE)*Y37)+(I37/VLOOKUP($B37,'2-2_算定表⑤(新・新制度)'!$B$8:$AH$44,9,FALSE)*Z37)+(G37/VLOOKUP($B37,'2-2_算定表⑤(新・新制度)'!$B$8:$AH$44,9,FALSE)*AA37)+(I37/VLOOKUP($B37,'2-2_算定表⑤(新・新制度)'!$B$8:$AH$44,9,FALSE)*AB37),0))</f>
      </c>
      <c r="AF37" s="403">
        <f t="shared" si="10"/>
      </c>
      <c r="AG37" s="1016">
        <f>IF(B37="","",VLOOKUP($B37,'2-2_算定表⑤(新・新制度)'!$B$8:$AF$65536,31,FALSE))</f>
      </c>
      <c r="AH37" s="1017" t="s">
        <v>182</v>
      </c>
      <c r="AI37" s="1018" t="s">
        <v>182</v>
      </c>
      <c r="AK37" s="61">
        <f t="shared" si="11"/>
      </c>
      <c r="AL37" s="61">
        <f t="shared" si="9"/>
      </c>
    </row>
    <row r="38" spans="1:38" s="53" customFormat="1" ht="18.75" customHeight="1" thickBot="1">
      <c r="A38" s="27">
        <f t="shared" si="0"/>
      </c>
      <c r="B38" s="577"/>
      <c r="C38" s="717">
        <f>IF(B38="","",VLOOKUP($B38,'2-2_算定表⑤(新・新制度)'!$B$8:$S$65536,2,FALSE))</f>
      </c>
      <c r="D38" s="714">
        <f>IF(B38="","",VLOOKUP($B38,'2-2_算定表⑤(新・新制度)'!$B$8:$S$65536,3,FALSE))</f>
      </c>
      <c r="E38" s="569">
        <f>IF(B38="","",VLOOKUP($B38,'2-2_算定表⑤(新・新制度)'!$B$8:$S$65536,6,FALSE))</f>
      </c>
      <c r="F38" s="710">
        <f>IF(B38="","",VLOOKUP($B38,'2-2_算定表⑤(新・新制度)'!$B$8:$S$65536,14,FALSE))</f>
      </c>
      <c r="G38" s="400">
        <f>IF(B38="","",VLOOKUP($B38,'2-2_算定表⑤(新・新制度)'!$B$8:$S$65536,15,FALSE))</f>
      </c>
      <c r="H38" s="710">
        <f>IF(B38="","",VLOOKUP($B38,'2-2_算定表⑤(新・新制度)'!$B$8:$S$65536,16,FALSE))</f>
      </c>
      <c r="I38" s="400">
        <f>IF(B38="","",VLOOKUP($B38,'2-2_算定表⑤(新・新制度)'!$B$8:$S$65536,17,FALSE))</f>
      </c>
      <c r="J38" s="701">
        <f>IF(B38="","",VLOOKUP($B38,'2-2_算定表⑤(新・新制度)'!$B$8:$S$65536,18,FALSE))</f>
      </c>
      <c r="K38" s="707">
        <f>IF($B38="","",VLOOKUP($B38,'2-2_算定表⑤(新・新制度)'!$B$8:$S$65536,14,FALSE))</f>
      </c>
      <c r="L38" s="675">
        <f>IF($B38="","",VLOOKUP($B38,'2-2_算定表⑤(新・新制度)'!$B$8:$S$65536,14,FALSE))</f>
      </c>
      <c r="M38" s="676">
        <f>IF($B38="","",VLOOKUP($B38,'2-2_算定表⑤(新・新制度)'!$B$8:$S$65536,14,FALSE))</f>
      </c>
      <c r="N38" s="707">
        <f>IF($B38="","",VLOOKUP($B38,'2-2_算定表⑤(新・新制度)'!$B$8:$S$65536,16,FALSE))</f>
      </c>
      <c r="O38" s="675">
        <f>IF($B38="","",VLOOKUP($B38,'2-2_算定表⑤(新・新制度)'!$B$8:$S$65536,16,FALSE))</f>
      </c>
      <c r="P38" s="675">
        <f>IF($B38="","",VLOOKUP($B38,'2-2_算定表⑤(新・新制度)'!$B$8:$S$65536,16,FALSE))</f>
      </c>
      <c r="Q38" s="675">
        <f>IF($B38="","",VLOOKUP($B38,'2-2_算定表⑤(新・新制度)'!$B$8:$S$65536,16,FALSE))</f>
      </c>
      <c r="R38" s="675">
        <f>IF($B38="","",VLOOKUP($B38,'2-2_算定表⑤(新・新制度)'!$B$8:$S$65536,16,FALSE))</f>
      </c>
      <c r="S38" s="675">
        <f>IF($B38="","",VLOOKUP($B38,'2-2_算定表⑤(新・新制度)'!$B$8:$S$65536,16,FALSE))</f>
      </c>
      <c r="T38" s="675">
        <f>IF($B38="","",VLOOKUP($B38,'2-2_算定表⑤(新・新制度)'!$B$8:$S$65536,16,FALSE))</f>
      </c>
      <c r="U38" s="675">
        <f>IF($B38="","",VLOOKUP($B38,'2-2_算定表⑤(新・新制度)'!$B$8:$S$65536,16,FALSE))</f>
      </c>
      <c r="V38" s="676">
        <f>IF($B38="","",VLOOKUP($B38,'2-2_算定表⑤(新・新制度)'!$B$8:$S$65536,16,FALSE))</f>
      </c>
      <c r="W38" s="426">
        <f t="shared" si="1"/>
      </c>
      <c r="X38" s="447">
        <f t="shared" si="2"/>
      </c>
      <c r="Y38" s="446">
        <f t="shared" si="3"/>
      </c>
      <c r="Z38" s="448">
        <f t="shared" si="4"/>
      </c>
      <c r="AA38" s="426">
        <f t="shared" si="5"/>
      </c>
      <c r="AB38" s="448">
        <f t="shared" si="6"/>
      </c>
      <c r="AC38" s="425">
        <f t="shared" si="7"/>
      </c>
      <c r="AD38" s="426">
        <f t="shared" si="8"/>
      </c>
      <c r="AE38" s="406">
        <f>IF(B38="","",ROUNDUP((G38/VLOOKUP($B38,'2-2_算定表⑤(新・新制度)'!$B$8:$AH$44,9,FALSE)*W38)+(I38/VLOOKUP($B38,'2-2_算定表⑤(新・新制度)'!$B$8:$AH$44,9,FALSE)*X38)+(G38/VLOOKUP($B38,'2-2_算定表⑤(新・新制度)'!$B$8:$AH$44,9,FALSE)*Y38)+(I38/VLOOKUP($B38,'2-2_算定表⑤(新・新制度)'!$B$8:$AH$44,9,FALSE)*Z38)+(G38/VLOOKUP($B38,'2-2_算定表⑤(新・新制度)'!$B$8:$AH$44,9,FALSE)*AA38)+(I38/VLOOKUP($B38,'2-2_算定表⑤(新・新制度)'!$B$8:$AH$44,9,FALSE)*AB38),0))</f>
      </c>
      <c r="AF38" s="403">
        <f t="shared" si="10"/>
      </c>
      <c r="AG38" s="1019">
        <f>IF(B38="","",VLOOKUP($B38,'2-2_算定表⑤(新・新制度)'!$B$8:$AF$65536,31,FALSE))</f>
      </c>
      <c r="AH38" s="1020" t="s">
        <v>182</v>
      </c>
      <c r="AI38" s="1021" t="s">
        <v>182</v>
      </c>
      <c r="AK38" s="61">
        <f t="shared" si="11"/>
      </c>
      <c r="AL38" s="61">
        <f t="shared" si="9"/>
      </c>
    </row>
    <row r="39" spans="1:38" s="66" customFormat="1" ht="18.75" customHeight="1" thickBot="1">
      <c r="A39" s="948" t="s">
        <v>24</v>
      </c>
      <c r="B39" s="1022"/>
      <c r="C39" s="1023"/>
      <c r="D39" s="1023"/>
      <c r="E39" s="1023"/>
      <c r="F39" s="1023"/>
      <c r="G39" s="1023"/>
      <c r="H39" s="1023"/>
      <c r="I39" s="1023"/>
      <c r="J39" s="663">
        <f>SUM(J9:J38)</f>
        <v>0</v>
      </c>
      <c r="K39" s="702" t="s">
        <v>134</v>
      </c>
      <c r="L39" s="703" t="s">
        <v>134</v>
      </c>
      <c r="M39" s="704" t="s">
        <v>134</v>
      </c>
      <c r="N39" s="702" t="s">
        <v>134</v>
      </c>
      <c r="O39" s="703" t="s">
        <v>134</v>
      </c>
      <c r="P39" s="703" t="s">
        <v>134</v>
      </c>
      <c r="Q39" s="703" t="s">
        <v>134</v>
      </c>
      <c r="R39" s="703" t="s">
        <v>134</v>
      </c>
      <c r="S39" s="703" t="s">
        <v>134</v>
      </c>
      <c r="T39" s="703" t="s">
        <v>134</v>
      </c>
      <c r="U39" s="703" t="s">
        <v>134</v>
      </c>
      <c r="V39" s="704" t="s">
        <v>134</v>
      </c>
      <c r="W39" s="432" t="s">
        <v>134</v>
      </c>
      <c r="X39" s="434" t="s">
        <v>134</v>
      </c>
      <c r="Y39" s="432" t="s">
        <v>134</v>
      </c>
      <c r="Z39" s="435" t="s">
        <v>134</v>
      </c>
      <c r="AA39" s="436" t="s">
        <v>134</v>
      </c>
      <c r="AB39" s="437" t="s">
        <v>134</v>
      </c>
      <c r="AC39" s="438" t="s">
        <v>134</v>
      </c>
      <c r="AD39" s="433" t="s">
        <v>134</v>
      </c>
      <c r="AE39" s="663">
        <f>SUM(AE9:AE38)</f>
        <v>0</v>
      </c>
      <c r="AF39" s="407">
        <f>SUM(AF9:AF38)</f>
        <v>0</v>
      </c>
      <c r="AG39" s="1024"/>
      <c r="AH39" s="1025"/>
      <c r="AI39" s="1026"/>
      <c r="AK39" s="67"/>
      <c r="AL39" s="67"/>
    </row>
    <row r="40" spans="1:38" s="68" customFormat="1" ht="16.5" customHeight="1">
      <c r="A40" s="68" t="s">
        <v>26</v>
      </c>
      <c r="B40" s="225"/>
      <c r="C40" s="242"/>
      <c r="AK40" s="69"/>
      <c r="AL40" s="69"/>
    </row>
    <row r="41" spans="1:29" s="164" customFormat="1" ht="14.25" customHeight="1">
      <c r="A41" s="238" t="s">
        <v>217</v>
      </c>
      <c r="B41" s="226"/>
      <c r="C41" s="243"/>
      <c r="Z41" s="165"/>
      <c r="AA41" s="165"/>
      <c r="AC41" s="165"/>
    </row>
    <row r="42" spans="1:38" s="164" customFormat="1" ht="11.25">
      <c r="A42" s="238" t="s">
        <v>64</v>
      </c>
      <c r="C42" s="243"/>
      <c r="AK42" s="165"/>
      <c r="AL42" s="165"/>
    </row>
    <row r="43" spans="1:38" s="164" customFormat="1" ht="10.5" customHeight="1">
      <c r="A43" s="238" t="s">
        <v>156</v>
      </c>
      <c r="B43" s="226"/>
      <c r="C43" s="243"/>
      <c r="AK43" s="165"/>
      <c r="AL43" s="165"/>
    </row>
    <row r="44" spans="2:38" s="68" customFormat="1" ht="10.5" customHeight="1">
      <c r="B44" s="225"/>
      <c r="C44" s="242"/>
      <c r="AK44" s="69"/>
      <c r="AL44" s="69"/>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0">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W6:W8"/>
    <mergeCell ref="X6:X8"/>
    <mergeCell ref="Y6:Y8"/>
    <mergeCell ref="Z6:Z8"/>
    <mergeCell ref="Q7:Q8"/>
    <mergeCell ref="R7:R8"/>
    <mergeCell ref="S7:S8"/>
    <mergeCell ref="T7:T8"/>
    <mergeCell ref="AC6:AC8"/>
    <mergeCell ref="AD6:AD8"/>
    <mergeCell ref="K7:K8"/>
    <mergeCell ref="L7:L8"/>
    <mergeCell ref="M7:M8"/>
    <mergeCell ref="N7:N8"/>
    <mergeCell ref="O7:O8"/>
    <mergeCell ref="P7:P8"/>
    <mergeCell ref="K6:M6"/>
    <mergeCell ref="N6:V6"/>
    <mergeCell ref="AG18:AI18"/>
    <mergeCell ref="AG19:AI19"/>
    <mergeCell ref="U7:U8"/>
    <mergeCell ref="V7:V8"/>
    <mergeCell ref="AK7:AK8"/>
    <mergeCell ref="AL7:AL8"/>
    <mergeCell ref="AG9:AI9"/>
    <mergeCell ref="AG11:AI11"/>
    <mergeCell ref="AA6:AA8"/>
    <mergeCell ref="AB6:AB8"/>
    <mergeCell ref="AG35:AI35"/>
    <mergeCell ref="AG22:AI22"/>
    <mergeCell ref="AG23:AI23"/>
    <mergeCell ref="AG25:AI25"/>
    <mergeCell ref="AG26:AI26"/>
    <mergeCell ref="AG28:AI28"/>
    <mergeCell ref="AG29:AI29"/>
    <mergeCell ref="AG27:AI27"/>
    <mergeCell ref="AG36:AI36"/>
    <mergeCell ref="AG37:AI37"/>
    <mergeCell ref="AG38:AI38"/>
    <mergeCell ref="A39:I39"/>
    <mergeCell ref="AG39:AI39"/>
    <mergeCell ref="AG30:AI30"/>
    <mergeCell ref="AG31:AI31"/>
    <mergeCell ref="AG32:AI32"/>
    <mergeCell ref="AG33:AI33"/>
    <mergeCell ref="AG34:AI34"/>
    <mergeCell ref="AG10:AI10"/>
    <mergeCell ref="AG15:AI15"/>
    <mergeCell ref="AG16:AI16"/>
    <mergeCell ref="AG20:AI20"/>
    <mergeCell ref="AG21:AI21"/>
    <mergeCell ref="AG24:AI24"/>
    <mergeCell ref="AG12:AI12"/>
    <mergeCell ref="AG13:AI13"/>
    <mergeCell ref="AG14:AI14"/>
    <mergeCell ref="AG17:AI17"/>
  </mergeCells>
  <dataValidations count="2">
    <dataValidation type="whole" allowBlank="1" showInputMessage="1" showErrorMessage="1" sqref="B14:B38">
      <formula1>1</formula1>
      <formula2>999999</formula2>
    </dataValidation>
    <dataValidation type="list" allowBlank="1" showInput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tabSelected="1" view="pageBreakPreview" zoomScale="85" zoomScaleNormal="75" zoomScaleSheetLayoutView="85" zoomScalePageLayoutView="0" workbookViewId="0" topLeftCell="A1">
      <selection activeCell="T27" sqref="T27"/>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214</v>
      </c>
      <c r="B1" s="1"/>
    </row>
    <row r="2" spans="1:2" ht="22.5" customHeight="1" thickBot="1">
      <c r="A2" s="1"/>
      <c r="B2" s="1"/>
    </row>
    <row r="3" spans="1:32" ht="24.75" customHeight="1">
      <c r="A3" s="838" t="s">
        <v>22</v>
      </c>
      <c r="B3" s="838"/>
      <c r="C3" s="838"/>
      <c r="D3" s="838"/>
      <c r="E3" s="829"/>
      <c r="F3" s="830"/>
      <c r="G3" s="830"/>
      <c r="H3" s="830"/>
      <c r="I3" s="830"/>
      <c r="J3" s="830"/>
      <c r="K3" s="830"/>
      <c r="L3" s="830"/>
      <c r="M3" s="830"/>
      <c r="N3" s="830"/>
      <c r="O3" s="830"/>
      <c r="P3" s="830"/>
      <c r="Q3" s="830"/>
      <c r="R3" s="830"/>
      <c r="S3" s="830"/>
      <c r="T3" s="830"/>
      <c r="U3" s="831"/>
      <c r="V3" s="827" t="s">
        <v>23</v>
      </c>
      <c r="W3" s="827"/>
      <c r="X3" s="827"/>
      <c r="Y3" s="827"/>
      <c r="Z3" s="806"/>
      <c r="AA3" s="807"/>
      <c r="AB3" s="807"/>
      <c r="AC3" s="807"/>
      <c r="AD3" s="807"/>
      <c r="AE3" s="807"/>
      <c r="AF3" s="808"/>
    </row>
    <row r="4" spans="1:32" ht="24.75" customHeight="1" thickBot="1">
      <c r="A4" s="835" t="s">
        <v>20</v>
      </c>
      <c r="B4" s="836"/>
      <c r="C4" s="836"/>
      <c r="D4" s="837"/>
      <c r="E4" s="832"/>
      <c r="F4" s="833"/>
      <c r="G4" s="833"/>
      <c r="H4" s="833"/>
      <c r="I4" s="833"/>
      <c r="J4" s="833"/>
      <c r="K4" s="833"/>
      <c r="L4" s="833"/>
      <c r="M4" s="833"/>
      <c r="N4" s="833"/>
      <c r="O4" s="833"/>
      <c r="P4" s="833"/>
      <c r="Q4" s="833"/>
      <c r="R4" s="833"/>
      <c r="S4" s="833"/>
      <c r="T4" s="833"/>
      <c r="U4" s="834"/>
      <c r="V4" s="828" t="s">
        <v>21</v>
      </c>
      <c r="W4" s="828"/>
      <c r="X4" s="828"/>
      <c r="Y4" s="828"/>
      <c r="Z4" s="809"/>
      <c r="AA4" s="810"/>
      <c r="AB4" s="810"/>
      <c r="AC4" s="810"/>
      <c r="AD4" s="811"/>
      <c r="AE4" s="810"/>
      <c r="AF4" s="812"/>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814" t="s">
        <v>30</v>
      </c>
      <c r="B7" s="815"/>
      <c r="C7" s="815"/>
      <c r="D7" s="815"/>
      <c r="E7" s="815"/>
      <c r="F7" s="815"/>
      <c r="G7" s="815"/>
      <c r="H7" s="815"/>
      <c r="I7" s="815"/>
      <c r="J7" s="815"/>
      <c r="K7" s="815"/>
      <c r="L7" s="816"/>
      <c r="M7" s="7"/>
      <c r="N7" s="7" t="s">
        <v>223</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814" t="s">
        <v>31</v>
      </c>
      <c r="B10" s="815"/>
      <c r="C10" s="815"/>
      <c r="D10" s="815"/>
      <c r="E10" s="815"/>
      <c r="F10" s="815"/>
      <c r="G10" s="815"/>
      <c r="H10" s="815"/>
      <c r="I10" s="815"/>
      <c r="J10" s="815"/>
      <c r="K10" s="815"/>
      <c r="L10" s="816"/>
      <c r="M10" s="7"/>
      <c r="N10" s="7" t="s">
        <v>224</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814" t="s">
        <v>32</v>
      </c>
      <c r="B13" s="815"/>
      <c r="C13" s="815"/>
      <c r="D13" s="815"/>
      <c r="E13" s="815"/>
      <c r="F13" s="815"/>
      <c r="G13" s="815"/>
      <c r="H13" s="815"/>
      <c r="I13" s="815"/>
      <c r="J13" s="815"/>
      <c r="K13" s="815"/>
      <c r="L13" s="816"/>
      <c r="M13" s="7"/>
      <c r="N13" s="7" t="s">
        <v>225</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771"/>
      <c r="U15" s="771"/>
      <c r="V15" s="3"/>
      <c r="W15" s="3"/>
      <c r="X15" s="3"/>
      <c r="Y15" s="3"/>
      <c r="Z15" s="3"/>
      <c r="AA15" s="3"/>
      <c r="AB15" s="3"/>
      <c r="AC15" s="3"/>
      <c r="AD15" s="3"/>
      <c r="AE15" s="3"/>
      <c r="AF15" s="4"/>
    </row>
    <row r="16" spans="1:32" ht="22.5" customHeight="1">
      <c r="A16" s="814" t="s">
        <v>33</v>
      </c>
      <c r="B16" s="815"/>
      <c r="C16" s="815"/>
      <c r="D16" s="815"/>
      <c r="E16" s="815"/>
      <c r="F16" s="815"/>
      <c r="G16" s="815"/>
      <c r="H16" s="815"/>
      <c r="I16" s="815"/>
      <c r="J16" s="815"/>
      <c r="K16" s="815"/>
      <c r="L16" s="816"/>
      <c r="M16" s="7"/>
      <c r="N16" s="817">
        <v>43555</v>
      </c>
      <c r="O16" s="817"/>
      <c r="P16" s="817"/>
      <c r="Q16" s="817"/>
      <c r="R16" s="817"/>
      <c r="S16" s="817"/>
      <c r="T16" s="817"/>
      <c r="U16" s="817"/>
      <c r="V16" s="817"/>
      <c r="W16" s="817"/>
      <c r="X16" s="817"/>
      <c r="Y16" s="817"/>
      <c r="Z16" s="817"/>
      <c r="AA16" s="817"/>
      <c r="AB16" s="817"/>
      <c r="AC16" s="817"/>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814" t="s">
        <v>34</v>
      </c>
      <c r="B19" s="815"/>
      <c r="C19" s="815"/>
      <c r="D19" s="815"/>
      <c r="E19" s="815"/>
      <c r="F19" s="815"/>
      <c r="G19" s="815"/>
      <c r="H19" s="815"/>
      <c r="I19" s="815"/>
      <c r="J19" s="815"/>
      <c r="K19" s="815"/>
      <c r="L19" s="816"/>
      <c r="M19" s="7"/>
      <c r="N19" s="7" t="s">
        <v>36</v>
      </c>
      <c r="O19" s="7"/>
      <c r="P19" s="7"/>
      <c r="Q19" s="7"/>
      <c r="R19" s="7"/>
      <c r="S19" s="7"/>
      <c r="T19" s="7"/>
      <c r="U19" s="7"/>
      <c r="V19" s="7"/>
      <c r="W19" s="7"/>
      <c r="X19" s="7"/>
      <c r="Y19" s="7"/>
      <c r="Z19" s="7"/>
      <c r="AA19" s="7"/>
      <c r="AB19" s="7"/>
      <c r="AC19" s="7"/>
      <c r="AD19" s="7"/>
      <c r="AE19" s="7"/>
      <c r="AF19" s="8"/>
    </row>
    <row r="20" spans="1:32" ht="22.5" customHeight="1">
      <c r="A20" s="814"/>
      <c r="B20" s="815"/>
      <c r="C20" s="815"/>
      <c r="D20" s="815"/>
      <c r="E20" s="815"/>
      <c r="F20" s="815"/>
      <c r="G20" s="815"/>
      <c r="H20" s="815"/>
      <c r="I20" s="815"/>
      <c r="J20" s="815"/>
      <c r="K20" s="815"/>
      <c r="L20" s="816"/>
      <c r="M20" s="7"/>
      <c r="N20" s="7" t="s">
        <v>226</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t="s">
        <v>397</v>
      </c>
      <c r="B23" s="19"/>
      <c r="C23" s="19"/>
      <c r="D23" s="19"/>
      <c r="E23" s="19"/>
      <c r="F23" s="19"/>
      <c r="G23" s="19"/>
      <c r="H23" s="19"/>
      <c r="I23" s="19"/>
      <c r="J23" s="19"/>
      <c r="K23" s="19"/>
      <c r="L23" s="20"/>
      <c r="M23" s="7"/>
      <c r="N23" s="29"/>
      <c r="O23" s="7" t="s">
        <v>37</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38</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818"/>
      <c r="P26" s="819"/>
      <c r="Q26" s="819"/>
      <c r="R26" s="819"/>
      <c r="S26" s="819"/>
      <c r="T26" s="819"/>
      <c r="U26" s="819"/>
      <c r="V26" s="819"/>
      <c r="W26" s="819"/>
      <c r="X26" s="819"/>
      <c r="Y26" s="819"/>
      <c r="Z26" s="819"/>
      <c r="AA26" s="819"/>
      <c r="AB26" s="819"/>
      <c r="AC26" s="819"/>
      <c r="AD26" s="819"/>
      <c r="AE26" s="820"/>
      <c r="AF26" s="8"/>
    </row>
    <row r="27" spans="1:32" ht="22.5" customHeight="1">
      <c r="A27" s="5"/>
      <c r="B27" s="6"/>
      <c r="C27" s="6"/>
      <c r="D27" s="6"/>
      <c r="E27" s="6"/>
      <c r="F27" s="6"/>
      <c r="G27" s="6"/>
      <c r="H27" s="6"/>
      <c r="I27" s="6"/>
      <c r="J27" s="6"/>
      <c r="K27" s="6"/>
      <c r="L27" s="11"/>
      <c r="M27" s="7"/>
      <c r="N27" s="7"/>
      <c r="O27" s="821"/>
      <c r="P27" s="822"/>
      <c r="Q27" s="822"/>
      <c r="R27" s="822"/>
      <c r="S27" s="822"/>
      <c r="T27" s="822"/>
      <c r="U27" s="822"/>
      <c r="V27" s="822"/>
      <c r="W27" s="822"/>
      <c r="X27" s="822"/>
      <c r="Y27" s="822"/>
      <c r="Z27" s="822"/>
      <c r="AA27" s="822"/>
      <c r="AB27" s="822"/>
      <c r="AC27" s="822"/>
      <c r="AD27" s="822"/>
      <c r="AE27" s="823"/>
      <c r="AF27" s="8"/>
    </row>
    <row r="28" spans="1:32" ht="22.5" customHeight="1">
      <c r="A28" s="814" t="s">
        <v>35</v>
      </c>
      <c r="B28" s="815"/>
      <c r="C28" s="815"/>
      <c r="D28" s="815"/>
      <c r="E28" s="815"/>
      <c r="F28" s="815"/>
      <c r="G28" s="815"/>
      <c r="H28" s="815"/>
      <c r="I28" s="815"/>
      <c r="J28" s="815"/>
      <c r="K28" s="815"/>
      <c r="L28" s="816"/>
      <c r="M28" s="7"/>
      <c r="N28" s="7"/>
      <c r="O28" s="821"/>
      <c r="P28" s="822"/>
      <c r="Q28" s="822"/>
      <c r="R28" s="822"/>
      <c r="S28" s="822"/>
      <c r="T28" s="822"/>
      <c r="U28" s="822"/>
      <c r="V28" s="822"/>
      <c r="W28" s="822"/>
      <c r="X28" s="822"/>
      <c r="Y28" s="822"/>
      <c r="Z28" s="822"/>
      <c r="AA28" s="822"/>
      <c r="AB28" s="822"/>
      <c r="AC28" s="822"/>
      <c r="AD28" s="822"/>
      <c r="AE28" s="823"/>
      <c r="AF28" s="8"/>
    </row>
    <row r="29" spans="1:32" ht="22.5" customHeight="1">
      <c r="A29" s="5"/>
      <c r="B29" s="6"/>
      <c r="C29" s="6"/>
      <c r="D29" s="6"/>
      <c r="E29" s="6"/>
      <c r="F29" s="6"/>
      <c r="G29" s="6"/>
      <c r="H29" s="6"/>
      <c r="I29" s="6"/>
      <c r="J29" s="6"/>
      <c r="K29" s="6"/>
      <c r="L29" s="11"/>
      <c r="M29" s="7"/>
      <c r="N29" s="7"/>
      <c r="O29" s="824"/>
      <c r="P29" s="825"/>
      <c r="Q29" s="825"/>
      <c r="R29" s="825"/>
      <c r="S29" s="825"/>
      <c r="T29" s="825"/>
      <c r="U29" s="825"/>
      <c r="V29" s="825"/>
      <c r="W29" s="825"/>
      <c r="X29" s="825"/>
      <c r="Y29" s="825"/>
      <c r="Z29" s="825"/>
      <c r="AA29" s="825"/>
      <c r="AB29" s="825"/>
      <c r="AC29" s="825"/>
      <c r="AD29" s="825"/>
      <c r="AE29" s="826"/>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39</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813"/>
      <c r="P33" s="813"/>
      <c r="Q33" s="813"/>
      <c r="R33" s="813"/>
      <c r="S33" s="813"/>
      <c r="T33" s="813"/>
      <c r="U33" s="19" t="s">
        <v>40</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295"/>
      <c r="F35" s="295"/>
      <c r="G35" s="295"/>
      <c r="H35" s="295"/>
      <c r="I35" s="295"/>
      <c r="J35" s="19"/>
      <c r="K35" s="19"/>
      <c r="L35" s="20"/>
      <c r="M35" s="7"/>
      <c r="N35" s="7"/>
      <c r="O35" s="813"/>
      <c r="P35" s="813"/>
      <c r="Q35" s="813"/>
      <c r="R35" s="813"/>
      <c r="S35" s="813"/>
      <c r="T35" s="813"/>
      <c r="U35" s="7" t="s">
        <v>41</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271" t="s">
        <v>26</v>
      </c>
      <c r="B37" s="166"/>
    </row>
    <row r="38" s="166" customFormat="1" ht="12.75" customHeight="1">
      <c r="A38" s="271" t="s">
        <v>192</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V3:Y3"/>
    <mergeCell ref="V4:Y4"/>
    <mergeCell ref="E3:U3"/>
    <mergeCell ref="E4:U4"/>
    <mergeCell ref="A7:L7"/>
    <mergeCell ref="A10:L10"/>
    <mergeCell ref="A4:D4"/>
    <mergeCell ref="A3:D3"/>
    <mergeCell ref="Z3:AF3"/>
    <mergeCell ref="Z4:AF4"/>
    <mergeCell ref="O35:T35"/>
    <mergeCell ref="A28:L28"/>
    <mergeCell ref="A13:L13"/>
    <mergeCell ref="A16:L16"/>
    <mergeCell ref="N16:AC16"/>
    <mergeCell ref="A19:L20"/>
    <mergeCell ref="O26:AE29"/>
    <mergeCell ref="O33:T3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W37"/>
  <sheetViews>
    <sheetView tabSelected="1" view="pageBreakPreview" zoomScale="70" zoomScaleNormal="75" zoomScaleSheetLayoutView="70" zoomScalePageLayoutView="0" workbookViewId="0" topLeftCell="A1">
      <pane xSplit="1" ySplit="8" topLeftCell="B9" activePane="bottomRight" state="frozen"/>
      <selection pane="topLeft" activeCell="T27" sqref="T27"/>
      <selection pane="topRight" activeCell="T27" sqref="T27"/>
      <selection pane="bottomLeft" activeCell="T27" sqref="T27"/>
      <selection pane="bottomRight" activeCell="T27" sqref="T27"/>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286" customWidth="1"/>
    <col min="15" max="15" width="8.25390625" style="286" customWidth="1"/>
    <col min="16" max="16" width="14.875" style="286" customWidth="1"/>
    <col min="17" max="17" width="8.25390625" style="286" customWidth="1"/>
    <col min="18" max="18" width="14.875" style="286" customWidth="1"/>
    <col min="19" max="19" width="3.125" style="40" customWidth="1"/>
    <col min="20" max="21" width="5.625" style="40" customWidth="1"/>
    <col min="22" max="22" width="8.25390625" style="40" customWidth="1"/>
    <col min="23" max="16384" width="9.625" style="40" customWidth="1"/>
  </cols>
  <sheetData>
    <row r="1" ht="18.75" customHeight="1" thickBot="1">
      <c r="A1" s="38" t="s">
        <v>215</v>
      </c>
    </row>
    <row r="2" spans="9:18" ht="24.75" customHeight="1" thickBot="1">
      <c r="I2" s="107"/>
      <c r="J2" s="340"/>
      <c r="K2" s="340"/>
      <c r="L2" s="839" t="s">
        <v>22</v>
      </c>
      <c r="M2" s="840"/>
      <c r="N2" s="843">
        <f>'1_総括表'!E3</f>
        <v>0</v>
      </c>
      <c r="O2" s="844"/>
      <c r="P2" s="839" t="s">
        <v>23</v>
      </c>
      <c r="Q2" s="840"/>
      <c r="R2" s="157">
        <f>'1_総括表'!Z3</f>
        <v>0</v>
      </c>
    </row>
    <row r="3" spans="1:18" ht="24.75" customHeight="1" thickBot="1">
      <c r="A3" s="38"/>
      <c r="F3" s="107"/>
      <c r="G3" s="107"/>
      <c r="I3" s="107"/>
      <c r="J3" s="340"/>
      <c r="K3" s="340"/>
      <c r="L3" s="841" t="s">
        <v>20</v>
      </c>
      <c r="M3" s="842"/>
      <c r="N3" s="843">
        <f>'1_総括表'!E4</f>
        <v>0</v>
      </c>
      <c r="O3" s="844"/>
      <c r="P3" s="841" t="s">
        <v>21</v>
      </c>
      <c r="Q3" s="842"/>
      <c r="R3" s="341">
        <f>'1_総括表'!Z4</f>
        <v>0</v>
      </c>
    </row>
    <row r="4" spans="1:9" ht="18.75" customHeight="1" thickBot="1">
      <c r="A4" s="272" t="s">
        <v>193</v>
      </c>
      <c r="F4" s="108"/>
      <c r="G4" s="108"/>
      <c r="H4" s="108"/>
      <c r="I4" s="108"/>
    </row>
    <row r="5" spans="1:18" s="44" customFormat="1" ht="19.5" customHeight="1" thickBot="1">
      <c r="A5" s="109" t="s">
        <v>14</v>
      </c>
      <c r="B5" s="877" t="s">
        <v>104</v>
      </c>
      <c r="C5" s="276"/>
      <c r="D5" s="277"/>
      <c r="E5" s="878" t="s">
        <v>139</v>
      </c>
      <c r="F5" s="151"/>
      <c r="G5" s="152"/>
      <c r="H5" s="880" t="s">
        <v>126</v>
      </c>
      <c r="I5" s="882" t="s">
        <v>127</v>
      </c>
      <c r="J5" s="882" t="s">
        <v>128</v>
      </c>
      <c r="K5" s="872" t="s">
        <v>207</v>
      </c>
      <c r="L5" s="873"/>
      <c r="M5" s="873"/>
      <c r="N5" s="874"/>
      <c r="O5" s="875" t="s">
        <v>218</v>
      </c>
      <c r="P5" s="876"/>
      <c r="Q5" s="875" t="s">
        <v>208</v>
      </c>
      <c r="R5" s="876"/>
    </row>
    <row r="6" spans="1:20" s="44" customFormat="1" ht="38.25" customHeight="1" thickBot="1">
      <c r="A6" s="868" t="s">
        <v>98</v>
      </c>
      <c r="B6" s="878"/>
      <c r="C6" s="278" t="s">
        <v>188</v>
      </c>
      <c r="D6" s="278" t="s">
        <v>60</v>
      </c>
      <c r="E6" s="879"/>
      <c r="F6" s="110" t="s">
        <v>120</v>
      </c>
      <c r="G6" s="112" t="s">
        <v>103</v>
      </c>
      <c r="H6" s="881"/>
      <c r="I6" s="878"/>
      <c r="J6" s="883"/>
      <c r="K6" s="251" t="s">
        <v>18</v>
      </c>
      <c r="L6" s="329" t="s">
        <v>43</v>
      </c>
      <c r="M6" s="330" t="s">
        <v>42</v>
      </c>
      <c r="N6" s="328" t="s">
        <v>61</v>
      </c>
      <c r="O6" s="327" t="s">
        <v>42</v>
      </c>
      <c r="P6" s="374" t="s">
        <v>61</v>
      </c>
      <c r="Q6" s="331" t="s">
        <v>42</v>
      </c>
      <c r="R6" s="332" t="s">
        <v>61</v>
      </c>
      <c r="T6" s="114" t="s">
        <v>63</v>
      </c>
    </row>
    <row r="7" spans="1:20" s="44" customFormat="1" ht="20.25" customHeight="1" thickBot="1">
      <c r="A7" s="869"/>
      <c r="B7" s="48" t="s">
        <v>105</v>
      </c>
      <c r="C7" s="48" t="s">
        <v>106</v>
      </c>
      <c r="D7" s="48" t="s">
        <v>107</v>
      </c>
      <c r="E7" s="48" t="s">
        <v>123</v>
      </c>
      <c r="F7" s="115" t="s">
        <v>108</v>
      </c>
      <c r="G7" s="117" t="s">
        <v>109</v>
      </c>
      <c r="H7" s="147" t="s">
        <v>110</v>
      </c>
      <c r="I7" s="48" t="s">
        <v>111</v>
      </c>
      <c r="J7" s="47" t="s">
        <v>112</v>
      </c>
      <c r="K7" s="115"/>
      <c r="L7" s="116"/>
      <c r="M7" s="117"/>
      <c r="N7" s="323"/>
      <c r="O7" s="324"/>
      <c r="P7" s="375"/>
      <c r="Q7" s="333"/>
      <c r="R7" s="334"/>
      <c r="T7" s="119"/>
    </row>
    <row r="8" spans="1:18" s="126" customFormat="1" ht="20.25" customHeight="1" thickBot="1">
      <c r="A8" s="120"/>
      <c r="B8" s="121" t="s">
        <v>16</v>
      </c>
      <c r="C8" s="121" t="s">
        <v>16</v>
      </c>
      <c r="D8" s="121" t="s">
        <v>16</v>
      </c>
      <c r="E8" s="121" t="s">
        <v>124</v>
      </c>
      <c r="F8" s="122" t="s">
        <v>121</v>
      </c>
      <c r="G8" s="124" t="s">
        <v>122</v>
      </c>
      <c r="H8" s="148" t="s">
        <v>19</v>
      </c>
      <c r="I8" s="121" t="s">
        <v>19</v>
      </c>
      <c r="J8" s="121" t="s">
        <v>19</v>
      </c>
      <c r="K8" s="122"/>
      <c r="L8" s="123" t="s">
        <v>17</v>
      </c>
      <c r="M8" s="124" t="s">
        <v>16</v>
      </c>
      <c r="N8" s="325" t="s">
        <v>17</v>
      </c>
      <c r="O8" s="326" t="s">
        <v>16</v>
      </c>
      <c r="P8" s="376" t="s">
        <v>17</v>
      </c>
      <c r="Q8" s="335" t="s">
        <v>16</v>
      </c>
      <c r="R8" s="336" t="s">
        <v>17</v>
      </c>
    </row>
    <row r="9" spans="1:20" s="44" customFormat="1" ht="18" customHeight="1" thickBot="1">
      <c r="A9" s="865">
        <v>1</v>
      </c>
      <c r="B9" s="870"/>
      <c r="C9" s="870"/>
      <c r="D9" s="870"/>
      <c r="E9" s="871"/>
      <c r="F9" s="153"/>
      <c r="G9" s="154"/>
      <c r="H9" s="149">
        <f>IF(F9="","",IF(ISERROR(F9+ROUNDDOWN(G9*3/74,0)),"",F9+ROUNDDOWN(G9*3/74,0)))</f>
      </c>
      <c r="I9" s="128">
        <f>IF(H9="","",IF(H9&gt;10032,10032,H9))</f>
      </c>
      <c r="J9" s="127">
        <f>IF(H9="","",MIN(H9,I9))</f>
      </c>
      <c r="K9" s="129" t="s">
        <v>74</v>
      </c>
      <c r="L9" s="71">
        <v>1532</v>
      </c>
      <c r="M9" s="369"/>
      <c r="N9" s="370"/>
      <c r="O9" s="364">
        <f>SUMIF('2-2_算定表①(旧々・旧制度)'!$AL:$AL,$T9,'2-2_算定表①(旧々・旧制度)'!$AM:$AM)</f>
        <v>0</v>
      </c>
      <c r="P9" s="377">
        <f>SUMIF('2-2_算定表①(旧々・旧制度)'!$AL:$AL,$T9,'2-2_算定表①(旧々・旧制度)'!$AG:$AG)</f>
        <v>0</v>
      </c>
      <c r="Q9" s="354">
        <f>O9-M9</f>
        <v>0</v>
      </c>
      <c r="R9" s="355">
        <f>P9-N9</f>
        <v>0</v>
      </c>
      <c r="T9" s="131" t="str">
        <f>ASC($A$9&amp;$K9)</f>
        <v>1A</v>
      </c>
    </row>
    <row r="10" spans="1:22" s="44" customFormat="1" ht="18" customHeight="1" thickBot="1">
      <c r="A10" s="865"/>
      <c r="B10" s="861"/>
      <c r="C10" s="861"/>
      <c r="D10" s="861"/>
      <c r="E10" s="863"/>
      <c r="F10" s="153"/>
      <c r="G10" s="154"/>
      <c r="H10" s="149">
        <f>IF(F10="","",IF(ISERROR(F10+ROUNDDOWN(G10*3/74,0)),"",F10+ROUNDDOWN(G10*3/74,0)))</f>
      </c>
      <c r="I10" s="128">
        <f aca="true" t="shared" si="0" ref="I10:I24">IF(H10="","",IF(H10&gt;10032,10032,H10))</f>
      </c>
      <c r="J10" s="127">
        <f>IF(H10="","",MIN(H10,I10))</f>
      </c>
      <c r="K10" s="132" t="s">
        <v>80</v>
      </c>
      <c r="L10" s="133">
        <v>2814</v>
      </c>
      <c r="M10" s="371"/>
      <c r="N10" s="372"/>
      <c r="O10" s="354">
        <f>SUMIF('2-2_算定表①(旧々・旧制度)'!$AL:$AL,$T10,'2-2_算定表①(旧々・旧制度)'!$AM:$AM)</f>
        <v>0</v>
      </c>
      <c r="P10" s="377">
        <f>SUMIF('2-2_算定表①(旧々・旧制度)'!$AL:$AL,$T10,'2-2_算定表①(旧々・旧制度)'!$AG:$AG)</f>
        <v>0</v>
      </c>
      <c r="Q10" s="354">
        <f aca="true" t="shared" si="1" ref="Q10:Q27">O10-M10</f>
        <v>0</v>
      </c>
      <c r="R10" s="355">
        <f aca="true" t="shared" si="2" ref="R10:R27">P10-N10</f>
        <v>0</v>
      </c>
      <c r="T10" s="135" t="str">
        <f>ASC($A$9&amp;$K10)</f>
        <v>1B</v>
      </c>
      <c r="V10" s="55" t="s">
        <v>5</v>
      </c>
    </row>
    <row r="11" spans="1:20" s="44" customFormat="1" ht="18" customHeight="1" thickBot="1">
      <c r="A11" s="865"/>
      <c r="B11" s="861"/>
      <c r="C11" s="861"/>
      <c r="D11" s="861"/>
      <c r="E11" s="863"/>
      <c r="F11" s="153"/>
      <c r="G11" s="154"/>
      <c r="H11" s="149">
        <f aca="true" t="shared" si="3" ref="H11:H24">IF(F11="","",IF(ISERROR(F11+ROUNDDOWN(G11*3/74,0)),"",F11+ROUNDDOWN(G11*3/74,0)))</f>
      </c>
      <c r="I11" s="128">
        <f t="shared" si="0"/>
      </c>
      <c r="J11" s="127">
        <f>IF(H11="","",MIN(H11,I11))</f>
      </c>
      <c r="K11" s="132" t="s">
        <v>158</v>
      </c>
      <c r="L11" s="169" t="s">
        <v>134</v>
      </c>
      <c r="M11" s="371"/>
      <c r="N11" s="372"/>
      <c r="O11" s="352">
        <f>SUMIF('2-2_算定表①(旧々・旧制度)'!$AL:$AL,$T11,'2-2_算定表①(旧々・旧制度)'!$AM:$AM)</f>
        <v>0</v>
      </c>
      <c r="P11" s="377">
        <f>SUMIF('2-2_算定表①(旧々・旧制度)'!$AL:$AL,$T11,'2-2_算定表①(旧々・旧制度)'!$AG:$AG)</f>
        <v>0</v>
      </c>
      <c r="Q11" s="358">
        <f t="shared" si="1"/>
        <v>0</v>
      </c>
      <c r="R11" s="359">
        <f t="shared" si="2"/>
        <v>0</v>
      </c>
      <c r="T11" s="135" t="str">
        <f>ASC($A$9&amp;$K11)</f>
        <v>1D</v>
      </c>
    </row>
    <row r="12" spans="1:23" s="44" customFormat="1" ht="18" customHeight="1" thickBot="1" thickTop="1">
      <c r="A12" s="865"/>
      <c r="B12" s="861"/>
      <c r="C12" s="861"/>
      <c r="D12" s="861"/>
      <c r="E12" s="864"/>
      <c r="F12" s="155"/>
      <c r="G12" s="156"/>
      <c r="H12" s="150">
        <f t="shared" si="3"/>
      </c>
      <c r="I12" s="137">
        <f t="shared" si="0"/>
      </c>
      <c r="J12" s="136">
        <f>IF(H12="","",MIN(H12,I12))</f>
      </c>
      <c r="K12" s="848" t="s">
        <v>99</v>
      </c>
      <c r="L12" s="849"/>
      <c r="M12" s="360">
        <f aca="true" t="shared" si="4" ref="M12:R12">SUM(M9:M11)</f>
        <v>0</v>
      </c>
      <c r="N12" s="361">
        <f t="shared" si="4"/>
        <v>0</v>
      </c>
      <c r="O12" s="362">
        <f t="shared" si="4"/>
        <v>0</v>
      </c>
      <c r="P12" s="379">
        <f t="shared" si="4"/>
        <v>0</v>
      </c>
      <c r="Q12" s="362">
        <f t="shared" si="4"/>
        <v>0</v>
      </c>
      <c r="R12" s="363">
        <f t="shared" si="4"/>
        <v>0</v>
      </c>
      <c r="V12" s="139" t="s">
        <v>6</v>
      </c>
      <c r="W12" s="62" t="str">
        <f>IF(D9&gt;=O12,"OK","ERR")</f>
        <v>OK</v>
      </c>
    </row>
    <row r="13" spans="1:23" s="44" customFormat="1" ht="18" customHeight="1" thickBot="1" thickTop="1">
      <c r="A13" s="866">
        <v>2</v>
      </c>
      <c r="B13" s="861"/>
      <c r="C13" s="861"/>
      <c r="D13" s="861"/>
      <c r="E13" s="862"/>
      <c r="F13" s="153"/>
      <c r="G13" s="154"/>
      <c r="H13" s="149">
        <f t="shared" si="3"/>
      </c>
      <c r="I13" s="128">
        <f t="shared" si="0"/>
      </c>
      <c r="J13" s="127">
        <f>IF(H13="","",MIN(H13,I13))</f>
      </c>
      <c r="K13" s="140" t="s">
        <v>74</v>
      </c>
      <c r="L13" s="141">
        <v>1532</v>
      </c>
      <c r="M13" s="369"/>
      <c r="N13" s="370"/>
      <c r="O13" s="364">
        <f>SUMIF('2-2_算定表①(旧々・旧制度)'!$AL:$AL,$T13,'2-2_算定表①(旧々・旧制度)'!$AM:$AM)</f>
        <v>0</v>
      </c>
      <c r="P13" s="377">
        <f>SUMIF('2-2_算定表①(旧々・旧制度)'!$AL:$AL,$T13,'2-2_算定表①(旧々・旧制度)'!$AG:$AG)</f>
        <v>0</v>
      </c>
      <c r="Q13" s="364">
        <f t="shared" si="1"/>
        <v>0</v>
      </c>
      <c r="R13" s="365">
        <f t="shared" si="2"/>
        <v>0</v>
      </c>
      <c r="T13" s="131" t="str">
        <f>ASC($A$13&amp;$K13)</f>
        <v>2A</v>
      </c>
      <c r="V13" s="139" t="s">
        <v>7</v>
      </c>
      <c r="W13" s="62" t="str">
        <f>IF(D13&gt;=O16,"OK","ERR")</f>
        <v>OK</v>
      </c>
    </row>
    <row r="14" spans="1:23" s="44" customFormat="1" ht="18" customHeight="1" thickBot="1" thickTop="1">
      <c r="A14" s="865"/>
      <c r="B14" s="861"/>
      <c r="C14" s="861"/>
      <c r="D14" s="861"/>
      <c r="E14" s="863"/>
      <c r="F14" s="153"/>
      <c r="G14" s="154"/>
      <c r="H14" s="149">
        <f t="shared" si="3"/>
      </c>
      <c r="I14" s="128">
        <f t="shared" si="0"/>
      </c>
      <c r="J14" s="127">
        <f aca="true" t="shared" si="5" ref="J14:J20">IF(H14="","",MIN(H14,I14))</f>
      </c>
      <c r="K14" s="142" t="s">
        <v>80</v>
      </c>
      <c r="L14" s="143">
        <v>2814</v>
      </c>
      <c r="M14" s="371"/>
      <c r="N14" s="372"/>
      <c r="O14" s="354">
        <f>SUMIF('2-2_算定表①(旧々・旧制度)'!$AL:$AL,$T14,'2-2_算定表①(旧々・旧制度)'!$AM:$AM)</f>
        <v>0</v>
      </c>
      <c r="P14" s="377">
        <f>SUMIF('2-2_算定表①(旧々・旧制度)'!$AL:$AL,$T14,'2-2_算定表①(旧々・旧制度)'!$AG:$AG)</f>
        <v>0</v>
      </c>
      <c r="Q14" s="354">
        <f t="shared" si="1"/>
        <v>0</v>
      </c>
      <c r="R14" s="355">
        <f t="shared" si="2"/>
        <v>0</v>
      </c>
      <c r="T14" s="135" t="str">
        <f>ASC($A$13&amp;$K14)</f>
        <v>2B</v>
      </c>
      <c r="V14" s="139" t="s">
        <v>8</v>
      </c>
      <c r="W14" s="62" t="str">
        <f>IF(D17&gt;=O20,"OK","ERR")</f>
        <v>OK</v>
      </c>
    </row>
    <row r="15" spans="1:23" s="44" customFormat="1" ht="18" customHeight="1" thickBot="1" thickTop="1">
      <c r="A15" s="865"/>
      <c r="B15" s="861"/>
      <c r="C15" s="861"/>
      <c r="D15" s="861"/>
      <c r="E15" s="863"/>
      <c r="F15" s="153"/>
      <c r="G15" s="154"/>
      <c r="H15" s="149">
        <f t="shared" si="3"/>
      </c>
      <c r="I15" s="128">
        <f t="shared" si="0"/>
      </c>
      <c r="J15" s="127">
        <f t="shared" si="5"/>
      </c>
      <c r="K15" s="142" t="s">
        <v>159</v>
      </c>
      <c r="L15" s="170" t="s">
        <v>134</v>
      </c>
      <c r="M15" s="371"/>
      <c r="N15" s="372"/>
      <c r="O15" s="352">
        <f>SUMIF('2-2_算定表①(旧々・旧制度)'!$AL:$AL,$T15,'2-2_算定表①(旧々・旧制度)'!$AM:$AM)</f>
        <v>0</v>
      </c>
      <c r="P15" s="377">
        <f>SUMIF('2-2_算定表①(旧々・旧制度)'!$AL:$AL,$T15,'2-2_算定表①(旧々・旧制度)'!$AG:$AG)</f>
        <v>0</v>
      </c>
      <c r="Q15" s="358">
        <f t="shared" si="1"/>
        <v>0</v>
      </c>
      <c r="R15" s="359">
        <f t="shared" si="2"/>
        <v>0</v>
      </c>
      <c r="T15" s="761" t="str">
        <f>ASC($A$13&amp;$K15)</f>
        <v>2D</v>
      </c>
      <c r="U15" s="762"/>
      <c r="V15" s="139" t="s">
        <v>153</v>
      </c>
      <c r="W15" s="62" t="str">
        <f>IF(D21&gt;=O24,"OK","ERR")</f>
        <v>OK</v>
      </c>
    </row>
    <row r="16" spans="1:22" s="44" customFormat="1" ht="18" customHeight="1" thickBot="1">
      <c r="A16" s="867"/>
      <c r="B16" s="861"/>
      <c r="C16" s="861"/>
      <c r="D16" s="861"/>
      <c r="E16" s="864"/>
      <c r="F16" s="155"/>
      <c r="G16" s="156"/>
      <c r="H16" s="150">
        <f t="shared" si="3"/>
      </c>
      <c r="I16" s="137">
        <f t="shared" si="0"/>
      </c>
      <c r="J16" s="136">
        <f t="shared" si="5"/>
      </c>
      <c r="K16" s="848" t="s">
        <v>100</v>
      </c>
      <c r="L16" s="849"/>
      <c r="M16" s="360">
        <f aca="true" t="shared" si="6" ref="M16:R16">SUM(M13:M15)</f>
        <v>0</v>
      </c>
      <c r="N16" s="361">
        <f t="shared" si="6"/>
        <v>0</v>
      </c>
      <c r="O16" s="366">
        <f t="shared" si="6"/>
        <v>0</v>
      </c>
      <c r="P16" s="549">
        <f t="shared" si="6"/>
        <v>0</v>
      </c>
      <c r="Q16" s="362">
        <f t="shared" si="6"/>
        <v>0</v>
      </c>
      <c r="R16" s="363">
        <f t="shared" si="6"/>
        <v>0</v>
      </c>
      <c r="V16" s="55" t="s">
        <v>10</v>
      </c>
    </row>
    <row r="17" spans="1:23" s="44" customFormat="1" ht="18" customHeight="1" thickBot="1" thickTop="1">
      <c r="A17" s="865">
        <v>3</v>
      </c>
      <c r="B17" s="861"/>
      <c r="C17" s="861"/>
      <c r="D17" s="861"/>
      <c r="E17" s="862"/>
      <c r="F17" s="153"/>
      <c r="G17" s="154"/>
      <c r="H17" s="149">
        <f t="shared" si="3"/>
      </c>
      <c r="I17" s="128">
        <f t="shared" si="0"/>
      </c>
      <c r="J17" s="127">
        <f t="shared" si="5"/>
      </c>
      <c r="K17" s="144" t="s">
        <v>74</v>
      </c>
      <c r="L17" s="145">
        <v>1532</v>
      </c>
      <c r="M17" s="373"/>
      <c r="N17" s="544"/>
      <c r="O17" s="552">
        <f>SUMIF('2-2_算定表①(旧々・旧制度)'!$AL:$AL,$T17,'2-2_算定表①(旧々・旧制度)'!$AM:$AM)</f>
        <v>0</v>
      </c>
      <c r="P17" s="553">
        <f>SUMIF('2-2_算定表①(旧々・旧制度)'!$AL:$AL,$T17,'2-2_算定表①(旧々・旧制度)'!$AG:$AG)</f>
        <v>0</v>
      </c>
      <c r="Q17" s="546">
        <f t="shared" si="1"/>
        <v>0</v>
      </c>
      <c r="R17" s="365">
        <f t="shared" si="2"/>
        <v>0</v>
      </c>
      <c r="T17" s="131" t="str">
        <f>ASC($A$17&amp;$K17)</f>
        <v>3A</v>
      </c>
      <c r="V17" s="55" t="s">
        <v>42</v>
      </c>
      <c r="W17" s="62" t="str">
        <f>IF(O28=SUM('2-2_算定表①(旧々・旧制度)'!AM:AM),"OK","ERR")</f>
        <v>OK</v>
      </c>
    </row>
    <row r="18" spans="1:23" s="44" customFormat="1" ht="18" customHeight="1" thickBot="1" thickTop="1">
      <c r="A18" s="865"/>
      <c r="B18" s="861"/>
      <c r="C18" s="861"/>
      <c r="D18" s="861"/>
      <c r="E18" s="863"/>
      <c r="F18" s="153"/>
      <c r="G18" s="154"/>
      <c r="H18" s="149">
        <f t="shared" si="3"/>
      </c>
      <c r="I18" s="128">
        <f t="shared" si="0"/>
      </c>
      <c r="J18" s="127">
        <f t="shared" si="5"/>
      </c>
      <c r="K18" s="142" t="s">
        <v>80</v>
      </c>
      <c r="L18" s="143">
        <v>2814</v>
      </c>
      <c r="M18" s="371"/>
      <c r="N18" s="545"/>
      <c r="O18" s="354">
        <f>SUMIF('2-2_算定表①(旧々・旧制度)'!$AL:$AL,$T18,'2-2_算定表①(旧々・旧制度)'!$AM:$AM)</f>
        <v>0</v>
      </c>
      <c r="P18" s="554">
        <f>SUMIF('2-2_算定表①(旧々・旧制度)'!$AL:$AL,$T18,'2-2_算定表①(旧々・旧制度)'!$AG:$AG)</f>
        <v>0</v>
      </c>
      <c r="Q18" s="547">
        <f t="shared" si="1"/>
        <v>0</v>
      </c>
      <c r="R18" s="355">
        <f t="shared" si="2"/>
        <v>0</v>
      </c>
      <c r="T18" s="135" t="str">
        <f>ASC($A$17&amp;$K18)</f>
        <v>3B</v>
      </c>
      <c r="V18" s="55" t="s">
        <v>9</v>
      </c>
      <c r="W18" s="62" t="str">
        <f>IF(P28='2-2_算定表①(旧々・旧制度)'!AG45,"OK","ERR")</f>
        <v>OK</v>
      </c>
    </row>
    <row r="19" spans="1:20" s="44" customFormat="1" ht="18" customHeight="1" thickBot="1">
      <c r="A19" s="865"/>
      <c r="B19" s="861"/>
      <c r="C19" s="861"/>
      <c r="D19" s="861"/>
      <c r="E19" s="863"/>
      <c r="F19" s="153"/>
      <c r="G19" s="154"/>
      <c r="H19" s="149">
        <f t="shared" si="3"/>
      </c>
      <c r="I19" s="128">
        <f t="shared" si="0"/>
      </c>
      <c r="J19" s="127">
        <f t="shared" si="5"/>
      </c>
      <c r="K19" s="142" t="s">
        <v>159</v>
      </c>
      <c r="L19" s="170" t="s">
        <v>134</v>
      </c>
      <c r="M19" s="371"/>
      <c r="N19" s="545"/>
      <c r="O19" s="555">
        <f>SUMIF('2-2_算定表①(旧々・旧制度)'!$AL:$AL,$T19,'2-2_算定表①(旧々・旧制度)'!$AM:$AM)</f>
        <v>0</v>
      </c>
      <c r="P19" s="556">
        <f>SUMIF('2-2_算定表①(旧々・旧制度)'!$AL:$AL,$T19,'2-2_算定表①(旧々・旧制度)'!$AG:$AG)</f>
        <v>0</v>
      </c>
      <c r="Q19" s="548">
        <f t="shared" si="1"/>
        <v>0</v>
      </c>
      <c r="R19" s="359">
        <f t="shared" si="2"/>
        <v>0</v>
      </c>
      <c r="T19" s="135" t="str">
        <f>ASC($A$17&amp;$K19)</f>
        <v>3D</v>
      </c>
    </row>
    <row r="20" spans="1:18" s="44" customFormat="1" ht="18" customHeight="1" thickBot="1">
      <c r="A20" s="865"/>
      <c r="B20" s="861"/>
      <c r="C20" s="861"/>
      <c r="D20" s="861"/>
      <c r="E20" s="864"/>
      <c r="F20" s="155"/>
      <c r="G20" s="156"/>
      <c r="H20" s="150">
        <f t="shared" si="3"/>
      </c>
      <c r="I20" s="137">
        <f t="shared" si="0"/>
      </c>
      <c r="J20" s="136">
        <f t="shared" si="5"/>
      </c>
      <c r="K20" s="848" t="s">
        <v>101</v>
      </c>
      <c r="L20" s="849"/>
      <c r="M20" s="360">
        <f aca="true" t="shared" si="7" ref="M20:R20">SUM(M17:M19)</f>
        <v>0</v>
      </c>
      <c r="N20" s="361">
        <f t="shared" si="7"/>
        <v>0</v>
      </c>
      <c r="O20" s="352">
        <f t="shared" si="7"/>
        <v>0</v>
      </c>
      <c r="P20" s="557">
        <f t="shared" si="7"/>
        <v>0</v>
      </c>
      <c r="Q20" s="362">
        <f t="shared" si="7"/>
        <v>0</v>
      </c>
      <c r="R20" s="363">
        <f t="shared" si="7"/>
        <v>0</v>
      </c>
    </row>
    <row r="21" spans="1:23" s="44" customFormat="1" ht="18" customHeight="1" thickBot="1">
      <c r="A21" s="858">
        <v>4</v>
      </c>
      <c r="B21" s="861"/>
      <c r="C21" s="861"/>
      <c r="D21" s="861"/>
      <c r="E21" s="862"/>
      <c r="F21" s="153"/>
      <c r="G21" s="154"/>
      <c r="H21" s="149">
        <f t="shared" si="3"/>
      </c>
      <c r="I21" s="128">
        <f t="shared" si="0"/>
      </c>
      <c r="J21" s="127">
        <f>IF(H21="","",MIN(H21,I21))</f>
      </c>
      <c r="K21" s="144" t="s">
        <v>74</v>
      </c>
      <c r="L21" s="145">
        <v>1532</v>
      </c>
      <c r="M21" s="373"/>
      <c r="N21" s="544"/>
      <c r="O21" s="552">
        <f>SUMIF('2-2_算定表①(旧々・旧制度)'!$AL:$AL,$T21,'2-2_算定表①(旧々・旧制度)'!$AM:$AM)</f>
        <v>0</v>
      </c>
      <c r="P21" s="553">
        <f>SUMIF('2-2_算定表①(旧々・旧制度)'!$AL:$AL,$T21,'2-2_算定表①(旧々・旧制度)'!$AG:$AG)</f>
        <v>0</v>
      </c>
      <c r="Q21" s="546">
        <f t="shared" si="1"/>
        <v>0</v>
      </c>
      <c r="R21" s="365">
        <f t="shared" si="2"/>
        <v>0</v>
      </c>
      <c r="T21" s="131" t="str">
        <f>ASC($A$21&amp;$K21)</f>
        <v>4A</v>
      </c>
      <c r="V21" s="55"/>
      <c r="W21" s="237"/>
    </row>
    <row r="22" spans="1:23" s="44" customFormat="1" ht="18" customHeight="1" thickBot="1">
      <c r="A22" s="859"/>
      <c r="B22" s="861"/>
      <c r="C22" s="861"/>
      <c r="D22" s="861"/>
      <c r="E22" s="863"/>
      <c r="F22" s="153"/>
      <c r="G22" s="154"/>
      <c r="H22" s="149">
        <f t="shared" si="3"/>
      </c>
      <c r="I22" s="128">
        <f t="shared" si="0"/>
      </c>
      <c r="J22" s="127">
        <f>IF(H22="","",MIN(H22,I22))</f>
      </c>
      <c r="K22" s="142" t="s">
        <v>80</v>
      </c>
      <c r="L22" s="143">
        <v>2814</v>
      </c>
      <c r="M22" s="371"/>
      <c r="N22" s="545"/>
      <c r="O22" s="354">
        <f>SUMIF('2-2_算定表①(旧々・旧制度)'!$AL:$AL,$T22,'2-2_算定表①(旧々・旧制度)'!$AM:$AM)</f>
        <v>0</v>
      </c>
      <c r="P22" s="554">
        <f>SUMIF('2-2_算定表①(旧々・旧制度)'!$AL:$AL,$T22,'2-2_算定表①(旧々・旧制度)'!$AG:$AG)</f>
        <v>0</v>
      </c>
      <c r="Q22" s="547">
        <f t="shared" si="1"/>
        <v>0</v>
      </c>
      <c r="R22" s="355">
        <f t="shared" si="2"/>
        <v>0</v>
      </c>
      <c r="T22" s="135" t="str">
        <f>ASC($A$21&amp;$K22)</f>
        <v>4B</v>
      </c>
      <c r="V22" s="55"/>
      <c r="W22" s="237"/>
    </row>
    <row r="23" spans="1:20" s="44" customFormat="1" ht="18" customHeight="1" thickBot="1">
      <c r="A23" s="859"/>
      <c r="B23" s="861"/>
      <c r="C23" s="861"/>
      <c r="D23" s="861"/>
      <c r="E23" s="863"/>
      <c r="F23" s="153"/>
      <c r="G23" s="154"/>
      <c r="H23" s="149">
        <f t="shared" si="3"/>
      </c>
      <c r="I23" s="128">
        <f t="shared" si="0"/>
      </c>
      <c r="J23" s="127">
        <f>IF(H23="","",MIN(H23,I23))</f>
      </c>
      <c r="K23" s="142" t="s">
        <v>159</v>
      </c>
      <c r="L23" s="170" t="s">
        <v>134</v>
      </c>
      <c r="M23" s="371"/>
      <c r="N23" s="545"/>
      <c r="O23" s="555">
        <f>SUMIF('2-2_算定表①(旧々・旧制度)'!$AL:$AL,$T23,'2-2_算定表①(旧々・旧制度)'!$AM:$AM)</f>
        <v>0</v>
      </c>
      <c r="P23" s="556">
        <f>SUMIF('2-2_算定表①(旧々・旧制度)'!$AL:$AL,$T23,'2-2_算定表①(旧々・旧制度)'!$AG:$AG)</f>
        <v>0</v>
      </c>
      <c r="Q23" s="548">
        <f t="shared" si="1"/>
        <v>0</v>
      </c>
      <c r="R23" s="359">
        <f t="shared" si="2"/>
        <v>0</v>
      </c>
      <c r="T23" s="135" t="str">
        <f>ASC($A$21&amp;$K23)</f>
        <v>4D</v>
      </c>
    </row>
    <row r="24" spans="1:18" s="44" customFormat="1" ht="18" customHeight="1" thickBot="1">
      <c r="A24" s="860"/>
      <c r="B24" s="861"/>
      <c r="C24" s="861"/>
      <c r="D24" s="861"/>
      <c r="E24" s="864"/>
      <c r="F24" s="155"/>
      <c r="G24" s="156"/>
      <c r="H24" s="150">
        <f t="shared" si="3"/>
      </c>
      <c r="I24" s="137">
        <f t="shared" si="0"/>
      </c>
      <c r="J24" s="136">
        <f>IF(H24="","",MIN(H24,I24))</f>
      </c>
      <c r="K24" s="848" t="s">
        <v>102</v>
      </c>
      <c r="L24" s="849"/>
      <c r="M24" s="360">
        <f aca="true" t="shared" si="8" ref="M24:R24">SUM(M21:M23)</f>
        <v>0</v>
      </c>
      <c r="N24" s="361">
        <f t="shared" si="8"/>
        <v>0</v>
      </c>
      <c r="O24" s="550">
        <f t="shared" si="8"/>
        <v>0</v>
      </c>
      <c r="P24" s="551">
        <f t="shared" si="8"/>
        <v>0</v>
      </c>
      <c r="Q24" s="362">
        <f t="shared" si="8"/>
        <v>0</v>
      </c>
      <c r="R24" s="363">
        <f t="shared" si="8"/>
        <v>0</v>
      </c>
    </row>
    <row r="25" spans="1:18" s="44" customFormat="1" ht="18" customHeight="1" thickBot="1">
      <c r="A25" s="850" t="s">
        <v>24</v>
      </c>
      <c r="B25" s="853">
        <f>SUM(B9,B13,B17)</f>
        <v>0</v>
      </c>
      <c r="C25" s="853">
        <f>SUM(C9,C13,C17)</f>
        <v>0</v>
      </c>
      <c r="D25" s="853">
        <f>SUM(D9,D13,D17)</f>
        <v>0</v>
      </c>
      <c r="E25" s="854">
        <f>SUM(E9:E24)</f>
        <v>0</v>
      </c>
      <c r="F25" s="857"/>
      <c r="G25" s="845"/>
      <c r="H25" s="846"/>
      <c r="I25" s="847"/>
      <c r="J25" s="847"/>
      <c r="K25" s="140" t="s">
        <v>74</v>
      </c>
      <c r="L25" s="141">
        <v>1532</v>
      </c>
      <c r="M25" s="367">
        <f aca="true" t="shared" si="9" ref="M25:N27">SUM(M9,M13,M17,M21)</f>
        <v>0</v>
      </c>
      <c r="N25" s="353">
        <f t="shared" si="9"/>
        <v>0</v>
      </c>
      <c r="O25" s="352">
        <f aca="true" t="shared" si="10" ref="O25:P27">SUM(O9,O13,O17,O21)</f>
        <v>0</v>
      </c>
      <c r="P25" s="377">
        <f t="shared" si="10"/>
        <v>0</v>
      </c>
      <c r="Q25" s="364">
        <f t="shared" si="1"/>
        <v>0</v>
      </c>
      <c r="R25" s="365">
        <f t="shared" si="2"/>
        <v>0</v>
      </c>
    </row>
    <row r="26" spans="1:22" s="44" customFormat="1" ht="18" customHeight="1" thickBot="1">
      <c r="A26" s="851"/>
      <c r="B26" s="853"/>
      <c r="C26" s="853"/>
      <c r="D26" s="853"/>
      <c r="E26" s="855"/>
      <c r="F26" s="857"/>
      <c r="G26" s="845"/>
      <c r="H26" s="846"/>
      <c r="I26" s="847"/>
      <c r="J26" s="847"/>
      <c r="K26" s="142" t="s">
        <v>80</v>
      </c>
      <c r="L26" s="143">
        <v>2814</v>
      </c>
      <c r="M26" s="368">
        <f t="shared" si="9"/>
        <v>0</v>
      </c>
      <c r="N26" s="357">
        <f t="shared" si="9"/>
        <v>0</v>
      </c>
      <c r="O26" s="356">
        <f t="shared" si="10"/>
        <v>0</v>
      </c>
      <c r="P26" s="378">
        <f t="shared" si="10"/>
        <v>0</v>
      </c>
      <c r="Q26" s="354">
        <f t="shared" si="1"/>
        <v>0</v>
      </c>
      <c r="R26" s="355">
        <f t="shared" si="2"/>
        <v>0</v>
      </c>
      <c r="V26" s="55"/>
    </row>
    <row r="27" spans="1:18" s="44" customFormat="1" ht="18" customHeight="1" thickBot="1">
      <c r="A27" s="851"/>
      <c r="B27" s="853"/>
      <c r="C27" s="853"/>
      <c r="D27" s="853"/>
      <c r="E27" s="855"/>
      <c r="F27" s="857"/>
      <c r="G27" s="845"/>
      <c r="H27" s="846"/>
      <c r="I27" s="847"/>
      <c r="J27" s="847"/>
      <c r="K27" s="142" t="s">
        <v>166</v>
      </c>
      <c r="L27" s="170" t="s">
        <v>134</v>
      </c>
      <c r="M27" s="368">
        <f t="shared" si="9"/>
        <v>0</v>
      </c>
      <c r="N27" s="357">
        <f t="shared" si="9"/>
        <v>0</v>
      </c>
      <c r="O27" s="356">
        <f t="shared" si="10"/>
        <v>0</v>
      </c>
      <c r="P27" s="378">
        <f t="shared" si="10"/>
        <v>0</v>
      </c>
      <c r="Q27" s="358">
        <f t="shared" si="1"/>
        <v>0</v>
      </c>
      <c r="R27" s="359">
        <f t="shared" si="2"/>
        <v>0</v>
      </c>
    </row>
    <row r="28" spans="1:19" s="44" customFormat="1" ht="18" customHeight="1" thickBot="1">
      <c r="A28" s="852"/>
      <c r="B28" s="853"/>
      <c r="C28" s="853"/>
      <c r="D28" s="853"/>
      <c r="E28" s="856"/>
      <c r="F28" s="857"/>
      <c r="G28" s="845"/>
      <c r="H28" s="846"/>
      <c r="I28" s="847"/>
      <c r="J28" s="847"/>
      <c r="K28" s="848" t="s">
        <v>135</v>
      </c>
      <c r="L28" s="849"/>
      <c r="M28" s="360">
        <f aca="true" t="shared" si="11" ref="M28:R28">SUM(M25:M27)</f>
        <v>0</v>
      </c>
      <c r="N28" s="360">
        <f t="shared" si="11"/>
        <v>0</v>
      </c>
      <c r="O28" s="360">
        <f t="shared" si="11"/>
        <v>0</v>
      </c>
      <c r="P28" s="459">
        <f t="shared" si="11"/>
        <v>0</v>
      </c>
      <c r="Q28" s="360">
        <f t="shared" si="11"/>
        <v>0</v>
      </c>
      <c r="R28" s="360">
        <f t="shared" si="11"/>
        <v>0</v>
      </c>
      <c r="S28" s="146"/>
    </row>
    <row r="29" spans="1:18" s="284" customFormat="1" ht="11.25" customHeight="1">
      <c r="A29" s="279" t="s">
        <v>26</v>
      </c>
      <c r="B29" s="280"/>
      <c r="C29" s="280"/>
      <c r="D29" s="280"/>
      <c r="E29" s="280"/>
      <c r="F29" s="281"/>
      <c r="G29" s="281"/>
      <c r="H29" s="281"/>
      <c r="I29" s="281"/>
      <c r="J29" s="281"/>
      <c r="K29" s="282"/>
      <c r="L29" s="282"/>
      <c r="M29" s="280"/>
      <c r="N29" s="283"/>
      <c r="O29" s="280"/>
      <c r="P29" s="283"/>
      <c r="Q29" s="283"/>
      <c r="R29" s="283"/>
    </row>
    <row r="30" s="284" customFormat="1" ht="11.25" customHeight="1">
      <c r="A30" s="285" t="s">
        <v>129</v>
      </c>
    </row>
    <row r="31" s="286" customFormat="1" ht="11.25" customHeight="1">
      <c r="A31" s="285" t="s">
        <v>200</v>
      </c>
    </row>
    <row r="32" s="284" customFormat="1" ht="11.25" customHeight="1">
      <c r="A32" s="285" t="s">
        <v>201</v>
      </c>
    </row>
    <row r="33" s="286" customFormat="1" ht="11.25" customHeight="1">
      <c r="A33" s="285" t="s">
        <v>2</v>
      </c>
    </row>
    <row r="34" s="286" customFormat="1" ht="11.25" customHeight="1">
      <c r="A34" s="279" t="s">
        <v>130</v>
      </c>
    </row>
    <row r="35" spans="1:9" s="286" customFormat="1" ht="11.25" customHeight="1">
      <c r="A35" s="279" t="s">
        <v>131</v>
      </c>
      <c r="E35" s="291"/>
      <c r="F35" s="291"/>
      <c r="G35" s="291"/>
      <c r="H35" s="291"/>
      <c r="I35" s="291"/>
    </row>
    <row r="36" s="286" customFormat="1" ht="11.25" customHeight="1">
      <c r="A36" s="285" t="s">
        <v>3</v>
      </c>
    </row>
    <row r="37" s="286" customFormat="1" ht="11.25" customHeight="1">
      <c r="A37" s="279" t="s">
        <v>187</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K5:N5"/>
    <mergeCell ref="O5:P5"/>
    <mergeCell ref="Q5:R5"/>
    <mergeCell ref="B5:B6"/>
    <mergeCell ref="E5:E6"/>
    <mergeCell ref="H5:H6"/>
    <mergeCell ref="I5:I6"/>
    <mergeCell ref="J5:J6"/>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 ref="L2:M2"/>
    <mergeCell ref="L3:M3"/>
    <mergeCell ref="P2:Q2"/>
    <mergeCell ref="P3:Q3"/>
    <mergeCell ref="N2:O2"/>
    <mergeCell ref="N3:O3"/>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P59"/>
  <sheetViews>
    <sheetView tabSelected="1" view="pageBreakPreview" zoomScale="55" zoomScaleNormal="75" zoomScaleSheetLayoutView="55" zoomScalePageLayoutView="0" workbookViewId="0" topLeftCell="A1">
      <selection activeCell="T27" sqref="T27"/>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7.125" style="40" bestFit="1" customWidth="1"/>
    <col min="11" max="12" width="10.625" style="40" customWidth="1"/>
    <col min="13" max="13" width="14.125" style="40" bestFit="1" customWidth="1"/>
    <col min="14" max="14" width="13.125" style="40" bestFit="1" customWidth="1"/>
    <col min="15" max="15" width="6.875" style="241" customWidth="1"/>
    <col min="16" max="16" width="12.125" style="40" hidden="1" customWidth="1"/>
    <col min="17" max="17" width="9.875" style="40" customWidth="1"/>
    <col min="18" max="18" width="6.875" style="241" customWidth="1"/>
    <col min="19" max="19" width="10.00390625" style="40" hidden="1" customWidth="1"/>
    <col min="20" max="20" width="9.87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30" width="11.625" style="40"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c r="A1" s="185" t="s">
        <v>398</v>
      </c>
      <c r="B1" s="39"/>
      <c r="AA1" s="160" t="s">
        <v>22</v>
      </c>
      <c r="AB1" s="480"/>
      <c r="AC1" s="480"/>
      <c r="AD1" s="480"/>
      <c r="AE1" s="884">
        <f>'1_総括表'!E3</f>
        <v>0</v>
      </c>
      <c r="AF1" s="885"/>
      <c r="AG1" s="885"/>
      <c r="AH1" s="886"/>
      <c r="AI1" s="160" t="s">
        <v>23</v>
      </c>
      <c r="AJ1" s="162">
        <f>'1_総括表'!Z3</f>
        <v>0</v>
      </c>
    </row>
    <row r="2" spans="1:36" ht="24.75" customHeight="1" thickBot="1">
      <c r="A2" s="42"/>
      <c r="AA2" s="161" t="s">
        <v>20</v>
      </c>
      <c r="AB2" s="481"/>
      <c r="AC2" s="481"/>
      <c r="AD2" s="481"/>
      <c r="AE2" s="887">
        <f>'1_総括表'!E4</f>
        <v>0</v>
      </c>
      <c r="AF2" s="888"/>
      <c r="AG2" s="888"/>
      <c r="AH2" s="889"/>
      <c r="AI2" s="161" t="s">
        <v>21</v>
      </c>
      <c r="AJ2" s="163">
        <f>'1_総括表'!Z4</f>
        <v>0</v>
      </c>
    </row>
    <row r="3" spans="1:36" ht="31.5" customHeight="1" thickBot="1">
      <c r="A3" s="275" t="s">
        <v>199</v>
      </c>
      <c r="B3" s="274"/>
      <c r="AI3" s="43"/>
      <c r="AJ3" s="43" t="s">
        <v>25</v>
      </c>
    </row>
    <row r="4" spans="1:39" s="44" customFormat="1" ht="22.5" customHeight="1" thickBot="1">
      <c r="A4" s="883" t="s">
        <v>29</v>
      </c>
      <c r="B4" s="878" t="s">
        <v>149</v>
      </c>
      <c r="C4" s="894" t="s">
        <v>98</v>
      </c>
      <c r="D4" s="897" t="s">
        <v>96</v>
      </c>
      <c r="E4" s="899" t="s">
        <v>84</v>
      </c>
      <c r="F4" s="900"/>
      <c r="G4" s="901"/>
      <c r="H4" s="902" t="s">
        <v>90</v>
      </c>
      <c r="I4" s="903"/>
      <c r="J4" s="903"/>
      <c r="K4" s="903"/>
      <c r="L4" s="903"/>
      <c r="M4" s="903"/>
      <c r="N4" s="901"/>
      <c r="O4" s="848" t="s">
        <v>93</v>
      </c>
      <c r="P4" s="849"/>
      <c r="Q4" s="849"/>
      <c r="R4" s="904"/>
      <c r="S4" s="904"/>
      <c r="T4" s="904"/>
      <c r="U4" s="904"/>
      <c r="V4" s="904"/>
      <c r="W4" s="905"/>
      <c r="X4" s="878" t="s">
        <v>1</v>
      </c>
      <c r="Y4" s="878" t="s">
        <v>94</v>
      </c>
      <c r="Z4" s="878" t="s">
        <v>95</v>
      </c>
      <c r="AA4" s="878" t="s">
        <v>62</v>
      </c>
      <c r="AB4" s="468"/>
      <c r="AC4" s="468"/>
      <c r="AD4" s="468"/>
      <c r="AE4" s="878" t="s">
        <v>28</v>
      </c>
      <c r="AF4" s="878" t="s">
        <v>83</v>
      </c>
      <c r="AG4" s="906" t="s">
        <v>165</v>
      </c>
      <c r="AH4" s="908" t="s">
        <v>4</v>
      </c>
      <c r="AI4" s="909"/>
      <c r="AJ4" s="910"/>
      <c r="AL4" s="917" t="s">
        <v>27</v>
      </c>
      <c r="AM4" s="917" t="s">
        <v>231</v>
      </c>
    </row>
    <row r="5" spans="1:39" s="44" customFormat="1" ht="35.25" customHeight="1" thickBot="1">
      <c r="A5" s="890"/>
      <c r="B5" s="892"/>
      <c r="C5" s="895"/>
      <c r="D5" s="898"/>
      <c r="E5" s="921" t="s">
        <v>125</v>
      </c>
      <c r="F5" s="482" t="s">
        <v>232</v>
      </c>
      <c r="G5" s="923" t="s">
        <v>68</v>
      </c>
      <c r="H5" s="925" t="s">
        <v>233</v>
      </c>
      <c r="I5" s="927" t="s">
        <v>69</v>
      </c>
      <c r="J5" s="929" t="s">
        <v>137</v>
      </c>
      <c r="K5" s="483" t="s">
        <v>232</v>
      </c>
      <c r="L5" s="484" t="s">
        <v>232</v>
      </c>
      <c r="M5" s="925" t="s">
        <v>136</v>
      </c>
      <c r="N5" s="923" t="s">
        <v>0</v>
      </c>
      <c r="O5" s="931" t="s">
        <v>205</v>
      </c>
      <c r="P5" s="932"/>
      <c r="Q5" s="932"/>
      <c r="R5" s="931" t="s">
        <v>206</v>
      </c>
      <c r="S5" s="932"/>
      <c r="T5" s="933"/>
      <c r="U5" s="934" t="s">
        <v>234</v>
      </c>
      <c r="V5" s="936" t="s">
        <v>92</v>
      </c>
      <c r="W5" s="938" t="s">
        <v>91</v>
      </c>
      <c r="X5" s="892"/>
      <c r="Y5" s="892"/>
      <c r="Z5" s="892"/>
      <c r="AA5" s="892"/>
      <c r="AB5" s="485" t="s">
        <v>232</v>
      </c>
      <c r="AC5" s="485" t="s">
        <v>232</v>
      </c>
      <c r="AD5" s="485" t="s">
        <v>232</v>
      </c>
      <c r="AE5" s="892"/>
      <c r="AF5" s="892"/>
      <c r="AG5" s="907"/>
      <c r="AH5" s="911"/>
      <c r="AI5" s="912"/>
      <c r="AJ5" s="913"/>
      <c r="AL5" s="918"/>
      <c r="AM5" s="918"/>
    </row>
    <row r="6" spans="1:39" s="44" customFormat="1" ht="50.25" customHeight="1">
      <c r="A6" s="890"/>
      <c r="B6" s="892"/>
      <c r="C6" s="895"/>
      <c r="D6" s="898"/>
      <c r="E6" s="922"/>
      <c r="F6" s="46" t="s">
        <v>235</v>
      </c>
      <c r="G6" s="924"/>
      <c r="H6" s="926"/>
      <c r="I6" s="928"/>
      <c r="J6" s="930"/>
      <c r="K6" s="486" t="s">
        <v>236</v>
      </c>
      <c r="L6" s="487" t="s">
        <v>237</v>
      </c>
      <c r="M6" s="926"/>
      <c r="N6" s="924"/>
      <c r="O6" s="940" t="s">
        <v>15</v>
      </c>
      <c r="P6" s="298"/>
      <c r="Q6" s="302" t="s">
        <v>147</v>
      </c>
      <c r="R6" s="940" t="s">
        <v>15</v>
      </c>
      <c r="S6" s="300"/>
      <c r="T6" s="302" t="s">
        <v>147</v>
      </c>
      <c r="U6" s="935"/>
      <c r="V6" s="937"/>
      <c r="W6" s="939"/>
      <c r="X6" s="892"/>
      <c r="Y6" s="892"/>
      <c r="Z6" s="892"/>
      <c r="AA6" s="892"/>
      <c r="AB6" s="469" t="s">
        <v>238</v>
      </c>
      <c r="AC6" s="469" t="s">
        <v>239</v>
      </c>
      <c r="AD6" s="469" t="s">
        <v>240</v>
      </c>
      <c r="AE6" s="892"/>
      <c r="AF6" s="892"/>
      <c r="AG6" s="907"/>
      <c r="AH6" s="911"/>
      <c r="AI6" s="912"/>
      <c r="AJ6" s="913"/>
      <c r="AL6" s="919"/>
      <c r="AM6" s="919"/>
    </row>
    <row r="7" spans="1:39" s="44" customFormat="1" ht="17.25" customHeight="1" thickBot="1">
      <c r="A7" s="891"/>
      <c r="B7" s="893"/>
      <c r="C7" s="896"/>
      <c r="D7" s="103" t="s">
        <v>241</v>
      </c>
      <c r="E7" s="488" t="s">
        <v>242</v>
      </c>
      <c r="F7" s="471"/>
      <c r="G7" s="470" t="s">
        <v>243</v>
      </c>
      <c r="H7" s="104" t="s">
        <v>244</v>
      </c>
      <c r="I7" s="49" t="s">
        <v>245</v>
      </c>
      <c r="J7" s="100" t="s">
        <v>79</v>
      </c>
      <c r="K7" s="49"/>
      <c r="L7" s="489"/>
      <c r="M7" s="101" t="s">
        <v>246</v>
      </c>
      <c r="N7" s="102" t="s">
        <v>247</v>
      </c>
      <c r="O7" s="941"/>
      <c r="P7" s="299"/>
      <c r="Q7" s="255" t="s">
        <v>248</v>
      </c>
      <c r="R7" s="941"/>
      <c r="S7" s="301"/>
      <c r="T7" s="256" t="s">
        <v>249</v>
      </c>
      <c r="U7" s="490" t="s">
        <v>250</v>
      </c>
      <c r="V7" s="540" t="s">
        <v>251</v>
      </c>
      <c r="W7" s="50" t="s">
        <v>252</v>
      </c>
      <c r="X7" s="47" t="s">
        <v>253</v>
      </c>
      <c r="Y7" s="47" t="s">
        <v>254</v>
      </c>
      <c r="Z7" s="47" t="s">
        <v>255</v>
      </c>
      <c r="AA7" s="472" t="s">
        <v>256</v>
      </c>
      <c r="AB7" s="47"/>
      <c r="AC7" s="472"/>
      <c r="AD7" s="472"/>
      <c r="AE7" s="47" t="s">
        <v>257</v>
      </c>
      <c r="AF7" s="472" t="s">
        <v>258</v>
      </c>
      <c r="AG7" s="475" t="s">
        <v>259</v>
      </c>
      <c r="AH7" s="914"/>
      <c r="AI7" s="915"/>
      <c r="AJ7" s="916"/>
      <c r="AL7" s="920"/>
      <c r="AM7" s="920"/>
    </row>
    <row r="8" spans="1:42" s="126" customFormat="1" ht="18.75" customHeight="1" thickBot="1">
      <c r="A8" s="26">
        <f>IF(B8="","",ROW($A8)-ROW($A$7))</f>
      </c>
      <c r="B8" s="228"/>
      <c r="C8" s="200"/>
      <c r="D8" s="51"/>
      <c r="E8" s="52"/>
      <c r="F8" s="491"/>
      <c r="G8" s="492">
        <f>IF(A8="","",IF(F8&gt;30,30,F8))</f>
      </c>
      <c r="H8" s="493">
        <f>IF(A8="","",(D8*G8))</f>
      </c>
      <c r="I8" s="192"/>
      <c r="J8" s="193"/>
      <c r="K8" s="494"/>
      <c r="L8" s="495"/>
      <c r="M8" s="194">
        <f>IF(A8="","",ROUNDDOWN((I8*J8/12+H8),0))</f>
      </c>
      <c r="N8" s="207">
        <f>IF(A8="","",ROUNDDOWN(10032*G8*(K8/J8),0))</f>
      </c>
      <c r="O8" s="247"/>
      <c r="P8" s="201"/>
      <c r="Q8" s="202">
        <f>IF($H8="","",IF($O8="Ａ",LOOKUP($D8,{8000,8500,9000,10000,12000},{0,1532,1032,408,408}),IF($O8="Ｂ",LOOKUP($D8,{8000,8500,9000,10000,12000},{782,2814,2814,2814,2814}),0)))</f>
      </c>
      <c r="R8" s="247"/>
      <c r="S8" s="244">
        <v>0</v>
      </c>
      <c r="T8" s="496">
        <f>IF($H8="","",IF($R8="Ａ",LOOKUP($D8,{8000,8500,9000,10000,12000},{0,1532,1032,408,408}),IF($R8="Ｂ",LOOKUP($D8,{8000,8500,9000,10000,12000},{782,2814,2814,2814,2814}),0)))</f>
      </c>
      <c r="U8" s="75">
        <f>IF(L8&gt;=7,T8,IF(AND(J8+L8&lt;=7,L8&gt;=4),Q8,(IF(ISERROR(ROUNDUP(Q8*3/12+T8*9/12,0)),"",ROUNDUP(Q8*3/12+T8*9/12,0)))))</f>
      </c>
      <c r="V8" s="541">
        <f>IF(B8="","",SUMIF('2-3_調整額内訳①(旧々・旧制度)'!B:B,$B8,'2-3_調整額内訳①(旧々・旧制度)'!AD:AD))</f>
      </c>
      <c r="W8" s="195">
        <f>IF(B8="","",SUM(U8:V8))</f>
      </c>
      <c r="X8" s="313">
        <f>IF(B8="","",ROUNDDOWN(W8*G8,0))</f>
      </c>
      <c r="Y8" s="196">
        <f>IF(M8&gt;=N8,N8,M8)</f>
      </c>
      <c r="Z8" s="52"/>
      <c r="AA8" s="313">
        <f>IF(A8="","",IF((M8-Y8)&lt;Z8,Y8-(M8-Z8),0))</f>
      </c>
      <c r="AB8" s="497"/>
      <c r="AC8" s="75" t="str">
        <f>_xlfn.IFERROR(D8*(E8-F8)*(K8/J8),"0")</f>
        <v>0</v>
      </c>
      <c r="AD8" s="313">
        <f>_xlfn.IFERROR(IF(AC8-AB8&gt;0,0,AC8-AB8),"0")</f>
        <v>0</v>
      </c>
      <c r="AE8" s="498"/>
      <c r="AF8" s="313">
        <f>IF(B8="","",MAX(0,Y8-Z8-AE8))</f>
      </c>
      <c r="AG8" s="499">
        <f>IF(B8="","",IF(MIN(X8,AF8)+AD8&gt;0,MIN(X8,AF8)+AD8,0))</f>
      </c>
      <c r="AH8" s="942"/>
      <c r="AI8" s="942"/>
      <c r="AJ8" s="943"/>
      <c r="AL8" s="54">
        <f aca="true" t="shared" si="0" ref="AL8:AL44">IF(A8&gt;0,ASC(C8&amp;R8),"")</f>
      </c>
      <c r="AM8" s="54">
        <f aca="true" t="shared" si="1" ref="AM8:AM44">IF(B8="","",IF(AG8&gt;0,1,0))</f>
      </c>
      <c r="AP8" s="197" t="s">
        <v>12</v>
      </c>
    </row>
    <row r="9" spans="1:42" s="53" customFormat="1" ht="18.75" customHeight="1" thickBot="1" thickTop="1">
      <c r="A9" s="37">
        <f aca="true" t="shared" si="2" ref="A9:A44">IF(B9="","",ROW($A9)-ROW($A$7))</f>
      </c>
      <c r="B9" s="233"/>
      <c r="C9" s="203"/>
      <c r="D9" s="57"/>
      <c r="E9" s="58"/>
      <c r="F9" s="198"/>
      <c r="G9" s="187">
        <f aca="true" t="shared" si="3" ref="G9:G44">IF(A9="","",IF(F9&gt;30,30,F9))</f>
      </c>
      <c r="H9" s="500">
        <f aca="true" t="shared" si="4" ref="H9:H44">IF(A9="","",(D9*G9))</f>
      </c>
      <c r="I9" s="204"/>
      <c r="J9" s="205"/>
      <c r="K9" s="501"/>
      <c r="L9" s="502"/>
      <c r="M9" s="206">
        <f aca="true" t="shared" si="5" ref="M9:M44">IF(A9="","",ROUNDDOWN((I9*J9/12+H9),0))</f>
      </c>
      <c r="N9" s="207">
        <f aca="true" t="shared" si="6" ref="N9:N44">IF(A9="","",ROUNDDOWN(10032*G9*(K9/J9),0))</f>
      </c>
      <c r="O9" s="248"/>
      <c r="P9" s="190"/>
      <c r="Q9" s="208">
        <f>IF($H9="","",IF($O9="Ａ",LOOKUP($D9,{8000,8500,9000,10000,12000},{0,1532,1032,408,408}),IF($O9="Ｂ",LOOKUP($D9,{8000,8500,9000,10000,12000},{782,2814,2814,2814,2814}),0)))</f>
      </c>
      <c r="R9" s="248"/>
      <c r="S9" s="245">
        <v>0</v>
      </c>
      <c r="T9" s="503">
        <f>IF($H9="","",IF($R9="Ａ",LOOKUP($D9,{8000,8500,9000,10000,12000},{0,1532,1032,408,408}),IF($R9="Ｂ",LOOKUP($D9,{8000,8500,9000,10000,12000},{782,2814,2814,2814,2814}),0)))</f>
      </c>
      <c r="U9" s="81">
        <f aca="true" t="shared" si="7" ref="U9:U44">IF(L9&gt;=7,T9,IF(AND(J9+L9&lt;=7,L9&gt;=4),Q9,(IF(ISERROR(ROUNDUP(Q9*3/12+T9*9/12,0)),"",ROUNDUP(Q9*3/12+T9*9/12,0)))))</f>
      </c>
      <c r="V9" s="542">
        <f>IF(B9="","",SUMIF('2-3_調整額内訳①(旧々・旧制度)'!B:B,$B9,'2-3_調整額内訳①(旧々・旧制度)'!AD:AD))</f>
      </c>
      <c r="W9" s="209">
        <f aca="true" t="shared" si="8" ref="W9:W44">IF(B9="","",SUM(U9:V9))</f>
      </c>
      <c r="X9" s="210">
        <f aca="true" t="shared" si="9" ref="X9:X44">IF(B9="","",ROUNDDOWN(W9*G9,0))</f>
      </c>
      <c r="Y9" s="210">
        <f aca="true" t="shared" si="10" ref="Y9:Y44">IF(M9&gt;=N9,N9,M9)</f>
      </c>
      <c r="Z9" s="58"/>
      <c r="AA9" s="210">
        <f aca="true" t="shared" si="11" ref="AA9:AA44">IF(A9="","",IF((M9-Y9)&lt;Z9,Y9-(M9-Z9),0))</f>
      </c>
      <c r="AB9" s="504"/>
      <c r="AC9" s="81" t="str">
        <f aca="true" t="shared" si="12" ref="AC9:AC43">_xlfn.IFERROR(D9*(E9-F9)*(K9/J9),"0")</f>
        <v>0</v>
      </c>
      <c r="AD9" s="210">
        <f aca="true" t="shared" si="13" ref="AD9:AD44">_xlfn.IFERROR(IF(AC9-AB9&gt;0,0,AC9-AB9),"0")</f>
        <v>0</v>
      </c>
      <c r="AE9" s="505"/>
      <c r="AF9" s="210">
        <f aca="true" t="shared" si="14" ref="AF9:AF44">IF(B9="","",MAX(0,Y9-Z9-AE9))</f>
      </c>
      <c r="AG9" s="506">
        <f aca="true" t="shared" si="15" ref="AG9:AG44">IF(B9="","",IF(MIN(X9,AF9)+AD9&gt;0,MIN(X9,AF9)+AD9,0))</f>
      </c>
      <c r="AH9" s="944"/>
      <c r="AI9" s="944"/>
      <c r="AJ9" s="945"/>
      <c r="AL9" s="61">
        <f t="shared" si="0"/>
      </c>
      <c r="AM9" s="61">
        <f t="shared" si="1"/>
      </c>
      <c r="AO9" s="55" t="s">
        <v>11</v>
      </c>
      <c r="AP9" s="62" t="str">
        <f>IF(V45='2-3_調整額内訳①(旧々・旧制度)'!AD39,"OK","ERR")</f>
        <v>OK</v>
      </c>
    </row>
    <row r="10" spans="1:42" s="53" customFormat="1" ht="18.75" customHeight="1" thickTop="1">
      <c r="A10" s="177">
        <f t="shared" si="2"/>
      </c>
      <c r="B10" s="233"/>
      <c r="C10" s="203"/>
      <c r="D10" s="57"/>
      <c r="E10" s="58"/>
      <c r="F10" s="198"/>
      <c r="G10" s="187">
        <f t="shared" si="3"/>
      </c>
      <c r="H10" s="500">
        <f t="shared" si="4"/>
      </c>
      <c r="I10" s="204"/>
      <c r="J10" s="205"/>
      <c r="K10" s="501"/>
      <c r="L10" s="502"/>
      <c r="M10" s="206">
        <f t="shared" si="5"/>
      </c>
      <c r="N10" s="207">
        <f t="shared" si="6"/>
      </c>
      <c r="O10" s="248"/>
      <c r="P10" s="190"/>
      <c r="Q10" s="208">
        <f>IF($H10="","",IF($O10="Ａ",LOOKUP($D10,{8000,8500,9000,10000,12000},{0,1532,1032,408,408}),IF($O10="Ｂ",LOOKUP($D10,{8000,8500,9000,10000,12000},{782,2814,2814,2814,2814}),0)))</f>
      </c>
      <c r="R10" s="248"/>
      <c r="S10" s="245">
        <v>0</v>
      </c>
      <c r="T10" s="503">
        <f>IF($H10="","",IF($R10="Ａ",LOOKUP($D10,{8000,8500,9000,10000,12000},{0,1532,1032,408,408}),IF($R10="Ｂ",LOOKUP($D10,{8000,8500,9000,10000,12000},{782,2814,2814,2814,2814}),0)))</f>
      </c>
      <c r="U10" s="81">
        <f t="shared" si="7"/>
      </c>
      <c r="V10" s="542">
        <f>IF(B10="","",SUMIF('2-3_調整額内訳①(旧々・旧制度)'!B:B,$B10,'2-3_調整額内訳①(旧々・旧制度)'!AD:AD))</f>
      </c>
      <c r="W10" s="209">
        <f t="shared" si="8"/>
      </c>
      <c r="X10" s="210">
        <f t="shared" si="9"/>
      </c>
      <c r="Y10" s="210">
        <f t="shared" si="10"/>
      </c>
      <c r="Z10" s="58"/>
      <c r="AA10" s="210">
        <f t="shared" si="11"/>
      </c>
      <c r="AB10" s="504"/>
      <c r="AC10" s="81" t="str">
        <f t="shared" si="12"/>
        <v>0</v>
      </c>
      <c r="AD10" s="210">
        <f t="shared" si="13"/>
        <v>0</v>
      </c>
      <c r="AE10" s="505"/>
      <c r="AF10" s="210">
        <f t="shared" si="14"/>
      </c>
      <c r="AG10" s="506">
        <f t="shared" si="15"/>
      </c>
      <c r="AH10" s="944"/>
      <c r="AI10" s="944"/>
      <c r="AJ10" s="945"/>
      <c r="AL10" s="61">
        <f t="shared" si="0"/>
      </c>
      <c r="AM10" s="61">
        <f t="shared" si="1"/>
      </c>
      <c r="AO10" s="55"/>
      <c r="AP10" s="63"/>
    </row>
    <row r="11" spans="1:39" s="53" customFormat="1" ht="18.75" customHeight="1">
      <c r="A11" s="177">
        <f t="shared" si="2"/>
      </c>
      <c r="B11" s="233"/>
      <c r="C11" s="203"/>
      <c r="D11" s="57"/>
      <c r="E11" s="58"/>
      <c r="F11" s="198"/>
      <c r="G11" s="187">
        <f t="shared" si="3"/>
      </c>
      <c r="H11" s="500">
        <f t="shared" si="4"/>
      </c>
      <c r="I11" s="204"/>
      <c r="J11" s="205"/>
      <c r="K11" s="501"/>
      <c r="L11" s="502"/>
      <c r="M11" s="206">
        <f t="shared" si="5"/>
      </c>
      <c r="N11" s="207">
        <f t="shared" si="6"/>
      </c>
      <c r="O11" s="248"/>
      <c r="P11" s="190"/>
      <c r="Q11" s="208">
        <f>IF($H11="","",IF($O11="Ａ",LOOKUP($D11,{8000,8500,9000,10000,12000},{0,1532,1032,408,408}),IF($O11="Ｂ",LOOKUP($D11,{8000,8500,9000,10000,12000},{782,2814,2814,2814,2814}),0)))</f>
      </c>
      <c r="R11" s="248"/>
      <c r="S11" s="245">
        <v>0</v>
      </c>
      <c r="T11" s="503">
        <f>IF($H11="","",IF($R11="Ａ",LOOKUP($D11,{8000,8500,9000,10000,12000},{0,1532,1032,408,408}),IF($R11="Ｂ",LOOKUP($D11,{8000,8500,9000,10000,12000},{782,2814,2814,2814,2814}),0)))</f>
      </c>
      <c r="U11" s="81">
        <f t="shared" si="7"/>
      </c>
      <c r="V11" s="542">
        <f>IF(B11="","",SUMIF('2-3_調整額内訳①(旧々・旧制度)'!B:B,$B11,'2-3_調整額内訳①(旧々・旧制度)'!AD:AD))</f>
      </c>
      <c r="W11" s="209">
        <f t="shared" si="8"/>
      </c>
      <c r="X11" s="210">
        <f t="shared" si="9"/>
      </c>
      <c r="Y11" s="210">
        <f t="shared" si="10"/>
      </c>
      <c r="Z11" s="58"/>
      <c r="AA11" s="210">
        <f t="shared" si="11"/>
      </c>
      <c r="AB11" s="504"/>
      <c r="AC11" s="81" t="str">
        <f t="shared" si="12"/>
        <v>0</v>
      </c>
      <c r="AD11" s="210">
        <f t="shared" si="13"/>
        <v>0</v>
      </c>
      <c r="AE11" s="505"/>
      <c r="AF11" s="210">
        <f t="shared" si="14"/>
      </c>
      <c r="AG11" s="506">
        <f t="shared" si="15"/>
      </c>
      <c r="AH11" s="944"/>
      <c r="AI11" s="944"/>
      <c r="AJ11" s="945"/>
      <c r="AL11" s="61">
        <f t="shared" si="0"/>
      </c>
      <c r="AM11" s="61">
        <f t="shared" si="1"/>
      </c>
    </row>
    <row r="12" spans="1:39" s="53" customFormat="1" ht="18.75" customHeight="1">
      <c r="A12" s="177">
        <f t="shared" si="2"/>
      </c>
      <c r="B12" s="233"/>
      <c r="C12" s="203"/>
      <c r="D12" s="57"/>
      <c r="E12" s="58"/>
      <c r="F12" s="198"/>
      <c r="G12" s="187">
        <f t="shared" si="3"/>
      </c>
      <c r="H12" s="500">
        <f t="shared" si="4"/>
      </c>
      <c r="I12" s="204"/>
      <c r="J12" s="205"/>
      <c r="K12" s="501"/>
      <c r="L12" s="502"/>
      <c r="M12" s="206">
        <f t="shared" si="5"/>
      </c>
      <c r="N12" s="207">
        <f t="shared" si="6"/>
      </c>
      <c r="O12" s="248"/>
      <c r="P12" s="190"/>
      <c r="Q12" s="208">
        <f>IF($H12="","",IF($O12="Ａ",LOOKUP($D12,{8000,8500,9000,10000,12000},{0,1532,1032,408,408}),IF($O12="Ｂ",LOOKUP($D12,{8000,8500,9000,10000,12000},{782,2814,2814,2814,2814}),0)))</f>
      </c>
      <c r="R12" s="248"/>
      <c r="S12" s="245">
        <v>0</v>
      </c>
      <c r="T12" s="503">
        <f>IF($H12="","",IF($R12="Ａ",LOOKUP($D12,{8000,8500,9000,10000,12000},{0,1532,1032,408,408}),IF($R12="Ｂ",LOOKUP($D12,{8000,8500,9000,10000,12000},{782,2814,2814,2814,2814}),0)))</f>
      </c>
      <c r="U12" s="81">
        <f t="shared" si="7"/>
      </c>
      <c r="V12" s="542">
        <f>IF(B12="","",SUMIF('2-3_調整額内訳①(旧々・旧制度)'!B:B,$B12,'2-3_調整額内訳①(旧々・旧制度)'!AD:AD))</f>
      </c>
      <c r="W12" s="209">
        <f t="shared" si="8"/>
      </c>
      <c r="X12" s="210">
        <f t="shared" si="9"/>
      </c>
      <c r="Y12" s="210">
        <f t="shared" si="10"/>
      </c>
      <c r="Z12" s="58"/>
      <c r="AA12" s="210">
        <f t="shared" si="11"/>
      </c>
      <c r="AB12" s="504"/>
      <c r="AC12" s="81" t="str">
        <f t="shared" si="12"/>
        <v>0</v>
      </c>
      <c r="AD12" s="210">
        <f t="shared" si="13"/>
        <v>0</v>
      </c>
      <c r="AE12" s="505"/>
      <c r="AF12" s="210">
        <f t="shared" si="14"/>
      </c>
      <c r="AG12" s="506">
        <f t="shared" si="15"/>
      </c>
      <c r="AH12" s="944"/>
      <c r="AI12" s="944"/>
      <c r="AJ12" s="945"/>
      <c r="AL12" s="61">
        <f t="shared" si="0"/>
      </c>
      <c r="AM12" s="61">
        <f t="shared" si="1"/>
      </c>
    </row>
    <row r="13" spans="1:39" s="53" customFormat="1" ht="18.75" customHeight="1">
      <c r="A13" s="177">
        <f t="shared" si="2"/>
      </c>
      <c r="B13" s="233"/>
      <c r="C13" s="203"/>
      <c r="D13" s="57"/>
      <c r="E13" s="58"/>
      <c r="F13" s="198"/>
      <c r="G13" s="187">
        <f t="shared" si="3"/>
      </c>
      <c r="H13" s="500">
        <f t="shared" si="4"/>
      </c>
      <c r="I13" s="204"/>
      <c r="J13" s="205"/>
      <c r="K13" s="501"/>
      <c r="L13" s="502"/>
      <c r="M13" s="206">
        <f t="shared" si="5"/>
      </c>
      <c r="N13" s="207">
        <f t="shared" si="6"/>
      </c>
      <c r="O13" s="248"/>
      <c r="P13" s="190"/>
      <c r="Q13" s="208">
        <f>IF($H13="","",IF($O13="Ａ",LOOKUP($D13,{8000,8500,9000,10000,12000},{0,1532,1032,408,408}),IF($O13="Ｂ",LOOKUP($D13,{8000,8500,9000,10000,12000},{782,2814,2814,2814,2814}),0)))</f>
      </c>
      <c r="R13" s="248"/>
      <c r="S13" s="245">
        <v>0</v>
      </c>
      <c r="T13" s="503">
        <f>IF($H13="","",IF($R13="Ａ",LOOKUP($D13,{8000,8500,9000,10000,12000},{0,1532,1032,408,408}),IF($R13="Ｂ",LOOKUP($D13,{8000,8500,9000,10000,12000},{782,2814,2814,2814,2814}),0)))</f>
      </c>
      <c r="U13" s="81">
        <f t="shared" si="7"/>
      </c>
      <c r="V13" s="542">
        <f>IF(B13="","",SUMIF('2-3_調整額内訳①(旧々・旧制度)'!B:B,$B13,'2-3_調整額内訳①(旧々・旧制度)'!AD:AD))</f>
      </c>
      <c r="W13" s="209">
        <f t="shared" si="8"/>
      </c>
      <c r="X13" s="210">
        <f t="shared" si="9"/>
      </c>
      <c r="Y13" s="210">
        <f t="shared" si="10"/>
      </c>
      <c r="Z13" s="58"/>
      <c r="AA13" s="210">
        <f t="shared" si="11"/>
      </c>
      <c r="AB13" s="504"/>
      <c r="AC13" s="81" t="str">
        <f t="shared" si="12"/>
        <v>0</v>
      </c>
      <c r="AD13" s="210">
        <f t="shared" si="13"/>
        <v>0</v>
      </c>
      <c r="AE13" s="505"/>
      <c r="AF13" s="210">
        <f t="shared" si="14"/>
      </c>
      <c r="AG13" s="506">
        <f t="shared" si="15"/>
      </c>
      <c r="AH13" s="944"/>
      <c r="AI13" s="944"/>
      <c r="AJ13" s="945"/>
      <c r="AL13" s="61">
        <f t="shared" si="0"/>
      </c>
      <c r="AM13" s="61">
        <f t="shared" si="1"/>
      </c>
    </row>
    <row r="14" spans="1:39" s="53" customFormat="1" ht="18.75" customHeight="1">
      <c r="A14" s="177">
        <f t="shared" si="2"/>
      </c>
      <c r="B14" s="233"/>
      <c r="C14" s="203"/>
      <c r="D14" s="57"/>
      <c r="E14" s="58"/>
      <c r="F14" s="198"/>
      <c r="G14" s="187">
        <f t="shared" si="3"/>
      </c>
      <c r="H14" s="500">
        <f t="shared" si="4"/>
      </c>
      <c r="I14" s="204"/>
      <c r="J14" s="205"/>
      <c r="K14" s="501"/>
      <c r="L14" s="502"/>
      <c r="M14" s="206">
        <f t="shared" si="5"/>
      </c>
      <c r="N14" s="207">
        <f t="shared" si="6"/>
      </c>
      <c r="O14" s="248"/>
      <c r="P14" s="190"/>
      <c r="Q14" s="208">
        <f>IF($H14="","",IF($O14="Ａ",LOOKUP($D14,{8000,8500,9000,10000,12000},{0,1532,1032,408,408}),IF($O14="Ｂ",LOOKUP($D14,{8000,8500,9000,10000,12000},{782,2814,2814,2814,2814}),0)))</f>
      </c>
      <c r="R14" s="248"/>
      <c r="S14" s="245">
        <v>0</v>
      </c>
      <c r="T14" s="503">
        <f>IF($H14="","",IF($R14="Ａ",LOOKUP($D14,{8000,8500,9000,10000,12000},{0,1532,1032,408,408}),IF($R14="Ｂ",LOOKUP($D14,{8000,8500,9000,10000,12000},{782,2814,2814,2814,2814}),0)))</f>
      </c>
      <c r="U14" s="81">
        <f t="shared" si="7"/>
      </c>
      <c r="V14" s="542">
        <f>IF(B14="","",SUMIF('2-3_調整額内訳①(旧々・旧制度)'!B:B,$B14,'2-3_調整額内訳①(旧々・旧制度)'!AD:AD))</f>
      </c>
      <c r="W14" s="209">
        <f t="shared" si="8"/>
      </c>
      <c r="X14" s="210">
        <f t="shared" si="9"/>
      </c>
      <c r="Y14" s="210">
        <f t="shared" si="10"/>
      </c>
      <c r="Z14" s="58"/>
      <c r="AA14" s="210">
        <f t="shared" si="11"/>
      </c>
      <c r="AB14" s="504"/>
      <c r="AC14" s="81" t="str">
        <f t="shared" si="12"/>
        <v>0</v>
      </c>
      <c r="AD14" s="210">
        <f t="shared" si="13"/>
        <v>0</v>
      </c>
      <c r="AE14" s="505"/>
      <c r="AF14" s="210">
        <f t="shared" si="14"/>
      </c>
      <c r="AG14" s="506">
        <f t="shared" si="15"/>
      </c>
      <c r="AH14" s="944"/>
      <c r="AI14" s="944"/>
      <c r="AJ14" s="945"/>
      <c r="AL14" s="61">
        <f t="shared" si="0"/>
      </c>
      <c r="AM14" s="61">
        <f t="shared" si="1"/>
      </c>
    </row>
    <row r="15" spans="1:39" s="53" customFormat="1" ht="18.75" customHeight="1">
      <c r="A15" s="177">
        <f t="shared" si="2"/>
      </c>
      <c r="B15" s="233"/>
      <c r="C15" s="203"/>
      <c r="D15" s="57"/>
      <c r="E15" s="58"/>
      <c r="F15" s="198"/>
      <c r="G15" s="187">
        <f t="shared" si="3"/>
      </c>
      <c r="H15" s="500">
        <f t="shared" si="4"/>
      </c>
      <c r="I15" s="204"/>
      <c r="J15" s="205"/>
      <c r="K15" s="501"/>
      <c r="L15" s="502"/>
      <c r="M15" s="206">
        <f t="shared" si="5"/>
      </c>
      <c r="N15" s="207">
        <f t="shared" si="6"/>
      </c>
      <c r="O15" s="248"/>
      <c r="P15" s="190"/>
      <c r="Q15" s="208">
        <f>IF($H15="","",IF($O15="Ａ",LOOKUP($D15,{8000,8500,9000,10000,12000},{0,1532,1032,408,408}),IF($O15="Ｂ",LOOKUP($D15,{8000,8500,9000,10000,12000},{782,2814,2814,2814,2814}),0)))</f>
      </c>
      <c r="R15" s="248"/>
      <c r="S15" s="245">
        <v>0</v>
      </c>
      <c r="T15" s="768">
        <f>IF($H15="","",IF($R15="Ａ",LOOKUP($D15,{8000,8500,9000,10000,12000},{0,1532,1032,408,408}),IF($R15="Ｂ",LOOKUP($D15,{8000,8500,9000,10000,12000},{782,2814,2814,2814,2814}),0)))</f>
      </c>
      <c r="U15" s="770">
        <f t="shared" si="7"/>
      </c>
      <c r="V15" s="542">
        <f>IF(B15="","",SUMIF('2-3_調整額内訳①(旧々・旧制度)'!B:B,$B15,'2-3_調整額内訳①(旧々・旧制度)'!AD:AD))</f>
      </c>
      <c r="W15" s="209">
        <f t="shared" si="8"/>
      </c>
      <c r="X15" s="210">
        <f t="shared" si="9"/>
      </c>
      <c r="Y15" s="210">
        <f t="shared" si="10"/>
      </c>
      <c r="Z15" s="58"/>
      <c r="AA15" s="210">
        <f t="shared" si="11"/>
      </c>
      <c r="AB15" s="504"/>
      <c r="AC15" s="81" t="str">
        <f t="shared" si="12"/>
        <v>0</v>
      </c>
      <c r="AD15" s="210">
        <f t="shared" si="13"/>
        <v>0</v>
      </c>
      <c r="AE15" s="505"/>
      <c r="AF15" s="210">
        <f t="shared" si="14"/>
      </c>
      <c r="AG15" s="506">
        <f t="shared" si="15"/>
      </c>
      <c r="AH15" s="944"/>
      <c r="AI15" s="944"/>
      <c r="AJ15" s="945"/>
      <c r="AL15" s="61">
        <f t="shared" si="0"/>
      </c>
      <c r="AM15" s="61">
        <f t="shared" si="1"/>
      </c>
    </row>
    <row r="16" spans="1:39" s="53" customFormat="1" ht="18.75" customHeight="1">
      <c r="A16" s="177">
        <f t="shared" si="2"/>
      </c>
      <c r="B16" s="233"/>
      <c r="C16" s="203"/>
      <c r="D16" s="57"/>
      <c r="E16" s="58"/>
      <c r="F16" s="198"/>
      <c r="G16" s="187">
        <f t="shared" si="3"/>
      </c>
      <c r="H16" s="500">
        <f t="shared" si="4"/>
      </c>
      <c r="I16" s="204"/>
      <c r="J16" s="205"/>
      <c r="K16" s="501"/>
      <c r="L16" s="502"/>
      <c r="M16" s="206">
        <f t="shared" si="5"/>
      </c>
      <c r="N16" s="207">
        <f t="shared" si="6"/>
      </c>
      <c r="O16" s="248"/>
      <c r="P16" s="190"/>
      <c r="Q16" s="208">
        <f>IF($H16="","",IF($O16="Ａ",LOOKUP($D16,{8000,8500,9000,10000,12000},{0,1532,1032,408,408}),IF($O16="Ｂ",LOOKUP($D16,{8000,8500,9000,10000,12000},{782,2814,2814,2814,2814}),0)))</f>
      </c>
      <c r="R16" s="248"/>
      <c r="S16" s="245">
        <v>0</v>
      </c>
      <c r="T16" s="503">
        <f>IF($H16="","",IF($R16="Ａ",LOOKUP($D16,{8000,8500,9000,10000,12000},{0,1532,1032,408,408}),IF($R16="Ｂ",LOOKUP($D16,{8000,8500,9000,10000,12000},{782,2814,2814,2814,2814}),0)))</f>
      </c>
      <c r="U16" s="81">
        <f t="shared" si="7"/>
      </c>
      <c r="V16" s="542">
        <f>IF(B16="","",SUMIF('2-3_調整額内訳①(旧々・旧制度)'!B:B,$B16,'2-3_調整額内訳①(旧々・旧制度)'!AD:AD))</f>
      </c>
      <c r="W16" s="209">
        <f t="shared" si="8"/>
      </c>
      <c r="X16" s="210">
        <f t="shared" si="9"/>
      </c>
      <c r="Y16" s="210">
        <f t="shared" si="10"/>
      </c>
      <c r="Z16" s="58"/>
      <c r="AA16" s="210">
        <f t="shared" si="11"/>
      </c>
      <c r="AB16" s="504"/>
      <c r="AC16" s="81" t="str">
        <f t="shared" si="12"/>
        <v>0</v>
      </c>
      <c r="AD16" s="210">
        <f t="shared" si="13"/>
        <v>0</v>
      </c>
      <c r="AE16" s="505"/>
      <c r="AF16" s="210">
        <f t="shared" si="14"/>
      </c>
      <c r="AG16" s="506">
        <f t="shared" si="15"/>
      </c>
      <c r="AH16" s="944"/>
      <c r="AI16" s="944"/>
      <c r="AJ16" s="945"/>
      <c r="AL16" s="61">
        <f t="shared" si="0"/>
      </c>
      <c r="AM16" s="61">
        <f t="shared" si="1"/>
      </c>
    </row>
    <row r="17" spans="1:39" s="53" customFormat="1" ht="18.75" customHeight="1">
      <c r="A17" s="177">
        <f t="shared" si="2"/>
      </c>
      <c r="B17" s="233"/>
      <c r="C17" s="203"/>
      <c r="D17" s="57"/>
      <c r="E17" s="58"/>
      <c r="F17" s="198"/>
      <c r="G17" s="187">
        <f t="shared" si="3"/>
      </c>
      <c r="H17" s="500">
        <f t="shared" si="4"/>
      </c>
      <c r="I17" s="204"/>
      <c r="J17" s="205"/>
      <c r="K17" s="501"/>
      <c r="L17" s="502"/>
      <c r="M17" s="206">
        <f t="shared" si="5"/>
      </c>
      <c r="N17" s="207">
        <f t="shared" si="6"/>
      </c>
      <c r="O17" s="248"/>
      <c r="P17" s="190"/>
      <c r="Q17" s="208">
        <f>IF($H17="","",IF($O17="Ａ",LOOKUP($D17,{8000,8500,9000,10000,12000},{0,1532,1032,408,408}),IF($O17="Ｂ",LOOKUP($D17,{8000,8500,9000,10000,12000},{782,2814,2814,2814,2814}),0)))</f>
      </c>
      <c r="R17" s="248"/>
      <c r="S17" s="245">
        <v>0</v>
      </c>
      <c r="T17" s="503">
        <f>IF($H17="","",IF($R17="Ａ",LOOKUP($D17,{8000,8500,9000,10000,12000},{0,1532,1032,408,408}),IF($R17="Ｂ",LOOKUP($D17,{8000,8500,9000,10000,12000},{782,2814,2814,2814,2814}),0)))</f>
      </c>
      <c r="U17" s="81">
        <f t="shared" si="7"/>
      </c>
      <c r="V17" s="542">
        <f>IF(B17="","",SUMIF('2-3_調整額内訳①(旧々・旧制度)'!B:B,$B17,'2-3_調整額内訳①(旧々・旧制度)'!AD:AD))</f>
      </c>
      <c r="W17" s="209">
        <f t="shared" si="8"/>
      </c>
      <c r="X17" s="210">
        <f t="shared" si="9"/>
      </c>
      <c r="Y17" s="210">
        <f t="shared" si="10"/>
      </c>
      <c r="Z17" s="58"/>
      <c r="AA17" s="210">
        <f t="shared" si="11"/>
      </c>
      <c r="AB17" s="504"/>
      <c r="AC17" s="81" t="str">
        <f t="shared" si="12"/>
        <v>0</v>
      </c>
      <c r="AD17" s="210">
        <f t="shared" si="13"/>
        <v>0</v>
      </c>
      <c r="AE17" s="505"/>
      <c r="AF17" s="210">
        <f t="shared" si="14"/>
      </c>
      <c r="AG17" s="506">
        <f t="shared" si="15"/>
      </c>
      <c r="AH17" s="944"/>
      <c r="AI17" s="944"/>
      <c r="AJ17" s="945"/>
      <c r="AL17" s="61">
        <f t="shared" si="0"/>
      </c>
      <c r="AM17" s="61">
        <f t="shared" si="1"/>
      </c>
    </row>
    <row r="18" spans="1:39" s="53" customFormat="1" ht="18.75" customHeight="1">
      <c r="A18" s="177">
        <f t="shared" si="2"/>
      </c>
      <c r="B18" s="233"/>
      <c r="C18" s="203"/>
      <c r="D18" s="57"/>
      <c r="E18" s="58"/>
      <c r="F18" s="198"/>
      <c r="G18" s="187">
        <f t="shared" si="3"/>
      </c>
      <c r="H18" s="500">
        <f t="shared" si="4"/>
      </c>
      <c r="I18" s="204"/>
      <c r="J18" s="205"/>
      <c r="K18" s="501"/>
      <c r="L18" s="502"/>
      <c r="M18" s="206">
        <f t="shared" si="5"/>
      </c>
      <c r="N18" s="207">
        <f t="shared" si="6"/>
      </c>
      <c r="O18" s="248"/>
      <c r="P18" s="190"/>
      <c r="Q18" s="208">
        <f>IF($H18="","",IF($O18="Ａ",LOOKUP($D18,{8000,8500,9000,10000,12000},{0,1532,1032,408,408}),IF($O18="Ｂ",LOOKUP($D18,{8000,8500,9000,10000,12000},{782,2814,2814,2814,2814}),0)))</f>
      </c>
      <c r="R18" s="248"/>
      <c r="S18" s="245">
        <v>0</v>
      </c>
      <c r="T18" s="503">
        <f>IF($H18="","",IF($R18="Ａ",LOOKUP($D18,{8000,8500,9000,10000,12000},{0,1532,1032,408,408}),IF($R18="Ｂ",LOOKUP($D18,{8000,8500,9000,10000,12000},{782,2814,2814,2814,2814}),0)))</f>
      </c>
      <c r="U18" s="81">
        <f t="shared" si="7"/>
      </c>
      <c r="V18" s="542">
        <f>IF(B18="","",SUMIF('2-3_調整額内訳①(旧々・旧制度)'!B:B,$B18,'2-3_調整額内訳①(旧々・旧制度)'!AD:AD))</f>
      </c>
      <c r="W18" s="209">
        <f t="shared" si="8"/>
      </c>
      <c r="X18" s="210">
        <f t="shared" si="9"/>
      </c>
      <c r="Y18" s="210">
        <f t="shared" si="10"/>
      </c>
      <c r="Z18" s="58"/>
      <c r="AA18" s="210">
        <f t="shared" si="11"/>
      </c>
      <c r="AB18" s="504"/>
      <c r="AC18" s="81" t="str">
        <f t="shared" si="12"/>
        <v>0</v>
      </c>
      <c r="AD18" s="210">
        <f t="shared" si="13"/>
        <v>0</v>
      </c>
      <c r="AE18" s="505"/>
      <c r="AF18" s="210">
        <f t="shared" si="14"/>
      </c>
      <c r="AG18" s="506">
        <f t="shared" si="15"/>
      </c>
      <c r="AH18" s="944"/>
      <c r="AI18" s="944"/>
      <c r="AJ18" s="945"/>
      <c r="AL18" s="61">
        <f t="shared" si="0"/>
      </c>
      <c r="AM18" s="61">
        <f t="shared" si="1"/>
      </c>
    </row>
    <row r="19" spans="1:39" s="53" customFormat="1" ht="18.75" customHeight="1">
      <c r="A19" s="177">
        <f t="shared" si="2"/>
      </c>
      <c r="B19" s="233"/>
      <c r="C19" s="203"/>
      <c r="D19" s="57"/>
      <c r="E19" s="58"/>
      <c r="F19" s="198"/>
      <c r="G19" s="187">
        <f t="shared" si="3"/>
      </c>
      <c r="H19" s="500">
        <f t="shared" si="4"/>
      </c>
      <c r="I19" s="204"/>
      <c r="J19" s="205"/>
      <c r="K19" s="501"/>
      <c r="L19" s="502"/>
      <c r="M19" s="206">
        <f t="shared" si="5"/>
      </c>
      <c r="N19" s="207">
        <f t="shared" si="6"/>
      </c>
      <c r="O19" s="248"/>
      <c r="P19" s="190"/>
      <c r="Q19" s="208">
        <f>IF($H19="","",IF($O19="Ａ",LOOKUP($D19,{8000,8500,9000,10000,12000},{0,1532,1032,408,408}),IF($O19="Ｂ",LOOKUP($D19,{8000,8500,9000,10000,12000},{782,2814,2814,2814,2814}),0)))</f>
      </c>
      <c r="R19" s="248"/>
      <c r="S19" s="245">
        <v>0</v>
      </c>
      <c r="T19" s="503">
        <f>IF($H19="","",IF($R19="Ａ",LOOKUP($D19,{8000,8500,9000,10000,12000},{0,1532,1032,408,408}),IF($R19="Ｂ",LOOKUP($D19,{8000,8500,9000,10000,12000},{782,2814,2814,2814,2814}),0)))</f>
      </c>
      <c r="U19" s="81">
        <f t="shared" si="7"/>
      </c>
      <c r="V19" s="542">
        <f>IF(B19="","",SUMIF('2-3_調整額内訳①(旧々・旧制度)'!B:B,$B19,'2-3_調整額内訳①(旧々・旧制度)'!AD:AD))</f>
      </c>
      <c r="W19" s="209">
        <f t="shared" si="8"/>
      </c>
      <c r="X19" s="210">
        <f t="shared" si="9"/>
      </c>
      <c r="Y19" s="210">
        <f t="shared" si="10"/>
      </c>
      <c r="Z19" s="58"/>
      <c r="AA19" s="210">
        <f t="shared" si="11"/>
      </c>
      <c r="AB19" s="504"/>
      <c r="AC19" s="81" t="str">
        <f t="shared" si="12"/>
        <v>0</v>
      </c>
      <c r="AD19" s="210">
        <f t="shared" si="13"/>
        <v>0</v>
      </c>
      <c r="AE19" s="505"/>
      <c r="AF19" s="210">
        <f t="shared" si="14"/>
      </c>
      <c r="AG19" s="506">
        <f t="shared" si="15"/>
      </c>
      <c r="AH19" s="944"/>
      <c r="AI19" s="944"/>
      <c r="AJ19" s="945"/>
      <c r="AL19" s="61">
        <f t="shared" si="0"/>
      </c>
      <c r="AM19" s="61">
        <f t="shared" si="1"/>
      </c>
    </row>
    <row r="20" spans="1:39" s="53" customFormat="1" ht="18.75" customHeight="1">
      <c r="A20" s="177">
        <f t="shared" si="2"/>
      </c>
      <c r="B20" s="233"/>
      <c r="C20" s="203"/>
      <c r="D20" s="57"/>
      <c r="E20" s="58"/>
      <c r="F20" s="198"/>
      <c r="G20" s="187">
        <f t="shared" si="3"/>
      </c>
      <c r="H20" s="500">
        <f t="shared" si="4"/>
      </c>
      <c r="I20" s="204"/>
      <c r="J20" s="205"/>
      <c r="K20" s="501"/>
      <c r="L20" s="502"/>
      <c r="M20" s="206">
        <f t="shared" si="5"/>
      </c>
      <c r="N20" s="207">
        <f t="shared" si="6"/>
      </c>
      <c r="O20" s="248"/>
      <c r="P20" s="190"/>
      <c r="Q20" s="208">
        <f>IF($H20="","",IF($O20="Ａ",LOOKUP($D20,{8000,8500,9000,10000,12000},{0,1532,1032,408,408}),IF($O20="Ｂ",LOOKUP($D20,{8000,8500,9000,10000,12000},{782,2814,2814,2814,2814}),0)))</f>
      </c>
      <c r="R20" s="248"/>
      <c r="S20" s="245">
        <v>0</v>
      </c>
      <c r="T20" s="503">
        <f>IF($H20="","",IF($R20="Ａ",LOOKUP($D20,{8000,8500,9000,10000,12000},{0,1532,1032,408,408}),IF($R20="Ｂ",LOOKUP($D20,{8000,8500,9000,10000,12000},{782,2814,2814,2814,2814}),0)))</f>
      </c>
      <c r="U20" s="81">
        <f t="shared" si="7"/>
      </c>
      <c r="V20" s="542">
        <f>IF(B20="","",SUMIF('2-3_調整額内訳①(旧々・旧制度)'!B:B,$B20,'2-3_調整額内訳①(旧々・旧制度)'!AD:AD))</f>
      </c>
      <c r="W20" s="209">
        <f t="shared" si="8"/>
      </c>
      <c r="X20" s="210">
        <f t="shared" si="9"/>
      </c>
      <c r="Y20" s="210">
        <f t="shared" si="10"/>
      </c>
      <c r="Z20" s="58"/>
      <c r="AA20" s="210">
        <f t="shared" si="11"/>
      </c>
      <c r="AB20" s="504"/>
      <c r="AC20" s="81" t="str">
        <f t="shared" si="12"/>
        <v>0</v>
      </c>
      <c r="AD20" s="210">
        <f t="shared" si="13"/>
        <v>0</v>
      </c>
      <c r="AE20" s="505"/>
      <c r="AF20" s="210">
        <f t="shared" si="14"/>
      </c>
      <c r="AG20" s="506">
        <f t="shared" si="15"/>
      </c>
      <c r="AH20" s="944"/>
      <c r="AI20" s="944"/>
      <c r="AJ20" s="945"/>
      <c r="AL20" s="61">
        <f t="shared" si="0"/>
      </c>
      <c r="AM20" s="61">
        <f t="shared" si="1"/>
      </c>
    </row>
    <row r="21" spans="1:39" s="53" customFormat="1" ht="18.75" customHeight="1">
      <c r="A21" s="177">
        <f t="shared" si="2"/>
      </c>
      <c r="B21" s="233"/>
      <c r="C21" s="203"/>
      <c r="D21" s="57"/>
      <c r="E21" s="58"/>
      <c r="F21" s="198"/>
      <c r="G21" s="187">
        <f t="shared" si="3"/>
      </c>
      <c r="H21" s="500">
        <f t="shared" si="4"/>
      </c>
      <c r="I21" s="204"/>
      <c r="J21" s="205"/>
      <c r="K21" s="501"/>
      <c r="L21" s="502"/>
      <c r="M21" s="206">
        <f t="shared" si="5"/>
      </c>
      <c r="N21" s="207">
        <f t="shared" si="6"/>
      </c>
      <c r="O21" s="248"/>
      <c r="P21" s="190"/>
      <c r="Q21" s="208">
        <f>IF($H21="","",IF($O21="Ａ",LOOKUP($D21,{8000,8500,9000,10000,12000},{0,1532,1032,408,408}),IF($O21="Ｂ",LOOKUP($D21,{8000,8500,9000,10000,12000},{782,2814,2814,2814,2814}),0)))</f>
      </c>
      <c r="R21" s="248"/>
      <c r="S21" s="245">
        <v>0</v>
      </c>
      <c r="T21" s="503">
        <f>IF($H21="","",IF($R21="Ａ",LOOKUP($D21,{8000,8500,9000,10000,12000},{0,1532,1032,408,408}),IF($R21="Ｂ",LOOKUP($D21,{8000,8500,9000,10000,12000},{782,2814,2814,2814,2814}),0)))</f>
      </c>
      <c r="U21" s="81">
        <f t="shared" si="7"/>
      </c>
      <c r="V21" s="542">
        <f>IF(B21="","",SUMIF('2-3_調整額内訳①(旧々・旧制度)'!B:B,$B21,'2-3_調整額内訳①(旧々・旧制度)'!AD:AD))</f>
      </c>
      <c r="W21" s="209">
        <f t="shared" si="8"/>
      </c>
      <c r="X21" s="210">
        <f t="shared" si="9"/>
      </c>
      <c r="Y21" s="210">
        <f t="shared" si="10"/>
      </c>
      <c r="Z21" s="58"/>
      <c r="AA21" s="210">
        <f t="shared" si="11"/>
      </c>
      <c r="AB21" s="504"/>
      <c r="AC21" s="81" t="str">
        <f t="shared" si="12"/>
        <v>0</v>
      </c>
      <c r="AD21" s="210">
        <f t="shared" si="13"/>
        <v>0</v>
      </c>
      <c r="AE21" s="505"/>
      <c r="AF21" s="210">
        <f t="shared" si="14"/>
      </c>
      <c r="AG21" s="506">
        <f t="shared" si="15"/>
      </c>
      <c r="AH21" s="944"/>
      <c r="AI21" s="944"/>
      <c r="AJ21" s="945"/>
      <c r="AL21" s="61">
        <f t="shared" si="0"/>
      </c>
      <c r="AM21" s="61">
        <f t="shared" si="1"/>
      </c>
    </row>
    <row r="22" spans="1:39" s="53" customFormat="1" ht="18.75" customHeight="1">
      <c r="A22" s="177">
        <f t="shared" si="2"/>
      </c>
      <c r="B22" s="233"/>
      <c r="C22" s="203"/>
      <c r="D22" s="57"/>
      <c r="E22" s="58"/>
      <c r="F22" s="198"/>
      <c r="G22" s="187">
        <f t="shared" si="3"/>
      </c>
      <c r="H22" s="500">
        <f t="shared" si="4"/>
      </c>
      <c r="I22" s="204"/>
      <c r="J22" s="205"/>
      <c r="K22" s="501"/>
      <c r="L22" s="502"/>
      <c r="M22" s="206">
        <f t="shared" si="5"/>
      </c>
      <c r="N22" s="207">
        <f t="shared" si="6"/>
      </c>
      <c r="O22" s="248"/>
      <c r="P22" s="190"/>
      <c r="Q22" s="208">
        <f>IF($H22="","",IF($O22="Ａ",LOOKUP($D22,{8000,8500,9000,10000,12000},{0,1532,1032,408,408}),IF($O22="Ｂ",LOOKUP($D22,{8000,8500,9000,10000,12000},{782,2814,2814,2814,2814}),0)))</f>
      </c>
      <c r="R22" s="248"/>
      <c r="S22" s="245">
        <v>0</v>
      </c>
      <c r="T22" s="503">
        <f>IF($H22="","",IF($R22="Ａ",LOOKUP($D22,{8000,8500,9000,10000,12000},{0,1532,1032,408,408}),IF($R22="Ｂ",LOOKUP($D22,{8000,8500,9000,10000,12000},{782,2814,2814,2814,2814}),0)))</f>
      </c>
      <c r="U22" s="81">
        <f t="shared" si="7"/>
      </c>
      <c r="V22" s="542">
        <f>IF(B22="","",SUMIF('2-3_調整額内訳①(旧々・旧制度)'!B:B,$B22,'2-3_調整額内訳①(旧々・旧制度)'!AD:AD))</f>
      </c>
      <c r="W22" s="209">
        <f t="shared" si="8"/>
      </c>
      <c r="X22" s="210">
        <f t="shared" si="9"/>
      </c>
      <c r="Y22" s="210">
        <f t="shared" si="10"/>
      </c>
      <c r="Z22" s="58"/>
      <c r="AA22" s="210">
        <f t="shared" si="11"/>
      </c>
      <c r="AB22" s="504"/>
      <c r="AC22" s="81" t="str">
        <f t="shared" si="12"/>
        <v>0</v>
      </c>
      <c r="AD22" s="210">
        <f t="shared" si="13"/>
        <v>0</v>
      </c>
      <c r="AE22" s="505"/>
      <c r="AF22" s="210">
        <f t="shared" si="14"/>
      </c>
      <c r="AG22" s="506">
        <f t="shared" si="15"/>
      </c>
      <c r="AH22" s="944"/>
      <c r="AI22" s="944"/>
      <c r="AJ22" s="945"/>
      <c r="AL22" s="61">
        <f t="shared" si="0"/>
      </c>
      <c r="AM22" s="61">
        <f t="shared" si="1"/>
      </c>
    </row>
    <row r="23" spans="1:39" s="53" customFormat="1" ht="18.75" customHeight="1">
      <c r="A23" s="177">
        <f t="shared" si="2"/>
      </c>
      <c r="B23" s="233"/>
      <c r="C23" s="203"/>
      <c r="D23" s="57"/>
      <c r="E23" s="58"/>
      <c r="F23" s="198"/>
      <c r="G23" s="187">
        <f t="shared" si="3"/>
      </c>
      <c r="H23" s="500">
        <f t="shared" si="4"/>
      </c>
      <c r="I23" s="204"/>
      <c r="J23" s="205"/>
      <c r="K23" s="501"/>
      <c r="L23" s="502"/>
      <c r="M23" s="206">
        <f t="shared" si="5"/>
      </c>
      <c r="N23" s="207">
        <f t="shared" si="6"/>
      </c>
      <c r="O23" s="248"/>
      <c r="P23" s="190"/>
      <c r="Q23" s="208">
        <f>IF($H23="","",IF($O23="Ａ",LOOKUP($D23,{8000,8500,9000,10000,12000},{0,1532,1032,408,408}),IF($O23="Ｂ",LOOKUP($D23,{8000,8500,9000,10000,12000},{782,2814,2814,2814,2814}),0)))</f>
      </c>
      <c r="R23" s="248"/>
      <c r="S23" s="245">
        <v>0</v>
      </c>
      <c r="T23" s="503">
        <f>IF($H23="","",IF($R23="Ａ",LOOKUP($D23,{8000,8500,9000,10000,12000},{0,1532,1032,408,408}),IF($R23="Ｂ",LOOKUP($D23,{8000,8500,9000,10000,12000},{782,2814,2814,2814,2814}),0)))</f>
      </c>
      <c r="U23" s="81">
        <f t="shared" si="7"/>
      </c>
      <c r="V23" s="542">
        <f>IF(B23="","",SUMIF('2-3_調整額内訳①(旧々・旧制度)'!B:B,$B23,'2-3_調整額内訳①(旧々・旧制度)'!AD:AD))</f>
      </c>
      <c r="W23" s="209">
        <f t="shared" si="8"/>
      </c>
      <c r="X23" s="210">
        <f t="shared" si="9"/>
      </c>
      <c r="Y23" s="210">
        <f t="shared" si="10"/>
      </c>
      <c r="Z23" s="58"/>
      <c r="AA23" s="210">
        <f t="shared" si="11"/>
      </c>
      <c r="AB23" s="504"/>
      <c r="AC23" s="81" t="str">
        <f t="shared" si="12"/>
        <v>0</v>
      </c>
      <c r="AD23" s="210">
        <f t="shared" si="13"/>
        <v>0</v>
      </c>
      <c r="AE23" s="505"/>
      <c r="AF23" s="210">
        <f t="shared" si="14"/>
      </c>
      <c r="AG23" s="506">
        <f t="shared" si="15"/>
      </c>
      <c r="AH23" s="944"/>
      <c r="AI23" s="944"/>
      <c r="AJ23" s="945"/>
      <c r="AL23" s="61">
        <f t="shared" si="0"/>
      </c>
      <c r="AM23" s="61">
        <f t="shared" si="1"/>
      </c>
    </row>
    <row r="24" spans="1:39" s="53" customFormat="1" ht="18.75" customHeight="1">
      <c r="A24" s="177">
        <f t="shared" si="2"/>
      </c>
      <c r="B24" s="233"/>
      <c r="C24" s="203"/>
      <c r="D24" s="57"/>
      <c r="E24" s="58"/>
      <c r="F24" s="198"/>
      <c r="G24" s="187">
        <f t="shared" si="3"/>
      </c>
      <c r="H24" s="500">
        <f t="shared" si="4"/>
      </c>
      <c r="I24" s="204"/>
      <c r="J24" s="205"/>
      <c r="K24" s="501"/>
      <c r="L24" s="502"/>
      <c r="M24" s="206">
        <f t="shared" si="5"/>
      </c>
      <c r="N24" s="207">
        <f t="shared" si="6"/>
      </c>
      <c r="O24" s="248"/>
      <c r="P24" s="190"/>
      <c r="Q24" s="208">
        <f>IF($H24="","",IF($O24="Ａ",LOOKUP($D24,{8000,8500,9000,10000,12000},{0,1532,1032,408,408}),IF($O24="Ｂ",LOOKUP($D24,{8000,8500,9000,10000,12000},{782,2814,2814,2814,2814}),0)))</f>
      </c>
      <c r="R24" s="248"/>
      <c r="S24" s="245">
        <v>0</v>
      </c>
      <c r="T24" s="503">
        <f>IF($H24="","",IF($R24="Ａ",LOOKUP($D24,{8000,8500,9000,10000,12000},{0,1532,1032,408,408}),IF($R24="Ｂ",LOOKUP($D24,{8000,8500,9000,10000,12000},{782,2814,2814,2814,2814}),0)))</f>
      </c>
      <c r="U24" s="81">
        <f t="shared" si="7"/>
      </c>
      <c r="V24" s="542">
        <f>IF(B24="","",SUMIF('2-3_調整額内訳①(旧々・旧制度)'!B:B,$B24,'2-3_調整額内訳①(旧々・旧制度)'!AD:AD))</f>
      </c>
      <c r="W24" s="209">
        <f t="shared" si="8"/>
      </c>
      <c r="X24" s="210">
        <f t="shared" si="9"/>
      </c>
      <c r="Y24" s="210">
        <f t="shared" si="10"/>
      </c>
      <c r="Z24" s="58"/>
      <c r="AA24" s="210">
        <f t="shared" si="11"/>
      </c>
      <c r="AB24" s="504"/>
      <c r="AC24" s="81" t="str">
        <f t="shared" si="12"/>
        <v>0</v>
      </c>
      <c r="AD24" s="210">
        <f t="shared" si="13"/>
        <v>0</v>
      </c>
      <c r="AE24" s="505"/>
      <c r="AF24" s="210">
        <f t="shared" si="14"/>
      </c>
      <c r="AG24" s="506">
        <f t="shared" si="15"/>
      </c>
      <c r="AH24" s="944"/>
      <c r="AI24" s="944"/>
      <c r="AJ24" s="945"/>
      <c r="AL24" s="61">
        <f t="shared" si="0"/>
      </c>
      <c r="AM24" s="61">
        <f t="shared" si="1"/>
      </c>
    </row>
    <row r="25" spans="1:39" s="53" customFormat="1" ht="18.75" customHeight="1">
      <c r="A25" s="177">
        <f t="shared" si="2"/>
      </c>
      <c r="B25" s="233"/>
      <c r="C25" s="203"/>
      <c r="D25" s="57"/>
      <c r="E25" s="58"/>
      <c r="F25" s="198"/>
      <c r="G25" s="187">
        <f t="shared" si="3"/>
      </c>
      <c r="H25" s="500">
        <f t="shared" si="4"/>
      </c>
      <c r="I25" s="204"/>
      <c r="J25" s="205"/>
      <c r="K25" s="501"/>
      <c r="L25" s="502"/>
      <c r="M25" s="206">
        <f t="shared" si="5"/>
      </c>
      <c r="N25" s="207">
        <f t="shared" si="6"/>
      </c>
      <c r="O25" s="248"/>
      <c r="P25" s="190"/>
      <c r="Q25" s="208">
        <f>IF($H25="","",IF($O25="Ａ",LOOKUP($D25,{8000,8500,9000,10000,12000},{0,1532,1032,408,408}),IF($O25="Ｂ",LOOKUP($D25,{8000,8500,9000,10000,12000},{782,2814,2814,2814,2814}),0)))</f>
      </c>
      <c r="R25" s="248"/>
      <c r="S25" s="245">
        <v>0</v>
      </c>
      <c r="T25" s="503">
        <f>IF($H25="","",IF($R25="Ａ",LOOKUP($D25,{8000,8500,9000,10000,12000},{0,1532,1032,408,408}),IF($R25="Ｂ",LOOKUP($D25,{8000,8500,9000,10000,12000},{782,2814,2814,2814,2814}),0)))</f>
      </c>
      <c r="U25" s="81">
        <f t="shared" si="7"/>
      </c>
      <c r="V25" s="542">
        <f>IF(B25="","",SUMIF('2-3_調整額内訳①(旧々・旧制度)'!B:B,$B25,'2-3_調整額内訳①(旧々・旧制度)'!AD:AD))</f>
      </c>
      <c r="W25" s="209">
        <f t="shared" si="8"/>
      </c>
      <c r="X25" s="210">
        <f t="shared" si="9"/>
      </c>
      <c r="Y25" s="210">
        <f t="shared" si="10"/>
      </c>
      <c r="Z25" s="58"/>
      <c r="AA25" s="210">
        <f t="shared" si="11"/>
      </c>
      <c r="AB25" s="504"/>
      <c r="AC25" s="81" t="str">
        <f t="shared" si="12"/>
        <v>0</v>
      </c>
      <c r="AD25" s="210">
        <f t="shared" si="13"/>
        <v>0</v>
      </c>
      <c r="AE25" s="505"/>
      <c r="AF25" s="210">
        <f t="shared" si="14"/>
      </c>
      <c r="AG25" s="506">
        <f t="shared" si="15"/>
      </c>
      <c r="AH25" s="944"/>
      <c r="AI25" s="944"/>
      <c r="AJ25" s="945"/>
      <c r="AL25" s="61">
        <f t="shared" si="0"/>
      </c>
      <c r="AM25" s="61">
        <f t="shared" si="1"/>
      </c>
    </row>
    <row r="26" spans="1:39" s="53" customFormat="1" ht="18.75" customHeight="1">
      <c r="A26" s="177">
        <f t="shared" si="2"/>
      </c>
      <c r="B26" s="233"/>
      <c r="C26" s="203"/>
      <c r="D26" s="57"/>
      <c r="E26" s="58"/>
      <c r="F26" s="198"/>
      <c r="G26" s="187">
        <f t="shared" si="3"/>
      </c>
      <c r="H26" s="500">
        <f t="shared" si="4"/>
      </c>
      <c r="I26" s="204"/>
      <c r="J26" s="205"/>
      <c r="K26" s="501"/>
      <c r="L26" s="502"/>
      <c r="M26" s="206">
        <f t="shared" si="5"/>
      </c>
      <c r="N26" s="207">
        <f t="shared" si="6"/>
      </c>
      <c r="O26" s="248"/>
      <c r="P26" s="190"/>
      <c r="Q26" s="208">
        <f>IF($H26="","",IF($O26="Ａ",LOOKUP($D26,{8000,8500,9000,10000,12000},{0,1532,1032,408,408}),IF($O26="Ｂ",LOOKUP($D26,{8000,8500,9000,10000,12000},{782,2814,2814,2814,2814}),0)))</f>
      </c>
      <c r="R26" s="248"/>
      <c r="S26" s="245">
        <v>0</v>
      </c>
      <c r="T26" s="503">
        <f>IF($H26="","",IF($R26="Ａ",LOOKUP($D26,{8000,8500,9000,10000,12000},{0,1532,1032,408,408}),IF($R26="Ｂ",LOOKUP($D26,{8000,8500,9000,10000,12000},{782,2814,2814,2814,2814}),0)))</f>
      </c>
      <c r="U26" s="81">
        <f t="shared" si="7"/>
      </c>
      <c r="V26" s="542">
        <f>IF(B26="","",SUMIF('2-3_調整額内訳①(旧々・旧制度)'!B:B,$B26,'2-3_調整額内訳①(旧々・旧制度)'!AD:AD))</f>
      </c>
      <c r="W26" s="209">
        <f t="shared" si="8"/>
      </c>
      <c r="X26" s="210">
        <f t="shared" si="9"/>
      </c>
      <c r="Y26" s="210">
        <f t="shared" si="10"/>
      </c>
      <c r="Z26" s="58"/>
      <c r="AA26" s="210">
        <f t="shared" si="11"/>
      </c>
      <c r="AB26" s="504"/>
      <c r="AC26" s="81" t="str">
        <f t="shared" si="12"/>
        <v>0</v>
      </c>
      <c r="AD26" s="210">
        <f t="shared" si="13"/>
        <v>0</v>
      </c>
      <c r="AE26" s="505"/>
      <c r="AF26" s="210">
        <f t="shared" si="14"/>
      </c>
      <c r="AG26" s="506">
        <f t="shared" si="15"/>
      </c>
      <c r="AH26" s="944"/>
      <c r="AI26" s="944"/>
      <c r="AJ26" s="945"/>
      <c r="AL26" s="61">
        <f t="shared" si="0"/>
      </c>
      <c r="AM26" s="61">
        <f t="shared" si="1"/>
      </c>
    </row>
    <row r="27" spans="1:39" s="53" customFormat="1" ht="18.75" customHeight="1">
      <c r="A27" s="177">
        <f t="shared" si="2"/>
      </c>
      <c r="B27" s="233"/>
      <c r="C27" s="203"/>
      <c r="D27" s="57"/>
      <c r="E27" s="58"/>
      <c r="F27" s="198"/>
      <c r="G27" s="187">
        <f t="shared" si="3"/>
      </c>
      <c r="H27" s="500">
        <f t="shared" si="4"/>
      </c>
      <c r="I27" s="204"/>
      <c r="J27" s="205"/>
      <c r="K27" s="501"/>
      <c r="L27" s="502"/>
      <c r="M27" s="206">
        <f t="shared" si="5"/>
      </c>
      <c r="N27" s="207">
        <f t="shared" si="6"/>
      </c>
      <c r="O27" s="248"/>
      <c r="P27" s="190"/>
      <c r="Q27" s="208">
        <f>IF($H27="","",IF($O27="Ａ",LOOKUP($D27,{8000,8500,9000,10000,12000},{0,1532,1032,408,408}),IF($O27="Ｂ",LOOKUP($D27,{8000,8500,9000,10000,12000},{782,2814,2814,2814,2814}),0)))</f>
      </c>
      <c r="R27" s="248"/>
      <c r="S27" s="245">
        <v>0</v>
      </c>
      <c r="T27" s="503">
        <f>IF($H27="","",IF($R27="Ａ",LOOKUP($D27,{8000,8500,9000,10000,12000},{0,1532,1032,408,408}),IF($R27="Ｂ",LOOKUP($D27,{8000,8500,9000,10000,12000},{782,2814,2814,2814,2814}),0)))</f>
      </c>
      <c r="U27" s="81">
        <f t="shared" si="7"/>
      </c>
      <c r="V27" s="542">
        <f>IF(B27="","",SUMIF('2-3_調整額内訳①(旧々・旧制度)'!B:B,$B27,'2-3_調整額内訳①(旧々・旧制度)'!AD:AD))</f>
      </c>
      <c r="W27" s="209">
        <f t="shared" si="8"/>
      </c>
      <c r="X27" s="210">
        <f t="shared" si="9"/>
      </c>
      <c r="Y27" s="210">
        <f t="shared" si="10"/>
      </c>
      <c r="Z27" s="58"/>
      <c r="AA27" s="210">
        <f t="shared" si="11"/>
      </c>
      <c r="AB27" s="504"/>
      <c r="AC27" s="81" t="str">
        <f t="shared" si="12"/>
        <v>0</v>
      </c>
      <c r="AD27" s="210">
        <f t="shared" si="13"/>
        <v>0</v>
      </c>
      <c r="AE27" s="505"/>
      <c r="AF27" s="210">
        <f t="shared" si="14"/>
      </c>
      <c r="AG27" s="506">
        <f t="shared" si="15"/>
      </c>
      <c r="AH27" s="944"/>
      <c r="AI27" s="944"/>
      <c r="AJ27" s="945"/>
      <c r="AL27" s="61">
        <f t="shared" si="0"/>
      </c>
      <c r="AM27" s="61">
        <f t="shared" si="1"/>
      </c>
    </row>
    <row r="28" spans="1:39" s="53" customFormat="1" ht="18.75" customHeight="1">
      <c r="A28" s="177">
        <f t="shared" si="2"/>
      </c>
      <c r="B28" s="233"/>
      <c r="C28" s="203"/>
      <c r="D28" s="57"/>
      <c r="E28" s="58"/>
      <c r="F28" s="198"/>
      <c r="G28" s="187">
        <f t="shared" si="3"/>
      </c>
      <c r="H28" s="500">
        <f t="shared" si="4"/>
      </c>
      <c r="I28" s="204"/>
      <c r="J28" s="205"/>
      <c r="K28" s="501"/>
      <c r="L28" s="502"/>
      <c r="M28" s="206">
        <f t="shared" si="5"/>
      </c>
      <c r="N28" s="207">
        <f t="shared" si="6"/>
      </c>
      <c r="O28" s="248"/>
      <c r="P28" s="190"/>
      <c r="Q28" s="208">
        <f>IF($H28="","",IF($O28="Ａ",LOOKUP($D28,{8000,8500,9000,10000,12000},{0,1532,1032,408,408}),IF($O28="Ｂ",LOOKUP($D28,{8000,8500,9000,10000,12000},{782,2814,2814,2814,2814}),0)))</f>
      </c>
      <c r="R28" s="248"/>
      <c r="S28" s="245">
        <v>0</v>
      </c>
      <c r="T28" s="503">
        <f>IF($H28="","",IF($R28="Ａ",LOOKUP($D28,{8000,8500,9000,10000,12000},{0,1532,1032,408,408}),IF($R28="Ｂ",LOOKUP($D28,{8000,8500,9000,10000,12000},{782,2814,2814,2814,2814}),0)))</f>
      </c>
      <c r="U28" s="81">
        <f t="shared" si="7"/>
      </c>
      <c r="V28" s="542">
        <f>IF(B28="","",SUMIF('2-3_調整額内訳①(旧々・旧制度)'!B:B,$B28,'2-3_調整額内訳①(旧々・旧制度)'!AD:AD))</f>
      </c>
      <c r="W28" s="209">
        <f t="shared" si="8"/>
      </c>
      <c r="X28" s="210">
        <f t="shared" si="9"/>
      </c>
      <c r="Y28" s="210">
        <f t="shared" si="10"/>
      </c>
      <c r="Z28" s="58"/>
      <c r="AA28" s="210">
        <f t="shared" si="11"/>
      </c>
      <c r="AB28" s="504"/>
      <c r="AC28" s="81" t="str">
        <f t="shared" si="12"/>
        <v>0</v>
      </c>
      <c r="AD28" s="210">
        <f t="shared" si="13"/>
        <v>0</v>
      </c>
      <c r="AE28" s="505"/>
      <c r="AF28" s="210">
        <f t="shared" si="14"/>
      </c>
      <c r="AG28" s="506">
        <f t="shared" si="15"/>
      </c>
      <c r="AH28" s="944"/>
      <c r="AI28" s="944"/>
      <c r="AJ28" s="945"/>
      <c r="AL28" s="61">
        <f t="shared" si="0"/>
      </c>
      <c r="AM28" s="61">
        <f t="shared" si="1"/>
      </c>
    </row>
    <row r="29" spans="1:39" s="53" customFormat="1" ht="18.75" customHeight="1">
      <c r="A29" s="177">
        <f t="shared" si="2"/>
      </c>
      <c r="B29" s="233"/>
      <c r="C29" s="203"/>
      <c r="D29" s="57"/>
      <c r="E29" s="58"/>
      <c r="F29" s="198"/>
      <c r="G29" s="187">
        <f t="shared" si="3"/>
      </c>
      <c r="H29" s="500">
        <f t="shared" si="4"/>
      </c>
      <c r="I29" s="204"/>
      <c r="J29" s="205"/>
      <c r="K29" s="501"/>
      <c r="L29" s="502"/>
      <c r="M29" s="206">
        <f t="shared" si="5"/>
      </c>
      <c r="N29" s="207">
        <f t="shared" si="6"/>
      </c>
      <c r="O29" s="248"/>
      <c r="P29" s="190"/>
      <c r="Q29" s="208">
        <f>IF($H29="","",IF($O29="Ａ",LOOKUP($D29,{8000,8500,9000,10000,12000},{0,1532,1032,408,408}),IF($O29="Ｂ",LOOKUP($D29,{8000,8500,9000,10000,12000},{782,2814,2814,2814,2814}),0)))</f>
      </c>
      <c r="R29" s="248"/>
      <c r="S29" s="245">
        <v>0</v>
      </c>
      <c r="T29" s="503">
        <f>IF($H29="","",IF($R29="Ａ",LOOKUP($D29,{8000,8500,9000,10000,12000},{0,1532,1032,408,408}),IF($R29="Ｂ",LOOKUP($D29,{8000,8500,9000,10000,12000},{782,2814,2814,2814,2814}),0)))</f>
      </c>
      <c r="U29" s="81">
        <f t="shared" si="7"/>
      </c>
      <c r="V29" s="542">
        <f>IF(B29="","",SUMIF('2-3_調整額内訳①(旧々・旧制度)'!B:B,$B29,'2-3_調整額内訳①(旧々・旧制度)'!AD:AD))</f>
      </c>
      <c r="W29" s="209">
        <f t="shared" si="8"/>
      </c>
      <c r="X29" s="210">
        <f t="shared" si="9"/>
      </c>
      <c r="Y29" s="210">
        <f t="shared" si="10"/>
      </c>
      <c r="Z29" s="58"/>
      <c r="AA29" s="210">
        <f t="shared" si="11"/>
      </c>
      <c r="AB29" s="504"/>
      <c r="AC29" s="81" t="str">
        <f t="shared" si="12"/>
        <v>0</v>
      </c>
      <c r="AD29" s="210">
        <f t="shared" si="13"/>
        <v>0</v>
      </c>
      <c r="AE29" s="505"/>
      <c r="AF29" s="210">
        <f t="shared" si="14"/>
      </c>
      <c r="AG29" s="506">
        <f t="shared" si="15"/>
      </c>
      <c r="AH29" s="944"/>
      <c r="AI29" s="944"/>
      <c r="AJ29" s="945"/>
      <c r="AL29" s="61">
        <f t="shared" si="0"/>
      </c>
      <c r="AM29" s="61">
        <f t="shared" si="1"/>
      </c>
    </row>
    <row r="30" spans="1:39" s="53" customFormat="1" ht="18.75" customHeight="1">
      <c r="A30" s="177">
        <f t="shared" si="2"/>
      </c>
      <c r="B30" s="233"/>
      <c r="C30" s="203"/>
      <c r="D30" s="57"/>
      <c r="E30" s="58"/>
      <c r="F30" s="198"/>
      <c r="G30" s="187">
        <f t="shared" si="3"/>
      </c>
      <c r="H30" s="500">
        <f t="shared" si="4"/>
      </c>
      <c r="I30" s="204"/>
      <c r="J30" s="205"/>
      <c r="K30" s="501"/>
      <c r="L30" s="502"/>
      <c r="M30" s="206">
        <f t="shared" si="5"/>
      </c>
      <c r="N30" s="207">
        <f t="shared" si="6"/>
      </c>
      <c r="O30" s="248"/>
      <c r="P30" s="190"/>
      <c r="Q30" s="208">
        <f>IF($H30="","",IF($O30="Ａ",LOOKUP($D30,{8000,8500,9000,10000,12000},{0,1532,1032,408,408}),IF($O30="Ｂ",LOOKUP($D30,{8000,8500,9000,10000,12000},{782,2814,2814,2814,2814}),0)))</f>
      </c>
      <c r="R30" s="248"/>
      <c r="S30" s="245">
        <v>0</v>
      </c>
      <c r="T30" s="503">
        <f>IF($H30="","",IF($R30="Ａ",LOOKUP($D30,{8000,8500,9000,10000,12000},{0,1532,1032,408,408}),IF($R30="Ｂ",LOOKUP($D30,{8000,8500,9000,10000,12000},{782,2814,2814,2814,2814}),0)))</f>
      </c>
      <c r="U30" s="81">
        <f t="shared" si="7"/>
      </c>
      <c r="V30" s="542">
        <f>IF(B30="","",SUMIF('2-3_調整額内訳①(旧々・旧制度)'!B:B,$B30,'2-3_調整額内訳①(旧々・旧制度)'!AD:AD))</f>
      </c>
      <c r="W30" s="209">
        <f t="shared" si="8"/>
      </c>
      <c r="X30" s="210">
        <f t="shared" si="9"/>
      </c>
      <c r="Y30" s="210">
        <f t="shared" si="10"/>
      </c>
      <c r="Z30" s="58"/>
      <c r="AA30" s="210">
        <f t="shared" si="11"/>
      </c>
      <c r="AB30" s="504"/>
      <c r="AC30" s="81" t="str">
        <f t="shared" si="12"/>
        <v>0</v>
      </c>
      <c r="AD30" s="210">
        <f t="shared" si="13"/>
        <v>0</v>
      </c>
      <c r="AE30" s="505"/>
      <c r="AF30" s="210">
        <f t="shared" si="14"/>
      </c>
      <c r="AG30" s="506">
        <f t="shared" si="15"/>
      </c>
      <c r="AH30" s="944"/>
      <c r="AI30" s="944"/>
      <c r="AJ30" s="945"/>
      <c r="AL30" s="61">
        <f t="shared" si="0"/>
      </c>
      <c r="AM30" s="61">
        <f t="shared" si="1"/>
      </c>
    </row>
    <row r="31" spans="1:39" s="53" customFormat="1" ht="18.75" customHeight="1">
      <c r="A31" s="177">
        <f t="shared" si="2"/>
      </c>
      <c r="B31" s="233"/>
      <c r="C31" s="203"/>
      <c r="D31" s="57"/>
      <c r="E31" s="58"/>
      <c r="F31" s="198"/>
      <c r="G31" s="187">
        <f t="shared" si="3"/>
      </c>
      <c r="H31" s="500">
        <f t="shared" si="4"/>
      </c>
      <c r="I31" s="204"/>
      <c r="J31" s="205"/>
      <c r="K31" s="501"/>
      <c r="L31" s="502"/>
      <c r="M31" s="206">
        <f t="shared" si="5"/>
      </c>
      <c r="N31" s="207">
        <f t="shared" si="6"/>
      </c>
      <c r="O31" s="248"/>
      <c r="P31" s="190"/>
      <c r="Q31" s="208">
        <f>IF($H31="","",IF($O31="Ａ",LOOKUP($D31,{8000,8500,9000,10000,12000},{0,1532,1032,408,408}),IF($O31="Ｂ",LOOKUP($D31,{8000,8500,9000,10000,12000},{782,2814,2814,2814,2814}),0)))</f>
      </c>
      <c r="R31" s="248"/>
      <c r="S31" s="245">
        <v>0</v>
      </c>
      <c r="T31" s="503">
        <f>IF($H31="","",IF($R31="Ａ",LOOKUP($D31,{8000,8500,9000,10000,12000},{0,1532,1032,408,408}),IF($R31="Ｂ",LOOKUP($D31,{8000,8500,9000,10000,12000},{782,2814,2814,2814,2814}),0)))</f>
      </c>
      <c r="U31" s="81">
        <f t="shared" si="7"/>
      </c>
      <c r="V31" s="542">
        <f>IF(B31="","",SUMIF('2-3_調整額内訳①(旧々・旧制度)'!B:B,$B31,'2-3_調整額内訳①(旧々・旧制度)'!AD:AD))</f>
      </c>
      <c r="W31" s="209">
        <f t="shared" si="8"/>
      </c>
      <c r="X31" s="210">
        <f t="shared" si="9"/>
      </c>
      <c r="Y31" s="210">
        <f t="shared" si="10"/>
      </c>
      <c r="Z31" s="58"/>
      <c r="AA31" s="210">
        <f t="shared" si="11"/>
      </c>
      <c r="AB31" s="504"/>
      <c r="AC31" s="81" t="str">
        <f t="shared" si="12"/>
        <v>0</v>
      </c>
      <c r="AD31" s="210">
        <f t="shared" si="13"/>
        <v>0</v>
      </c>
      <c r="AE31" s="505"/>
      <c r="AF31" s="210">
        <f t="shared" si="14"/>
      </c>
      <c r="AG31" s="506">
        <f t="shared" si="15"/>
      </c>
      <c r="AH31" s="944"/>
      <c r="AI31" s="944"/>
      <c r="AJ31" s="945"/>
      <c r="AL31" s="61">
        <f t="shared" si="0"/>
      </c>
      <c r="AM31" s="61">
        <f t="shared" si="1"/>
      </c>
    </row>
    <row r="32" spans="1:39" s="53" customFormat="1" ht="18.75" customHeight="1">
      <c r="A32" s="177">
        <f t="shared" si="2"/>
      </c>
      <c r="B32" s="233"/>
      <c r="C32" s="203"/>
      <c r="D32" s="57"/>
      <c r="E32" s="58"/>
      <c r="F32" s="198"/>
      <c r="G32" s="187">
        <f t="shared" si="3"/>
      </c>
      <c r="H32" s="500">
        <f t="shared" si="4"/>
      </c>
      <c r="I32" s="204"/>
      <c r="J32" s="205"/>
      <c r="K32" s="501"/>
      <c r="L32" s="502"/>
      <c r="M32" s="206">
        <f t="shared" si="5"/>
      </c>
      <c r="N32" s="207">
        <f t="shared" si="6"/>
      </c>
      <c r="O32" s="248"/>
      <c r="P32" s="190"/>
      <c r="Q32" s="208">
        <f>IF($H32="","",IF($O32="Ａ",LOOKUP($D32,{8000,8500,9000,10000,12000},{0,1532,1032,408,408}),IF($O32="Ｂ",LOOKUP($D32,{8000,8500,9000,10000,12000},{782,2814,2814,2814,2814}),0)))</f>
      </c>
      <c r="R32" s="248"/>
      <c r="S32" s="245">
        <v>0</v>
      </c>
      <c r="T32" s="503">
        <f>IF($H32="","",IF($R32="Ａ",LOOKUP($D32,{8000,8500,9000,10000,12000},{0,1532,1032,408,408}),IF($R32="Ｂ",LOOKUP($D32,{8000,8500,9000,10000,12000},{782,2814,2814,2814,2814}),0)))</f>
      </c>
      <c r="U32" s="81">
        <f t="shared" si="7"/>
      </c>
      <c r="V32" s="542">
        <f>IF(B32="","",SUMIF('2-3_調整額内訳①(旧々・旧制度)'!B:B,$B32,'2-3_調整額内訳①(旧々・旧制度)'!AD:AD))</f>
      </c>
      <c r="W32" s="209">
        <f t="shared" si="8"/>
      </c>
      <c r="X32" s="210">
        <f t="shared" si="9"/>
      </c>
      <c r="Y32" s="210">
        <f t="shared" si="10"/>
      </c>
      <c r="Z32" s="58"/>
      <c r="AA32" s="210">
        <f t="shared" si="11"/>
      </c>
      <c r="AB32" s="504"/>
      <c r="AC32" s="81" t="str">
        <f t="shared" si="12"/>
        <v>0</v>
      </c>
      <c r="AD32" s="210">
        <f t="shared" si="13"/>
        <v>0</v>
      </c>
      <c r="AE32" s="505"/>
      <c r="AF32" s="210">
        <f t="shared" si="14"/>
      </c>
      <c r="AG32" s="506">
        <f t="shared" si="15"/>
      </c>
      <c r="AH32" s="944"/>
      <c r="AI32" s="944"/>
      <c r="AJ32" s="945"/>
      <c r="AL32" s="61">
        <f t="shared" si="0"/>
      </c>
      <c r="AM32" s="61">
        <f t="shared" si="1"/>
      </c>
    </row>
    <row r="33" spans="1:39" s="53" customFormat="1" ht="18.75" customHeight="1">
      <c r="A33" s="27">
        <f t="shared" si="2"/>
      </c>
      <c r="B33" s="233"/>
      <c r="C33" s="203"/>
      <c r="D33" s="57"/>
      <c r="E33" s="58"/>
      <c r="F33" s="198"/>
      <c r="G33" s="187">
        <f t="shared" si="3"/>
      </c>
      <c r="H33" s="500">
        <f t="shared" si="4"/>
      </c>
      <c r="I33" s="204"/>
      <c r="J33" s="205"/>
      <c r="K33" s="501"/>
      <c r="L33" s="502"/>
      <c r="M33" s="206">
        <f t="shared" si="5"/>
      </c>
      <c r="N33" s="207">
        <f t="shared" si="6"/>
      </c>
      <c r="O33" s="248"/>
      <c r="P33" s="190"/>
      <c r="Q33" s="208">
        <f>IF($H33="","",IF($O33="Ａ",LOOKUP($D33,{8000,8500,9000,10000,12000},{0,1532,1032,408,408}),IF($O33="Ｂ",LOOKUP($D33,{8000,8500,9000,10000,12000},{782,2814,2814,2814,2814}),0)))</f>
      </c>
      <c r="R33" s="248"/>
      <c r="S33" s="245">
        <v>0</v>
      </c>
      <c r="T33" s="503">
        <f>IF($H33="","",IF($R33="Ａ",LOOKUP($D33,{8000,8500,9000,10000,12000},{0,1532,1032,408,408}),IF($R33="Ｂ",LOOKUP($D33,{8000,8500,9000,10000,12000},{782,2814,2814,2814,2814}),0)))</f>
      </c>
      <c r="U33" s="81">
        <f t="shared" si="7"/>
      </c>
      <c r="V33" s="542">
        <f>IF(B33="","",SUMIF('2-3_調整額内訳①(旧々・旧制度)'!B:B,$B33,'2-3_調整額内訳①(旧々・旧制度)'!AD:AD))</f>
      </c>
      <c r="W33" s="209">
        <f t="shared" si="8"/>
      </c>
      <c r="X33" s="210">
        <f t="shared" si="9"/>
      </c>
      <c r="Y33" s="210">
        <f t="shared" si="10"/>
      </c>
      <c r="Z33" s="58"/>
      <c r="AA33" s="210">
        <f t="shared" si="11"/>
      </c>
      <c r="AB33" s="504"/>
      <c r="AC33" s="81" t="str">
        <f t="shared" si="12"/>
        <v>0</v>
      </c>
      <c r="AD33" s="210">
        <f t="shared" si="13"/>
        <v>0</v>
      </c>
      <c r="AE33" s="505"/>
      <c r="AF33" s="210">
        <f t="shared" si="14"/>
      </c>
      <c r="AG33" s="506">
        <f t="shared" si="15"/>
      </c>
      <c r="AH33" s="944"/>
      <c r="AI33" s="944"/>
      <c r="AJ33" s="945"/>
      <c r="AL33" s="61">
        <f t="shared" si="0"/>
      </c>
      <c r="AM33" s="61">
        <f t="shared" si="1"/>
      </c>
    </row>
    <row r="34" spans="1:39" s="53" customFormat="1" ht="18.75" customHeight="1">
      <c r="A34" s="27">
        <f t="shared" si="2"/>
      </c>
      <c r="B34" s="233"/>
      <c r="C34" s="203"/>
      <c r="D34" s="57"/>
      <c r="E34" s="58"/>
      <c r="F34" s="198"/>
      <c r="G34" s="187">
        <f t="shared" si="3"/>
      </c>
      <c r="H34" s="500">
        <f t="shared" si="4"/>
      </c>
      <c r="I34" s="204"/>
      <c r="J34" s="205"/>
      <c r="K34" s="501"/>
      <c r="L34" s="502"/>
      <c r="M34" s="206">
        <f t="shared" si="5"/>
      </c>
      <c r="N34" s="207">
        <f t="shared" si="6"/>
      </c>
      <c r="O34" s="248"/>
      <c r="P34" s="190"/>
      <c r="Q34" s="208">
        <f>IF($H34="","",IF($O34="Ａ",LOOKUP($D34,{8000,8500,9000,10000,12000},{0,1532,1032,408,408}),IF($O34="Ｂ",LOOKUP($D34,{8000,8500,9000,10000,12000},{782,2814,2814,2814,2814}),0)))</f>
      </c>
      <c r="R34" s="248"/>
      <c r="S34" s="245">
        <v>0</v>
      </c>
      <c r="T34" s="503">
        <f>IF($H34="","",IF($R34="Ａ",LOOKUP($D34,{8000,8500,9000,10000,12000},{0,1532,1032,408,408}),IF($R34="Ｂ",LOOKUP($D34,{8000,8500,9000,10000,12000},{782,2814,2814,2814,2814}),0)))</f>
      </c>
      <c r="U34" s="81">
        <f t="shared" si="7"/>
      </c>
      <c r="V34" s="542">
        <f>IF(B34="","",SUMIF('2-3_調整額内訳①(旧々・旧制度)'!B:B,$B34,'2-3_調整額内訳①(旧々・旧制度)'!AD:AD))</f>
      </c>
      <c r="W34" s="209">
        <f t="shared" si="8"/>
      </c>
      <c r="X34" s="210">
        <f t="shared" si="9"/>
      </c>
      <c r="Y34" s="210">
        <f t="shared" si="10"/>
      </c>
      <c r="Z34" s="58"/>
      <c r="AA34" s="210">
        <f t="shared" si="11"/>
      </c>
      <c r="AB34" s="504"/>
      <c r="AC34" s="81" t="str">
        <f t="shared" si="12"/>
        <v>0</v>
      </c>
      <c r="AD34" s="210">
        <f t="shared" si="13"/>
        <v>0</v>
      </c>
      <c r="AE34" s="505"/>
      <c r="AF34" s="210">
        <f t="shared" si="14"/>
      </c>
      <c r="AG34" s="506">
        <f t="shared" si="15"/>
      </c>
      <c r="AH34" s="944"/>
      <c r="AI34" s="944"/>
      <c r="AJ34" s="945"/>
      <c r="AL34" s="61">
        <f t="shared" si="0"/>
      </c>
      <c r="AM34" s="61">
        <f t="shared" si="1"/>
      </c>
    </row>
    <row r="35" spans="1:39" s="53" customFormat="1" ht="18.75" customHeight="1">
      <c r="A35" s="37">
        <f t="shared" si="2"/>
      </c>
      <c r="B35" s="233"/>
      <c r="C35" s="203"/>
      <c r="D35" s="57"/>
      <c r="E35" s="58"/>
      <c r="F35" s="198"/>
      <c r="G35" s="187">
        <f t="shared" si="3"/>
      </c>
      <c r="H35" s="500">
        <f t="shared" si="4"/>
      </c>
      <c r="I35" s="204"/>
      <c r="J35" s="205"/>
      <c r="K35" s="501"/>
      <c r="L35" s="502"/>
      <c r="M35" s="206">
        <f t="shared" si="5"/>
      </c>
      <c r="N35" s="207">
        <f t="shared" si="6"/>
      </c>
      <c r="O35" s="248"/>
      <c r="P35" s="190"/>
      <c r="Q35" s="208">
        <f>IF($H35="","",IF($O35="Ａ",LOOKUP($D35,{8000,8500,9000,10000,12000},{0,1532,1032,408,408}),IF($O35="Ｂ",LOOKUP($D35,{8000,8500,9000,10000,12000},{782,2814,2814,2814,2814}),0)))</f>
      </c>
      <c r="R35" s="248"/>
      <c r="S35" s="245">
        <v>0</v>
      </c>
      <c r="T35" s="503">
        <f>IF($H35="","",IF($R35="Ａ",LOOKUP($D35,{8000,8500,9000,10000,12000},{0,1532,1032,408,408}),IF($R35="Ｂ",LOOKUP($D35,{8000,8500,9000,10000,12000},{782,2814,2814,2814,2814}),0)))</f>
      </c>
      <c r="U35" s="81">
        <f t="shared" si="7"/>
      </c>
      <c r="V35" s="542">
        <f>IF(B35="","",SUMIF('2-3_調整額内訳①(旧々・旧制度)'!B:B,$B35,'2-3_調整額内訳①(旧々・旧制度)'!AD:AD))</f>
      </c>
      <c r="W35" s="209">
        <f t="shared" si="8"/>
      </c>
      <c r="X35" s="210">
        <f t="shared" si="9"/>
      </c>
      <c r="Y35" s="210">
        <f t="shared" si="10"/>
      </c>
      <c r="Z35" s="58"/>
      <c r="AA35" s="210">
        <f t="shared" si="11"/>
      </c>
      <c r="AB35" s="504"/>
      <c r="AC35" s="81" t="str">
        <f t="shared" si="12"/>
        <v>0</v>
      </c>
      <c r="AD35" s="210">
        <f t="shared" si="13"/>
        <v>0</v>
      </c>
      <c r="AE35" s="505"/>
      <c r="AF35" s="210">
        <f t="shared" si="14"/>
      </c>
      <c r="AG35" s="506">
        <f t="shared" si="15"/>
      </c>
      <c r="AH35" s="944"/>
      <c r="AI35" s="944"/>
      <c r="AJ35" s="945"/>
      <c r="AL35" s="61">
        <f t="shared" si="0"/>
      </c>
      <c r="AM35" s="61">
        <f t="shared" si="1"/>
      </c>
    </row>
    <row r="36" spans="1:39" s="53" customFormat="1" ht="18.75" customHeight="1">
      <c r="A36" s="177">
        <f t="shared" si="2"/>
      </c>
      <c r="B36" s="233"/>
      <c r="C36" s="203"/>
      <c r="D36" s="57"/>
      <c r="E36" s="292"/>
      <c r="F36" s="507"/>
      <c r="G36" s="187">
        <f t="shared" si="3"/>
      </c>
      <c r="H36" s="508">
        <f t="shared" si="4"/>
      </c>
      <c r="I36" s="293"/>
      <c r="J36" s="294"/>
      <c r="K36" s="293"/>
      <c r="L36" s="509"/>
      <c r="M36" s="206">
        <f t="shared" si="5"/>
      </c>
      <c r="N36" s="207">
        <f t="shared" si="6"/>
      </c>
      <c r="O36" s="248"/>
      <c r="P36" s="190"/>
      <c r="Q36" s="208">
        <f>IF($H36="","",IF($O36="Ａ",LOOKUP($D36,{8000,8500,9000,10000,12000},{0,1532,1032,408,408}),IF($O36="Ｂ",LOOKUP($D36,{8000,8500,9000,10000,12000},{782,2814,2814,2814,2814}),0)))</f>
      </c>
      <c r="R36" s="248"/>
      <c r="S36" s="245">
        <v>0</v>
      </c>
      <c r="T36" s="503">
        <f>IF($H36="","",IF($R36="Ａ",LOOKUP($D36,{8000,8500,9000,10000,12000},{0,1532,1032,408,408}),IF($R36="Ｂ",LOOKUP($D36,{8000,8500,9000,10000,12000},{782,2814,2814,2814,2814}),0)))</f>
      </c>
      <c r="U36" s="81">
        <f t="shared" si="7"/>
      </c>
      <c r="V36" s="542">
        <f>IF(B36="","",SUMIF('2-3_調整額内訳①(旧々・旧制度)'!B:B,$B36,'2-3_調整額内訳①(旧々・旧制度)'!AD:AD))</f>
      </c>
      <c r="W36" s="209">
        <f t="shared" si="8"/>
      </c>
      <c r="X36" s="210">
        <f t="shared" si="9"/>
      </c>
      <c r="Y36" s="210">
        <f t="shared" si="10"/>
      </c>
      <c r="Z36" s="58"/>
      <c r="AA36" s="210">
        <f t="shared" si="11"/>
      </c>
      <c r="AB36" s="504"/>
      <c r="AC36" s="81" t="str">
        <f t="shared" si="12"/>
        <v>0</v>
      </c>
      <c r="AD36" s="210">
        <f t="shared" si="13"/>
        <v>0</v>
      </c>
      <c r="AE36" s="505"/>
      <c r="AF36" s="210">
        <f t="shared" si="14"/>
      </c>
      <c r="AG36" s="506">
        <f t="shared" si="15"/>
      </c>
      <c r="AH36" s="944"/>
      <c r="AI36" s="944"/>
      <c r="AJ36" s="945"/>
      <c r="AL36" s="61">
        <f t="shared" si="0"/>
      </c>
      <c r="AM36" s="61">
        <f t="shared" si="1"/>
      </c>
    </row>
    <row r="37" spans="1:39" s="53" customFormat="1" ht="18.75" customHeight="1">
      <c r="A37" s="27">
        <f t="shared" si="2"/>
      </c>
      <c r="B37" s="233"/>
      <c r="C37" s="203"/>
      <c r="D37" s="57"/>
      <c r="E37" s="58"/>
      <c r="F37" s="198"/>
      <c r="G37" s="187">
        <f t="shared" si="3"/>
      </c>
      <c r="H37" s="500">
        <f t="shared" si="4"/>
      </c>
      <c r="I37" s="204"/>
      <c r="J37" s="205"/>
      <c r="K37" s="501"/>
      <c r="L37" s="502"/>
      <c r="M37" s="206">
        <f t="shared" si="5"/>
      </c>
      <c r="N37" s="207">
        <f t="shared" si="6"/>
      </c>
      <c r="O37" s="248"/>
      <c r="P37" s="190"/>
      <c r="Q37" s="208">
        <f>IF($H37="","",IF($O37="Ａ",LOOKUP($D37,{8000,8500,9000,10000,12000},{0,1532,1032,408,408}),IF($O37="Ｂ",LOOKUP($D37,{8000,8500,9000,10000,12000},{782,2814,2814,2814,2814}),0)))</f>
      </c>
      <c r="R37" s="248"/>
      <c r="S37" s="245">
        <v>0</v>
      </c>
      <c r="T37" s="503">
        <f>IF($H37="","",IF($R37="Ａ",LOOKUP($D37,{8000,8500,9000,10000,12000},{0,1532,1032,408,408}),IF($R37="Ｂ",LOOKUP($D37,{8000,8500,9000,10000,12000},{782,2814,2814,2814,2814}),0)))</f>
      </c>
      <c r="U37" s="81">
        <f t="shared" si="7"/>
      </c>
      <c r="V37" s="542">
        <f>IF(B37="","",SUMIF('2-3_調整額内訳①(旧々・旧制度)'!B:B,$B37,'2-3_調整額内訳①(旧々・旧制度)'!AD:AD))</f>
      </c>
      <c r="W37" s="209">
        <f t="shared" si="8"/>
      </c>
      <c r="X37" s="210">
        <f t="shared" si="9"/>
      </c>
      <c r="Y37" s="210">
        <f t="shared" si="10"/>
      </c>
      <c r="Z37" s="58"/>
      <c r="AA37" s="210">
        <f t="shared" si="11"/>
      </c>
      <c r="AB37" s="504"/>
      <c r="AC37" s="81" t="str">
        <f t="shared" si="12"/>
        <v>0</v>
      </c>
      <c r="AD37" s="210">
        <f t="shared" si="13"/>
        <v>0</v>
      </c>
      <c r="AE37" s="505"/>
      <c r="AF37" s="210">
        <f t="shared" si="14"/>
      </c>
      <c r="AG37" s="506">
        <f t="shared" si="15"/>
      </c>
      <c r="AH37" s="944"/>
      <c r="AI37" s="944"/>
      <c r="AJ37" s="945"/>
      <c r="AL37" s="61">
        <f t="shared" si="0"/>
      </c>
      <c r="AM37" s="61">
        <f t="shared" si="1"/>
      </c>
    </row>
    <row r="38" spans="1:39" s="53" customFormat="1" ht="18.75" customHeight="1">
      <c r="A38" s="27">
        <f t="shared" si="2"/>
      </c>
      <c r="B38" s="233"/>
      <c r="C38" s="203"/>
      <c r="D38" s="57"/>
      <c r="E38" s="58"/>
      <c r="F38" s="198"/>
      <c r="G38" s="187">
        <f t="shared" si="3"/>
      </c>
      <c r="H38" s="500">
        <f t="shared" si="4"/>
      </c>
      <c r="I38" s="204"/>
      <c r="J38" s="205"/>
      <c r="K38" s="501"/>
      <c r="L38" s="502"/>
      <c r="M38" s="206">
        <f t="shared" si="5"/>
      </c>
      <c r="N38" s="207">
        <f t="shared" si="6"/>
      </c>
      <c r="O38" s="248"/>
      <c r="P38" s="190"/>
      <c r="Q38" s="208">
        <f>IF($H38="","",IF($O38="Ａ",LOOKUP($D38,{8000,8500,9000,10000,12000},{0,1532,1032,408,408}),IF($O38="Ｂ",LOOKUP($D38,{8000,8500,9000,10000,12000},{782,2814,2814,2814,2814}),0)))</f>
      </c>
      <c r="R38" s="248"/>
      <c r="S38" s="245">
        <v>0</v>
      </c>
      <c r="T38" s="503">
        <f>IF($H38="","",IF($R38="Ａ",LOOKUP($D38,{8000,8500,9000,10000,12000},{0,1532,1032,408,408}),IF($R38="Ｂ",LOOKUP($D38,{8000,8500,9000,10000,12000},{782,2814,2814,2814,2814}),0)))</f>
      </c>
      <c r="U38" s="81">
        <f t="shared" si="7"/>
      </c>
      <c r="V38" s="542">
        <f>IF(B38="","",SUMIF('2-3_調整額内訳①(旧々・旧制度)'!B:B,$B38,'2-3_調整額内訳①(旧々・旧制度)'!AD:AD))</f>
      </c>
      <c r="W38" s="209">
        <f t="shared" si="8"/>
      </c>
      <c r="X38" s="210">
        <f t="shared" si="9"/>
      </c>
      <c r="Y38" s="210">
        <f t="shared" si="10"/>
      </c>
      <c r="Z38" s="58"/>
      <c r="AA38" s="210">
        <f t="shared" si="11"/>
      </c>
      <c r="AB38" s="504"/>
      <c r="AC38" s="81" t="str">
        <f t="shared" si="12"/>
        <v>0</v>
      </c>
      <c r="AD38" s="210">
        <f t="shared" si="13"/>
        <v>0</v>
      </c>
      <c r="AE38" s="505"/>
      <c r="AF38" s="210">
        <f t="shared" si="14"/>
      </c>
      <c r="AG38" s="506">
        <f t="shared" si="15"/>
      </c>
      <c r="AH38" s="944"/>
      <c r="AI38" s="944"/>
      <c r="AJ38" s="945"/>
      <c r="AL38" s="61">
        <f t="shared" si="0"/>
      </c>
      <c r="AM38" s="61">
        <f t="shared" si="1"/>
      </c>
    </row>
    <row r="39" spans="1:39" s="53" customFormat="1" ht="18.75" customHeight="1">
      <c r="A39" s="27">
        <f t="shared" si="2"/>
      </c>
      <c r="B39" s="233"/>
      <c r="C39" s="203"/>
      <c r="D39" s="57"/>
      <c r="E39" s="58"/>
      <c r="F39" s="198"/>
      <c r="G39" s="187">
        <f t="shared" si="3"/>
      </c>
      <c r="H39" s="500">
        <f t="shared" si="4"/>
      </c>
      <c r="I39" s="204"/>
      <c r="J39" s="205"/>
      <c r="K39" s="501"/>
      <c r="L39" s="502"/>
      <c r="M39" s="206">
        <f t="shared" si="5"/>
      </c>
      <c r="N39" s="207">
        <f t="shared" si="6"/>
      </c>
      <c r="O39" s="248"/>
      <c r="P39" s="190"/>
      <c r="Q39" s="208">
        <f>IF($H39="","",IF($O39="Ａ",LOOKUP($D39,{8000,8500,9000,10000,12000},{0,1532,1032,408,408}),IF($O39="Ｂ",LOOKUP($D39,{8000,8500,9000,10000,12000},{782,2814,2814,2814,2814}),0)))</f>
      </c>
      <c r="R39" s="248"/>
      <c r="S39" s="245">
        <v>0</v>
      </c>
      <c r="T39" s="503">
        <f>IF($H39="","",IF($R39="Ａ",LOOKUP($D39,{8000,8500,9000,10000,12000},{0,1532,1032,408,408}),IF($R39="Ｂ",LOOKUP($D39,{8000,8500,9000,10000,12000},{782,2814,2814,2814,2814}),0)))</f>
      </c>
      <c r="U39" s="81">
        <f t="shared" si="7"/>
      </c>
      <c r="V39" s="542">
        <f>IF(B39="","",SUMIF('2-3_調整額内訳①(旧々・旧制度)'!B:B,$B39,'2-3_調整額内訳①(旧々・旧制度)'!AD:AD))</f>
      </c>
      <c r="W39" s="209">
        <f t="shared" si="8"/>
      </c>
      <c r="X39" s="210">
        <f t="shared" si="9"/>
      </c>
      <c r="Y39" s="210">
        <f t="shared" si="10"/>
      </c>
      <c r="Z39" s="58"/>
      <c r="AA39" s="210">
        <f t="shared" si="11"/>
      </c>
      <c r="AB39" s="504"/>
      <c r="AC39" s="81" t="str">
        <f t="shared" si="12"/>
        <v>0</v>
      </c>
      <c r="AD39" s="210">
        <f t="shared" si="13"/>
        <v>0</v>
      </c>
      <c r="AE39" s="505"/>
      <c r="AF39" s="210">
        <f t="shared" si="14"/>
      </c>
      <c r="AG39" s="506">
        <f t="shared" si="15"/>
      </c>
      <c r="AH39" s="944"/>
      <c r="AI39" s="944"/>
      <c r="AJ39" s="945"/>
      <c r="AL39" s="61">
        <f t="shared" si="0"/>
      </c>
      <c r="AM39" s="61">
        <f t="shared" si="1"/>
      </c>
    </row>
    <row r="40" spans="1:39" s="53" customFormat="1" ht="18.75" customHeight="1">
      <c r="A40" s="37">
        <f t="shared" si="2"/>
      </c>
      <c r="B40" s="233"/>
      <c r="C40" s="203"/>
      <c r="D40" s="57"/>
      <c r="E40" s="58"/>
      <c r="F40" s="198"/>
      <c r="G40" s="187">
        <f t="shared" si="3"/>
      </c>
      <c r="H40" s="500">
        <f t="shared" si="4"/>
      </c>
      <c r="I40" s="204"/>
      <c r="J40" s="205"/>
      <c r="K40" s="501"/>
      <c r="L40" s="502"/>
      <c r="M40" s="206">
        <f t="shared" si="5"/>
      </c>
      <c r="N40" s="207">
        <f t="shared" si="6"/>
      </c>
      <c r="O40" s="248"/>
      <c r="P40" s="190"/>
      <c r="Q40" s="208">
        <f>IF($H40="","",IF($O40="Ａ",LOOKUP($D40,{8000,8500,9000,10000,12000},{0,1532,1032,408,408}),IF($O40="Ｂ",LOOKUP($D40,{8000,8500,9000,10000,12000},{782,2814,2814,2814,2814}),0)))</f>
      </c>
      <c r="R40" s="248"/>
      <c r="S40" s="245">
        <v>0</v>
      </c>
      <c r="T40" s="503">
        <f>IF($H40="","",IF($R40="Ａ",LOOKUP($D40,{8000,8500,9000,10000,12000},{0,1532,1032,408,408}),IF($R40="Ｂ",LOOKUP($D40,{8000,8500,9000,10000,12000},{782,2814,2814,2814,2814}),0)))</f>
      </c>
      <c r="U40" s="81">
        <f t="shared" si="7"/>
      </c>
      <c r="V40" s="542">
        <f>IF(B40="","",SUMIF('2-3_調整額内訳①(旧々・旧制度)'!B:B,$B40,'2-3_調整額内訳①(旧々・旧制度)'!AD:AD))</f>
      </c>
      <c r="W40" s="209">
        <f t="shared" si="8"/>
      </c>
      <c r="X40" s="210">
        <f t="shared" si="9"/>
      </c>
      <c r="Y40" s="210">
        <f t="shared" si="10"/>
      </c>
      <c r="Z40" s="58"/>
      <c r="AA40" s="210">
        <f t="shared" si="11"/>
      </c>
      <c r="AB40" s="504"/>
      <c r="AC40" s="81" t="str">
        <f t="shared" si="12"/>
        <v>0</v>
      </c>
      <c r="AD40" s="210">
        <f t="shared" si="13"/>
        <v>0</v>
      </c>
      <c r="AE40" s="505"/>
      <c r="AF40" s="210">
        <f t="shared" si="14"/>
      </c>
      <c r="AG40" s="506">
        <f t="shared" si="15"/>
      </c>
      <c r="AH40" s="944"/>
      <c r="AI40" s="944"/>
      <c r="AJ40" s="945"/>
      <c r="AL40" s="61">
        <f t="shared" si="0"/>
      </c>
      <c r="AM40" s="61">
        <f t="shared" si="1"/>
      </c>
    </row>
    <row r="41" spans="1:39" s="53" customFormat="1" ht="18.75" customHeight="1">
      <c r="A41" s="177">
        <f t="shared" si="2"/>
      </c>
      <c r="B41" s="233"/>
      <c r="C41" s="203"/>
      <c r="D41" s="57"/>
      <c r="E41" s="58"/>
      <c r="F41" s="198"/>
      <c r="G41" s="187">
        <f t="shared" si="3"/>
      </c>
      <c r="H41" s="500">
        <f t="shared" si="4"/>
      </c>
      <c r="I41" s="204"/>
      <c r="J41" s="205"/>
      <c r="K41" s="501"/>
      <c r="L41" s="502"/>
      <c r="M41" s="206">
        <f t="shared" si="5"/>
      </c>
      <c r="N41" s="207">
        <f t="shared" si="6"/>
      </c>
      <c r="O41" s="248"/>
      <c r="P41" s="190"/>
      <c r="Q41" s="208">
        <f>IF($H41="","",IF($O41="Ａ",LOOKUP($D41,{8000,8500,9000,10000,12000},{0,1532,1032,408,408}),IF($O41="Ｂ",LOOKUP($D41,{8000,8500,9000,10000,12000},{782,2814,2814,2814,2814}),0)))</f>
      </c>
      <c r="R41" s="248"/>
      <c r="S41" s="245">
        <v>0</v>
      </c>
      <c r="T41" s="503">
        <f>IF($H41="","",IF($R41="Ａ",LOOKUP($D41,{8000,8500,9000,10000,12000},{0,1532,1032,408,408}),IF($R41="Ｂ",LOOKUP($D41,{8000,8500,9000,10000,12000},{782,2814,2814,2814,2814}),0)))</f>
      </c>
      <c r="U41" s="81">
        <f t="shared" si="7"/>
      </c>
      <c r="V41" s="542">
        <f>IF(B41="","",SUMIF('2-3_調整額内訳①(旧々・旧制度)'!B:B,$B41,'2-3_調整額内訳①(旧々・旧制度)'!AD:AD))</f>
      </c>
      <c r="W41" s="209">
        <f t="shared" si="8"/>
      </c>
      <c r="X41" s="210">
        <f t="shared" si="9"/>
      </c>
      <c r="Y41" s="210">
        <f t="shared" si="10"/>
      </c>
      <c r="Z41" s="58"/>
      <c r="AA41" s="210">
        <f t="shared" si="11"/>
      </c>
      <c r="AB41" s="504"/>
      <c r="AC41" s="81" t="str">
        <f t="shared" si="12"/>
        <v>0</v>
      </c>
      <c r="AD41" s="210">
        <f t="shared" si="13"/>
        <v>0</v>
      </c>
      <c r="AE41" s="505"/>
      <c r="AF41" s="210">
        <f t="shared" si="14"/>
      </c>
      <c r="AG41" s="506">
        <f t="shared" si="15"/>
      </c>
      <c r="AH41" s="944"/>
      <c r="AI41" s="944"/>
      <c r="AJ41" s="945"/>
      <c r="AL41" s="61">
        <f t="shared" si="0"/>
      </c>
      <c r="AM41" s="61">
        <f t="shared" si="1"/>
      </c>
    </row>
    <row r="42" spans="1:39" s="53" customFormat="1" ht="18.75" customHeight="1">
      <c r="A42" s="27">
        <f t="shared" si="2"/>
      </c>
      <c r="B42" s="233"/>
      <c r="C42" s="203"/>
      <c r="D42" s="57"/>
      <c r="E42" s="58"/>
      <c r="F42" s="198"/>
      <c r="G42" s="187">
        <f t="shared" si="3"/>
      </c>
      <c r="H42" s="500">
        <f t="shared" si="4"/>
      </c>
      <c r="I42" s="204"/>
      <c r="J42" s="205"/>
      <c r="K42" s="501"/>
      <c r="L42" s="502"/>
      <c r="M42" s="206">
        <f t="shared" si="5"/>
      </c>
      <c r="N42" s="207">
        <f t="shared" si="6"/>
      </c>
      <c r="O42" s="248"/>
      <c r="P42" s="190"/>
      <c r="Q42" s="208">
        <f>IF($H42="","",IF($O42="Ａ",LOOKUP($D42,{8000,8500,9000,10000,12000},{0,1532,1032,408,408}),IF($O42="Ｂ",LOOKUP($D42,{8000,8500,9000,10000,12000},{782,2814,2814,2814,2814}),0)))</f>
      </c>
      <c r="R42" s="248"/>
      <c r="S42" s="245">
        <v>0</v>
      </c>
      <c r="T42" s="503">
        <f>IF($H42="","",IF($R42="Ａ",LOOKUP($D42,{8000,8500,9000,10000,12000},{0,1532,1032,408,408}),IF($R42="Ｂ",LOOKUP($D42,{8000,8500,9000,10000,12000},{782,2814,2814,2814,2814}),0)))</f>
      </c>
      <c r="U42" s="81">
        <f t="shared" si="7"/>
      </c>
      <c r="V42" s="542">
        <f>IF(B42="","",SUMIF('2-3_調整額内訳①(旧々・旧制度)'!B:B,$B42,'2-3_調整額内訳①(旧々・旧制度)'!AD:AD))</f>
      </c>
      <c r="W42" s="209">
        <f t="shared" si="8"/>
      </c>
      <c r="X42" s="210">
        <f t="shared" si="9"/>
      </c>
      <c r="Y42" s="210">
        <f t="shared" si="10"/>
      </c>
      <c r="Z42" s="58"/>
      <c r="AA42" s="210">
        <f t="shared" si="11"/>
      </c>
      <c r="AB42" s="504"/>
      <c r="AC42" s="81" t="str">
        <f t="shared" si="12"/>
        <v>0</v>
      </c>
      <c r="AD42" s="210">
        <f t="shared" si="13"/>
        <v>0</v>
      </c>
      <c r="AE42" s="505"/>
      <c r="AF42" s="210">
        <f t="shared" si="14"/>
      </c>
      <c r="AG42" s="506">
        <f t="shared" si="15"/>
      </c>
      <c r="AH42" s="944"/>
      <c r="AI42" s="944"/>
      <c r="AJ42" s="945"/>
      <c r="AL42" s="61">
        <f t="shared" si="0"/>
      </c>
      <c r="AM42" s="61">
        <f t="shared" si="1"/>
      </c>
    </row>
    <row r="43" spans="1:39" s="53" customFormat="1" ht="18.75" customHeight="1">
      <c r="A43" s="27">
        <f t="shared" si="2"/>
      </c>
      <c r="B43" s="233"/>
      <c r="C43" s="203"/>
      <c r="D43" s="57"/>
      <c r="E43" s="58"/>
      <c r="F43" s="198"/>
      <c r="G43" s="187">
        <f t="shared" si="3"/>
      </c>
      <c r="H43" s="500">
        <f t="shared" si="4"/>
      </c>
      <c r="I43" s="204"/>
      <c r="J43" s="205"/>
      <c r="K43" s="501"/>
      <c r="L43" s="502"/>
      <c r="M43" s="206">
        <f t="shared" si="5"/>
      </c>
      <c r="N43" s="207">
        <f t="shared" si="6"/>
      </c>
      <c r="O43" s="248"/>
      <c r="P43" s="190"/>
      <c r="Q43" s="208">
        <f>IF($H43="","",IF($O43="Ａ",LOOKUP($D43,{8000,8500,9000,10000,12000},{0,1532,1032,408,408}),IF($O43="Ｂ",LOOKUP($D43,{8000,8500,9000,10000,12000},{782,2814,2814,2814,2814}),0)))</f>
      </c>
      <c r="R43" s="248"/>
      <c r="S43" s="245">
        <v>0</v>
      </c>
      <c r="T43" s="503">
        <f>IF($H43="","",IF($R43="Ａ",LOOKUP($D43,{8000,8500,9000,10000,12000},{0,1532,1032,408,408}),IF($R43="Ｂ",LOOKUP($D43,{8000,8500,9000,10000,12000},{782,2814,2814,2814,2814}),0)))</f>
      </c>
      <c r="U43" s="81">
        <f t="shared" si="7"/>
      </c>
      <c r="V43" s="542">
        <f>IF(B43="","",SUMIF('2-3_調整額内訳①(旧々・旧制度)'!B:B,$B43,'2-3_調整額内訳①(旧々・旧制度)'!AD:AD))</f>
      </c>
      <c r="W43" s="209">
        <f t="shared" si="8"/>
      </c>
      <c r="X43" s="210">
        <f t="shared" si="9"/>
      </c>
      <c r="Y43" s="210">
        <f t="shared" si="10"/>
      </c>
      <c r="Z43" s="58"/>
      <c r="AA43" s="210">
        <f t="shared" si="11"/>
      </c>
      <c r="AB43" s="504"/>
      <c r="AC43" s="81" t="str">
        <f t="shared" si="12"/>
        <v>0</v>
      </c>
      <c r="AD43" s="210">
        <f t="shared" si="13"/>
        <v>0</v>
      </c>
      <c r="AE43" s="505"/>
      <c r="AF43" s="210">
        <f t="shared" si="14"/>
      </c>
      <c r="AG43" s="506">
        <f t="shared" si="15"/>
      </c>
      <c r="AH43" s="944"/>
      <c r="AI43" s="944"/>
      <c r="AJ43" s="945"/>
      <c r="AL43" s="61">
        <f t="shared" si="0"/>
      </c>
      <c r="AM43" s="61">
        <f t="shared" si="1"/>
      </c>
    </row>
    <row r="44" spans="1:39" s="53" customFormat="1" ht="18.75" customHeight="1" thickBot="1">
      <c r="A44" s="27">
        <f t="shared" si="2"/>
      </c>
      <c r="B44" s="235"/>
      <c r="C44" s="211"/>
      <c r="D44" s="212"/>
      <c r="E44" s="213"/>
      <c r="F44" s="199"/>
      <c r="G44" s="188">
        <f t="shared" si="3"/>
      </c>
      <c r="H44" s="510">
        <f t="shared" si="4"/>
      </c>
      <c r="I44" s="214"/>
      <c r="J44" s="215"/>
      <c r="K44" s="511"/>
      <c r="L44" s="512"/>
      <c r="M44" s="216">
        <f t="shared" si="5"/>
      </c>
      <c r="N44" s="207">
        <f t="shared" si="6"/>
      </c>
      <c r="O44" s="249"/>
      <c r="P44" s="191"/>
      <c r="Q44" s="217">
        <f>IF($H44="","",IF($O44="Ａ",LOOKUP($D44,{8000,8500,9000,10000,12000},{0,1532,1032,408,408}),IF($O44="Ｂ",LOOKUP($D44,{8000,8500,9000,10000,12000},{782,2814,2814,2814,2814}),0)))</f>
      </c>
      <c r="R44" s="249"/>
      <c r="S44" s="246">
        <v>0</v>
      </c>
      <c r="T44" s="513">
        <f>IF($H44="","",IF($R44="Ａ",LOOKUP($D44,{8000,8500,9000,10000,12000},{0,1532,1032,408,408}),IF($R44="Ｂ",LOOKUP($D44,{8000,8500,9000,10000,12000},{782,2814,2814,2814,2814}),0)))</f>
      </c>
      <c r="U44" s="218">
        <f t="shared" si="7"/>
      </c>
      <c r="V44" s="543">
        <f>IF(B44="","",SUMIF('2-3_調整額内訳①(旧々・旧制度)'!B:B,$B44,'2-3_調整額内訳①(旧々・旧制度)'!AD:AD))</f>
      </c>
      <c r="W44" s="219">
        <f t="shared" si="8"/>
      </c>
      <c r="X44" s="220">
        <f t="shared" si="9"/>
      </c>
      <c r="Y44" s="220">
        <f t="shared" si="10"/>
      </c>
      <c r="Z44" s="213"/>
      <c r="AA44" s="220">
        <f t="shared" si="11"/>
      </c>
      <c r="AB44" s="514"/>
      <c r="AC44" s="218" t="str">
        <f>_xlfn.IFERROR(D44*(E44-F44)*(K44/J44),"0")</f>
        <v>0</v>
      </c>
      <c r="AD44" s="220">
        <f t="shared" si="13"/>
        <v>0</v>
      </c>
      <c r="AE44" s="515"/>
      <c r="AF44" s="220">
        <f t="shared" si="14"/>
      </c>
      <c r="AG44" s="516">
        <f t="shared" si="15"/>
      </c>
      <c r="AH44" s="946"/>
      <c r="AI44" s="946"/>
      <c r="AJ44" s="947"/>
      <c r="AL44" s="61">
        <f t="shared" si="0"/>
      </c>
      <c r="AM44" s="61">
        <f t="shared" si="1"/>
      </c>
    </row>
    <row r="45" spans="1:39" s="66" customFormat="1" ht="25.5" customHeight="1" thickBot="1">
      <c r="A45" s="948" t="s">
        <v>140</v>
      </c>
      <c r="B45" s="949"/>
      <c r="C45" s="949"/>
      <c r="D45" s="950"/>
      <c r="E45" s="517">
        <f>SUM(E8:E44)</f>
        <v>0</v>
      </c>
      <c r="F45" s="518"/>
      <c r="G45" s="519">
        <f>SUM(G8:G44)</f>
        <v>0</v>
      </c>
      <c r="H45" s="99" t="s">
        <v>260</v>
      </c>
      <c r="I45" s="181" t="s">
        <v>261</v>
      </c>
      <c r="J45" s="179" t="s">
        <v>262</v>
      </c>
      <c r="K45" s="99"/>
      <c r="L45" s="520"/>
      <c r="M45" s="182">
        <f>SUM(M8:M44)</f>
        <v>0</v>
      </c>
      <c r="N45" s="183" t="s">
        <v>261</v>
      </c>
      <c r="O45" s="303" t="s">
        <v>260</v>
      </c>
      <c r="P45" s="99"/>
      <c r="Q45" s="179"/>
      <c r="R45" s="99" t="s">
        <v>261</v>
      </c>
      <c r="S45" s="99"/>
      <c r="T45" s="179"/>
      <c r="U45" s="521">
        <f aca="true" t="shared" si="16" ref="U45:AG45">SUM(U8:U44)</f>
        <v>0</v>
      </c>
      <c r="V45" s="521">
        <f t="shared" si="16"/>
        <v>0</v>
      </c>
      <c r="W45" s="65">
        <f t="shared" si="16"/>
        <v>0</v>
      </c>
      <c r="X45" s="64">
        <f t="shared" si="16"/>
        <v>0</v>
      </c>
      <c r="Y45" s="64">
        <f>SUM(Y8:Y44)</f>
        <v>0</v>
      </c>
      <c r="Z45" s="64">
        <f t="shared" si="16"/>
        <v>0</v>
      </c>
      <c r="AA45" s="522">
        <f t="shared" si="16"/>
        <v>0</v>
      </c>
      <c r="AB45" s="64"/>
      <c r="AC45" s="522"/>
      <c r="AD45" s="522"/>
      <c r="AE45" s="64">
        <f t="shared" si="16"/>
        <v>0</v>
      </c>
      <c r="AF45" s="522">
        <f t="shared" si="16"/>
        <v>0</v>
      </c>
      <c r="AG45" s="523">
        <f t="shared" si="16"/>
        <v>0</v>
      </c>
      <c r="AH45" s="951"/>
      <c r="AI45" s="952"/>
      <c r="AJ45" s="953"/>
      <c r="AL45" s="67"/>
      <c r="AM45" s="67"/>
    </row>
    <row r="46" spans="1:39" s="287" customFormat="1" ht="15.75" customHeight="1">
      <c r="A46" s="287" t="s">
        <v>26</v>
      </c>
      <c r="O46" s="288"/>
      <c r="R46" s="288"/>
      <c r="AL46" s="289"/>
      <c r="AM46" s="289"/>
    </row>
    <row r="47" spans="1:39" s="287" customFormat="1" ht="15.75" customHeight="1">
      <c r="A47" s="287" t="s">
        <v>132</v>
      </c>
      <c r="O47" s="288"/>
      <c r="R47" s="288"/>
      <c r="AL47" s="289"/>
      <c r="AM47" s="289"/>
    </row>
    <row r="48" spans="1:39" s="287" customFormat="1" ht="15.75" customHeight="1">
      <c r="A48" s="287" t="s">
        <v>146</v>
      </c>
      <c r="O48" s="288"/>
      <c r="R48" s="288"/>
      <c r="AL48" s="289"/>
      <c r="AM48" s="289"/>
    </row>
    <row r="49" spans="1:39" s="287" customFormat="1" ht="15.75" customHeight="1">
      <c r="A49" s="287" t="s">
        <v>138</v>
      </c>
      <c r="O49" s="288"/>
      <c r="R49" s="288"/>
      <c r="AL49" s="289"/>
      <c r="AM49" s="289"/>
    </row>
    <row r="50" spans="1:39" s="287" customFormat="1" ht="15.75" customHeight="1">
      <c r="A50" s="287" t="s">
        <v>263</v>
      </c>
      <c r="O50" s="288"/>
      <c r="R50" s="288"/>
      <c r="AL50" s="289"/>
      <c r="AM50" s="289"/>
    </row>
    <row r="51" spans="1:39" s="287" customFormat="1" ht="15.75" customHeight="1">
      <c r="A51" s="287" t="s">
        <v>228</v>
      </c>
      <c r="O51" s="288"/>
      <c r="R51" s="288"/>
      <c r="AL51" s="289"/>
      <c r="AM51" s="289"/>
    </row>
    <row r="52" spans="1:39" s="287" customFormat="1" ht="15.75" customHeight="1">
      <c r="A52" s="287" t="s">
        <v>154</v>
      </c>
      <c r="O52" s="288"/>
      <c r="R52" s="288"/>
      <c r="AL52" s="289"/>
      <c r="AM52" s="289"/>
    </row>
    <row r="53" spans="1:39" s="287" customFormat="1" ht="15.75" customHeight="1">
      <c r="A53" s="287" t="s">
        <v>155</v>
      </c>
      <c r="O53" s="288"/>
      <c r="R53" s="288"/>
      <c r="AL53" s="289"/>
      <c r="AM53" s="289"/>
    </row>
    <row r="54" spans="1:39" s="287" customFormat="1" ht="15.75" customHeight="1">
      <c r="A54" s="287" t="s">
        <v>264</v>
      </c>
      <c r="O54" s="288"/>
      <c r="R54" s="288"/>
      <c r="AL54" s="289"/>
      <c r="AM54" s="289"/>
    </row>
    <row r="55" spans="1:39" s="287" customFormat="1" ht="15.75" customHeight="1">
      <c r="A55" s="287" t="s">
        <v>202</v>
      </c>
      <c r="O55" s="288"/>
      <c r="R55" s="288"/>
      <c r="AL55" s="289"/>
      <c r="AM55" s="289"/>
    </row>
    <row r="56" spans="1:38" s="287" customFormat="1" ht="15.75" customHeight="1">
      <c r="A56" s="287" t="s">
        <v>203</v>
      </c>
      <c r="O56" s="288"/>
      <c r="R56" s="288"/>
      <c r="AK56" s="289"/>
      <c r="AL56" s="289"/>
    </row>
    <row r="57" spans="1:39" s="287" customFormat="1" ht="15.75" customHeight="1">
      <c r="A57" s="287" t="s">
        <v>141</v>
      </c>
      <c r="O57" s="288"/>
      <c r="R57" s="288"/>
      <c r="AL57" s="289"/>
      <c r="AM57" s="289"/>
    </row>
    <row r="58" spans="1:39" s="287" customFormat="1" ht="15.75" customHeight="1">
      <c r="A58" s="287" t="s">
        <v>142</v>
      </c>
      <c r="O58" s="288"/>
      <c r="R58" s="288"/>
      <c r="AL58" s="289"/>
      <c r="AM58" s="289"/>
    </row>
    <row r="59" spans="1:39" s="287" customFormat="1" ht="15.75" customHeight="1">
      <c r="A59" s="287" t="s">
        <v>143</v>
      </c>
      <c r="O59" s="288"/>
      <c r="R59" s="288"/>
      <c r="AL59" s="289"/>
      <c r="AM59" s="28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H44:AJ44"/>
    <mergeCell ref="A45:D45"/>
    <mergeCell ref="AH45:AJ45"/>
    <mergeCell ref="AH38:AJ38"/>
    <mergeCell ref="AH39:AJ39"/>
    <mergeCell ref="AH40:AJ40"/>
    <mergeCell ref="AH41:AJ41"/>
    <mergeCell ref="AH42:AJ42"/>
    <mergeCell ref="AH43:AJ43"/>
    <mergeCell ref="AH32:AJ32"/>
    <mergeCell ref="AH33:AJ33"/>
    <mergeCell ref="AH34:AJ34"/>
    <mergeCell ref="AH35:AJ35"/>
    <mergeCell ref="AH36:AJ36"/>
    <mergeCell ref="AH37:AJ37"/>
    <mergeCell ref="AH26:AJ26"/>
    <mergeCell ref="AH27:AJ27"/>
    <mergeCell ref="AH28:AJ28"/>
    <mergeCell ref="AH29:AJ29"/>
    <mergeCell ref="AH30:AJ30"/>
    <mergeCell ref="AH31:AJ31"/>
    <mergeCell ref="AH20:AJ20"/>
    <mergeCell ref="AH21:AJ21"/>
    <mergeCell ref="AH22:AJ22"/>
    <mergeCell ref="AH23:AJ23"/>
    <mergeCell ref="AH24:AJ24"/>
    <mergeCell ref="AH25:AJ25"/>
    <mergeCell ref="AH14:AJ14"/>
    <mergeCell ref="AH15:AJ15"/>
    <mergeCell ref="AH16:AJ16"/>
    <mergeCell ref="AH17:AJ17"/>
    <mergeCell ref="AH18:AJ18"/>
    <mergeCell ref="AH19:AJ19"/>
    <mergeCell ref="AH8:AJ8"/>
    <mergeCell ref="AH9:AJ9"/>
    <mergeCell ref="AH10:AJ10"/>
    <mergeCell ref="AH11:AJ11"/>
    <mergeCell ref="AH12:AJ12"/>
    <mergeCell ref="AH13:AJ13"/>
    <mergeCell ref="O5:Q5"/>
    <mergeCell ref="R5:T5"/>
    <mergeCell ref="U5:U6"/>
    <mergeCell ref="V5:V6"/>
    <mergeCell ref="W5:W6"/>
    <mergeCell ref="O6:O7"/>
    <mergeCell ref="R6:R7"/>
    <mergeCell ref="AH4:AJ7"/>
    <mergeCell ref="AL4:AL7"/>
    <mergeCell ref="AM4:AM7"/>
    <mergeCell ref="E5:E6"/>
    <mergeCell ref="G5:G6"/>
    <mergeCell ref="H5:H6"/>
    <mergeCell ref="I5:I6"/>
    <mergeCell ref="J5:J6"/>
    <mergeCell ref="M5:M6"/>
    <mergeCell ref="N5:N6"/>
    <mergeCell ref="Y4:Y6"/>
    <mergeCell ref="Z4:Z6"/>
    <mergeCell ref="AA4:AA6"/>
    <mergeCell ref="AE4:AE6"/>
    <mergeCell ref="AF4:AF6"/>
    <mergeCell ref="AG4:AG6"/>
    <mergeCell ref="AE1:AH1"/>
    <mergeCell ref="AE2:AH2"/>
    <mergeCell ref="A4:A7"/>
    <mergeCell ref="B4:B7"/>
    <mergeCell ref="C4:C7"/>
    <mergeCell ref="D4:D6"/>
    <mergeCell ref="E4:G4"/>
    <mergeCell ref="H4:N4"/>
    <mergeCell ref="O4:W4"/>
    <mergeCell ref="X4:X6"/>
  </mergeCells>
  <dataValidations count="4">
    <dataValidation allowBlank="1" showInputMessage="1" sqref="N8:N44"/>
    <dataValidation type="list" allowBlank="1" showInputMessage="1" showErrorMessage="1" sqref="O8:O44 R8:R44">
      <formula1>"Ａ,Ｂ,Ｄ"</formula1>
    </dataValidation>
    <dataValidation type="whole" allowBlank="1" showInputMessage="1" showErrorMessage="1" sqref="Z8:Z44 H8:I44 AB8:AB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43"/>
  <sheetViews>
    <sheetView showZeros="0" tabSelected="1" view="pageBreakPreview" zoomScale="85" zoomScaleNormal="75" zoomScaleSheetLayoutView="85" zoomScalePageLayoutView="0" workbookViewId="0" topLeftCell="A1">
      <selection activeCell="T27" sqref="T27"/>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5.875" style="40" customWidth="1"/>
    <col min="7" max="7" width="10.25390625" style="40" bestFit="1" customWidth="1"/>
    <col min="8" max="8" width="4.87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216</v>
      </c>
      <c r="B1" s="39"/>
      <c r="W1" s="954" t="s">
        <v>22</v>
      </c>
      <c r="X1" s="954"/>
      <c r="Y1" s="954"/>
      <c r="Z1" s="884">
        <f>'1_総括表'!E3</f>
        <v>0</v>
      </c>
      <c r="AA1" s="955"/>
      <c r="AB1" s="955"/>
      <c r="AC1" s="955"/>
      <c r="AD1" s="956"/>
      <c r="AE1" s="160" t="s">
        <v>23</v>
      </c>
      <c r="AF1" s="957">
        <f>'1_総括表'!Z3</f>
        <v>0</v>
      </c>
      <c r="AG1" s="958"/>
      <c r="AI1" s="46"/>
      <c r="AJ1" s="46"/>
    </row>
    <row r="2" spans="1:36" ht="24.75" customHeight="1" thickBot="1">
      <c r="A2" s="42"/>
      <c r="W2" s="959" t="s">
        <v>20</v>
      </c>
      <c r="X2" s="959"/>
      <c r="Y2" s="959"/>
      <c r="Z2" s="887">
        <f>'1_総括表'!E4</f>
        <v>0</v>
      </c>
      <c r="AA2" s="960"/>
      <c r="AB2" s="960"/>
      <c r="AC2" s="960"/>
      <c r="AD2" s="961"/>
      <c r="AE2" s="161" t="s">
        <v>21</v>
      </c>
      <c r="AF2" s="962">
        <f>'1_総括表'!Z4</f>
        <v>0</v>
      </c>
      <c r="AG2" s="963"/>
      <c r="AI2" s="70"/>
      <c r="AJ2" s="71"/>
    </row>
    <row r="3" spans="1:36" ht="21" thickBot="1">
      <c r="A3" s="273" t="s">
        <v>194</v>
      </c>
      <c r="B3" s="38"/>
      <c r="AF3" s="43"/>
      <c r="AG3" s="43" t="s">
        <v>25</v>
      </c>
      <c r="AI3" s="70"/>
      <c r="AJ3" s="71"/>
    </row>
    <row r="4" spans="1:36" s="44" customFormat="1" ht="18.75" customHeight="1" thickBot="1">
      <c r="A4" s="883" t="s">
        <v>29</v>
      </c>
      <c r="B4" s="878" t="s">
        <v>148</v>
      </c>
      <c r="C4" s="894" t="s">
        <v>13</v>
      </c>
      <c r="D4" s="878" t="s">
        <v>67</v>
      </c>
      <c r="E4" s="878" t="s">
        <v>87</v>
      </c>
      <c r="F4" s="872" t="s">
        <v>266</v>
      </c>
      <c r="G4" s="873"/>
      <c r="H4" s="873"/>
      <c r="I4" s="873"/>
      <c r="J4" s="874"/>
      <c r="K4" s="968" t="s">
        <v>58</v>
      </c>
      <c r="L4" s="969"/>
      <c r="M4" s="969"/>
      <c r="N4" s="969"/>
      <c r="O4" s="969"/>
      <c r="P4" s="969"/>
      <c r="Q4" s="969"/>
      <c r="R4" s="969"/>
      <c r="S4" s="969"/>
      <c r="T4" s="969"/>
      <c r="U4" s="969"/>
      <c r="V4" s="969"/>
      <c r="W4" s="969"/>
      <c r="X4" s="969"/>
      <c r="Y4" s="969"/>
      <c r="Z4" s="969"/>
      <c r="AA4" s="969"/>
      <c r="AB4" s="969"/>
      <c r="AC4" s="878" t="s">
        <v>56</v>
      </c>
      <c r="AD4" s="970" t="s">
        <v>57</v>
      </c>
      <c r="AE4" s="973" t="s">
        <v>59</v>
      </c>
      <c r="AF4" s="974"/>
      <c r="AG4" s="975"/>
      <c r="AI4" s="70"/>
      <c r="AJ4" s="71"/>
    </row>
    <row r="5" spans="1:36" s="44" customFormat="1" ht="18.75" customHeight="1" thickBot="1">
      <c r="A5" s="890"/>
      <c r="B5" s="892"/>
      <c r="C5" s="895"/>
      <c r="D5" s="892"/>
      <c r="E5" s="892"/>
      <c r="F5" s="968" t="s">
        <v>88</v>
      </c>
      <c r="G5" s="981"/>
      <c r="H5" s="982"/>
      <c r="I5" s="982"/>
      <c r="J5" s="983"/>
      <c r="K5" s="984" t="s">
        <v>55</v>
      </c>
      <c r="L5" s="985"/>
      <c r="M5" s="985"/>
      <c r="N5" s="985"/>
      <c r="O5" s="985"/>
      <c r="P5" s="985"/>
      <c r="Q5" s="985"/>
      <c r="R5" s="985"/>
      <c r="S5" s="985"/>
      <c r="T5" s="985"/>
      <c r="U5" s="985"/>
      <c r="V5" s="986"/>
      <c r="W5" s="872" t="s">
        <v>97</v>
      </c>
      <c r="X5" s="873"/>
      <c r="Y5" s="873"/>
      <c r="Z5" s="873"/>
      <c r="AA5" s="873"/>
      <c r="AB5" s="873"/>
      <c r="AC5" s="892"/>
      <c r="AD5" s="971"/>
      <c r="AE5" s="976"/>
      <c r="AF5" s="977"/>
      <c r="AG5" s="978"/>
      <c r="AI5" s="70"/>
      <c r="AJ5" s="71"/>
    </row>
    <row r="6" spans="1:36" s="44" customFormat="1" ht="21.75" customHeight="1" thickBot="1">
      <c r="A6" s="890"/>
      <c r="B6" s="890"/>
      <c r="C6" s="895"/>
      <c r="D6" s="892"/>
      <c r="E6" s="892"/>
      <c r="F6" s="987" t="s">
        <v>15</v>
      </c>
      <c r="G6" s="964" t="s">
        <v>43</v>
      </c>
      <c r="H6" s="987" t="s">
        <v>15</v>
      </c>
      <c r="I6" s="964" t="s">
        <v>43</v>
      </c>
      <c r="J6" s="966" t="s">
        <v>267</v>
      </c>
      <c r="K6" s="872" t="s">
        <v>53</v>
      </c>
      <c r="L6" s="873"/>
      <c r="M6" s="874"/>
      <c r="N6" s="989" t="s">
        <v>54</v>
      </c>
      <c r="O6" s="990"/>
      <c r="P6" s="990"/>
      <c r="Q6" s="990"/>
      <c r="R6" s="990"/>
      <c r="S6" s="990"/>
      <c r="T6" s="990"/>
      <c r="U6" s="990"/>
      <c r="V6" s="991"/>
      <c r="W6" s="968" t="s">
        <v>74</v>
      </c>
      <c r="X6" s="993" t="s">
        <v>268</v>
      </c>
      <c r="Y6" s="968" t="s">
        <v>269</v>
      </c>
      <c r="Z6" s="996" t="s">
        <v>80</v>
      </c>
      <c r="AA6" s="1001" t="s">
        <v>152</v>
      </c>
      <c r="AB6" s="1004" t="s">
        <v>270</v>
      </c>
      <c r="AC6" s="892"/>
      <c r="AD6" s="972"/>
      <c r="AE6" s="979"/>
      <c r="AF6" s="980"/>
      <c r="AG6" s="978"/>
      <c r="AI6" s="70"/>
      <c r="AJ6" s="72"/>
    </row>
    <row r="7" spans="1:39" s="44" customFormat="1" ht="20.25" customHeight="1">
      <c r="A7" s="890"/>
      <c r="B7" s="890"/>
      <c r="C7" s="895"/>
      <c r="D7" s="892"/>
      <c r="E7" s="892"/>
      <c r="F7" s="988"/>
      <c r="G7" s="965"/>
      <c r="H7" s="988"/>
      <c r="I7" s="965"/>
      <c r="J7" s="967"/>
      <c r="K7" s="1007" t="s">
        <v>47</v>
      </c>
      <c r="L7" s="999" t="s">
        <v>48</v>
      </c>
      <c r="M7" s="996" t="s">
        <v>49</v>
      </c>
      <c r="N7" s="1007" t="s">
        <v>44</v>
      </c>
      <c r="O7" s="999" t="s">
        <v>75</v>
      </c>
      <c r="P7" s="999" t="s">
        <v>271</v>
      </c>
      <c r="Q7" s="999" t="s">
        <v>272</v>
      </c>
      <c r="R7" s="999" t="s">
        <v>45</v>
      </c>
      <c r="S7" s="999" t="s">
        <v>46</v>
      </c>
      <c r="T7" s="999" t="s">
        <v>50</v>
      </c>
      <c r="U7" s="999" t="s">
        <v>51</v>
      </c>
      <c r="V7" s="996" t="s">
        <v>52</v>
      </c>
      <c r="W7" s="979"/>
      <c r="X7" s="994"/>
      <c r="Y7" s="979"/>
      <c r="Z7" s="997"/>
      <c r="AA7" s="1002"/>
      <c r="AB7" s="1005"/>
      <c r="AC7" s="892"/>
      <c r="AD7" s="972"/>
      <c r="AE7" s="979"/>
      <c r="AF7" s="980"/>
      <c r="AG7" s="978"/>
      <c r="AI7" s="1011" t="s">
        <v>27</v>
      </c>
      <c r="AJ7" s="1011" t="s">
        <v>273</v>
      </c>
      <c r="AK7" s="73"/>
      <c r="AL7" s="73"/>
      <c r="AM7" s="73"/>
    </row>
    <row r="8" spans="1:36" s="44" customFormat="1" ht="18.75" customHeight="1" thickBot="1">
      <c r="A8" s="891"/>
      <c r="B8" s="891"/>
      <c r="C8" s="895"/>
      <c r="D8" s="892"/>
      <c r="E8" s="892"/>
      <c r="F8" s="988"/>
      <c r="G8" s="473" t="s">
        <v>274</v>
      </c>
      <c r="H8" s="988"/>
      <c r="I8" s="473" t="s">
        <v>275</v>
      </c>
      <c r="J8" s="472" t="s">
        <v>276</v>
      </c>
      <c r="K8" s="1008"/>
      <c r="L8" s="1009"/>
      <c r="M8" s="998"/>
      <c r="N8" s="1010"/>
      <c r="O8" s="1000"/>
      <c r="P8" s="1000"/>
      <c r="Q8" s="1000"/>
      <c r="R8" s="1000"/>
      <c r="S8" s="1000"/>
      <c r="T8" s="1000"/>
      <c r="U8" s="1000"/>
      <c r="V8" s="997"/>
      <c r="W8" s="992"/>
      <c r="X8" s="995"/>
      <c r="Y8" s="992"/>
      <c r="Z8" s="998"/>
      <c r="AA8" s="1003"/>
      <c r="AB8" s="1006"/>
      <c r="AC8" s="472" t="s">
        <v>277</v>
      </c>
      <c r="AD8" s="74" t="s">
        <v>278</v>
      </c>
      <c r="AE8" s="979"/>
      <c r="AF8" s="980"/>
      <c r="AG8" s="978"/>
      <c r="AI8" s="1012"/>
      <c r="AJ8" s="1012"/>
    </row>
    <row r="9" spans="1:36" s="53" customFormat="1" ht="18.75" customHeight="1">
      <c r="A9" s="26">
        <f>IF(B9="","",ROW($A9)-ROW($A$8))</f>
      </c>
      <c r="B9" s="575"/>
      <c r="C9" s="236">
        <f>IF($B9="","",VLOOKUP($B9,'2-2_算定表①(旧々・旧制度)'!$B$8:$U$65536,2,FALSE))</f>
      </c>
      <c r="D9" s="75">
        <f>IF($B9="","",VLOOKUP($B9,'2-2_算定表①(旧々・旧制度)'!$B$8:$U$65536,3,FALSE))</f>
      </c>
      <c r="E9" s="75">
        <f>IF($B9="","",VLOOKUP($B9,'2-2_算定表①(旧々・旧制度)'!$B$8:$U$65536,6,FALSE))</f>
      </c>
      <c r="F9" s="579">
        <f>IF(B9="","",VLOOKUP($B9,'2-2_算定表①(旧々・旧制度)'!$B$8:$U$65536,14,FALSE))</f>
      </c>
      <c r="G9" s="582">
        <f>IF(B9="","",VLOOKUP($B9,'2-2_算定表①(旧々・旧制度)'!$B$8:$U$65536,16,FALSE))</f>
      </c>
      <c r="H9" s="579">
        <f>IF(B9="","",VLOOKUP($B9,'2-2_算定表①(旧々・旧制度)'!$B$8:$U$65536,17,FALSE))</f>
      </c>
      <c r="I9" s="582">
        <f>IF(B9="","",VLOOKUP($B9,'2-2_算定表①(旧々・旧制度)'!$B$8:$U$65536,19,FALSE))</f>
      </c>
      <c r="J9" s="77">
        <f>IF(B9="","",VLOOKUP($B9,'2-2_算定表①(旧々・旧制度)'!$B$8:$U$65536,20,FALSE))</f>
      </c>
      <c r="K9" s="571">
        <f>IF($B9="","",VLOOKUP($B9,'2-2_算定表①(旧々・旧制度)'!$B$8:$U$65536,14,FALSE))</f>
      </c>
      <c r="L9" s="524">
        <f>IF($B9="","",VLOOKUP($B9,'2-2_算定表①(旧々・旧制度)'!$B$8:$U$65536,14,FALSE))</f>
      </c>
      <c r="M9" s="307">
        <f>IF($B9="","",VLOOKUP($B9,'2-2_算定表①(旧々・旧制度)'!$B$8:$U$65536,14,FALSE))</f>
      </c>
      <c r="N9" s="526">
        <f>IF($B9="","",VLOOKUP($B9,'2-2_算定表①(旧々・旧制度)'!$B$8:$U$65536,17,FALSE))</f>
      </c>
      <c r="O9" s="82">
        <f>IF($B9="","",VLOOKUP($B9,'2-2_算定表①(旧々・旧制度)'!$B$8:$U$65536,17,FALSE))</f>
      </c>
      <c r="P9" s="82">
        <f>IF($B9="","",VLOOKUP($B9,'2-2_算定表①(旧々・旧制度)'!$B$8:$U$65536,17,FALSE))</f>
      </c>
      <c r="Q9" s="82">
        <f>IF($B9="","",VLOOKUP($B9,'2-2_算定表①(旧々・旧制度)'!$B$8:$U$65536,17,FALSE))</f>
      </c>
      <c r="R9" s="82">
        <f>IF($B9="","",VLOOKUP($B9,'2-2_算定表①(旧々・旧制度)'!$B$8:$U$65536,17,FALSE))</f>
      </c>
      <c r="S9" s="82">
        <f>IF($B9="","",VLOOKUP($B9,'2-2_算定表①(旧々・旧制度)'!$B$8:$U$65536,17,FALSE))</f>
      </c>
      <c r="T9" s="82">
        <f>IF($B9="","",VLOOKUP($B9,'2-2_算定表①(旧々・旧制度)'!$B$8:$U$65536,17,FALSE))</f>
      </c>
      <c r="U9" s="82">
        <f>IF($B9="","",VLOOKUP($B9,'2-2_算定表①(旧々・旧制度)'!$B$8:$U$65536,17,FALSE))</f>
      </c>
      <c r="V9" s="527">
        <f>IF($B9="","",VLOOKUP($B9,'2-2_算定表①(旧々・旧制度)'!$B$8:$U$65536,17,FALSE))</f>
      </c>
      <c r="W9" s="87">
        <f aca="true" t="shared" si="0" ref="W9:W38">IF($B9="","",COUNTIF($K9:$M9,W$6))</f>
      </c>
      <c r="X9" s="84">
        <f aca="true" t="shared" si="1" ref="X9:X38">IF($B9="","",COUNTIF($N9:$V9,X$6))</f>
      </c>
      <c r="Y9" s="79">
        <f aca="true" t="shared" si="2" ref="Y9:Y38">IF($B9="","",COUNTIF($K9:$M9,Y$6))</f>
      </c>
      <c r="Z9" s="93">
        <f aca="true" t="shared" si="3" ref="Z9:Z38">IF($B9="","",COUNTIF($N9:$V9,Z$6))</f>
      </c>
      <c r="AA9" s="90">
        <f aca="true" t="shared" si="4" ref="AA9:AA38">IF($B9="","",COUNTIF($K9:$M9,AA$6))</f>
      </c>
      <c r="AB9" s="87">
        <f aca="true" t="shared" si="5" ref="AB9:AB38">IF($B9="","",COUNTIF($N9:$V9,AB$6))</f>
      </c>
      <c r="AC9" s="77">
        <f>IF(B9="","",ROUNDUP((G9/VLOOKUP($B9,'2-2_算定表①(旧々・旧制度)'!$B$8:$AJ$44,9,FALSE)*W9)+(I9/VLOOKUP($B9,'2-2_算定表①(旧々・旧制度)'!$B$8:$AJ$44,9,FALSE)*X9)+(G9/VLOOKUP($B9,'2-2_算定表①(旧々・旧制度)'!$B$8:$AJ$44,9,FALSE)*Y9)+(I9/VLOOKUP($B9,'2-2_算定表①(旧々・旧制度)'!$B$8:$AJ$44,9,FALSE)*Z9),0))</f>
      </c>
      <c r="AD9" s="528">
        <f aca="true" t="shared" si="6" ref="AD9:AD38">IF(B9="","",AC9-J9)</f>
      </c>
      <c r="AE9" s="1013">
        <f>IF(B9="","",VLOOKUP($B9,'2-2_算定表①(旧々・旧制度)'!$B$8:$AH$65536,33,FALSE))</f>
      </c>
      <c r="AF9" s="1014" t="s">
        <v>182</v>
      </c>
      <c r="AG9" s="1015" t="s">
        <v>182</v>
      </c>
      <c r="AI9" s="61">
        <f>IF(A9&gt;0,ASC(C9&amp;H9),"")</f>
      </c>
      <c r="AJ9" s="61">
        <f aca="true" t="shared" si="7" ref="AJ9:AJ38">IF(B9="","",IF(AD9=0,0,1))</f>
      </c>
    </row>
    <row r="10" spans="1:36" s="53" customFormat="1" ht="18.75" customHeight="1">
      <c r="A10" s="34">
        <f aca="true" t="shared" si="8" ref="A10:A38">IF(B10="","",ROW($A10)-ROW($A$8))</f>
      </c>
      <c r="B10" s="576"/>
      <c r="C10" s="290">
        <f>IF($B10="","",VLOOKUP($B10,'2-2_算定表①(旧々・旧制度)'!$B$8:$U$65536,2,FALSE))</f>
      </c>
      <c r="D10" s="81">
        <f>IF($B10="","",VLOOKUP($B10,'2-2_算定表①(旧々・旧制度)'!$B$8:$U$65536,3,FALSE))</f>
      </c>
      <c r="E10" s="81">
        <f>IF($B10="","",VLOOKUP($B10,'2-2_算定表①(旧々・旧制度)'!$B$8:$U$65536,6,FALSE))</f>
      </c>
      <c r="F10" s="580">
        <f>IF(B10="","",VLOOKUP($B10,'2-2_算定表①(旧々・旧制度)'!$B$8:$U$65536,14,FALSE))</f>
      </c>
      <c r="G10" s="583">
        <f>IF(B10="","",VLOOKUP($B10,'2-2_算定表①(旧々・旧制度)'!$B$8:$U$65536,16,FALSE))</f>
      </c>
      <c r="H10" s="580">
        <f>IF(B10="","",VLOOKUP($B10,'2-2_算定表①(旧々・旧制度)'!$B$8:$U$65536,17,FALSE))</f>
      </c>
      <c r="I10" s="583">
        <f>IF(B10="","",VLOOKUP($B10,'2-2_算定表①(旧々・旧制度)'!$B$8:$U$65536,19,FALSE))</f>
      </c>
      <c r="J10" s="60">
        <f>IF(B10="","",VLOOKUP($B10,'2-2_算定表①(旧々・旧制度)'!$B$8:$U$65536,20,FALSE))</f>
      </c>
      <c r="K10" s="571">
        <f>IF($B10="","",VLOOKUP($B10,'2-2_算定表①(旧々・旧制度)'!$B$8:$U$65536,14,FALSE))</f>
      </c>
      <c r="L10" s="524">
        <f>IF($B10="","",VLOOKUP($B10,'2-2_算定表①(旧々・旧制度)'!$B$8:$U$65536,14,FALSE))</f>
      </c>
      <c r="M10" s="307">
        <f>IF($B10="","",VLOOKUP($B10,'2-2_算定表①(旧々・旧制度)'!$B$8:$U$65536,14,FALSE))</f>
      </c>
      <c r="N10" s="526">
        <f>IF($B10="","",VLOOKUP($B10,'2-2_算定表①(旧々・旧制度)'!$B$8:$U$65536,17,FALSE))</f>
      </c>
      <c r="O10" s="82">
        <f>IF($B10="","",VLOOKUP($B10,'2-2_算定表①(旧々・旧制度)'!$B$8:$U$65536,17,FALSE))</f>
      </c>
      <c r="P10" s="82">
        <f>IF($B10="","",VLOOKUP($B10,'2-2_算定表①(旧々・旧制度)'!$B$8:$U$65536,17,FALSE))</f>
      </c>
      <c r="Q10" s="82">
        <f>IF($B10="","",VLOOKUP($B10,'2-2_算定表①(旧々・旧制度)'!$B$8:$U$65536,17,FALSE))</f>
      </c>
      <c r="R10" s="82">
        <f>IF($B10="","",VLOOKUP($B10,'2-2_算定表①(旧々・旧制度)'!$B$8:$U$65536,17,FALSE))</f>
      </c>
      <c r="S10" s="82">
        <f>IF($B10="","",VLOOKUP($B10,'2-2_算定表①(旧々・旧制度)'!$B$8:$U$65536,17,FALSE))</f>
      </c>
      <c r="T10" s="82">
        <f>IF($B10="","",VLOOKUP($B10,'2-2_算定表①(旧々・旧制度)'!$B$8:$U$65536,17,FALSE))</f>
      </c>
      <c r="U10" s="82">
        <f>IF($B10="","",VLOOKUP($B10,'2-2_算定表①(旧々・旧制度)'!$B$8:$U$65536,17,FALSE))</f>
      </c>
      <c r="V10" s="527">
        <f>IF($B10="","",VLOOKUP($B10,'2-2_算定表①(旧々・旧制度)'!$B$8:$U$65536,17,FALSE))</f>
      </c>
      <c r="W10" s="88">
        <f t="shared" si="0"/>
      </c>
      <c r="X10" s="85">
        <f t="shared" si="1"/>
      </c>
      <c r="Y10" s="80">
        <f t="shared" si="2"/>
      </c>
      <c r="Z10" s="94">
        <f t="shared" si="3"/>
      </c>
      <c r="AA10" s="91">
        <f t="shared" si="4"/>
      </c>
      <c r="AB10" s="88">
        <f t="shared" si="5"/>
      </c>
      <c r="AC10" s="60">
        <f>IF(B10="","",ROUNDUP((G10/VLOOKUP($B10,'2-2_算定表①(旧々・旧制度)'!$B$8:$AJ$44,9,FALSE)*W10)+(I10/VLOOKUP($B10,'2-2_算定表①(旧々・旧制度)'!$B$8:$AJ$44,9,FALSE)*X10)+(G10/VLOOKUP($B10,'2-2_算定表①(旧々・旧制度)'!$B$8:$AJ$44,9,FALSE)*Y10)+(I10/VLOOKUP($B10,'2-2_算定表①(旧々・旧制度)'!$B$8:$AJ$44,9,FALSE)*Z10),0))</f>
      </c>
      <c r="AD10" s="529">
        <f t="shared" si="6"/>
      </c>
      <c r="AE10" s="1016">
        <f>IF(B10="","",VLOOKUP($B10,'2-2_算定表①(旧々・旧制度)'!$B$8:$AH$65536,33,FALSE))</f>
      </c>
      <c r="AF10" s="1017" t="s">
        <v>182</v>
      </c>
      <c r="AG10" s="1018" t="s">
        <v>182</v>
      </c>
      <c r="AI10" s="54">
        <f>IF(A10&gt;0,ASC(C10&amp;H10),"")</f>
      </c>
      <c r="AJ10" s="54">
        <f t="shared" si="7"/>
      </c>
    </row>
    <row r="11" spans="1:36" s="53" customFormat="1" ht="18.75" customHeight="1">
      <c r="A11" s="27">
        <f t="shared" si="8"/>
      </c>
      <c r="B11" s="576"/>
      <c r="C11" s="290">
        <f>IF($B11="","",VLOOKUP($B11,'2-2_算定表①(旧々・旧制度)'!$B$8:$U$65536,2,FALSE))</f>
      </c>
      <c r="D11" s="81">
        <f>IF($B11="","",VLOOKUP($B11,'2-2_算定表①(旧々・旧制度)'!$B$8:$U$65536,3,FALSE))</f>
      </c>
      <c r="E11" s="81">
        <f>IF($B11="","",VLOOKUP($B11,'2-2_算定表①(旧々・旧制度)'!$B$8:$U$65536,6,FALSE))</f>
      </c>
      <c r="F11" s="580">
        <f>IF(B11="","",VLOOKUP($B11,'2-2_算定表①(旧々・旧制度)'!$B$8:$U$65536,14,FALSE))</f>
      </c>
      <c r="G11" s="583">
        <f>IF(B11="","",VLOOKUP($B11,'2-2_算定表①(旧々・旧制度)'!$B$8:$U$65536,16,FALSE))</f>
      </c>
      <c r="H11" s="580">
        <f>IF(B11="","",VLOOKUP($B11,'2-2_算定表①(旧々・旧制度)'!$B$8:$U$65536,17,FALSE))</f>
      </c>
      <c r="I11" s="583">
        <f>IF(B11="","",VLOOKUP($B11,'2-2_算定表①(旧々・旧制度)'!$B$8:$U$65536,19,FALSE))</f>
      </c>
      <c r="J11" s="60">
        <f>IF(B11="","",VLOOKUP($B11,'2-2_算定表①(旧々・旧制度)'!$B$8:$U$65536,20,FALSE))</f>
      </c>
      <c r="K11" s="571">
        <f>IF($B11="","",VLOOKUP($B11,'2-2_算定表①(旧々・旧制度)'!$B$8:$U$65536,14,FALSE))</f>
      </c>
      <c r="L11" s="524">
        <f>IF($B11="","",VLOOKUP($B11,'2-2_算定表①(旧々・旧制度)'!$B$8:$U$65536,14,FALSE))</f>
      </c>
      <c r="M11" s="307">
        <f>IF($B11="","",VLOOKUP($B11,'2-2_算定表①(旧々・旧制度)'!$B$8:$U$65536,14,FALSE))</f>
      </c>
      <c r="N11" s="526">
        <f>IF($B11="","",VLOOKUP($B11,'2-2_算定表①(旧々・旧制度)'!$B$8:$U$65536,17,FALSE))</f>
      </c>
      <c r="O11" s="82">
        <f>IF($B11="","",VLOOKUP($B11,'2-2_算定表①(旧々・旧制度)'!$B$8:$U$65536,17,FALSE))</f>
      </c>
      <c r="P11" s="82">
        <f>IF($B11="","",VLOOKUP($B11,'2-2_算定表①(旧々・旧制度)'!$B$8:$U$65536,17,FALSE))</f>
      </c>
      <c r="Q11" s="82">
        <f>IF($B11="","",VLOOKUP($B11,'2-2_算定表①(旧々・旧制度)'!$B$8:$U$65536,17,FALSE))</f>
      </c>
      <c r="R11" s="82">
        <f>IF($B11="","",VLOOKUP($B11,'2-2_算定表①(旧々・旧制度)'!$B$8:$U$65536,17,FALSE))</f>
      </c>
      <c r="S11" s="82">
        <f>IF($B11="","",VLOOKUP($B11,'2-2_算定表①(旧々・旧制度)'!$B$8:$U$65536,17,FALSE))</f>
      </c>
      <c r="T11" s="82">
        <f>IF($B11="","",VLOOKUP($B11,'2-2_算定表①(旧々・旧制度)'!$B$8:$U$65536,17,FALSE))</f>
      </c>
      <c r="U11" s="82">
        <f>IF($B11="","",VLOOKUP($B11,'2-2_算定表①(旧々・旧制度)'!$B$8:$U$65536,17,FALSE))</f>
      </c>
      <c r="V11" s="527">
        <f>IF($B11="","",VLOOKUP($B11,'2-2_算定表①(旧々・旧制度)'!$B$8:$U$65536,17,FALSE))</f>
      </c>
      <c r="W11" s="88">
        <f t="shared" si="0"/>
      </c>
      <c r="X11" s="85">
        <f t="shared" si="1"/>
      </c>
      <c r="Y11" s="80">
        <f t="shared" si="2"/>
      </c>
      <c r="Z11" s="94">
        <f t="shared" si="3"/>
      </c>
      <c r="AA11" s="91">
        <f t="shared" si="4"/>
      </c>
      <c r="AB11" s="88">
        <f t="shared" si="5"/>
      </c>
      <c r="AC11" s="60">
        <f>IF(B11="","",ROUNDUP((G11/VLOOKUP($B11,'2-2_算定表①(旧々・旧制度)'!$B$8:$AJ$44,9,FALSE)*W11)+(I11/VLOOKUP($B11,'2-2_算定表①(旧々・旧制度)'!$B$8:$AJ$44,9,FALSE)*X11)+(G11/VLOOKUP($B11,'2-2_算定表①(旧々・旧制度)'!$B$8:$AJ$44,9,FALSE)*Y11)+(I11/VLOOKUP($B11,'2-2_算定表①(旧々・旧制度)'!$B$8:$AJ$44,9,FALSE)*Z11),0))</f>
      </c>
      <c r="AD11" s="530">
        <f t="shared" si="6"/>
      </c>
      <c r="AE11" s="1016">
        <f>IF(B11="","",VLOOKUP($B11,'2-2_算定表①(旧々・旧制度)'!$B$8:$AH$65536,33,FALSE))</f>
      </c>
      <c r="AF11" s="1017" t="s">
        <v>182</v>
      </c>
      <c r="AG11" s="1018" t="s">
        <v>182</v>
      </c>
      <c r="AI11" s="61">
        <f aca="true" t="shared" si="9" ref="AI11:AI38">IF(A11&gt;0,ASC(C11&amp;H11),"")</f>
      </c>
      <c r="AJ11" s="61">
        <f t="shared" si="7"/>
      </c>
    </row>
    <row r="12" spans="1:36" s="53" customFormat="1" ht="18.75" customHeight="1">
      <c r="A12" s="27">
        <f t="shared" si="8"/>
      </c>
      <c r="B12" s="576"/>
      <c r="C12" s="290">
        <f>IF($B12="","",VLOOKUP($B12,'2-2_算定表①(旧々・旧制度)'!$B$8:$U$65536,2,FALSE))</f>
      </c>
      <c r="D12" s="81">
        <f>IF($B12="","",VLOOKUP($B12,'2-2_算定表①(旧々・旧制度)'!$B$8:$U$65536,3,FALSE))</f>
      </c>
      <c r="E12" s="81">
        <f>IF($B12="","",VLOOKUP($B12,'2-2_算定表①(旧々・旧制度)'!$B$8:$U$65536,6,FALSE))</f>
      </c>
      <c r="F12" s="580">
        <f>IF(B12="","",VLOOKUP($B12,'2-2_算定表①(旧々・旧制度)'!$B$8:$U$65536,14,FALSE))</f>
      </c>
      <c r="G12" s="583">
        <f>IF(B12="","",VLOOKUP($B12,'2-2_算定表①(旧々・旧制度)'!$B$8:$U$65536,16,FALSE))</f>
      </c>
      <c r="H12" s="580">
        <f>IF(B12="","",VLOOKUP($B12,'2-2_算定表①(旧々・旧制度)'!$B$8:$U$65536,17,FALSE))</f>
      </c>
      <c r="I12" s="583">
        <f>IF(B12="","",VLOOKUP($B12,'2-2_算定表①(旧々・旧制度)'!$B$8:$U$65536,19,FALSE))</f>
      </c>
      <c r="J12" s="60">
        <f>IF(B12="","",VLOOKUP($B12,'2-2_算定表①(旧々・旧制度)'!$B$8:$U$65536,20,FALSE))</f>
      </c>
      <c r="K12" s="571">
        <f>IF($B12="","",VLOOKUP($B12,'2-2_算定表①(旧々・旧制度)'!$B$8:$U$65536,14,FALSE))</f>
      </c>
      <c r="L12" s="524">
        <f>IF($B12="","",VLOOKUP($B12,'2-2_算定表①(旧々・旧制度)'!$B$8:$U$65536,14,FALSE))</f>
      </c>
      <c r="M12" s="307">
        <f>IF($B12="","",VLOOKUP($B12,'2-2_算定表①(旧々・旧制度)'!$B$8:$U$65536,14,FALSE))</f>
      </c>
      <c r="N12" s="526">
        <f>IF($B12="","",VLOOKUP($B12,'2-2_算定表①(旧々・旧制度)'!$B$8:$U$65536,17,FALSE))</f>
      </c>
      <c r="O12" s="82">
        <f>IF($B12="","",VLOOKUP($B12,'2-2_算定表①(旧々・旧制度)'!$B$8:$U$65536,17,FALSE))</f>
      </c>
      <c r="P12" s="82">
        <f>IF($B12="","",VLOOKUP($B12,'2-2_算定表①(旧々・旧制度)'!$B$8:$U$65536,17,FALSE))</f>
      </c>
      <c r="Q12" s="82">
        <f>IF($B12="","",VLOOKUP($B12,'2-2_算定表①(旧々・旧制度)'!$B$8:$U$65536,17,FALSE))</f>
      </c>
      <c r="R12" s="82">
        <f>IF($B12="","",VLOOKUP($B12,'2-2_算定表①(旧々・旧制度)'!$B$8:$U$65536,17,FALSE))</f>
      </c>
      <c r="S12" s="82">
        <f>IF($B12="","",VLOOKUP($B12,'2-2_算定表①(旧々・旧制度)'!$B$8:$U$65536,17,FALSE))</f>
      </c>
      <c r="T12" s="82">
        <f>IF($B12="","",VLOOKUP($B12,'2-2_算定表①(旧々・旧制度)'!$B$8:$U$65536,17,FALSE))</f>
      </c>
      <c r="U12" s="82">
        <f>IF($B12="","",VLOOKUP($B12,'2-2_算定表①(旧々・旧制度)'!$B$8:$U$65536,17,FALSE))</f>
      </c>
      <c r="V12" s="527">
        <f>IF($B12="","",VLOOKUP($B12,'2-2_算定表①(旧々・旧制度)'!$B$8:$U$65536,17,FALSE))</f>
      </c>
      <c r="W12" s="89">
        <f t="shared" si="0"/>
      </c>
      <c r="X12" s="86">
        <f t="shared" si="1"/>
      </c>
      <c r="Y12" s="83">
        <f t="shared" si="2"/>
      </c>
      <c r="Z12" s="95">
        <f t="shared" si="3"/>
      </c>
      <c r="AA12" s="92">
        <f t="shared" si="4"/>
      </c>
      <c r="AB12" s="89">
        <f t="shared" si="5"/>
      </c>
      <c r="AC12" s="60">
        <f>IF(B12="","",ROUNDUP((G12/VLOOKUP($B12,'2-2_算定表①(旧々・旧制度)'!$B$8:$AJ$44,9,FALSE)*W12)+(I12/VLOOKUP($B12,'2-2_算定表①(旧々・旧制度)'!$B$8:$AJ$44,9,FALSE)*X12)+(G12/VLOOKUP($B12,'2-2_算定表①(旧々・旧制度)'!$B$8:$AJ$44,9,FALSE)*Y12)+(I12/VLOOKUP($B12,'2-2_算定表①(旧々・旧制度)'!$B$8:$AJ$44,9,FALSE)*Z12),0))</f>
      </c>
      <c r="AD12" s="530">
        <f t="shared" si="6"/>
      </c>
      <c r="AE12" s="1016">
        <f>IF(B12="","",VLOOKUP($B12,'2-2_算定表①(旧々・旧制度)'!$B$8:$AH$65536,33,FALSE))</f>
      </c>
      <c r="AF12" s="1017" t="s">
        <v>182</v>
      </c>
      <c r="AG12" s="1018" t="s">
        <v>182</v>
      </c>
      <c r="AI12" s="61">
        <f t="shared" si="9"/>
      </c>
      <c r="AJ12" s="61">
        <f t="shared" si="7"/>
      </c>
    </row>
    <row r="13" spans="1:36" s="53" customFormat="1" ht="18.75" customHeight="1">
      <c r="A13" s="27">
        <f t="shared" si="8"/>
      </c>
      <c r="B13" s="576"/>
      <c r="C13" s="290">
        <f>IF($B13="","",VLOOKUP($B13,'2-2_算定表①(旧々・旧制度)'!$B$8:$U$65536,2,FALSE))</f>
      </c>
      <c r="D13" s="81">
        <f>IF($B13="","",VLOOKUP($B13,'2-2_算定表①(旧々・旧制度)'!$B$8:$U$65536,3,FALSE))</f>
      </c>
      <c r="E13" s="81">
        <f>IF($B13="","",VLOOKUP($B13,'2-2_算定表①(旧々・旧制度)'!$B$8:$U$65536,6,FALSE))</f>
      </c>
      <c r="F13" s="580">
        <f>IF(B13="","",VLOOKUP($B13,'2-2_算定表①(旧々・旧制度)'!$B$8:$U$65536,14,FALSE))</f>
      </c>
      <c r="G13" s="583">
        <f>IF(B13="","",VLOOKUP($B13,'2-2_算定表①(旧々・旧制度)'!$B$8:$U$65536,16,FALSE))</f>
      </c>
      <c r="H13" s="580">
        <f>IF(B13="","",VLOOKUP($B13,'2-2_算定表①(旧々・旧制度)'!$B$8:$U$65536,17,FALSE))</f>
      </c>
      <c r="I13" s="583">
        <f>IF(B13="","",VLOOKUP($B13,'2-2_算定表①(旧々・旧制度)'!$B$8:$U$65536,19,FALSE))</f>
      </c>
      <c r="J13" s="60">
        <f>IF(B13="","",VLOOKUP($B13,'2-2_算定表①(旧々・旧制度)'!$B$8:$U$65536,20,FALSE))</f>
      </c>
      <c r="K13" s="571">
        <f>IF($B13="","",VLOOKUP($B13,'2-2_算定表①(旧々・旧制度)'!$B$8:$U$65536,14,FALSE))</f>
      </c>
      <c r="L13" s="524">
        <f>IF($B13="","",VLOOKUP($B13,'2-2_算定表①(旧々・旧制度)'!$B$8:$U$65536,14,FALSE))</f>
      </c>
      <c r="M13" s="307">
        <f>IF($B13="","",VLOOKUP($B13,'2-2_算定表①(旧々・旧制度)'!$B$8:$U$65536,14,FALSE))</f>
      </c>
      <c r="N13" s="526">
        <f>IF($B13="","",VLOOKUP($B13,'2-2_算定表①(旧々・旧制度)'!$B$8:$U$65536,17,FALSE))</f>
      </c>
      <c r="O13" s="82">
        <f>IF($B13="","",VLOOKUP($B13,'2-2_算定表①(旧々・旧制度)'!$B$8:$U$65536,17,FALSE))</f>
      </c>
      <c r="P13" s="82">
        <f>IF($B13="","",VLOOKUP($B13,'2-2_算定表①(旧々・旧制度)'!$B$8:$U$65536,17,FALSE))</f>
      </c>
      <c r="Q13" s="82">
        <f>IF($B13="","",VLOOKUP($B13,'2-2_算定表①(旧々・旧制度)'!$B$8:$U$65536,17,FALSE))</f>
      </c>
      <c r="R13" s="82">
        <f>IF($B13="","",VLOOKUP($B13,'2-2_算定表①(旧々・旧制度)'!$B$8:$U$65536,17,FALSE))</f>
      </c>
      <c r="S13" s="82">
        <f>IF($B13="","",VLOOKUP($B13,'2-2_算定表①(旧々・旧制度)'!$B$8:$U$65536,17,FALSE))</f>
      </c>
      <c r="T13" s="82">
        <f>IF($B13="","",VLOOKUP($B13,'2-2_算定表①(旧々・旧制度)'!$B$8:$U$65536,17,FALSE))</f>
      </c>
      <c r="U13" s="82">
        <f>IF($B13="","",VLOOKUP($B13,'2-2_算定表①(旧々・旧制度)'!$B$8:$U$65536,17,FALSE))</f>
      </c>
      <c r="V13" s="527">
        <f>IF($B13="","",VLOOKUP($B13,'2-2_算定表①(旧々・旧制度)'!$B$8:$U$65536,17,FALSE))</f>
      </c>
      <c r="W13" s="89">
        <f t="shared" si="0"/>
      </c>
      <c r="X13" s="86">
        <f t="shared" si="1"/>
      </c>
      <c r="Y13" s="83">
        <f t="shared" si="2"/>
      </c>
      <c r="Z13" s="95">
        <f t="shared" si="3"/>
      </c>
      <c r="AA13" s="92">
        <f t="shared" si="4"/>
      </c>
      <c r="AB13" s="89">
        <f t="shared" si="5"/>
      </c>
      <c r="AC13" s="60">
        <f>IF(B13="","",ROUNDUP((G13/VLOOKUP($B13,'2-2_算定表①(旧々・旧制度)'!$B$8:$AJ$44,9,FALSE)*W13)+(I13/VLOOKUP($B13,'2-2_算定表①(旧々・旧制度)'!$B$8:$AJ$44,9,FALSE)*X13)+(G13/VLOOKUP($B13,'2-2_算定表①(旧々・旧制度)'!$B$8:$AJ$44,9,FALSE)*Y13)+(I13/VLOOKUP($B13,'2-2_算定表①(旧々・旧制度)'!$B$8:$AJ$44,9,FALSE)*Z13),0))</f>
      </c>
      <c r="AD13" s="530">
        <f t="shared" si="6"/>
      </c>
      <c r="AE13" s="1016">
        <f>IF(B13="","",VLOOKUP($B13,'2-2_算定表①(旧々・旧制度)'!$B$8:$AH$65536,33,FALSE))</f>
      </c>
      <c r="AF13" s="1017" t="s">
        <v>182</v>
      </c>
      <c r="AG13" s="1018" t="s">
        <v>182</v>
      </c>
      <c r="AI13" s="61">
        <f t="shared" si="9"/>
      </c>
      <c r="AJ13" s="61">
        <f t="shared" si="7"/>
      </c>
    </row>
    <row r="14" spans="1:36" s="53" customFormat="1" ht="18.75" customHeight="1">
      <c r="A14" s="27">
        <f t="shared" si="8"/>
      </c>
      <c r="B14" s="577"/>
      <c r="C14" s="290">
        <f>IF($B14="","",VLOOKUP($B14,'2-2_算定表①(旧々・旧制度)'!$B$8:$U$65536,2,FALSE))</f>
      </c>
      <c r="D14" s="81">
        <f>IF($B14="","",VLOOKUP($B14,'2-2_算定表①(旧々・旧制度)'!$B$8:$U$65536,3,FALSE))</f>
      </c>
      <c r="E14" s="81">
        <f>IF($B14="","",VLOOKUP($B14,'2-2_算定表①(旧々・旧制度)'!$B$8:$U$65536,6,FALSE))</f>
      </c>
      <c r="F14" s="580">
        <f>IF(B14="","",VLOOKUP($B14,'2-2_算定表①(旧々・旧制度)'!$B$8:$U$65536,14,FALSE))</f>
      </c>
      <c r="G14" s="583">
        <f>IF(B14="","",VLOOKUP($B14,'2-2_算定表①(旧々・旧制度)'!$B$8:$U$65536,16,FALSE))</f>
      </c>
      <c r="H14" s="580">
        <f>IF(B14="","",VLOOKUP($B14,'2-2_算定表①(旧々・旧制度)'!$B$8:$U$65536,17,FALSE))</f>
      </c>
      <c r="I14" s="583">
        <f>IF(B14="","",VLOOKUP($B14,'2-2_算定表①(旧々・旧制度)'!$B$8:$U$65536,19,FALSE))</f>
      </c>
      <c r="J14" s="60">
        <f>IF(B14="","",VLOOKUP($B14,'2-2_算定表①(旧々・旧制度)'!$B$8:$U$65536,20,FALSE))</f>
      </c>
      <c r="K14" s="571">
        <f>IF($B14="","",VLOOKUP($B14,'2-2_算定表①(旧々・旧制度)'!$B$8:$U$65536,14,FALSE))</f>
      </c>
      <c r="L14" s="524">
        <f>IF($B14="","",VLOOKUP($B14,'2-2_算定表①(旧々・旧制度)'!$B$8:$U$65536,14,FALSE))</f>
      </c>
      <c r="M14" s="307">
        <f>IF($B14="","",VLOOKUP($B14,'2-2_算定表①(旧々・旧制度)'!$B$8:$U$65536,14,FALSE))</f>
      </c>
      <c r="N14" s="526">
        <f>IF($B14="","",VLOOKUP($B14,'2-2_算定表①(旧々・旧制度)'!$B$8:$U$65536,17,FALSE))</f>
      </c>
      <c r="O14" s="82">
        <f>IF($B14="","",VLOOKUP($B14,'2-2_算定表①(旧々・旧制度)'!$B$8:$U$65536,17,FALSE))</f>
      </c>
      <c r="P14" s="82">
        <f>IF($B14="","",VLOOKUP($B14,'2-2_算定表①(旧々・旧制度)'!$B$8:$U$65536,17,FALSE))</f>
      </c>
      <c r="Q14" s="82">
        <f>IF($B14="","",VLOOKUP($B14,'2-2_算定表①(旧々・旧制度)'!$B$8:$U$65536,17,FALSE))</f>
      </c>
      <c r="R14" s="82">
        <f>IF($B14="","",VLOOKUP($B14,'2-2_算定表①(旧々・旧制度)'!$B$8:$U$65536,17,FALSE))</f>
      </c>
      <c r="S14" s="82">
        <f>IF($B14="","",VLOOKUP($B14,'2-2_算定表①(旧々・旧制度)'!$B$8:$U$65536,17,FALSE))</f>
      </c>
      <c r="T14" s="82">
        <f>IF($B14="","",VLOOKUP($B14,'2-2_算定表①(旧々・旧制度)'!$B$8:$U$65536,17,FALSE))</f>
      </c>
      <c r="U14" s="82">
        <f>IF($B14="","",VLOOKUP($B14,'2-2_算定表①(旧々・旧制度)'!$B$8:$U$65536,17,FALSE))</f>
      </c>
      <c r="V14" s="527">
        <f>IF($B14="","",VLOOKUP($B14,'2-2_算定表①(旧々・旧制度)'!$B$8:$U$65536,17,FALSE))</f>
      </c>
      <c r="W14" s="89">
        <f t="shared" si="0"/>
      </c>
      <c r="X14" s="86">
        <f t="shared" si="1"/>
      </c>
      <c r="Y14" s="83">
        <f t="shared" si="2"/>
      </c>
      <c r="Z14" s="95">
        <f t="shared" si="3"/>
      </c>
      <c r="AA14" s="92">
        <f t="shared" si="4"/>
      </c>
      <c r="AB14" s="89">
        <f t="shared" si="5"/>
      </c>
      <c r="AC14" s="60">
        <f>IF(B14="","",ROUNDUP((G14/VLOOKUP($B14,'2-2_算定表①(旧々・旧制度)'!$B$8:$AJ$44,9,FALSE)*W14)+(I14/VLOOKUP($B14,'2-2_算定表①(旧々・旧制度)'!$B$8:$AJ$44,9,FALSE)*X14)+(G14/VLOOKUP($B14,'2-2_算定表①(旧々・旧制度)'!$B$8:$AJ$44,9,FALSE)*Y14)+(I14/VLOOKUP($B14,'2-2_算定表①(旧々・旧制度)'!$B$8:$AJ$44,9,FALSE)*Z14),0))</f>
      </c>
      <c r="AD14" s="530">
        <f t="shared" si="6"/>
      </c>
      <c r="AE14" s="1016">
        <f>IF(B14="","",VLOOKUP($B14,'2-2_算定表①(旧々・旧制度)'!$B$8:$AH$65536,33,FALSE))</f>
      </c>
      <c r="AF14" s="1017" t="s">
        <v>182</v>
      </c>
      <c r="AG14" s="1018" t="s">
        <v>182</v>
      </c>
      <c r="AI14" s="61">
        <f t="shared" si="9"/>
      </c>
      <c r="AJ14" s="61">
        <f t="shared" si="7"/>
      </c>
    </row>
    <row r="15" spans="1:36" s="53" customFormat="1" ht="18.75" customHeight="1">
      <c r="A15" s="27">
        <f t="shared" si="8"/>
      </c>
      <c r="B15" s="577"/>
      <c r="C15" s="290">
        <f>IF($B15="","",VLOOKUP($B15,'2-2_算定表①(旧々・旧制度)'!$B$8:$U$65536,2,FALSE))</f>
      </c>
      <c r="D15" s="81">
        <f>IF($B15="","",VLOOKUP($B15,'2-2_算定表①(旧々・旧制度)'!$B$8:$U$65536,3,FALSE))</f>
      </c>
      <c r="E15" s="81">
        <f>IF($B15="","",VLOOKUP($B15,'2-2_算定表①(旧々・旧制度)'!$B$8:$U$65536,6,FALSE))</f>
      </c>
      <c r="F15" s="580">
        <f>IF(B15="","",VLOOKUP($B15,'2-2_算定表①(旧々・旧制度)'!$B$8:$U$65536,14,FALSE))</f>
      </c>
      <c r="G15" s="583">
        <f>IF(B15="","",VLOOKUP($B15,'2-2_算定表①(旧々・旧制度)'!$B$8:$U$65536,16,FALSE))</f>
      </c>
      <c r="H15" s="580">
        <f>IF(B15="","",VLOOKUP($B15,'2-2_算定表①(旧々・旧制度)'!$B$8:$U$65536,17,FALSE))</f>
      </c>
      <c r="I15" s="583">
        <f>IF(B15="","",VLOOKUP($B15,'2-2_算定表①(旧々・旧制度)'!$B$8:$U$65536,19,FALSE))</f>
      </c>
      <c r="J15" s="60">
        <f>IF(B15="","",VLOOKUP($B15,'2-2_算定表①(旧々・旧制度)'!$B$8:$U$65536,20,FALSE))</f>
      </c>
      <c r="K15" s="571">
        <f>IF($B15="","",VLOOKUP($B15,'2-2_算定表①(旧々・旧制度)'!$B$8:$U$65536,14,FALSE))</f>
      </c>
      <c r="L15" s="524">
        <f>IF($B15="","",VLOOKUP($B15,'2-2_算定表①(旧々・旧制度)'!$B$8:$U$65536,14,FALSE))</f>
      </c>
      <c r="M15" s="307">
        <f>IF($B15="","",VLOOKUP($B15,'2-2_算定表①(旧々・旧制度)'!$B$8:$U$65536,14,FALSE))</f>
      </c>
      <c r="N15" s="526">
        <f>IF($B15="","",VLOOKUP($B15,'2-2_算定表①(旧々・旧制度)'!$B$8:$U$65536,17,FALSE))</f>
      </c>
      <c r="O15" s="82">
        <f>IF($B15="","",VLOOKUP($B15,'2-2_算定表①(旧々・旧制度)'!$B$8:$U$65536,17,FALSE))</f>
      </c>
      <c r="P15" s="82">
        <f>IF($B15="","",VLOOKUP($B15,'2-2_算定表①(旧々・旧制度)'!$B$8:$U$65536,17,FALSE))</f>
      </c>
      <c r="Q15" s="82">
        <f>IF($B15="","",VLOOKUP($B15,'2-2_算定表①(旧々・旧制度)'!$B$8:$U$65536,17,FALSE))</f>
      </c>
      <c r="R15" s="82">
        <f>IF($B15="","",VLOOKUP($B15,'2-2_算定表①(旧々・旧制度)'!$B$8:$U$65536,17,FALSE))</f>
      </c>
      <c r="S15" s="82">
        <f>IF($B15="","",VLOOKUP($B15,'2-2_算定表①(旧々・旧制度)'!$B$8:$U$65536,17,FALSE))</f>
      </c>
      <c r="T15" s="767">
        <f>IF($B15="","",VLOOKUP($B15,'2-2_算定表①(旧々・旧制度)'!$B$8:$U$65536,17,FALSE))</f>
      </c>
      <c r="U15" s="767">
        <f>IF($B15="","",VLOOKUP($B15,'2-2_算定表①(旧々・旧制度)'!$B$8:$U$65536,17,FALSE))</f>
      </c>
      <c r="V15" s="527">
        <f>IF($B15="","",VLOOKUP($B15,'2-2_算定表①(旧々・旧制度)'!$B$8:$U$65536,17,FALSE))</f>
      </c>
      <c r="W15" s="89">
        <f t="shared" si="0"/>
      </c>
      <c r="X15" s="86">
        <f t="shared" si="1"/>
      </c>
      <c r="Y15" s="83">
        <f t="shared" si="2"/>
      </c>
      <c r="Z15" s="95">
        <f t="shared" si="3"/>
      </c>
      <c r="AA15" s="92">
        <f t="shared" si="4"/>
      </c>
      <c r="AB15" s="89">
        <f t="shared" si="5"/>
      </c>
      <c r="AC15" s="60">
        <f>IF(B15="","",ROUNDUP((G15/VLOOKUP($B15,'2-2_算定表①(旧々・旧制度)'!$B$8:$AJ$44,9,FALSE)*W15)+(I15/VLOOKUP($B15,'2-2_算定表①(旧々・旧制度)'!$B$8:$AJ$44,9,FALSE)*X15)+(G15/VLOOKUP($B15,'2-2_算定表①(旧々・旧制度)'!$B$8:$AJ$44,9,FALSE)*Y15)+(I15/VLOOKUP($B15,'2-2_算定表①(旧々・旧制度)'!$B$8:$AJ$44,9,FALSE)*Z15),0))</f>
      </c>
      <c r="AD15" s="530">
        <f t="shared" si="6"/>
      </c>
      <c r="AE15" s="1016">
        <f>IF(B15="","",VLOOKUP($B15,'2-2_算定表①(旧々・旧制度)'!$B$8:$AH$65536,33,FALSE))</f>
      </c>
      <c r="AF15" s="1017" t="s">
        <v>182</v>
      </c>
      <c r="AG15" s="1018" t="s">
        <v>182</v>
      </c>
      <c r="AI15" s="61">
        <f t="shared" si="9"/>
      </c>
      <c r="AJ15" s="61">
        <f t="shared" si="7"/>
      </c>
    </row>
    <row r="16" spans="1:36" s="53" customFormat="1" ht="18.75" customHeight="1">
      <c r="A16" s="27">
        <f t="shared" si="8"/>
      </c>
      <c r="B16" s="577"/>
      <c r="C16" s="290">
        <f>IF($B16="","",VLOOKUP($B16,'2-2_算定表①(旧々・旧制度)'!$B$8:$U$65536,2,FALSE))</f>
      </c>
      <c r="D16" s="81">
        <f>IF($B16="","",VLOOKUP($B16,'2-2_算定表①(旧々・旧制度)'!$B$8:$U$65536,3,FALSE))</f>
      </c>
      <c r="E16" s="81">
        <f>IF($B16="","",VLOOKUP($B16,'2-2_算定表①(旧々・旧制度)'!$B$8:$U$65536,6,FALSE))</f>
      </c>
      <c r="F16" s="580">
        <f>IF(B16="","",VLOOKUP($B16,'2-2_算定表①(旧々・旧制度)'!$B$8:$U$65536,14,FALSE))</f>
      </c>
      <c r="G16" s="583">
        <f>IF(B16="","",VLOOKUP($B16,'2-2_算定表①(旧々・旧制度)'!$B$8:$U$65536,16,FALSE))</f>
      </c>
      <c r="H16" s="580">
        <f>IF(B16="","",VLOOKUP($B16,'2-2_算定表①(旧々・旧制度)'!$B$8:$U$65536,17,FALSE))</f>
      </c>
      <c r="I16" s="583">
        <f>IF(B16="","",VLOOKUP($B16,'2-2_算定表①(旧々・旧制度)'!$B$8:$U$65536,19,FALSE))</f>
      </c>
      <c r="J16" s="60">
        <f>IF(B16="","",VLOOKUP($B16,'2-2_算定表①(旧々・旧制度)'!$B$8:$U$65536,20,FALSE))</f>
      </c>
      <c r="K16" s="571">
        <f>IF($B16="","",VLOOKUP($B16,'2-2_算定表①(旧々・旧制度)'!$B$8:$U$65536,14,FALSE))</f>
      </c>
      <c r="L16" s="524">
        <f>IF($B16="","",VLOOKUP($B16,'2-2_算定表①(旧々・旧制度)'!$B$8:$U$65536,14,FALSE))</f>
      </c>
      <c r="M16" s="307">
        <f>IF($B16="","",VLOOKUP($B16,'2-2_算定表①(旧々・旧制度)'!$B$8:$U$65536,14,FALSE))</f>
      </c>
      <c r="N16" s="526">
        <f>IF($B16="","",VLOOKUP($B16,'2-2_算定表①(旧々・旧制度)'!$B$8:$U$65536,17,FALSE))</f>
      </c>
      <c r="O16" s="82">
        <f>IF($B16="","",VLOOKUP($B16,'2-2_算定表①(旧々・旧制度)'!$B$8:$U$65536,17,FALSE))</f>
      </c>
      <c r="P16" s="82">
        <f>IF($B16="","",VLOOKUP($B16,'2-2_算定表①(旧々・旧制度)'!$B$8:$U$65536,17,FALSE))</f>
      </c>
      <c r="Q16" s="82">
        <f>IF($B16="","",VLOOKUP($B16,'2-2_算定表①(旧々・旧制度)'!$B$8:$U$65536,17,FALSE))</f>
      </c>
      <c r="R16" s="82">
        <f>IF($B16="","",VLOOKUP($B16,'2-2_算定表①(旧々・旧制度)'!$B$8:$U$65536,17,FALSE))</f>
      </c>
      <c r="S16" s="82">
        <f>IF($B16="","",VLOOKUP($B16,'2-2_算定表①(旧々・旧制度)'!$B$8:$U$65536,17,FALSE))</f>
      </c>
      <c r="T16" s="82">
        <f>IF($B16="","",VLOOKUP($B16,'2-2_算定表①(旧々・旧制度)'!$B$8:$U$65536,17,FALSE))</f>
      </c>
      <c r="U16" s="82">
        <f>IF($B16="","",VLOOKUP($B16,'2-2_算定表①(旧々・旧制度)'!$B$8:$U$65536,17,FALSE))</f>
      </c>
      <c r="V16" s="527">
        <f>IF($B16="","",VLOOKUP($B16,'2-2_算定表①(旧々・旧制度)'!$B$8:$U$65536,17,FALSE))</f>
      </c>
      <c r="W16" s="89">
        <f t="shared" si="0"/>
      </c>
      <c r="X16" s="86">
        <f t="shared" si="1"/>
      </c>
      <c r="Y16" s="83">
        <f t="shared" si="2"/>
      </c>
      <c r="Z16" s="95">
        <f t="shared" si="3"/>
      </c>
      <c r="AA16" s="92">
        <f t="shared" si="4"/>
      </c>
      <c r="AB16" s="89">
        <f t="shared" si="5"/>
      </c>
      <c r="AC16" s="60">
        <f>IF(B16="","",ROUNDUP((G16/VLOOKUP($B16,'2-2_算定表①(旧々・旧制度)'!$B$8:$AJ$44,9,FALSE)*W16)+(I16/VLOOKUP($B16,'2-2_算定表①(旧々・旧制度)'!$B$8:$AJ$44,9,FALSE)*X16)+(G16/VLOOKUP($B16,'2-2_算定表①(旧々・旧制度)'!$B$8:$AJ$44,9,FALSE)*Y16)+(I16/VLOOKUP($B16,'2-2_算定表①(旧々・旧制度)'!$B$8:$AJ$44,9,FALSE)*Z16),0))</f>
      </c>
      <c r="AD16" s="530">
        <f t="shared" si="6"/>
      </c>
      <c r="AE16" s="1016">
        <f>IF(B16="","",VLOOKUP($B16,'2-2_算定表①(旧々・旧制度)'!$B$8:$AH$65536,33,FALSE))</f>
      </c>
      <c r="AF16" s="1017" t="s">
        <v>182</v>
      </c>
      <c r="AG16" s="1018" t="s">
        <v>182</v>
      </c>
      <c r="AI16" s="61">
        <f t="shared" si="9"/>
      </c>
      <c r="AJ16" s="61">
        <f t="shared" si="7"/>
      </c>
    </row>
    <row r="17" spans="1:36" s="53" customFormat="1" ht="18.75" customHeight="1">
      <c r="A17" s="27">
        <f t="shared" si="8"/>
      </c>
      <c r="B17" s="577"/>
      <c r="C17" s="290">
        <f>IF($B17="","",VLOOKUP($B17,'2-2_算定表①(旧々・旧制度)'!$B$8:$U$65536,2,FALSE))</f>
      </c>
      <c r="D17" s="81">
        <f>IF($B17="","",VLOOKUP($B17,'2-2_算定表①(旧々・旧制度)'!$B$8:$U$65536,3,FALSE))</f>
      </c>
      <c r="E17" s="81">
        <f>IF($B17="","",VLOOKUP($B17,'2-2_算定表①(旧々・旧制度)'!$B$8:$U$65536,6,FALSE))</f>
      </c>
      <c r="F17" s="580">
        <f>IF(B17="","",VLOOKUP($B17,'2-2_算定表①(旧々・旧制度)'!$B$8:$U$65536,14,FALSE))</f>
      </c>
      <c r="G17" s="583">
        <f>IF(B17="","",VLOOKUP($B17,'2-2_算定表①(旧々・旧制度)'!$B$8:$U$65536,16,FALSE))</f>
      </c>
      <c r="H17" s="580">
        <f>IF(B17="","",VLOOKUP($B17,'2-2_算定表①(旧々・旧制度)'!$B$8:$U$65536,17,FALSE))</f>
      </c>
      <c r="I17" s="583">
        <f>IF(B17="","",VLOOKUP($B17,'2-2_算定表①(旧々・旧制度)'!$B$8:$U$65536,19,FALSE))</f>
      </c>
      <c r="J17" s="60">
        <f>IF(B17="","",VLOOKUP($B17,'2-2_算定表①(旧々・旧制度)'!$B$8:$U$65536,20,FALSE))</f>
      </c>
      <c r="K17" s="571">
        <f>IF($B17="","",VLOOKUP($B17,'2-2_算定表①(旧々・旧制度)'!$B$8:$U$65536,14,FALSE))</f>
      </c>
      <c r="L17" s="524">
        <f>IF($B17="","",VLOOKUP($B17,'2-2_算定表①(旧々・旧制度)'!$B$8:$U$65536,14,FALSE))</f>
      </c>
      <c r="M17" s="307">
        <f>IF($B17="","",VLOOKUP($B17,'2-2_算定表①(旧々・旧制度)'!$B$8:$U$65536,14,FALSE))</f>
      </c>
      <c r="N17" s="526">
        <f>IF($B17="","",VLOOKUP($B17,'2-2_算定表①(旧々・旧制度)'!$B$8:$U$65536,17,FALSE))</f>
      </c>
      <c r="O17" s="82">
        <f>IF($B17="","",VLOOKUP($B17,'2-2_算定表①(旧々・旧制度)'!$B$8:$U$65536,17,FALSE))</f>
      </c>
      <c r="P17" s="82">
        <f>IF($B17="","",VLOOKUP($B17,'2-2_算定表①(旧々・旧制度)'!$B$8:$U$65536,17,FALSE))</f>
      </c>
      <c r="Q17" s="82">
        <f>IF($B17="","",VLOOKUP($B17,'2-2_算定表①(旧々・旧制度)'!$B$8:$U$65536,17,FALSE))</f>
      </c>
      <c r="R17" s="82">
        <f>IF($B17="","",VLOOKUP($B17,'2-2_算定表①(旧々・旧制度)'!$B$8:$U$65536,17,FALSE))</f>
      </c>
      <c r="S17" s="82">
        <f>IF($B17="","",VLOOKUP($B17,'2-2_算定表①(旧々・旧制度)'!$B$8:$U$65536,17,FALSE))</f>
      </c>
      <c r="T17" s="82">
        <f>IF($B17="","",VLOOKUP($B17,'2-2_算定表①(旧々・旧制度)'!$B$8:$U$65536,17,FALSE))</f>
      </c>
      <c r="U17" s="82">
        <f>IF($B17="","",VLOOKUP($B17,'2-2_算定表①(旧々・旧制度)'!$B$8:$U$65536,17,FALSE))</f>
      </c>
      <c r="V17" s="527">
        <f>IF($B17="","",VLOOKUP($B17,'2-2_算定表①(旧々・旧制度)'!$B$8:$U$65536,17,FALSE))</f>
      </c>
      <c r="W17" s="89">
        <f t="shared" si="0"/>
      </c>
      <c r="X17" s="86">
        <f t="shared" si="1"/>
      </c>
      <c r="Y17" s="83">
        <f t="shared" si="2"/>
      </c>
      <c r="Z17" s="95">
        <f t="shared" si="3"/>
      </c>
      <c r="AA17" s="92">
        <f t="shared" si="4"/>
      </c>
      <c r="AB17" s="89">
        <f t="shared" si="5"/>
      </c>
      <c r="AC17" s="60">
        <f>IF(B17="","",ROUNDUP((G17/VLOOKUP($B17,'2-2_算定表①(旧々・旧制度)'!$B$8:$AJ$44,9,FALSE)*W17)+(I17/VLOOKUP($B17,'2-2_算定表①(旧々・旧制度)'!$B$8:$AJ$44,9,FALSE)*X17)+(G17/VLOOKUP($B17,'2-2_算定表①(旧々・旧制度)'!$B$8:$AJ$44,9,FALSE)*Y17)+(I17/VLOOKUP($B17,'2-2_算定表①(旧々・旧制度)'!$B$8:$AJ$44,9,FALSE)*Z17),0))</f>
      </c>
      <c r="AD17" s="530">
        <f t="shared" si="6"/>
      </c>
      <c r="AE17" s="1016">
        <f>IF(B17="","",VLOOKUP($B17,'2-2_算定表①(旧々・旧制度)'!$B$8:$AH$65536,33,FALSE))</f>
      </c>
      <c r="AF17" s="1017" t="s">
        <v>182</v>
      </c>
      <c r="AG17" s="1018" t="s">
        <v>182</v>
      </c>
      <c r="AI17" s="61">
        <f t="shared" si="9"/>
      </c>
      <c r="AJ17" s="61">
        <f t="shared" si="7"/>
      </c>
    </row>
    <row r="18" spans="1:36" s="53" customFormat="1" ht="18.75" customHeight="1">
      <c r="A18" s="27">
        <f t="shared" si="8"/>
      </c>
      <c r="B18" s="577"/>
      <c r="C18" s="290">
        <f>IF($B18="","",VLOOKUP($B18,'2-2_算定表①(旧々・旧制度)'!$B$8:$U$65536,2,FALSE))</f>
      </c>
      <c r="D18" s="81">
        <f>IF($B18="","",VLOOKUP($B18,'2-2_算定表①(旧々・旧制度)'!$B$8:$U$65536,3,FALSE))</f>
      </c>
      <c r="E18" s="81">
        <f>IF($B18="","",VLOOKUP($B18,'2-2_算定表①(旧々・旧制度)'!$B$8:$U$65536,6,FALSE))</f>
      </c>
      <c r="F18" s="580">
        <f>IF(B18="","",VLOOKUP($B18,'2-2_算定表①(旧々・旧制度)'!$B$8:$U$65536,14,FALSE))</f>
      </c>
      <c r="G18" s="583">
        <f>IF(B18="","",VLOOKUP($B18,'2-2_算定表①(旧々・旧制度)'!$B$8:$U$65536,16,FALSE))</f>
      </c>
      <c r="H18" s="580">
        <f>IF(B18="","",VLOOKUP($B18,'2-2_算定表①(旧々・旧制度)'!$B$8:$U$65536,17,FALSE))</f>
      </c>
      <c r="I18" s="583">
        <f>IF(B18="","",VLOOKUP($B18,'2-2_算定表①(旧々・旧制度)'!$B$8:$U$65536,19,FALSE))</f>
      </c>
      <c r="J18" s="60">
        <f>IF(B18="","",VLOOKUP($B18,'2-2_算定表①(旧々・旧制度)'!$B$8:$U$65536,20,FALSE))</f>
      </c>
      <c r="K18" s="571">
        <f>IF($B18="","",VLOOKUP($B18,'2-2_算定表①(旧々・旧制度)'!$B$8:$U$65536,14,FALSE))</f>
      </c>
      <c r="L18" s="524">
        <f>IF($B18="","",VLOOKUP($B18,'2-2_算定表①(旧々・旧制度)'!$B$8:$U$65536,14,FALSE))</f>
      </c>
      <c r="M18" s="307">
        <f>IF($B18="","",VLOOKUP($B18,'2-2_算定表①(旧々・旧制度)'!$B$8:$U$65536,14,FALSE))</f>
      </c>
      <c r="N18" s="526">
        <f>IF($B18="","",VLOOKUP($B18,'2-2_算定表①(旧々・旧制度)'!$B$8:$U$65536,17,FALSE))</f>
      </c>
      <c r="O18" s="82">
        <f>IF($B18="","",VLOOKUP($B18,'2-2_算定表①(旧々・旧制度)'!$B$8:$U$65536,17,FALSE))</f>
      </c>
      <c r="P18" s="82">
        <f>IF($B18="","",VLOOKUP($B18,'2-2_算定表①(旧々・旧制度)'!$B$8:$U$65536,17,FALSE))</f>
      </c>
      <c r="Q18" s="82">
        <f>IF($B18="","",VLOOKUP($B18,'2-2_算定表①(旧々・旧制度)'!$B$8:$U$65536,17,FALSE))</f>
      </c>
      <c r="R18" s="82">
        <f>IF($B18="","",VLOOKUP($B18,'2-2_算定表①(旧々・旧制度)'!$B$8:$U$65536,17,FALSE))</f>
      </c>
      <c r="S18" s="82">
        <f>IF($B18="","",VLOOKUP($B18,'2-2_算定表①(旧々・旧制度)'!$B$8:$U$65536,17,FALSE))</f>
      </c>
      <c r="T18" s="82">
        <f>IF($B18="","",VLOOKUP($B18,'2-2_算定表①(旧々・旧制度)'!$B$8:$U$65536,17,FALSE))</f>
      </c>
      <c r="U18" s="82">
        <f>IF($B18="","",VLOOKUP($B18,'2-2_算定表①(旧々・旧制度)'!$B$8:$U$65536,17,FALSE))</f>
      </c>
      <c r="V18" s="527">
        <f>IF($B18="","",VLOOKUP($B18,'2-2_算定表①(旧々・旧制度)'!$B$8:$U$65536,17,FALSE))</f>
      </c>
      <c r="W18" s="89">
        <f t="shared" si="0"/>
      </c>
      <c r="X18" s="86">
        <f t="shared" si="1"/>
      </c>
      <c r="Y18" s="83">
        <f t="shared" si="2"/>
      </c>
      <c r="Z18" s="95">
        <f t="shared" si="3"/>
      </c>
      <c r="AA18" s="92">
        <f t="shared" si="4"/>
      </c>
      <c r="AB18" s="89">
        <f t="shared" si="5"/>
      </c>
      <c r="AC18" s="60">
        <f>IF(B18="","",ROUNDUP((G18/VLOOKUP($B18,'2-2_算定表①(旧々・旧制度)'!$B$8:$AJ$44,9,FALSE)*W18)+(I18/VLOOKUP($B18,'2-2_算定表①(旧々・旧制度)'!$B$8:$AJ$44,9,FALSE)*X18)+(G18/VLOOKUP($B18,'2-2_算定表①(旧々・旧制度)'!$B$8:$AJ$44,9,FALSE)*Y18)+(I18/VLOOKUP($B18,'2-2_算定表①(旧々・旧制度)'!$B$8:$AJ$44,9,FALSE)*Z18),0))</f>
      </c>
      <c r="AD18" s="530">
        <f t="shared" si="6"/>
      </c>
      <c r="AE18" s="1016">
        <f>IF(B18="","",VLOOKUP($B18,'2-2_算定表①(旧々・旧制度)'!$B$8:$AH$65536,33,FALSE))</f>
      </c>
      <c r="AF18" s="1017" t="s">
        <v>182</v>
      </c>
      <c r="AG18" s="1018" t="s">
        <v>182</v>
      </c>
      <c r="AI18" s="61">
        <f t="shared" si="9"/>
      </c>
      <c r="AJ18" s="61">
        <f t="shared" si="7"/>
      </c>
    </row>
    <row r="19" spans="1:36" s="53" customFormat="1" ht="18.75" customHeight="1">
      <c r="A19" s="27">
        <f t="shared" si="8"/>
      </c>
      <c r="B19" s="577"/>
      <c r="C19" s="290">
        <f>IF($B19="","",VLOOKUP($B19,'2-2_算定表①(旧々・旧制度)'!$B$8:$U$65536,2,FALSE))</f>
      </c>
      <c r="D19" s="81">
        <f>IF($B19="","",VLOOKUP($B19,'2-2_算定表①(旧々・旧制度)'!$B$8:$U$65536,3,FALSE))</f>
      </c>
      <c r="E19" s="81">
        <f>IF($B19="","",VLOOKUP($B19,'2-2_算定表①(旧々・旧制度)'!$B$8:$U$65536,6,FALSE))</f>
      </c>
      <c r="F19" s="580">
        <f>IF(B19="","",VLOOKUP($B19,'2-2_算定表①(旧々・旧制度)'!$B$8:$U$65536,14,FALSE))</f>
      </c>
      <c r="G19" s="583">
        <f>IF(B19="","",VLOOKUP($B19,'2-2_算定表①(旧々・旧制度)'!$B$8:$U$65536,16,FALSE))</f>
      </c>
      <c r="H19" s="580">
        <f>IF(B19="","",VLOOKUP($B19,'2-2_算定表①(旧々・旧制度)'!$B$8:$U$65536,17,FALSE))</f>
      </c>
      <c r="I19" s="583">
        <f>IF(B19="","",VLOOKUP($B19,'2-2_算定表①(旧々・旧制度)'!$B$8:$U$65536,19,FALSE))</f>
      </c>
      <c r="J19" s="60">
        <f>IF(B19="","",VLOOKUP($B19,'2-2_算定表①(旧々・旧制度)'!$B$8:$U$65536,20,FALSE))</f>
      </c>
      <c r="K19" s="571">
        <f>IF($B19="","",VLOOKUP($B19,'2-2_算定表①(旧々・旧制度)'!$B$8:$U$65536,14,FALSE))</f>
      </c>
      <c r="L19" s="524">
        <f>IF($B19="","",VLOOKUP($B19,'2-2_算定表①(旧々・旧制度)'!$B$8:$U$65536,14,FALSE))</f>
      </c>
      <c r="M19" s="307">
        <f>IF($B19="","",VLOOKUP($B19,'2-2_算定表①(旧々・旧制度)'!$B$8:$U$65536,14,FALSE))</f>
      </c>
      <c r="N19" s="526">
        <f>IF($B19="","",VLOOKUP($B19,'2-2_算定表①(旧々・旧制度)'!$B$8:$U$65536,17,FALSE))</f>
      </c>
      <c r="O19" s="82">
        <f>IF($B19="","",VLOOKUP($B19,'2-2_算定表①(旧々・旧制度)'!$B$8:$U$65536,17,FALSE))</f>
      </c>
      <c r="P19" s="82">
        <f>IF($B19="","",VLOOKUP($B19,'2-2_算定表①(旧々・旧制度)'!$B$8:$U$65536,17,FALSE))</f>
      </c>
      <c r="Q19" s="82">
        <f>IF($B19="","",VLOOKUP($B19,'2-2_算定表①(旧々・旧制度)'!$B$8:$U$65536,17,FALSE))</f>
      </c>
      <c r="R19" s="82">
        <f>IF($B19="","",VLOOKUP($B19,'2-2_算定表①(旧々・旧制度)'!$B$8:$U$65536,17,FALSE))</f>
      </c>
      <c r="S19" s="82">
        <f>IF($B19="","",VLOOKUP($B19,'2-2_算定表①(旧々・旧制度)'!$B$8:$U$65536,17,FALSE))</f>
      </c>
      <c r="T19" s="82">
        <f>IF($B19="","",VLOOKUP($B19,'2-2_算定表①(旧々・旧制度)'!$B$8:$U$65536,17,FALSE))</f>
      </c>
      <c r="U19" s="82">
        <f>IF($B19="","",VLOOKUP($B19,'2-2_算定表①(旧々・旧制度)'!$B$8:$U$65536,17,FALSE))</f>
      </c>
      <c r="V19" s="527">
        <f>IF($B19="","",VLOOKUP($B19,'2-2_算定表①(旧々・旧制度)'!$B$8:$U$65536,17,FALSE))</f>
      </c>
      <c r="W19" s="89">
        <f t="shared" si="0"/>
      </c>
      <c r="X19" s="86">
        <f t="shared" si="1"/>
      </c>
      <c r="Y19" s="83">
        <f t="shared" si="2"/>
      </c>
      <c r="Z19" s="95">
        <f t="shared" si="3"/>
      </c>
      <c r="AA19" s="92">
        <f t="shared" si="4"/>
      </c>
      <c r="AB19" s="89">
        <f t="shared" si="5"/>
      </c>
      <c r="AC19" s="60">
        <f>IF(B19="","",ROUNDUP((G19/VLOOKUP($B19,'2-2_算定表①(旧々・旧制度)'!$B$8:$AJ$44,9,FALSE)*W19)+(I19/VLOOKUP($B19,'2-2_算定表①(旧々・旧制度)'!$B$8:$AJ$44,9,FALSE)*X19)+(G19/VLOOKUP($B19,'2-2_算定表①(旧々・旧制度)'!$B$8:$AJ$44,9,FALSE)*Y19)+(I19/VLOOKUP($B19,'2-2_算定表①(旧々・旧制度)'!$B$8:$AJ$44,9,FALSE)*Z19),0))</f>
      </c>
      <c r="AD19" s="530">
        <f t="shared" si="6"/>
      </c>
      <c r="AE19" s="1016">
        <f>IF(B19="","",VLOOKUP($B19,'2-2_算定表①(旧々・旧制度)'!$B$8:$AH$65536,33,FALSE))</f>
      </c>
      <c r="AF19" s="1017" t="s">
        <v>182</v>
      </c>
      <c r="AG19" s="1018" t="s">
        <v>182</v>
      </c>
      <c r="AI19" s="61">
        <f t="shared" si="9"/>
      </c>
      <c r="AJ19" s="61">
        <f t="shared" si="7"/>
      </c>
    </row>
    <row r="20" spans="1:36" s="53" customFormat="1" ht="18.75" customHeight="1">
      <c r="A20" s="27">
        <f t="shared" si="8"/>
      </c>
      <c r="B20" s="577"/>
      <c r="C20" s="290">
        <f>IF($B20="","",VLOOKUP($B20,'2-2_算定表①(旧々・旧制度)'!$B$8:$U$65536,2,FALSE))</f>
      </c>
      <c r="D20" s="81">
        <f>IF($B20="","",VLOOKUP($B20,'2-2_算定表①(旧々・旧制度)'!$B$8:$U$65536,3,FALSE))</f>
      </c>
      <c r="E20" s="81">
        <f>IF($B20="","",VLOOKUP($B20,'2-2_算定表①(旧々・旧制度)'!$B$8:$U$65536,6,FALSE))</f>
      </c>
      <c r="F20" s="580">
        <f>IF(B20="","",VLOOKUP($B20,'2-2_算定表①(旧々・旧制度)'!$B$8:$U$65536,14,FALSE))</f>
      </c>
      <c r="G20" s="583">
        <f>IF(B20="","",VLOOKUP($B20,'2-2_算定表①(旧々・旧制度)'!$B$8:$U$65536,16,FALSE))</f>
      </c>
      <c r="H20" s="580">
        <f>IF(B20="","",VLOOKUP($B20,'2-2_算定表①(旧々・旧制度)'!$B$8:$U$65536,17,FALSE))</f>
      </c>
      <c r="I20" s="583">
        <f>IF(B20="","",VLOOKUP($B20,'2-2_算定表①(旧々・旧制度)'!$B$8:$U$65536,19,FALSE))</f>
      </c>
      <c r="J20" s="60">
        <f>IF(B20="","",VLOOKUP($B20,'2-2_算定表①(旧々・旧制度)'!$B$8:$U$65536,20,FALSE))</f>
      </c>
      <c r="K20" s="571">
        <f>IF($B20="","",VLOOKUP($B20,'2-2_算定表①(旧々・旧制度)'!$B$8:$U$65536,14,FALSE))</f>
      </c>
      <c r="L20" s="524">
        <f>IF($B20="","",VLOOKUP($B20,'2-2_算定表①(旧々・旧制度)'!$B$8:$U$65536,14,FALSE))</f>
      </c>
      <c r="M20" s="307">
        <f>IF($B20="","",VLOOKUP($B20,'2-2_算定表①(旧々・旧制度)'!$B$8:$U$65536,14,FALSE))</f>
      </c>
      <c r="N20" s="526">
        <f>IF($B20="","",VLOOKUP($B20,'2-2_算定表①(旧々・旧制度)'!$B$8:$U$65536,17,FALSE))</f>
      </c>
      <c r="O20" s="82">
        <f>IF($B20="","",VLOOKUP($B20,'2-2_算定表①(旧々・旧制度)'!$B$8:$U$65536,17,FALSE))</f>
      </c>
      <c r="P20" s="82">
        <f>IF($B20="","",VLOOKUP($B20,'2-2_算定表①(旧々・旧制度)'!$B$8:$U$65536,17,FALSE))</f>
      </c>
      <c r="Q20" s="82">
        <f>IF($B20="","",VLOOKUP($B20,'2-2_算定表①(旧々・旧制度)'!$B$8:$U$65536,17,FALSE))</f>
      </c>
      <c r="R20" s="82">
        <f>IF($B20="","",VLOOKUP($B20,'2-2_算定表①(旧々・旧制度)'!$B$8:$U$65536,17,FALSE))</f>
      </c>
      <c r="S20" s="82">
        <f>IF($B20="","",VLOOKUP($B20,'2-2_算定表①(旧々・旧制度)'!$B$8:$U$65536,17,FALSE))</f>
      </c>
      <c r="T20" s="82">
        <f>IF($B20="","",VLOOKUP($B20,'2-2_算定表①(旧々・旧制度)'!$B$8:$U$65536,17,FALSE))</f>
      </c>
      <c r="U20" s="82">
        <f>IF($B20="","",VLOOKUP($B20,'2-2_算定表①(旧々・旧制度)'!$B$8:$U$65536,17,FALSE))</f>
      </c>
      <c r="V20" s="527">
        <f>IF($B20="","",VLOOKUP($B20,'2-2_算定表①(旧々・旧制度)'!$B$8:$U$65536,17,FALSE))</f>
      </c>
      <c r="W20" s="89">
        <f t="shared" si="0"/>
      </c>
      <c r="X20" s="86">
        <f t="shared" si="1"/>
      </c>
      <c r="Y20" s="83">
        <f t="shared" si="2"/>
      </c>
      <c r="Z20" s="95">
        <f t="shared" si="3"/>
      </c>
      <c r="AA20" s="92">
        <f t="shared" si="4"/>
      </c>
      <c r="AB20" s="89">
        <f t="shared" si="5"/>
      </c>
      <c r="AC20" s="60">
        <f>IF(B20="","",ROUNDUP((G20/VLOOKUP($B20,'2-2_算定表①(旧々・旧制度)'!$B$8:$AJ$44,9,FALSE)*W20)+(I20/VLOOKUP($B20,'2-2_算定表①(旧々・旧制度)'!$B$8:$AJ$44,9,FALSE)*X20)+(G20/VLOOKUP($B20,'2-2_算定表①(旧々・旧制度)'!$B$8:$AJ$44,9,FALSE)*Y20)+(I20/VLOOKUP($B20,'2-2_算定表①(旧々・旧制度)'!$B$8:$AJ$44,9,FALSE)*Z20),0))</f>
      </c>
      <c r="AD20" s="530">
        <f t="shared" si="6"/>
      </c>
      <c r="AE20" s="1016">
        <f>IF(B20="","",VLOOKUP($B20,'2-2_算定表①(旧々・旧制度)'!$B$8:$AH$65536,33,FALSE))</f>
      </c>
      <c r="AF20" s="1017" t="s">
        <v>182</v>
      </c>
      <c r="AG20" s="1018" t="s">
        <v>182</v>
      </c>
      <c r="AI20" s="61">
        <f t="shared" si="9"/>
      </c>
      <c r="AJ20" s="61">
        <f t="shared" si="7"/>
      </c>
    </row>
    <row r="21" spans="1:36" s="53" customFormat="1" ht="18.75" customHeight="1">
      <c r="A21" s="27">
        <f t="shared" si="8"/>
      </c>
      <c r="B21" s="577"/>
      <c r="C21" s="290">
        <f>IF($B21="","",VLOOKUP($B21,'2-2_算定表①(旧々・旧制度)'!$B$8:$U$65536,2,FALSE))</f>
      </c>
      <c r="D21" s="81">
        <f>IF($B21="","",VLOOKUP($B21,'2-2_算定表①(旧々・旧制度)'!$B$8:$U$65536,3,FALSE))</f>
      </c>
      <c r="E21" s="81">
        <f>IF($B21="","",VLOOKUP($B21,'2-2_算定表①(旧々・旧制度)'!$B$8:$U$65536,6,FALSE))</f>
      </c>
      <c r="F21" s="580">
        <f>IF(B21="","",VLOOKUP($B21,'2-2_算定表①(旧々・旧制度)'!$B$8:$U$65536,14,FALSE))</f>
      </c>
      <c r="G21" s="583">
        <f>IF(B21="","",VLOOKUP($B21,'2-2_算定表①(旧々・旧制度)'!$B$8:$U$65536,16,FALSE))</f>
      </c>
      <c r="H21" s="580">
        <f>IF(B21="","",VLOOKUP($B21,'2-2_算定表①(旧々・旧制度)'!$B$8:$U$65536,17,FALSE))</f>
      </c>
      <c r="I21" s="583">
        <f>IF(B21="","",VLOOKUP($B21,'2-2_算定表①(旧々・旧制度)'!$B$8:$U$65536,19,FALSE))</f>
      </c>
      <c r="J21" s="60">
        <f>IF(B21="","",VLOOKUP($B21,'2-2_算定表①(旧々・旧制度)'!$B$8:$U$65536,20,FALSE))</f>
      </c>
      <c r="K21" s="571">
        <f>IF($B21="","",VLOOKUP($B21,'2-2_算定表①(旧々・旧制度)'!$B$8:$U$65536,14,FALSE))</f>
      </c>
      <c r="L21" s="524">
        <f>IF($B21="","",VLOOKUP($B21,'2-2_算定表①(旧々・旧制度)'!$B$8:$U$65536,14,FALSE))</f>
      </c>
      <c r="M21" s="307">
        <f>IF($B21="","",VLOOKUP($B21,'2-2_算定表①(旧々・旧制度)'!$B$8:$U$65536,14,FALSE))</f>
      </c>
      <c r="N21" s="526">
        <f>IF($B21="","",VLOOKUP($B21,'2-2_算定表①(旧々・旧制度)'!$B$8:$U$65536,17,FALSE))</f>
      </c>
      <c r="O21" s="82">
        <f>IF($B21="","",VLOOKUP($B21,'2-2_算定表①(旧々・旧制度)'!$B$8:$U$65536,17,FALSE))</f>
      </c>
      <c r="P21" s="82">
        <f>IF($B21="","",VLOOKUP($B21,'2-2_算定表①(旧々・旧制度)'!$B$8:$U$65536,17,FALSE))</f>
      </c>
      <c r="Q21" s="82">
        <f>IF($B21="","",VLOOKUP($B21,'2-2_算定表①(旧々・旧制度)'!$B$8:$U$65536,17,FALSE))</f>
      </c>
      <c r="R21" s="82">
        <f>IF($B21="","",VLOOKUP($B21,'2-2_算定表①(旧々・旧制度)'!$B$8:$U$65536,17,FALSE))</f>
      </c>
      <c r="S21" s="82">
        <f>IF($B21="","",VLOOKUP($B21,'2-2_算定表①(旧々・旧制度)'!$B$8:$U$65536,17,FALSE))</f>
      </c>
      <c r="T21" s="82">
        <f>IF($B21="","",VLOOKUP($B21,'2-2_算定表①(旧々・旧制度)'!$B$8:$U$65536,17,FALSE))</f>
      </c>
      <c r="U21" s="82">
        <f>IF($B21="","",VLOOKUP($B21,'2-2_算定表①(旧々・旧制度)'!$B$8:$U$65536,17,FALSE))</f>
      </c>
      <c r="V21" s="527">
        <f>IF($B21="","",VLOOKUP($B21,'2-2_算定表①(旧々・旧制度)'!$B$8:$U$65536,17,FALSE))</f>
      </c>
      <c r="W21" s="89">
        <f t="shared" si="0"/>
      </c>
      <c r="X21" s="86">
        <f t="shared" si="1"/>
      </c>
      <c r="Y21" s="83">
        <f t="shared" si="2"/>
      </c>
      <c r="Z21" s="95">
        <f t="shared" si="3"/>
      </c>
      <c r="AA21" s="92">
        <f t="shared" si="4"/>
      </c>
      <c r="AB21" s="89">
        <f t="shared" si="5"/>
      </c>
      <c r="AC21" s="60">
        <f>IF(B21="","",ROUNDUP((G21/VLOOKUP($B21,'2-2_算定表①(旧々・旧制度)'!$B$8:$AJ$44,9,FALSE)*W21)+(I21/VLOOKUP($B21,'2-2_算定表①(旧々・旧制度)'!$B$8:$AJ$44,9,FALSE)*X21)+(G21/VLOOKUP($B21,'2-2_算定表①(旧々・旧制度)'!$B$8:$AJ$44,9,FALSE)*Y21)+(I21/VLOOKUP($B21,'2-2_算定表①(旧々・旧制度)'!$B$8:$AJ$44,9,FALSE)*Z21),0))</f>
      </c>
      <c r="AD21" s="530">
        <f t="shared" si="6"/>
      </c>
      <c r="AE21" s="1016">
        <f>IF(B21="","",VLOOKUP($B21,'2-2_算定表①(旧々・旧制度)'!$B$8:$AH$65536,33,FALSE))</f>
      </c>
      <c r="AF21" s="1017" t="s">
        <v>182</v>
      </c>
      <c r="AG21" s="1018" t="s">
        <v>182</v>
      </c>
      <c r="AI21" s="61">
        <f t="shared" si="9"/>
      </c>
      <c r="AJ21" s="61">
        <f t="shared" si="7"/>
      </c>
    </row>
    <row r="22" spans="1:36" s="53" customFormat="1" ht="18.75" customHeight="1">
      <c r="A22" s="27">
        <f t="shared" si="8"/>
      </c>
      <c r="B22" s="577"/>
      <c r="C22" s="290">
        <f>IF($B22="","",VLOOKUP($B22,'2-2_算定表①(旧々・旧制度)'!$B$8:$U$65536,2,FALSE))</f>
      </c>
      <c r="D22" s="81">
        <f>IF($B22="","",VLOOKUP($B22,'2-2_算定表①(旧々・旧制度)'!$B$8:$U$65536,3,FALSE))</f>
      </c>
      <c r="E22" s="81">
        <f>IF($B22="","",VLOOKUP($B22,'2-2_算定表①(旧々・旧制度)'!$B$8:$U$65536,6,FALSE))</f>
      </c>
      <c r="F22" s="580">
        <f>IF(B22="","",VLOOKUP($B22,'2-2_算定表①(旧々・旧制度)'!$B$8:$U$65536,14,FALSE))</f>
      </c>
      <c r="G22" s="583">
        <f>IF(B22="","",VLOOKUP($B22,'2-2_算定表①(旧々・旧制度)'!$B$8:$U$65536,16,FALSE))</f>
      </c>
      <c r="H22" s="580">
        <f>IF(B22="","",VLOOKUP($B22,'2-2_算定表①(旧々・旧制度)'!$B$8:$U$65536,17,FALSE))</f>
      </c>
      <c r="I22" s="583">
        <f>IF(B22="","",VLOOKUP($B22,'2-2_算定表①(旧々・旧制度)'!$B$8:$U$65536,19,FALSE))</f>
      </c>
      <c r="J22" s="60">
        <f>IF(B22="","",VLOOKUP($B22,'2-2_算定表①(旧々・旧制度)'!$B$8:$U$65536,20,FALSE))</f>
      </c>
      <c r="K22" s="571">
        <f>IF($B22="","",VLOOKUP($B22,'2-2_算定表①(旧々・旧制度)'!$B$8:$U$65536,14,FALSE))</f>
      </c>
      <c r="L22" s="524">
        <f>IF($B22="","",VLOOKUP($B22,'2-2_算定表①(旧々・旧制度)'!$B$8:$U$65536,14,FALSE))</f>
      </c>
      <c r="M22" s="307">
        <f>IF($B22="","",VLOOKUP($B22,'2-2_算定表①(旧々・旧制度)'!$B$8:$U$65536,14,FALSE))</f>
      </c>
      <c r="N22" s="526">
        <f>IF($B22="","",VLOOKUP($B22,'2-2_算定表①(旧々・旧制度)'!$B$8:$U$65536,17,FALSE))</f>
      </c>
      <c r="O22" s="82">
        <f>IF($B22="","",VLOOKUP($B22,'2-2_算定表①(旧々・旧制度)'!$B$8:$U$65536,17,FALSE))</f>
      </c>
      <c r="P22" s="82">
        <f>IF($B22="","",VLOOKUP($B22,'2-2_算定表①(旧々・旧制度)'!$B$8:$U$65536,17,FALSE))</f>
      </c>
      <c r="Q22" s="82">
        <f>IF($B22="","",VLOOKUP($B22,'2-2_算定表①(旧々・旧制度)'!$B$8:$U$65536,17,FALSE))</f>
      </c>
      <c r="R22" s="82">
        <f>IF($B22="","",VLOOKUP($B22,'2-2_算定表①(旧々・旧制度)'!$B$8:$U$65536,17,FALSE))</f>
      </c>
      <c r="S22" s="82">
        <f>IF($B22="","",VLOOKUP($B22,'2-2_算定表①(旧々・旧制度)'!$B$8:$U$65536,17,FALSE))</f>
      </c>
      <c r="T22" s="82">
        <f>IF($B22="","",VLOOKUP($B22,'2-2_算定表①(旧々・旧制度)'!$B$8:$U$65536,17,FALSE))</f>
      </c>
      <c r="U22" s="82">
        <f>IF($B22="","",VLOOKUP($B22,'2-2_算定表①(旧々・旧制度)'!$B$8:$U$65536,17,FALSE))</f>
      </c>
      <c r="V22" s="527">
        <f>IF($B22="","",VLOOKUP($B22,'2-2_算定表①(旧々・旧制度)'!$B$8:$U$65536,17,FALSE))</f>
      </c>
      <c r="W22" s="89">
        <f t="shared" si="0"/>
      </c>
      <c r="X22" s="86">
        <f t="shared" si="1"/>
      </c>
      <c r="Y22" s="83">
        <f t="shared" si="2"/>
      </c>
      <c r="Z22" s="95">
        <f t="shared" si="3"/>
      </c>
      <c r="AA22" s="92">
        <f t="shared" si="4"/>
      </c>
      <c r="AB22" s="89">
        <f t="shared" si="5"/>
      </c>
      <c r="AC22" s="60">
        <f>IF(B22="","",ROUNDUP((G22/VLOOKUP($B22,'2-2_算定表①(旧々・旧制度)'!$B$8:$AJ$44,9,FALSE)*W22)+(I22/VLOOKUP($B22,'2-2_算定表①(旧々・旧制度)'!$B$8:$AJ$44,9,FALSE)*X22)+(G22/VLOOKUP($B22,'2-2_算定表①(旧々・旧制度)'!$B$8:$AJ$44,9,FALSE)*Y22)+(I22/VLOOKUP($B22,'2-2_算定表①(旧々・旧制度)'!$B$8:$AJ$44,9,FALSE)*Z22),0))</f>
      </c>
      <c r="AD22" s="530">
        <f t="shared" si="6"/>
      </c>
      <c r="AE22" s="1016">
        <f>IF(B22="","",VLOOKUP($B22,'2-2_算定表①(旧々・旧制度)'!$B$8:$AH$65536,33,FALSE))</f>
      </c>
      <c r="AF22" s="1017" t="s">
        <v>182</v>
      </c>
      <c r="AG22" s="1018" t="s">
        <v>182</v>
      </c>
      <c r="AI22" s="61">
        <f t="shared" si="9"/>
      </c>
      <c r="AJ22" s="61">
        <f t="shared" si="7"/>
      </c>
    </row>
    <row r="23" spans="1:36" s="53" customFormat="1" ht="18.75" customHeight="1">
      <c r="A23" s="27">
        <f t="shared" si="8"/>
      </c>
      <c r="B23" s="577"/>
      <c r="C23" s="290">
        <f>IF($B23="","",VLOOKUP($B23,'2-2_算定表①(旧々・旧制度)'!$B$8:$U$65536,2,FALSE))</f>
      </c>
      <c r="D23" s="81">
        <f>IF($B23="","",VLOOKUP($B23,'2-2_算定表①(旧々・旧制度)'!$B$8:$U$65536,3,FALSE))</f>
      </c>
      <c r="E23" s="81">
        <f>IF($B23="","",VLOOKUP($B23,'2-2_算定表①(旧々・旧制度)'!$B$8:$U$65536,6,FALSE))</f>
      </c>
      <c r="F23" s="580">
        <f>IF(B23="","",VLOOKUP($B23,'2-2_算定表①(旧々・旧制度)'!$B$8:$U$65536,14,FALSE))</f>
      </c>
      <c r="G23" s="583">
        <f>IF(B23="","",VLOOKUP($B23,'2-2_算定表①(旧々・旧制度)'!$B$8:$U$65536,16,FALSE))</f>
      </c>
      <c r="H23" s="580">
        <f>IF(B23="","",VLOOKUP($B23,'2-2_算定表①(旧々・旧制度)'!$B$8:$U$65536,17,FALSE))</f>
      </c>
      <c r="I23" s="583">
        <f>IF(B23="","",VLOOKUP($B23,'2-2_算定表①(旧々・旧制度)'!$B$8:$U$65536,19,FALSE))</f>
      </c>
      <c r="J23" s="60">
        <f>IF(B23="","",VLOOKUP($B23,'2-2_算定表①(旧々・旧制度)'!$B$8:$U$65536,20,FALSE))</f>
      </c>
      <c r="K23" s="571">
        <f>IF($B23="","",VLOOKUP($B23,'2-2_算定表①(旧々・旧制度)'!$B$8:$U$65536,14,FALSE))</f>
      </c>
      <c r="L23" s="524">
        <f>IF($B23="","",VLOOKUP($B23,'2-2_算定表①(旧々・旧制度)'!$B$8:$U$65536,14,FALSE))</f>
      </c>
      <c r="M23" s="307">
        <f>IF($B23="","",VLOOKUP($B23,'2-2_算定表①(旧々・旧制度)'!$B$8:$U$65536,14,FALSE))</f>
      </c>
      <c r="N23" s="526">
        <f>IF($B23="","",VLOOKUP($B23,'2-2_算定表①(旧々・旧制度)'!$B$8:$U$65536,17,FALSE))</f>
      </c>
      <c r="O23" s="82">
        <f>IF($B23="","",VLOOKUP($B23,'2-2_算定表①(旧々・旧制度)'!$B$8:$U$65536,17,FALSE))</f>
      </c>
      <c r="P23" s="82">
        <f>IF($B23="","",VLOOKUP($B23,'2-2_算定表①(旧々・旧制度)'!$B$8:$U$65536,17,FALSE))</f>
      </c>
      <c r="Q23" s="82">
        <f>IF($B23="","",VLOOKUP($B23,'2-2_算定表①(旧々・旧制度)'!$B$8:$U$65536,17,FALSE))</f>
      </c>
      <c r="R23" s="82">
        <f>IF($B23="","",VLOOKUP($B23,'2-2_算定表①(旧々・旧制度)'!$B$8:$U$65536,17,FALSE))</f>
      </c>
      <c r="S23" s="82">
        <f>IF($B23="","",VLOOKUP($B23,'2-2_算定表①(旧々・旧制度)'!$B$8:$U$65536,17,FALSE))</f>
      </c>
      <c r="T23" s="82">
        <f>IF($B23="","",VLOOKUP($B23,'2-2_算定表①(旧々・旧制度)'!$B$8:$U$65536,17,FALSE))</f>
      </c>
      <c r="U23" s="82">
        <f>IF($B23="","",VLOOKUP($B23,'2-2_算定表①(旧々・旧制度)'!$B$8:$U$65536,17,FALSE))</f>
      </c>
      <c r="V23" s="527">
        <f>IF($B23="","",VLOOKUP($B23,'2-2_算定表①(旧々・旧制度)'!$B$8:$U$65536,17,FALSE))</f>
      </c>
      <c r="W23" s="89">
        <f t="shared" si="0"/>
      </c>
      <c r="X23" s="86">
        <f t="shared" si="1"/>
      </c>
      <c r="Y23" s="83">
        <f t="shared" si="2"/>
      </c>
      <c r="Z23" s="95">
        <f t="shared" si="3"/>
      </c>
      <c r="AA23" s="92">
        <f t="shared" si="4"/>
      </c>
      <c r="AB23" s="89">
        <f t="shared" si="5"/>
      </c>
      <c r="AC23" s="60">
        <f>IF(B23="","",ROUNDUP((G23/VLOOKUP($B23,'2-2_算定表①(旧々・旧制度)'!$B$8:$AJ$44,9,FALSE)*W23)+(I23/VLOOKUP($B23,'2-2_算定表①(旧々・旧制度)'!$B$8:$AJ$44,9,FALSE)*X23)+(G23/VLOOKUP($B23,'2-2_算定表①(旧々・旧制度)'!$B$8:$AJ$44,9,FALSE)*Y23)+(I23/VLOOKUP($B23,'2-2_算定表①(旧々・旧制度)'!$B$8:$AJ$44,9,FALSE)*Z23),0))</f>
      </c>
      <c r="AD23" s="530">
        <f t="shared" si="6"/>
      </c>
      <c r="AE23" s="1016">
        <f>IF(B23="","",VLOOKUP($B23,'2-2_算定表①(旧々・旧制度)'!$B$8:$AH$65536,33,FALSE))</f>
      </c>
      <c r="AF23" s="1017" t="s">
        <v>182</v>
      </c>
      <c r="AG23" s="1018" t="s">
        <v>182</v>
      </c>
      <c r="AI23" s="61">
        <f t="shared" si="9"/>
      </c>
      <c r="AJ23" s="61">
        <f t="shared" si="7"/>
      </c>
    </row>
    <row r="24" spans="1:36" s="53" customFormat="1" ht="18.75" customHeight="1">
      <c r="A24" s="27">
        <f t="shared" si="8"/>
      </c>
      <c r="B24" s="577"/>
      <c r="C24" s="290">
        <f>IF($B24="","",VLOOKUP($B24,'2-2_算定表①(旧々・旧制度)'!$B$8:$U$65536,2,FALSE))</f>
      </c>
      <c r="D24" s="81">
        <f>IF($B24="","",VLOOKUP($B24,'2-2_算定表①(旧々・旧制度)'!$B$8:$U$65536,3,FALSE))</f>
      </c>
      <c r="E24" s="81">
        <f>IF($B24="","",VLOOKUP($B24,'2-2_算定表①(旧々・旧制度)'!$B$8:$U$65536,6,FALSE))</f>
      </c>
      <c r="F24" s="580">
        <f>IF(B24="","",VLOOKUP($B24,'2-2_算定表①(旧々・旧制度)'!$B$8:$U$65536,14,FALSE))</f>
      </c>
      <c r="G24" s="583">
        <f>IF(B24="","",VLOOKUP($B24,'2-2_算定表①(旧々・旧制度)'!$B$8:$U$65536,16,FALSE))</f>
      </c>
      <c r="H24" s="580">
        <f>IF(B24="","",VLOOKUP($B24,'2-2_算定表①(旧々・旧制度)'!$B$8:$U$65536,17,FALSE))</f>
      </c>
      <c r="I24" s="583">
        <f>IF(B24="","",VLOOKUP($B24,'2-2_算定表①(旧々・旧制度)'!$B$8:$U$65536,19,FALSE))</f>
      </c>
      <c r="J24" s="60">
        <f>IF(B24="","",VLOOKUP($B24,'2-2_算定表①(旧々・旧制度)'!$B$8:$U$65536,20,FALSE))</f>
      </c>
      <c r="K24" s="571">
        <f>IF($B24="","",VLOOKUP($B24,'2-2_算定表①(旧々・旧制度)'!$B$8:$U$65536,14,FALSE))</f>
      </c>
      <c r="L24" s="524">
        <f>IF($B24="","",VLOOKUP($B24,'2-2_算定表①(旧々・旧制度)'!$B$8:$U$65536,14,FALSE))</f>
      </c>
      <c r="M24" s="307">
        <f>IF($B24="","",VLOOKUP($B24,'2-2_算定表①(旧々・旧制度)'!$B$8:$U$65536,14,FALSE))</f>
      </c>
      <c r="N24" s="526">
        <f>IF($B24="","",VLOOKUP($B24,'2-2_算定表①(旧々・旧制度)'!$B$8:$U$65536,17,FALSE))</f>
      </c>
      <c r="O24" s="82">
        <f>IF($B24="","",VLOOKUP($B24,'2-2_算定表①(旧々・旧制度)'!$B$8:$U$65536,17,FALSE))</f>
      </c>
      <c r="P24" s="82">
        <f>IF($B24="","",VLOOKUP($B24,'2-2_算定表①(旧々・旧制度)'!$B$8:$U$65536,17,FALSE))</f>
      </c>
      <c r="Q24" s="82">
        <f>IF($B24="","",VLOOKUP($B24,'2-2_算定表①(旧々・旧制度)'!$B$8:$U$65536,17,FALSE))</f>
      </c>
      <c r="R24" s="82">
        <f>IF($B24="","",VLOOKUP($B24,'2-2_算定表①(旧々・旧制度)'!$B$8:$U$65536,17,FALSE))</f>
      </c>
      <c r="S24" s="82">
        <f>IF($B24="","",VLOOKUP($B24,'2-2_算定表①(旧々・旧制度)'!$B$8:$U$65536,17,FALSE))</f>
      </c>
      <c r="T24" s="82">
        <f>IF($B24="","",VLOOKUP($B24,'2-2_算定表①(旧々・旧制度)'!$B$8:$U$65536,17,FALSE))</f>
      </c>
      <c r="U24" s="82">
        <f>IF($B24="","",VLOOKUP($B24,'2-2_算定表①(旧々・旧制度)'!$B$8:$U$65536,17,FALSE))</f>
      </c>
      <c r="V24" s="527">
        <f>IF($B24="","",VLOOKUP($B24,'2-2_算定表①(旧々・旧制度)'!$B$8:$U$65536,17,FALSE))</f>
      </c>
      <c r="W24" s="89">
        <f t="shared" si="0"/>
      </c>
      <c r="X24" s="86">
        <f t="shared" si="1"/>
      </c>
      <c r="Y24" s="83">
        <f t="shared" si="2"/>
      </c>
      <c r="Z24" s="95">
        <f t="shared" si="3"/>
      </c>
      <c r="AA24" s="92">
        <f t="shared" si="4"/>
      </c>
      <c r="AB24" s="89">
        <f t="shared" si="5"/>
      </c>
      <c r="AC24" s="60">
        <f>IF(B24="","",ROUNDUP((G24/VLOOKUP($B24,'2-2_算定表①(旧々・旧制度)'!$B$8:$AJ$44,9,FALSE)*W24)+(I24/VLOOKUP($B24,'2-2_算定表①(旧々・旧制度)'!$B$8:$AJ$44,9,FALSE)*X24)+(G24/VLOOKUP($B24,'2-2_算定表①(旧々・旧制度)'!$B$8:$AJ$44,9,FALSE)*Y24)+(I24/VLOOKUP($B24,'2-2_算定表①(旧々・旧制度)'!$B$8:$AJ$44,9,FALSE)*Z24),0))</f>
      </c>
      <c r="AD24" s="530">
        <f t="shared" si="6"/>
      </c>
      <c r="AE24" s="1016">
        <f>IF(B24="","",VLOOKUP($B24,'2-2_算定表①(旧々・旧制度)'!$B$8:$AH$65536,33,FALSE))</f>
      </c>
      <c r="AF24" s="1017" t="s">
        <v>182</v>
      </c>
      <c r="AG24" s="1018" t="s">
        <v>182</v>
      </c>
      <c r="AI24" s="61">
        <f t="shared" si="9"/>
      </c>
      <c r="AJ24" s="61">
        <f t="shared" si="7"/>
      </c>
    </row>
    <row r="25" spans="1:36" s="53" customFormat="1" ht="18.75" customHeight="1">
      <c r="A25" s="27">
        <f t="shared" si="8"/>
      </c>
      <c r="B25" s="577"/>
      <c r="C25" s="290">
        <f>IF($B25="","",VLOOKUP($B25,'2-2_算定表①(旧々・旧制度)'!$B$8:$U$65536,2,FALSE))</f>
      </c>
      <c r="D25" s="81">
        <f>IF($B25="","",VLOOKUP($B25,'2-2_算定表①(旧々・旧制度)'!$B$8:$U$65536,3,FALSE))</f>
      </c>
      <c r="E25" s="81">
        <f>IF($B25="","",VLOOKUP($B25,'2-2_算定表①(旧々・旧制度)'!$B$8:$U$65536,6,FALSE))</f>
      </c>
      <c r="F25" s="580">
        <f>IF(B25="","",VLOOKUP($B25,'2-2_算定表①(旧々・旧制度)'!$B$8:$U$65536,14,FALSE))</f>
      </c>
      <c r="G25" s="583">
        <f>IF(B25="","",VLOOKUP($B25,'2-2_算定表①(旧々・旧制度)'!$B$8:$U$65536,16,FALSE))</f>
      </c>
      <c r="H25" s="580">
        <f>IF(B25="","",VLOOKUP($B25,'2-2_算定表①(旧々・旧制度)'!$B$8:$U$65536,17,FALSE))</f>
      </c>
      <c r="I25" s="583">
        <f>IF(B25="","",VLOOKUP($B25,'2-2_算定表①(旧々・旧制度)'!$B$8:$U$65536,19,FALSE))</f>
      </c>
      <c r="J25" s="60">
        <f>IF(B25="","",VLOOKUP($B25,'2-2_算定表①(旧々・旧制度)'!$B$8:$U$65536,20,FALSE))</f>
      </c>
      <c r="K25" s="571">
        <f>IF($B25="","",VLOOKUP($B25,'2-2_算定表①(旧々・旧制度)'!$B$8:$U$65536,14,FALSE))</f>
      </c>
      <c r="L25" s="524">
        <f>IF($B25="","",VLOOKUP($B25,'2-2_算定表①(旧々・旧制度)'!$B$8:$U$65536,14,FALSE))</f>
      </c>
      <c r="M25" s="307">
        <f>IF($B25="","",VLOOKUP($B25,'2-2_算定表①(旧々・旧制度)'!$B$8:$U$65536,14,FALSE))</f>
      </c>
      <c r="N25" s="526">
        <f>IF($B25="","",VLOOKUP($B25,'2-2_算定表①(旧々・旧制度)'!$B$8:$U$65536,17,FALSE))</f>
      </c>
      <c r="O25" s="82">
        <f>IF($B25="","",VLOOKUP($B25,'2-2_算定表①(旧々・旧制度)'!$B$8:$U$65536,17,FALSE))</f>
      </c>
      <c r="P25" s="82">
        <f>IF($B25="","",VLOOKUP($B25,'2-2_算定表①(旧々・旧制度)'!$B$8:$U$65536,17,FALSE))</f>
      </c>
      <c r="Q25" s="82">
        <f>IF($B25="","",VLOOKUP($B25,'2-2_算定表①(旧々・旧制度)'!$B$8:$U$65536,17,FALSE))</f>
      </c>
      <c r="R25" s="82">
        <f>IF($B25="","",VLOOKUP($B25,'2-2_算定表①(旧々・旧制度)'!$B$8:$U$65536,17,FALSE))</f>
      </c>
      <c r="S25" s="82">
        <f>IF($B25="","",VLOOKUP($B25,'2-2_算定表①(旧々・旧制度)'!$B$8:$U$65536,17,FALSE))</f>
      </c>
      <c r="T25" s="82">
        <f>IF($B25="","",VLOOKUP($B25,'2-2_算定表①(旧々・旧制度)'!$B$8:$U$65536,17,FALSE))</f>
      </c>
      <c r="U25" s="82">
        <f>IF($B25="","",VLOOKUP($B25,'2-2_算定表①(旧々・旧制度)'!$B$8:$U$65536,17,FALSE))</f>
      </c>
      <c r="V25" s="527">
        <f>IF($B25="","",VLOOKUP($B25,'2-2_算定表①(旧々・旧制度)'!$B$8:$U$65536,17,FALSE))</f>
      </c>
      <c r="W25" s="89">
        <f t="shared" si="0"/>
      </c>
      <c r="X25" s="86">
        <f t="shared" si="1"/>
      </c>
      <c r="Y25" s="83">
        <f t="shared" si="2"/>
      </c>
      <c r="Z25" s="95">
        <f t="shared" si="3"/>
      </c>
      <c r="AA25" s="92">
        <f t="shared" si="4"/>
      </c>
      <c r="AB25" s="89">
        <f t="shared" si="5"/>
      </c>
      <c r="AC25" s="60">
        <f>IF(B25="","",ROUNDUP((G25/VLOOKUP($B25,'2-2_算定表①(旧々・旧制度)'!$B$8:$AJ$44,9,FALSE)*W25)+(I25/VLOOKUP($B25,'2-2_算定表①(旧々・旧制度)'!$B$8:$AJ$44,9,FALSE)*X25)+(G25/VLOOKUP($B25,'2-2_算定表①(旧々・旧制度)'!$B$8:$AJ$44,9,FALSE)*Y25)+(I25/VLOOKUP($B25,'2-2_算定表①(旧々・旧制度)'!$B$8:$AJ$44,9,FALSE)*Z25),0))</f>
      </c>
      <c r="AD25" s="530">
        <f t="shared" si="6"/>
      </c>
      <c r="AE25" s="1016">
        <f>IF(B25="","",VLOOKUP($B25,'2-2_算定表①(旧々・旧制度)'!$B$8:$AH$65536,33,FALSE))</f>
      </c>
      <c r="AF25" s="1017" t="s">
        <v>182</v>
      </c>
      <c r="AG25" s="1018" t="s">
        <v>182</v>
      </c>
      <c r="AI25" s="61">
        <f t="shared" si="9"/>
      </c>
      <c r="AJ25" s="61">
        <f t="shared" si="7"/>
      </c>
    </row>
    <row r="26" spans="1:36" s="53" customFormat="1" ht="18.75" customHeight="1">
      <c r="A26" s="27">
        <f t="shared" si="8"/>
      </c>
      <c r="B26" s="577"/>
      <c r="C26" s="290">
        <f>IF($B26="","",VLOOKUP($B26,'2-2_算定表①(旧々・旧制度)'!$B$8:$U$65536,2,FALSE))</f>
      </c>
      <c r="D26" s="81">
        <f>IF($B26="","",VLOOKUP($B26,'2-2_算定表①(旧々・旧制度)'!$B$8:$U$65536,3,FALSE))</f>
      </c>
      <c r="E26" s="81">
        <f>IF($B26="","",VLOOKUP($B26,'2-2_算定表①(旧々・旧制度)'!$B$8:$U$65536,6,FALSE))</f>
      </c>
      <c r="F26" s="580">
        <f>IF(B26="","",VLOOKUP($B26,'2-2_算定表①(旧々・旧制度)'!$B$8:$U$65536,14,FALSE))</f>
      </c>
      <c r="G26" s="583">
        <f>IF(B26="","",VLOOKUP($B26,'2-2_算定表①(旧々・旧制度)'!$B$8:$U$65536,16,FALSE))</f>
      </c>
      <c r="H26" s="580">
        <f>IF(B26="","",VLOOKUP($B26,'2-2_算定表①(旧々・旧制度)'!$B$8:$U$65536,17,FALSE))</f>
      </c>
      <c r="I26" s="583">
        <f>IF(B26="","",VLOOKUP($B26,'2-2_算定表①(旧々・旧制度)'!$B$8:$U$65536,19,FALSE))</f>
      </c>
      <c r="J26" s="60">
        <f>IF(B26="","",VLOOKUP($B26,'2-2_算定表①(旧々・旧制度)'!$B$8:$U$65536,20,FALSE))</f>
      </c>
      <c r="K26" s="571">
        <f>IF($B26="","",VLOOKUP($B26,'2-2_算定表①(旧々・旧制度)'!$B$8:$U$65536,14,FALSE))</f>
      </c>
      <c r="L26" s="524">
        <f>IF($B26="","",VLOOKUP($B26,'2-2_算定表①(旧々・旧制度)'!$B$8:$U$65536,14,FALSE))</f>
      </c>
      <c r="M26" s="307">
        <f>IF($B26="","",VLOOKUP($B26,'2-2_算定表①(旧々・旧制度)'!$B$8:$U$65536,14,FALSE))</f>
      </c>
      <c r="N26" s="526">
        <f>IF($B26="","",VLOOKUP($B26,'2-2_算定表①(旧々・旧制度)'!$B$8:$U$65536,17,FALSE))</f>
      </c>
      <c r="O26" s="82">
        <f>IF($B26="","",VLOOKUP($B26,'2-2_算定表①(旧々・旧制度)'!$B$8:$U$65536,17,FALSE))</f>
      </c>
      <c r="P26" s="82">
        <f>IF($B26="","",VLOOKUP($B26,'2-2_算定表①(旧々・旧制度)'!$B$8:$U$65536,17,FALSE))</f>
      </c>
      <c r="Q26" s="82">
        <f>IF($B26="","",VLOOKUP($B26,'2-2_算定表①(旧々・旧制度)'!$B$8:$U$65536,17,FALSE))</f>
      </c>
      <c r="R26" s="82">
        <f>IF($B26="","",VLOOKUP($B26,'2-2_算定表①(旧々・旧制度)'!$B$8:$U$65536,17,FALSE))</f>
      </c>
      <c r="S26" s="82">
        <f>IF($B26="","",VLOOKUP($B26,'2-2_算定表①(旧々・旧制度)'!$B$8:$U$65536,17,FALSE))</f>
      </c>
      <c r="T26" s="82">
        <f>IF($B26="","",VLOOKUP($B26,'2-2_算定表①(旧々・旧制度)'!$B$8:$U$65536,17,FALSE))</f>
      </c>
      <c r="U26" s="82">
        <f>IF($B26="","",VLOOKUP($B26,'2-2_算定表①(旧々・旧制度)'!$B$8:$U$65536,17,FALSE))</f>
      </c>
      <c r="V26" s="527">
        <f>IF($B26="","",VLOOKUP($B26,'2-2_算定表①(旧々・旧制度)'!$B$8:$U$65536,17,FALSE))</f>
      </c>
      <c r="W26" s="89">
        <f t="shared" si="0"/>
      </c>
      <c r="X26" s="86">
        <f t="shared" si="1"/>
      </c>
      <c r="Y26" s="83">
        <f t="shared" si="2"/>
      </c>
      <c r="Z26" s="95">
        <f t="shared" si="3"/>
      </c>
      <c r="AA26" s="92">
        <f t="shared" si="4"/>
      </c>
      <c r="AB26" s="89">
        <f t="shared" si="5"/>
      </c>
      <c r="AC26" s="60">
        <f>IF(B26="","",ROUNDUP((G26/VLOOKUP($B26,'2-2_算定表①(旧々・旧制度)'!$B$8:$AJ$44,9,FALSE)*W26)+(I26/VLOOKUP($B26,'2-2_算定表①(旧々・旧制度)'!$B$8:$AJ$44,9,FALSE)*X26)+(G26/VLOOKUP($B26,'2-2_算定表①(旧々・旧制度)'!$B$8:$AJ$44,9,FALSE)*Y26)+(I26/VLOOKUP($B26,'2-2_算定表①(旧々・旧制度)'!$B$8:$AJ$44,9,FALSE)*Z26),0))</f>
      </c>
      <c r="AD26" s="530">
        <f t="shared" si="6"/>
      </c>
      <c r="AE26" s="1016">
        <f>IF(B26="","",VLOOKUP($B26,'2-2_算定表①(旧々・旧制度)'!$B$8:$AH$65536,33,FALSE))</f>
      </c>
      <c r="AF26" s="1017" t="s">
        <v>182</v>
      </c>
      <c r="AG26" s="1018" t="s">
        <v>182</v>
      </c>
      <c r="AI26" s="61">
        <f t="shared" si="9"/>
      </c>
      <c r="AJ26" s="61">
        <f t="shared" si="7"/>
      </c>
    </row>
    <row r="27" spans="1:36" s="53" customFormat="1" ht="18.75" customHeight="1">
      <c r="A27" s="27">
        <f t="shared" si="8"/>
      </c>
      <c r="B27" s="577"/>
      <c r="C27" s="290">
        <f>IF($B27="","",VLOOKUP($B27,'2-2_算定表①(旧々・旧制度)'!$B$8:$U$65536,2,FALSE))</f>
      </c>
      <c r="D27" s="81">
        <f>IF($B27="","",VLOOKUP($B27,'2-2_算定表①(旧々・旧制度)'!$B$8:$U$65536,3,FALSE))</f>
      </c>
      <c r="E27" s="81">
        <f>IF($B27="","",VLOOKUP($B27,'2-2_算定表①(旧々・旧制度)'!$B$8:$U$65536,6,FALSE))</f>
      </c>
      <c r="F27" s="580">
        <f>IF(B27="","",VLOOKUP($B27,'2-2_算定表①(旧々・旧制度)'!$B$8:$U$65536,14,FALSE))</f>
      </c>
      <c r="G27" s="583">
        <f>IF(B27="","",VLOOKUP($B27,'2-2_算定表①(旧々・旧制度)'!$B$8:$U$65536,16,FALSE))</f>
      </c>
      <c r="H27" s="580">
        <f>IF(B27="","",VLOOKUP($B27,'2-2_算定表①(旧々・旧制度)'!$B$8:$U$65536,17,FALSE))</f>
      </c>
      <c r="I27" s="583">
        <f>IF(B27="","",VLOOKUP($B27,'2-2_算定表①(旧々・旧制度)'!$B$8:$U$65536,19,FALSE))</f>
      </c>
      <c r="J27" s="60">
        <f>IF(B27="","",VLOOKUP($B27,'2-2_算定表①(旧々・旧制度)'!$B$8:$U$65536,20,FALSE))</f>
      </c>
      <c r="K27" s="571">
        <f>IF($B27="","",VLOOKUP($B27,'2-2_算定表①(旧々・旧制度)'!$B$8:$U$65536,14,FALSE))</f>
      </c>
      <c r="L27" s="524">
        <f>IF($B27="","",VLOOKUP($B27,'2-2_算定表①(旧々・旧制度)'!$B$8:$U$65536,14,FALSE))</f>
      </c>
      <c r="M27" s="307">
        <f>IF($B27="","",VLOOKUP($B27,'2-2_算定表①(旧々・旧制度)'!$B$8:$U$65536,14,FALSE))</f>
      </c>
      <c r="N27" s="526">
        <f>IF($B27="","",VLOOKUP($B27,'2-2_算定表①(旧々・旧制度)'!$B$8:$U$65536,17,FALSE))</f>
      </c>
      <c r="O27" s="82">
        <f>IF($B27="","",VLOOKUP($B27,'2-2_算定表①(旧々・旧制度)'!$B$8:$U$65536,17,FALSE))</f>
      </c>
      <c r="P27" s="82">
        <f>IF($B27="","",VLOOKUP($B27,'2-2_算定表①(旧々・旧制度)'!$B$8:$U$65536,17,FALSE))</f>
      </c>
      <c r="Q27" s="82">
        <f>IF($B27="","",VLOOKUP($B27,'2-2_算定表①(旧々・旧制度)'!$B$8:$U$65536,17,FALSE))</f>
      </c>
      <c r="R27" s="82">
        <f>IF($B27="","",VLOOKUP($B27,'2-2_算定表①(旧々・旧制度)'!$B$8:$U$65536,17,FALSE))</f>
      </c>
      <c r="S27" s="82">
        <f>IF($B27="","",VLOOKUP($B27,'2-2_算定表①(旧々・旧制度)'!$B$8:$U$65536,17,FALSE))</f>
      </c>
      <c r="T27" s="82">
        <f>IF($B27="","",VLOOKUP($B27,'2-2_算定表①(旧々・旧制度)'!$B$8:$U$65536,17,FALSE))</f>
      </c>
      <c r="U27" s="82">
        <f>IF($B27="","",VLOOKUP($B27,'2-2_算定表①(旧々・旧制度)'!$B$8:$U$65536,17,FALSE))</f>
      </c>
      <c r="V27" s="527">
        <f>IF($B27="","",VLOOKUP($B27,'2-2_算定表①(旧々・旧制度)'!$B$8:$U$65536,17,FALSE))</f>
      </c>
      <c r="W27" s="89">
        <f t="shared" si="0"/>
      </c>
      <c r="X27" s="86">
        <f t="shared" si="1"/>
      </c>
      <c r="Y27" s="83">
        <f t="shared" si="2"/>
      </c>
      <c r="Z27" s="95">
        <f t="shared" si="3"/>
      </c>
      <c r="AA27" s="92">
        <f t="shared" si="4"/>
      </c>
      <c r="AB27" s="89">
        <f t="shared" si="5"/>
      </c>
      <c r="AC27" s="60">
        <f>IF(B27="","",ROUNDUP((G27/VLOOKUP($B27,'2-2_算定表①(旧々・旧制度)'!$B$8:$AJ$44,9,FALSE)*W27)+(I27/VLOOKUP($B27,'2-2_算定表①(旧々・旧制度)'!$B$8:$AJ$44,9,FALSE)*X27)+(G27/VLOOKUP($B27,'2-2_算定表①(旧々・旧制度)'!$B$8:$AJ$44,9,FALSE)*Y27)+(I27/VLOOKUP($B27,'2-2_算定表①(旧々・旧制度)'!$B$8:$AJ$44,9,FALSE)*Z27),0))</f>
      </c>
      <c r="AD27" s="530">
        <f t="shared" si="6"/>
      </c>
      <c r="AE27" s="1016">
        <f>IF(B27="","",VLOOKUP($B27,'2-2_算定表①(旧々・旧制度)'!$B$8:$AH$65536,33,FALSE))</f>
      </c>
      <c r="AF27" s="1017" t="s">
        <v>182</v>
      </c>
      <c r="AG27" s="1018" t="s">
        <v>182</v>
      </c>
      <c r="AI27" s="61">
        <f t="shared" si="9"/>
      </c>
      <c r="AJ27" s="61">
        <f t="shared" si="7"/>
      </c>
    </row>
    <row r="28" spans="1:36" s="53" customFormat="1" ht="18.75" customHeight="1">
      <c r="A28" s="27">
        <f t="shared" si="8"/>
      </c>
      <c r="B28" s="577"/>
      <c r="C28" s="290">
        <f>IF($B28="","",VLOOKUP($B28,'2-2_算定表①(旧々・旧制度)'!$B$8:$U$65536,2,FALSE))</f>
      </c>
      <c r="D28" s="81">
        <f>IF($B28="","",VLOOKUP($B28,'2-2_算定表①(旧々・旧制度)'!$B$8:$U$65536,3,FALSE))</f>
      </c>
      <c r="E28" s="81">
        <f>IF($B28="","",VLOOKUP($B28,'2-2_算定表①(旧々・旧制度)'!$B$8:$U$65536,6,FALSE))</f>
      </c>
      <c r="F28" s="580">
        <f>IF(B28="","",VLOOKUP($B28,'2-2_算定表①(旧々・旧制度)'!$B$8:$U$65536,14,FALSE))</f>
      </c>
      <c r="G28" s="583">
        <f>IF(B28="","",VLOOKUP($B28,'2-2_算定表①(旧々・旧制度)'!$B$8:$U$65536,16,FALSE))</f>
      </c>
      <c r="H28" s="580">
        <f>IF(B28="","",VLOOKUP($B28,'2-2_算定表①(旧々・旧制度)'!$B$8:$U$65536,17,FALSE))</f>
      </c>
      <c r="I28" s="583">
        <f>IF(B28="","",VLOOKUP($B28,'2-2_算定表①(旧々・旧制度)'!$B$8:$U$65536,19,FALSE))</f>
      </c>
      <c r="J28" s="60">
        <f>IF(B28="","",VLOOKUP($B28,'2-2_算定表①(旧々・旧制度)'!$B$8:$U$65536,20,FALSE))</f>
      </c>
      <c r="K28" s="571">
        <f>IF($B28="","",VLOOKUP($B28,'2-2_算定表①(旧々・旧制度)'!$B$8:$U$65536,14,FALSE))</f>
      </c>
      <c r="L28" s="524">
        <f>IF($B28="","",VLOOKUP($B28,'2-2_算定表①(旧々・旧制度)'!$B$8:$U$65536,14,FALSE))</f>
      </c>
      <c r="M28" s="307">
        <f>IF($B28="","",VLOOKUP($B28,'2-2_算定表①(旧々・旧制度)'!$B$8:$U$65536,14,FALSE))</f>
      </c>
      <c r="N28" s="526">
        <f>IF($B28="","",VLOOKUP($B28,'2-2_算定表①(旧々・旧制度)'!$B$8:$U$65536,17,FALSE))</f>
      </c>
      <c r="O28" s="82">
        <f>IF($B28="","",VLOOKUP($B28,'2-2_算定表①(旧々・旧制度)'!$B$8:$U$65536,17,FALSE))</f>
      </c>
      <c r="P28" s="82">
        <f>IF($B28="","",VLOOKUP($B28,'2-2_算定表①(旧々・旧制度)'!$B$8:$U$65536,17,FALSE))</f>
      </c>
      <c r="Q28" s="82">
        <f>IF($B28="","",VLOOKUP($B28,'2-2_算定表①(旧々・旧制度)'!$B$8:$U$65536,17,FALSE))</f>
      </c>
      <c r="R28" s="82">
        <f>IF($B28="","",VLOOKUP($B28,'2-2_算定表①(旧々・旧制度)'!$B$8:$U$65536,17,FALSE))</f>
      </c>
      <c r="S28" s="82">
        <f>IF($B28="","",VLOOKUP($B28,'2-2_算定表①(旧々・旧制度)'!$B$8:$U$65536,17,FALSE))</f>
      </c>
      <c r="T28" s="82">
        <f>IF($B28="","",VLOOKUP($B28,'2-2_算定表①(旧々・旧制度)'!$B$8:$U$65536,17,FALSE))</f>
      </c>
      <c r="U28" s="82">
        <f>IF($B28="","",VLOOKUP($B28,'2-2_算定表①(旧々・旧制度)'!$B$8:$U$65536,17,FALSE))</f>
      </c>
      <c r="V28" s="527">
        <f>IF($B28="","",VLOOKUP($B28,'2-2_算定表①(旧々・旧制度)'!$B$8:$U$65536,17,FALSE))</f>
      </c>
      <c r="W28" s="89">
        <f t="shared" si="0"/>
      </c>
      <c r="X28" s="86">
        <f t="shared" si="1"/>
      </c>
      <c r="Y28" s="83">
        <f t="shared" si="2"/>
      </c>
      <c r="Z28" s="95">
        <f t="shared" si="3"/>
      </c>
      <c r="AA28" s="92">
        <f t="shared" si="4"/>
      </c>
      <c r="AB28" s="89">
        <f t="shared" si="5"/>
      </c>
      <c r="AC28" s="60">
        <f>IF(B28="","",ROUNDUP((G28/VLOOKUP($B28,'2-2_算定表①(旧々・旧制度)'!$B$8:$AJ$44,9,FALSE)*W28)+(I28/VLOOKUP($B28,'2-2_算定表①(旧々・旧制度)'!$B$8:$AJ$44,9,FALSE)*X28)+(G28/VLOOKUP($B28,'2-2_算定表①(旧々・旧制度)'!$B$8:$AJ$44,9,FALSE)*Y28)+(I28/VLOOKUP($B28,'2-2_算定表①(旧々・旧制度)'!$B$8:$AJ$44,9,FALSE)*Z28),0))</f>
      </c>
      <c r="AD28" s="530">
        <f t="shared" si="6"/>
      </c>
      <c r="AE28" s="1016">
        <f>IF(B28="","",VLOOKUP($B28,'2-2_算定表①(旧々・旧制度)'!$B$8:$AH$65536,33,FALSE))</f>
      </c>
      <c r="AF28" s="1017" t="s">
        <v>182</v>
      </c>
      <c r="AG28" s="1018" t="s">
        <v>182</v>
      </c>
      <c r="AI28" s="61">
        <f t="shared" si="9"/>
      </c>
      <c r="AJ28" s="61">
        <f t="shared" si="7"/>
      </c>
    </row>
    <row r="29" spans="1:36" s="53" customFormat="1" ht="18.75" customHeight="1">
      <c r="A29" s="27">
        <f t="shared" si="8"/>
      </c>
      <c r="B29" s="577"/>
      <c r="C29" s="290">
        <f>IF($B29="","",VLOOKUP($B29,'2-2_算定表①(旧々・旧制度)'!$B$8:$U$65536,2,FALSE))</f>
      </c>
      <c r="D29" s="81">
        <f>IF($B29="","",VLOOKUP($B29,'2-2_算定表①(旧々・旧制度)'!$B$8:$U$65536,3,FALSE))</f>
      </c>
      <c r="E29" s="81">
        <f>IF($B29="","",VLOOKUP($B29,'2-2_算定表①(旧々・旧制度)'!$B$8:$U$65536,6,FALSE))</f>
      </c>
      <c r="F29" s="580">
        <f>IF(B29="","",VLOOKUP($B29,'2-2_算定表①(旧々・旧制度)'!$B$8:$U$65536,14,FALSE))</f>
      </c>
      <c r="G29" s="583">
        <f>IF(B29="","",VLOOKUP($B29,'2-2_算定表①(旧々・旧制度)'!$B$8:$U$65536,16,FALSE))</f>
      </c>
      <c r="H29" s="580">
        <f>IF(B29="","",VLOOKUP($B29,'2-2_算定表①(旧々・旧制度)'!$B$8:$U$65536,17,FALSE))</f>
      </c>
      <c r="I29" s="583">
        <f>IF(B29="","",VLOOKUP($B29,'2-2_算定表①(旧々・旧制度)'!$B$8:$U$65536,19,FALSE))</f>
      </c>
      <c r="J29" s="60">
        <f>IF(B29="","",VLOOKUP($B29,'2-2_算定表①(旧々・旧制度)'!$B$8:$U$65536,20,FALSE))</f>
      </c>
      <c r="K29" s="571">
        <f>IF($B29="","",VLOOKUP($B29,'2-2_算定表①(旧々・旧制度)'!$B$8:$U$65536,14,FALSE))</f>
      </c>
      <c r="L29" s="524">
        <f>IF($B29="","",VLOOKUP($B29,'2-2_算定表①(旧々・旧制度)'!$B$8:$U$65536,14,FALSE))</f>
      </c>
      <c r="M29" s="307">
        <f>IF($B29="","",VLOOKUP($B29,'2-2_算定表①(旧々・旧制度)'!$B$8:$U$65536,14,FALSE))</f>
      </c>
      <c r="N29" s="526">
        <f>IF($B29="","",VLOOKUP($B29,'2-2_算定表①(旧々・旧制度)'!$B$8:$U$65536,17,FALSE))</f>
      </c>
      <c r="O29" s="82">
        <f>IF($B29="","",VLOOKUP($B29,'2-2_算定表①(旧々・旧制度)'!$B$8:$U$65536,17,FALSE))</f>
      </c>
      <c r="P29" s="82">
        <f>IF($B29="","",VLOOKUP($B29,'2-2_算定表①(旧々・旧制度)'!$B$8:$U$65536,17,FALSE))</f>
      </c>
      <c r="Q29" s="82">
        <f>IF($B29="","",VLOOKUP($B29,'2-2_算定表①(旧々・旧制度)'!$B$8:$U$65536,17,FALSE))</f>
      </c>
      <c r="R29" s="82">
        <f>IF($B29="","",VLOOKUP($B29,'2-2_算定表①(旧々・旧制度)'!$B$8:$U$65536,17,FALSE))</f>
      </c>
      <c r="S29" s="82">
        <f>IF($B29="","",VLOOKUP($B29,'2-2_算定表①(旧々・旧制度)'!$B$8:$U$65536,17,FALSE))</f>
      </c>
      <c r="T29" s="82">
        <f>IF($B29="","",VLOOKUP($B29,'2-2_算定表①(旧々・旧制度)'!$B$8:$U$65536,17,FALSE))</f>
      </c>
      <c r="U29" s="82">
        <f>IF($B29="","",VLOOKUP($B29,'2-2_算定表①(旧々・旧制度)'!$B$8:$U$65536,17,FALSE))</f>
      </c>
      <c r="V29" s="527">
        <f>IF($B29="","",VLOOKUP($B29,'2-2_算定表①(旧々・旧制度)'!$B$8:$U$65536,17,FALSE))</f>
      </c>
      <c r="W29" s="89">
        <f t="shared" si="0"/>
      </c>
      <c r="X29" s="86">
        <f t="shared" si="1"/>
      </c>
      <c r="Y29" s="83">
        <f t="shared" si="2"/>
      </c>
      <c r="Z29" s="95">
        <f t="shared" si="3"/>
      </c>
      <c r="AA29" s="92">
        <f t="shared" si="4"/>
      </c>
      <c r="AB29" s="89">
        <f t="shared" si="5"/>
      </c>
      <c r="AC29" s="60">
        <f>IF(B29="","",ROUNDUP((G29/VLOOKUP($B29,'2-2_算定表①(旧々・旧制度)'!$B$8:$AJ$44,9,FALSE)*W29)+(I29/VLOOKUP($B29,'2-2_算定表①(旧々・旧制度)'!$B$8:$AJ$44,9,FALSE)*X29)+(G29/VLOOKUP($B29,'2-2_算定表①(旧々・旧制度)'!$B$8:$AJ$44,9,FALSE)*Y29)+(I29/VLOOKUP($B29,'2-2_算定表①(旧々・旧制度)'!$B$8:$AJ$44,9,FALSE)*Z29),0))</f>
      </c>
      <c r="AD29" s="530">
        <f t="shared" si="6"/>
      </c>
      <c r="AE29" s="1016">
        <f>IF(B29="","",VLOOKUP($B29,'2-2_算定表①(旧々・旧制度)'!$B$8:$AH$65536,33,FALSE))</f>
      </c>
      <c r="AF29" s="1017" t="s">
        <v>182</v>
      </c>
      <c r="AG29" s="1018" t="s">
        <v>182</v>
      </c>
      <c r="AI29" s="61">
        <f t="shared" si="9"/>
      </c>
      <c r="AJ29" s="61">
        <f t="shared" si="7"/>
      </c>
    </row>
    <row r="30" spans="1:36" s="53" customFormat="1" ht="18.75" customHeight="1">
      <c r="A30" s="27">
        <f t="shared" si="8"/>
      </c>
      <c r="B30" s="577"/>
      <c r="C30" s="290">
        <f>IF($B30="","",VLOOKUP($B30,'2-2_算定表①(旧々・旧制度)'!$B$8:$U$65536,2,FALSE))</f>
      </c>
      <c r="D30" s="81">
        <f>IF($B30="","",VLOOKUP($B30,'2-2_算定表①(旧々・旧制度)'!$B$8:$U$65536,3,FALSE))</f>
      </c>
      <c r="E30" s="81">
        <f>IF($B30="","",VLOOKUP($B30,'2-2_算定表①(旧々・旧制度)'!$B$8:$U$65536,6,FALSE))</f>
      </c>
      <c r="F30" s="580">
        <f>IF(B30="","",VLOOKUP($B30,'2-2_算定表①(旧々・旧制度)'!$B$8:$U$65536,14,FALSE))</f>
      </c>
      <c r="G30" s="583">
        <f>IF(B30="","",VLOOKUP($B30,'2-2_算定表①(旧々・旧制度)'!$B$8:$U$65536,16,FALSE))</f>
      </c>
      <c r="H30" s="580">
        <f>IF(B30="","",VLOOKUP($B30,'2-2_算定表①(旧々・旧制度)'!$B$8:$U$65536,17,FALSE))</f>
      </c>
      <c r="I30" s="583">
        <f>IF(B30="","",VLOOKUP($B30,'2-2_算定表①(旧々・旧制度)'!$B$8:$U$65536,19,FALSE))</f>
      </c>
      <c r="J30" s="60">
        <f>IF(B30="","",VLOOKUP($B30,'2-2_算定表①(旧々・旧制度)'!$B$8:$U$65536,20,FALSE))</f>
      </c>
      <c r="K30" s="571">
        <f>IF($B30="","",VLOOKUP($B30,'2-2_算定表①(旧々・旧制度)'!$B$8:$U$65536,14,FALSE))</f>
      </c>
      <c r="L30" s="524">
        <f>IF($B30="","",VLOOKUP($B30,'2-2_算定表①(旧々・旧制度)'!$B$8:$U$65536,14,FALSE))</f>
      </c>
      <c r="M30" s="307">
        <f>IF($B30="","",VLOOKUP($B30,'2-2_算定表①(旧々・旧制度)'!$B$8:$U$65536,14,FALSE))</f>
      </c>
      <c r="N30" s="526">
        <f>IF($B30="","",VLOOKUP($B30,'2-2_算定表①(旧々・旧制度)'!$B$8:$U$65536,17,FALSE))</f>
      </c>
      <c r="O30" s="82">
        <f>IF($B30="","",VLOOKUP($B30,'2-2_算定表①(旧々・旧制度)'!$B$8:$U$65536,17,FALSE))</f>
      </c>
      <c r="P30" s="82">
        <f>IF($B30="","",VLOOKUP($B30,'2-2_算定表①(旧々・旧制度)'!$B$8:$U$65536,17,FALSE))</f>
      </c>
      <c r="Q30" s="82">
        <f>IF($B30="","",VLOOKUP($B30,'2-2_算定表①(旧々・旧制度)'!$B$8:$U$65536,17,FALSE))</f>
      </c>
      <c r="R30" s="82">
        <f>IF($B30="","",VLOOKUP($B30,'2-2_算定表①(旧々・旧制度)'!$B$8:$U$65536,17,FALSE))</f>
      </c>
      <c r="S30" s="82">
        <f>IF($B30="","",VLOOKUP($B30,'2-2_算定表①(旧々・旧制度)'!$B$8:$U$65536,17,FALSE))</f>
      </c>
      <c r="T30" s="82">
        <f>IF($B30="","",VLOOKUP($B30,'2-2_算定表①(旧々・旧制度)'!$B$8:$U$65536,17,FALSE))</f>
      </c>
      <c r="U30" s="82">
        <f>IF($B30="","",VLOOKUP($B30,'2-2_算定表①(旧々・旧制度)'!$B$8:$U$65536,17,FALSE))</f>
      </c>
      <c r="V30" s="527">
        <f>IF($B30="","",VLOOKUP($B30,'2-2_算定表①(旧々・旧制度)'!$B$8:$U$65536,17,FALSE))</f>
      </c>
      <c r="W30" s="89">
        <f t="shared" si="0"/>
      </c>
      <c r="X30" s="86">
        <f t="shared" si="1"/>
      </c>
      <c r="Y30" s="83">
        <f t="shared" si="2"/>
      </c>
      <c r="Z30" s="95">
        <f t="shared" si="3"/>
      </c>
      <c r="AA30" s="92">
        <f t="shared" si="4"/>
      </c>
      <c r="AB30" s="89">
        <f t="shared" si="5"/>
      </c>
      <c r="AC30" s="60">
        <f>IF(B30="","",ROUNDUP((G30/VLOOKUP($B30,'2-2_算定表①(旧々・旧制度)'!$B$8:$AJ$44,9,FALSE)*W30)+(I30/VLOOKUP($B30,'2-2_算定表①(旧々・旧制度)'!$B$8:$AJ$44,9,FALSE)*X30)+(G30/VLOOKUP($B30,'2-2_算定表①(旧々・旧制度)'!$B$8:$AJ$44,9,FALSE)*Y30)+(I30/VLOOKUP($B30,'2-2_算定表①(旧々・旧制度)'!$B$8:$AJ$44,9,FALSE)*Z30),0))</f>
      </c>
      <c r="AD30" s="530">
        <f t="shared" si="6"/>
      </c>
      <c r="AE30" s="1016">
        <f>IF(B30="","",VLOOKUP($B30,'2-2_算定表①(旧々・旧制度)'!$B$8:$AH$65536,33,FALSE))</f>
      </c>
      <c r="AF30" s="1017" t="s">
        <v>182</v>
      </c>
      <c r="AG30" s="1018" t="s">
        <v>182</v>
      </c>
      <c r="AI30" s="61">
        <f>IF(A30&gt;0,ASC(C30&amp;H30),"")</f>
      </c>
      <c r="AJ30" s="61">
        <f t="shared" si="7"/>
      </c>
    </row>
    <row r="31" spans="1:36" s="53" customFormat="1" ht="18.75" customHeight="1">
      <c r="A31" s="27">
        <f t="shared" si="8"/>
      </c>
      <c r="B31" s="577"/>
      <c r="C31" s="290">
        <f>IF($B31="","",VLOOKUP($B31,'2-2_算定表①(旧々・旧制度)'!$B$8:$U$65536,2,FALSE))</f>
      </c>
      <c r="D31" s="81">
        <f>IF($B31="","",VLOOKUP($B31,'2-2_算定表①(旧々・旧制度)'!$B$8:$U$65536,3,FALSE))</f>
      </c>
      <c r="E31" s="81">
        <f>IF($B31="","",VLOOKUP($B31,'2-2_算定表①(旧々・旧制度)'!$B$8:$U$65536,6,FALSE))</f>
      </c>
      <c r="F31" s="580">
        <f>IF(B31="","",VLOOKUP($B31,'2-2_算定表①(旧々・旧制度)'!$B$8:$U$65536,14,FALSE))</f>
      </c>
      <c r="G31" s="583">
        <f>IF(B31="","",VLOOKUP($B31,'2-2_算定表①(旧々・旧制度)'!$B$8:$U$65536,16,FALSE))</f>
      </c>
      <c r="H31" s="580">
        <f>IF(B31="","",VLOOKUP($B31,'2-2_算定表①(旧々・旧制度)'!$B$8:$U$65536,17,FALSE))</f>
      </c>
      <c r="I31" s="583">
        <f>IF(B31="","",VLOOKUP($B31,'2-2_算定表①(旧々・旧制度)'!$B$8:$U$65536,19,FALSE))</f>
      </c>
      <c r="J31" s="60">
        <f>IF(B31="","",VLOOKUP($B31,'2-2_算定表①(旧々・旧制度)'!$B$8:$U$65536,20,FALSE))</f>
      </c>
      <c r="K31" s="571">
        <f>IF($B31="","",VLOOKUP($B31,'2-2_算定表①(旧々・旧制度)'!$B$8:$U$65536,14,FALSE))</f>
      </c>
      <c r="L31" s="524">
        <f>IF($B31="","",VLOOKUP($B31,'2-2_算定表①(旧々・旧制度)'!$B$8:$U$65536,14,FALSE))</f>
      </c>
      <c r="M31" s="307">
        <f>IF($B31="","",VLOOKUP($B31,'2-2_算定表①(旧々・旧制度)'!$B$8:$U$65536,14,FALSE))</f>
      </c>
      <c r="N31" s="526">
        <f>IF($B31="","",VLOOKUP($B31,'2-2_算定表①(旧々・旧制度)'!$B$8:$U$65536,17,FALSE))</f>
      </c>
      <c r="O31" s="82">
        <f>IF($B31="","",VLOOKUP($B31,'2-2_算定表①(旧々・旧制度)'!$B$8:$U$65536,17,FALSE))</f>
      </c>
      <c r="P31" s="82">
        <f>IF($B31="","",VLOOKUP($B31,'2-2_算定表①(旧々・旧制度)'!$B$8:$U$65536,17,FALSE))</f>
      </c>
      <c r="Q31" s="82">
        <f>IF($B31="","",VLOOKUP($B31,'2-2_算定表①(旧々・旧制度)'!$B$8:$U$65536,17,FALSE))</f>
      </c>
      <c r="R31" s="82">
        <f>IF($B31="","",VLOOKUP($B31,'2-2_算定表①(旧々・旧制度)'!$B$8:$U$65536,17,FALSE))</f>
      </c>
      <c r="S31" s="82">
        <f>IF($B31="","",VLOOKUP($B31,'2-2_算定表①(旧々・旧制度)'!$B$8:$U$65536,17,FALSE))</f>
      </c>
      <c r="T31" s="82">
        <f>IF($B31="","",VLOOKUP($B31,'2-2_算定表①(旧々・旧制度)'!$B$8:$U$65536,17,FALSE))</f>
      </c>
      <c r="U31" s="82">
        <f>IF($B31="","",VLOOKUP($B31,'2-2_算定表①(旧々・旧制度)'!$B$8:$U$65536,17,FALSE))</f>
      </c>
      <c r="V31" s="527">
        <f>IF($B31="","",VLOOKUP($B31,'2-2_算定表①(旧々・旧制度)'!$B$8:$U$65536,17,FALSE))</f>
      </c>
      <c r="W31" s="89">
        <f t="shared" si="0"/>
      </c>
      <c r="X31" s="86">
        <f t="shared" si="1"/>
      </c>
      <c r="Y31" s="83">
        <f t="shared" si="2"/>
      </c>
      <c r="Z31" s="95">
        <f t="shared" si="3"/>
      </c>
      <c r="AA31" s="92">
        <f t="shared" si="4"/>
      </c>
      <c r="AB31" s="89">
        <f t="shared" si="5"/>
      </c>
      <c r="AC31" s="60">
        <f>IF(B31="","",ROUNDUP((G31/VLOOKUP($B31,'2-2_算定表①(旧々・旧制度)'!$B$8:$AJ$44,9,FALSE)*W31)+(I31/VLOOKUP($B31,'2-2_算定表①(旧々・旧制度)'!$B$8:$AJ$44,9,FALSE)*X31)+(G31/VLOOKUP($B31,'2-2_算定表①(旧々・旧制度)'!$B$8:$AJ$44,9,FALSE)*Y31)+(I31/VLOOKUP($B31,'2-2_算定表①(旧々・旧制度)'!$B$8:$AJ$44,9,FALSE)*Z31),0))</f>
      </c>
      <c r="AD31" s="530">
        <f t="shared" si="6"/>
      </c>
      <c r="AE31" s="1016">
        <f>IF(B31="","",VLOOKUP($B31,'2-2_算定表①(旧々・旧制度)'!$B$8:$AH$65536,33,FALSE))</f>
      </c>
      <c r="AF31" s="1017" t="s">
        <v>182</v>
      </c>
      <c r="AG31" s="1018" t="s">
        <v>182</v>
      </c>
      <c r="AI31" s="61">
        <f>IF(A31&gt;0,ASC(C31&amp;H31),"")</f>
      </c>
      <c r="AJ31" s="61">
        <f t="shared" si="7"/>
      </c>
    </row>
    <row r="32" spans="1:36" s="53" customFormat="1" ht="18.75" customHeight="1">
      <c r="A32" s="27">
        <f t="shared" si="8"/>
      </c>
      <c r="B32" s="577"/>
      <c r="C32" s="290">
        <f>IF($B32="","",VLOOKUP($B32,'2-2_算定表①(旧々・旧制度)'!$B$8:$U$65536,2,FALSE))</f>
      </c>
      <c r="D32" s="81">
        <f>IF($B32="","",VLOOKUP($B32,'2-2_算定表①(旧々・旧制度)'!$B$8:$U$65536,3,FALSE))</f>
      </c>
      <c r="E32" s="81">
        <f>IF($B32="","",VLOOKUP($B32,'2-2_算定表①(旧々・旧制度)'!$B$8:$U$65536,6,FALSE))</f>
      </c>
      <c r="F32" s="580">
        <f>IF(B32="","",VLOOKUP($B32,'2-2_算定表①(旧々・旧制度)'!$B$8:$U$65536,14,FALSE))</f>
      </c>
      <c r="G32" s="583">
        <f>IF(B32="","",VLOOKUP($B32,'2-2_算定表①(旧々・旧制度)'!$B$8:$U$65536,16,FALSE))</f>
      </c>
      <c r="H32" s="580">
        <f>IF(B32="","",VLOOKUP($B32,'2-2_算定表①(旧々・旧制度)'!$B$8:$U$65536,17,FALSE))</f>
      </c>
      <c r="I32" s="583">
        <f>IF(B32="","",VLOOKUP($B32,'2-2_算定表①(旧々・旧制度)'!$B$8:$U$65536,19,FALSE))</f>
      </c>
      <c r="J32" s="60">
        <f>IF(B32="","",VLOOKUP($B32,'2-2_算定表①(旧々・旧制度)'!$B$8:$U$65536,20,FALSE))</f>
      </c>
      <c r="K32" s="571">
        <f>IF($B32="","",VLOOKUP($B32,'2-2_算定表①(旧々・旧制度)'!$B$8:$U$65536,14,FALSE))</f>
      </c>
      <c r="L32" s="524">
        <f>IF($B32="","",VLOOKUP($B32,'2-2_算定表①(旧々・旧制度)'!$B$8:$U$65536,14,FALSE))</f>
      </c>
      <c r="M32" s="307">
        <f>IF($B32="","",VLOOKUP($B32,'2-2_算定表①(旧々・旧制度)'!$B$8:$U$65536,14,FALSE))</f>
      </c>
      <c r="N32" s="526">
        <f>IF($B32="","",VLOOKUP($B32,'2-2_算定表①(旧々・旧制度)'!$B$8:$U$65536,17,FALSE))</f>
      </c>
      <c r="O32" s="82">
        <f>IF($B32="","",VLOOKUP($B32,'2-2_算定表①(旧々・旧制度)'!$B$8:$U$65536,17,FALSE))</f>
      </c>
      <c r="P32" s="82">
        <f>IF($B32="","",VLOOKUP($B32,'2-2_算定表①(旧々・旧制度)'!$B$8:$U$65536,17,FALSE))</f>
      </c>
      <c r="Q32" s="82">
        <f>IF($B32="","",VLOOKUP($B32,'2-2_算定表①(旧々・旧制度)'!$B$8:$U$65536,17,FALSE))</f>
      </c>
      <c r="R32" s="82">
        <f>IF($B32="","",VLOOKUP($B32,'2-2_算定表①(旧々・旧制度)'!$B$8:$U$65536,17,FALSE))</f>
      </c>
      <c r="S32" s="82">
        <f>IF($B32="","",VLOOKUP($B32,'2-2_算定表①(旧々・旧制度)'!$B$8:$U$65536,17,FALSE))</f>
      </c>
      <c r="T32" s="82">
        <f>IF($B32="","",VLOOKUP($B32,'2-2_算定表①(旧々・旧制度)'!$B$8:$U$65536,17,FALSE))</f>
      </c>
      <c r="U32" s="82">
        <f>IF($B32="","",VLOOKUP($B32,'2-2_算定表①(旧々・旧制度)'!$B$8:$U$65536,17,FALSE))</f>
      </c>
      <c r="V32" s="527">
        <f>IF($B32="","",VLOOKUP($B32,'2-2_算定表①(旧々・旧制度)'!$B$8:$U$65536,17,FALSE))</f>
      </c>
      <c r="W32" s="89">
        <f t="shared" si="0"/>
      </c>
      <c r="X32" s="86">
        <f t="shared" si="1"/>
      </c>
      <c r="Y32" s="83">
        <f t="shared" si="2"/>
      </c>
      <c r="Z32" s="95">
        <f t="shared" si="3"/>
      </c>
      <c r="AA32" s="92">
        <f t="shared" si="4"/>
      </c>
      <c r="AB32" s="89">
        <f t="shared" si="5"/>
      </c>
      <c r="AC32" s="60">
        <f>IF(B32="","",ROUNDUP((G32/VLOOKUP($B32,'2-2_算定表①(旧々・旧制度)'!$B$8:$AJ$44,9,FALSE)*W32)+(I32/VLOOKUP($B32,'2-2_算定表①(旧々・旧制度)'!$B$8:$AJ$44,9,FALSE)*X32)+(G32/VLOOKUP($B32,'2-2_算定表①(旧々・旧制度)'!$B$8:$AJ$44,9,FALSE)*Y32)+(I32/VLOOKUP($B32,'2-2_算定表①(旧々・旧制度)'!$B$8:$AJ$44,9,FALSE)*Z32),0))</f>
      </c>
      <c r="AD32" s="530">
        <f t="shared" si="6"/>
      </c>
      <c r="AE32" s="1016">
        <f>IF(B32="","",VLOOKUP($B32,'2-2_算定表①(旧々・旧制度)'!$B$8:$AH$65536,33,FALSE))</f>
      </c>
      <c r="AF32" s="1017" t="s">
        <v>182</v>
      </c>
      <c r="AG32" s="1018" t="s">
        <v>182</v>
      </c>
      <c r="AI32" s="61">
        <f>IF(A32&gt;0,ASC(C32&amp;H32),"")</f>
      </c>
      <c r="AJ32" s="61">
        <f t="shared" si="7"/>
      </c>
    </row>
    <row r="33" spans="1:36" s="53" customFormat="1" ht="18.75" customHeight="1">
      <c r="A33" s="27">
        <f t="shared" si="8"/>
      </c>
      <c r="B33" s="577"/>
      <c r="C33" s="290">
        <f>IF($B33="","",VLOOKUP($B33,'2-2_算定表①(旧々・旧制度)'!$B$8:$U$65536,2,FALSE))</f>
      </c>
      <c r="D33" s="81">
        <f>IF($B33="","",VLOOKUP($B33,'2-2_算定表①(旧々・旧制度)'!$B$8:$U$65536,3,FALSE))</f>
      </c>
      <c r="E33" s="81">
        <f>IF($B33="","",VLOOKUP($B33,'2-2_算定表①(旧々・旧制度)'!$B$8:$U$65536,6,FALSE))</f>
      </c>
      <c r="F33" s="580">
        <f>IF(B33="","",VLOOKUP($B33,'2-2_算定表①(旧々・旧制度)'!$B$8:$U$65536,14,FALSE))</f>
      </c>
      <c r="G33" s="583">
        <f>IF(B33="","",VLOOKUP($B33,'2-2_算定表①(旧々・旧制度)'!$B$8:$U$65536,16,FALSE))</f>
      </c>
      <c r="H33" s="580">
        <f>IF(B33="","",VLOOKUP($B33,'2-2_算定表①(旧々・旧制度)'!$B$8:$U$65536,17,FALSE))</f>
      </c>
      <c r="I33" s="583">
        <f>IF(B33="","",VLOOKUP($B33,'2-2_算定表①(旧々・旧制度)'!$B$8:$U$65536,19,FALSE))</f>
      </c>
      <c r="J33" s="60">
        <f>IF(B33="","",VLOOKUP($B33,'2-2_算定表①(旧々・旧制度)'!$B$8:$U$65536,20,FALSE))</f>
      </c>
      <c r="K33" s="571">
        <f>IF($B33="","",VLOOKUP($B33,'2-2_算定表①(旧々・旧制度)'!$B$8:$U$65536,14,FALSE))</f>
      </c>
      <c r="L33" s="524">
        <f>IF($B33="","",VLOOKUP($B33,'2-2_算定表①(旧々・旧制度)'!$B$8:$U$65536,14,FALSE))</f>
      </c>
      <c r="M33" s="307">
        <f>IF($B33="","",VLOOKUP($B33,'2-2_算定表①(旧々・旧制度)'!$B$8:$U$65536,14,FALSE))</f>
      </c>
      <c r="N33" s="526">
        <f>IF($B33="","",VLOOKUP($B33,'2-2_算定表①(旧々・旧制度)'!$B$8:$U$65536,17,FALSE))</f>
      </c>
      <c r="O33" s="82">
        <f>IF($B33="","",VLOOKUP($B33,'2-2_算定表①(旧々・旧制度)'!$B$8:$U$65536,17,FALSE))</f>
      </c>
      <c r="P33" s="82">
        <f>IF($B33="","",VLOOKUP($B33,'2-2_算定表①(旧々・旧制度)'!$B$8:$U$65536,17,FALSE))</f>
      </c>
      <c r="Q33" s="82">
        <f>IF($B33="","",VLOOKUP($B33,'2-2_算定表①(旧々・旧制度)'!$B$8:$U$65536,17,FALSE))</f>
      </c>
      <c r="R33" s="82">
        <f>IF($B33="","",VLOOKUP($B33,'2-2_算定表①(旧々・旧制度)'!$B$8:$U$65536,17,FALSE))</f>
      </c>
      <c r="S33" s="82">
        <f>IF($B33="","",VLOOKUP($B33,'2-2_算定表①(旧々・旧制度)'!$B$8:$U$65536,17,FALSE))</f>
      </c>
      <c r="T33" s="82">
        <f>IF($B33="","",VLOOKUP($B33,'2-2_算定表①(旧々・旧制度)'!$B$8:$U$65536,17,FALSE))</f>
      </c>
      <c r="U33" s="82">
        <f>IF($B33="","",VLOOKUP($B33,'2-2_算定表①(旧々・旧制度)'!$B$8:$U$65536,17,FALSE))</f>
      </c>
      <c r="V33" s="527">
        <f>IF($B33="","",VLOOKUP($B33,'2-2_算定表①(旧々・旧制度)'!$B$8:$U$65536,17,FALSE))</f>
      </c>
      <c r="W33" s="89">
        <f t="shared" si="0"/>
      </c>
      <c r="X33" s="86">
        <f t="shared" si="1"/>
      </c>
      <c r="Y33" s="83">
        <f t="shared" si="2"/>
      </c>
      <c r="Z33" s="95">
        <f t="shared" si="3"/>
      </c>
      <c r="AA33" s="92">
        <f t="shared" si="4"/>
      </c>
      <c r="AB33" s="89">
        <f t="shared" si="5"/>
      </c>
      <c r="AC33" s="60">
        <f>IF(B33="","",ROUNDUP((G33/VLOOKUP($B33,'2-2_算定表①(旧々・旧制度)'!$B$8:$AJ$44,9,FALSE)*W33)+(I33/VLOOKUP($B33,'2-2_算定表①(旧々・旧制度)'!$B$8:$AJ$44,9,FALSE)*X33)+(G33/VLOOKUP($B33,'2-2_算定表①(旧々・旧制度)'!$B$8:$AJ$44,9,FALSE)*Y33)+(I33/VLOOKUP($B33,'2-2_算定表①(旧々・旧制度)'!$B$8:$AJ$44,9,FALSE)*Z33),0))</f>
      </c>
      <c r="AD33" s="530">
        <f t="shared" si="6"/>
      </c>
      <c r="AE33" s="1016">
        <f>IF(B33="","",VLOOKUP($B33,'2-2_算定表①(旧々・旧制度)'!$B$8:$AH$65536,33,FALSE))</f>
      </c>
      <c r="AF33" s="1017" t="s">
        <v>182</v>
      </c>
      <c r="AG33" s="1018" t="s">
        <v>182</v>
      </c>
      <c r="AI33" s="61">
        <f t="shared" si="9"/>
      </c>
      <c r="AJ33" s="61">
        <f t="shared" si="7"/>
      </c>
    </row>
    <row r="34" spans="1:36" s="53" customFormat="1" ht="18.75" customHeight="1">
      <c r="A34" s="27">
        <f t="shared" si="8"/>
      </c>
      <c r="B34" s="577"/>
      <c r="C34" s="290">
        <f>IF($B34="","",VLOOKUP($B34,'2-2_算定表①(旧々・旧制度)'!$B$8:$U$65536,2,FALSE))</f>
      </c>
      <c r="D34" s="81">
        <f>IF($B34="","",VLOOKUP($B34,'2-2_算定表①(旧々・旧制度)'!$B$8:$U$65536,3,FALSE))</f>
      </c>
      <c r="E34" s="81">
        <f>IF($B34="","",VLOOKUP($B34,'2-2_算定表①(旧々・旧制度)'!$B$8:$U$65536,6,FALSE))</f>
      </c>
      <c r="F34" s="580">
        <f>IF(B34="","",VLOOKUP($B34,'2-2_算定表①(旧々・旧制度)'!$B$8:$U$65536,14,FALSE))</f>
      </c>
      <c r="G34" s="583">
        <f>IF(B34="","",VLOOKUP($B34,'2-2_算定表①(旧々・旧制度)'!$B$8:$U$65536,16,FALSE))</f>
      </c>
      <c r="H34" s="580">
        <f>IF(B34="","",VLOOKUP($B34,'2-2_算定表①(旧々・旧制度)'!$B$8:$U$65536,17,FALSE))</f>
      </c>
      <c r="I34" s="583">
        <f>IF(B34="","",VLOOKUP($B34,'2-2_算定表①(旧々・旧制度)'!$B$8:$U$65536,19,FALSE))</f>
      </c>
      <c r="J34" s="60">
        <f>IF(B34="","",VLOOKUP($B34,'2-2_算定表①(旧々・旧制度)'!$B$8:$U$65536,20,FALSE))</f>
      </c>
      <c r="K34" s="571">
        <f>IF($B34="","",VLOOKUP($B34,'2-2_算定表①(旧々・旧制度)'!$B$8:$U$65536,14,FALSE))</f>
      </c>
      <c r="L34" s="524">
        <f>IF($B34="","",VLOOKUP($B34,'2-2_算定表①(旧々・旧制度)'!$B$8:$U$65536,14,FALSE))</f>
      </c>
      <c r="M34" s="307">
        <f>IF($B34="","",VLOOKUP($B34,'2-2_算定表①(旧々・旧制度)'!$B$8:$U$65536,14,FALSE))</f>
      </c>
      <c r="N34" s="526">
        <f>IF($B34="","",VLOOKUP($B34,'2-2_算定表①(旧々・旧制度)'!$B$8:$U$65536,17,FALSE))</f>
      </c>
      <c r="O34" s="82">
        <f>IF($B34="","",VLOOKUP($B34,'2-2_算定表①(旧々・旧制度)'!$B$8:$U$65536,17,FALSE))</f>
      </c>
      <c r="P34" s="82">
        <f>IF($B34="","",VLOOKUP($B34,'2-2_算定表①(旧々・旧制度)'!$B$8:$U$65536,17,FALSE))</f>
      </c>
      <c r="Q34" s="82">
        <f>IF($B34="","",VLOOKUP($B34,'2-2_算定表①(旧々・旧制度)'!$B$8:$U$65536,17,FALSE))</f>
      </c>
      <c r="R34" s="82">
        <f>IF($B34="","",VLOOKUP($B34,'2-2_算定表①(旧々・旧制度)'!$B$8:$U$65536,17,FALSE))</f>
      </c>
      <c r="S34" s="82">
        <f>IF($B34="","",VLOOKUP($B34,'2-2_算定表①(旧々・旧制度)'!$B$8:$U$65536,17,FALSE))</f>
      </c>
      <c r="T34" s="82">
        <f>IF($B34="","",VLOOKUP($B34,'2-2_算定表①(旧々・旧制度)'!$B$8:$U$65536,17,FALSE))</f>
      </c>
      <c r="U34" s="82">
        <f>IF($B34="","",VLOOKUP($B34,'2-2_算定表①(旧々・旧制度)'!$B$8:$U$65536,17,FALSE))</f>
      </c>
      <c r="V34" s="527">
        <f>IF($B34="","",VLOOKUP($B34,'2-2_算定表①(旧々・旧制度)'!$B$8:$U$65536,17,FALSE))</f>
      </c>
      <c r="W34" s="89">
        <f t="shared" si="0"/>
      </c>
      <c r="X34" s="86">
        <f t="shared" si="1"/>
      </c>
      <c r="Y34" s="83">
        <f t="shared" si="2"/>
      </c>
      <c r="Z34" s="95">
        <f t="shared" si="3"/>
      </c>
      <c r="AA34" s="92">
        <f t="shared" si="4"/>
      </c>
      <c r="AB34" s="89">
        <f t="shared" si="5"/>
      </c>
      <c r="AC34" s="60">
        <f>IF(B34="","",ROUNDUP((G34/VLOOKUP($B34,'2-2_算定表①(旧々・旧制度)'!$B$8:$AJ$44,9,FALSE)*W34)+(I34/VLOOKUP($B34,'2-2_算定表①(旧々・旧制度)'!$B$8:$AJ$44,9,FALSE)*X34)+(G34/VLOOKUP($B34,'2-2_算定表①(旧々・旧制度)'!$B$8:$AJ$44,9,FALSE)*Y34)+(I34/VLOOKUP($B34,'2-2_算定表①(旧々・旧制度)'!$B$8:$AJ$44,9,FALSE)*Z34),0))</f>
      </c>
      <c r="AD34" s="530">
        <f t="shared" si="6"/>
      </c>
      <c r="AE34" s="1016">
        <f>IF(B34="","",VLOOKUP($B34,'2-2_算定表①(旧々・旧制度)'!$B$8:$AH$65536,33,FALSE))</f>
      </c>
      <c r="AF34" s="1017" t="s">
        <v>182</v>
      </c>
      <c r="AG34" s="1018" t="s">
        <v>182</v>
      </c>
      <c r="AI34" s="61">
        <f t="shared" si="9"/>
      </c>
      <c r="AJ34" s="61">
        <f t="shared" si="7"/>
      </c>
    </row>
    <row r="35" spans="1:36" s="53" customFormat="1" ht="18.75" customHeight="1">
      <c r="A35" s="27">
        <f t="shared" si="8"/>
      </c>
      <c r="B35" s="577"/>
      <c r="C35" s="290">
        <f>IF($B35="","",VLOOKUP($B35,'2-2_算定表①(旧々・旧制度)'!$B$8:$U$65536,2,FALSE))</f>
      </c>
      <c r="D35" s="81">
        <f>IF($B35="","",VLOOKUP($B35,'2-2_算定表①(旧々・旧制度)'!$B$8:$U$65536,3,FALSE))</f>
      </c>
      <c r="E35" s="81">
        <f>IF($B35="","",VLOOKUP($B35,'2-2_算定表①(旧々・旧制度)'!$B$8:$U$65536,6,FALSE))</f>
      </c>
      <c r="F35" s="580">
        <f>IF(B35="","",VLOOKUP($B35,'2-2_算定表①(旧々・旧制度)'!$B$8:$U$65536,14,FALSE))</f>
      </c>
      <c r="G35" s="583">
        <f>IF(B35="","",VLOOKUP($B35,'2-2_算定表①(旧々・旧制度)'!$B$8:$U$65536,16,FALSE))</f>
      </c>
      <c r="H35" s="580">
        <f>IF(B35="","",VLOOKUP($B35,'2-2_算定表①(旧々・旧制度)'!$B$8:$U$65536,17,FALSE))</f>
      </c>
      <c r="I35" s="583">
        <f>IF(B35="","",VLOOKUP($B35,'2-2_算定表①(旧々・旧制度)'!$B$8:$U$65536,19,FALSE))</f>
      </c>
      <c r="J35" s="60">
        <f>IF(B35="","",VLOOKUP($B35,'2-2_算定表①(旧々・旧制度)'!$B$8:$U$65536,20,FALSE))</f>
      </c>
      <c r="K35" s="571">
        <f>IF($B35="","",VLOOKUP($B35,'2-2_算定表①(旧々・旧制度)'!$B$8:$U$65536,14,FALSE))</f>
      </c>
      <c r="L35" s="524">
        <f>IF($B35="","",VLOOKUP($B35,'2-2_算定表①(旧々・旧制度)'!$B$8:$U$65536,14,FALSE))</f>
      </c>
      <c r="M35" s="307">
        <f>IF($B35="","",VLOOKUP($B35,'2-2_算定表①(旧々・旧制度)'!$B$8:$U$65536,14,FALSE))</f>
      </c>
      <c r="N35" s="526">
        <f>IF($B35="","",VLOOKUP($B35,'2-2_算定表①(旧々・旧制度)'!$B$8:$U$65536,17,FALSE))</f>
      </c>
      <c r="O35" s="82">
        <f>IF($B35="","",VLOOKUP($B35,'2-2_算定表①(旧々・旧制度)'!$B$8:$U$65536,17,FALSE))</f>
      </c>
      <c r="P35" s="82">
        <f>IF($B35="","",VLOOKUP($B35,'2-2_算定表①(旧々・旧制度)'!$B$8:$U$65536,17,FALSE))</f>
      </c>
      <c r="Q35" s="82">
        <f>IF($B35="","",VLOOKUP($B35,'2-2_算定表①(旧々・旧制度)'!$B$8:$U$65536,17,FALSE))</f>
      </c>
      <c r="R35" s="82">
        <f>IF($B35="","",VLOOKUP($B35,'2-2_算定表①(旧々・旧制度)'!$B$8:$U$65536,17,FALSE))</f>
      </c>
      <c r="S35" s="82">
        <f>IF($B35="","",VLOOKUP($B35,'2-2_算定表①(旧々・旧制度)'!$B$8:$U$65536,17,FALSE))</f>
      </c>
      <c r="T35" s="82">
        <f>IF($B35="","",VLOOKUP($B35,'2-2_算定表①(旧々・旧制度)'!$B$8:$U$65536,17,FALSE))</f>
      </c>
      <c r="U35" s="82">
        <f>IF($B35="","",VLOOKUP($B35,'2-2_算定表①(旧々・旧制度)'!$B$8:$U$65536,17,FALSE))</f>
      </c>
      <c r="V35" s="527">
        <f>IF($B35="","",VLOOKUP($B35,'2-2_算定表①(旧々・旧制度)'!$B$8:$U$65536,17,FALSE))</f>
      </c>
      <c r="W35" s="89">
        <f t="shared" si="0"/>
      </c>
      <c r="X35" s="86">
        <f t="shared" si="1"/>
      </c>
      <c r="Y35" s="83">
        <f t="shared" si="2"/>
      </c>
      <c r="Z35" s="95">
        <f t="shared" si="3"/>
      </c>
      <c r="AA35" s="92">
        <f t="shared" si="4"/>
      </c>
      <c r="AB35" s="89">
        <f t="shared" si="5"/>
      </c>
      <c r="AC35" s="60">
        <f>IF(B35="","",ROUNDUP((G35/VLOOKUP($B35,'2-2_算定表①(旧々・旧制度)'!$B$8:$AJ$44,9,FALSE)*W35)+(I35/VLOOKUP($B35,'2-2_算定表①(旧々・旧制度)'!$B$8:$AJ$44,9,FALSE)*X35)+(G35/VLOOKUP($B35,'2-2_算定表①(旧々・旧制度)'!$B$8:$AJ$44,9,FALSE)*Y35)+(I35/VLOOKUP($B35,'2-2_算定表①(旧々・旧制度)'!$B$8:$AJ$44,9,FALSE)*Z35),0))</f>
      </c>
      <c r="AD35" s="530">
        <f t="shared" si="6"/>
      </c>
      <c r="AE35" s="1016">
        <f>IF(B35="","",VLOOKUP($B35,'2-2_算定表①(旧々・旧制度)'!$B$8:$AH$65536,33,FALSE))</f>
      </c>
      <c r="AF35" s="1017" t="s">
        <v>182</v>
      </c>
      <c r="AG35" s="1018" t="s">
        <v>182</v>
      </c>
      <c r="AI35" s="61">
        <f t="shared" si="9"/>
      </c>
      <c r="AJ35" s="61">
        <f t="shared" si="7"/>
      </c>
    </row>
    <row r="36" spans="1:36" s="53" customFormat="1" ht="18.75" customHeight="1">
      <c r="A36" s="27">
        <f t="shared" si="8"/>
      </c>
      <c r="B36" s="577"/>
      <c r="C36" s="290">
        <f>IF($B36="","",VLOOKUP($B36,'2-2_算定表①(旧々・旧制度)'!$B$8:$U$65536,2,FALSE))</f>
      </c>
      <c r="D36" s="81">
        <f>IF($B36="","",VLOOKUP($B36,'2-2_算定表①(旧々・旧制度)'!$B$8:$U$65536,3,FALSE))</f>
      </c>
      <c r="E36" s="81">
        <f>IF($B36="","",VLOOKUP($B36,'2-2_算定表①(旧々・旧制度)'!$B$8:$U$65536,6,FALSE))</f>
      </c>
      <c r="F36" s="580">
        <f>IF(B36="","",VLOOKUP($B36,'2-2_算定表①(旧々・旧制度)'!$B$8:$U$65536,14,FALSE))</f>
      </c>
      <c r="G36" s="583">
        <f>IF(B36="","",VLOOKUP($B36,'2-2_算定表①(旧々・旧制度)'!$B$8:$U$65536,16,FALSE))</f>
      </c>
      <c r="H36" s="580">
        <f>IF(B36="","",VLOOKUP($B36,'2-2_算定表①(旧々・旧制度)'!$B$8:$U$65536,17,FALSE))</f>
      </c>
      <c r="I36" s="583">
        <f>IF(B36="","",VLOOKUP($B36,'2-2_算定表①(旧々・旧制度)'!$B$8:$U$65536,19,FALSE))</f>
      </c>
      <c r="J36" s="60">
        <f>IF(B36="","",VLOOKUP($B36,'2-2_算定表①(旧々・旧制度)'!$B$8:$U$65536,20,FALSE))</f>
      </c>
      <c r="K36" s="571">
        <f>IF($B36="","",VLOOKUP($B36,'2-2_算定表①(旧々・旧制度)'!$B$8:$U$65536,14,FALSE))</f>
      </c>
      <c r="L36" s="524">
        <f>IF($B36="","",VLOOKUP($B36,'2-2_算定表①(旧々・旧制度)'!$B$8:$U$65536,14,FALSE))</f>
      </c>
      <c r="M36" s="307">
        <f>IF($B36="","",VLOOKUP($B36,'2-2_算定表①(旧々・旧制度)'!$B$8:$U$65536,14,FALSE))</f>
      </c>
      <c r="N36" s="526">
        <f>IF($B36="","",VLOOKUP($B36,'2-2_算定表①(旧々・旧制度)'!$B$8:$U$65536,17,FALSE))</f>
      </c>
      <c r="O36" s="82">
        <f>IF($B36="","",VLOOKUP($B36,'2-2_算定表①(旧々・旧制度)'!$B$8:$U$65536,17,FALSE))</f>
      </c>
      <c r="P36" s="82">
        <f>IF($B36="","",VLOOKUP($B36,'2-2_算定表①(旧々・旧制度)'!$B$8:$U$65536,17,FALSE))</f>
      </c>
      <c r="Q36" s="82">
        <f>IF($B36="","",VLOOKUP($B36,'2-2_算定表①(旧々・旧制度)'!$B$8:$U$65536,17,FALSE))</f>
      </c>
      <c r="R36" s="82">
        <f>IF($B36="","",VLOOKUP($B36,'2-2_算定表①(旧々・旧制度)'!$B$8:$U$65536,17,FALSE))</f>
      </c>
      <c r="S36" s="82">
        <f>IF($B36="","",VLOOKUP($B36,'2-2_算定表①(旧々・旧制度)'!$B$8:$U$65536,17,FALSE))</f>
      </c>
      <c r="T36" s="82">
        <f>IF($B36="","",VLOOKUP($B36,'2-2_算定表①(旧々・旧制度)'!$B$8:$U$65536,17,FALSE))</f>
      </c>
      <c r="U36" s="82">
        <f>IF($B36="","",VLOOKUP($B36,'2-2_算定表①(旧々・旧制度)'!$B$8:$U$65536,17,FALSE))</f>
      </c>
      <c r="V36" s="527">
        <f>IF($B36="","",VLOOKUP($B36,'2-2_算定表①(旧々・旧制度)'!$B$8:$U$65536,17,FALSE))</f>
      </c>
      <c r="W36" s="89">
        <f t="shared" si="0"/>
      </c>
      <c r="X36" s="86">
        <f t="shared" si="1"/>
      </c>
      <c r="Y36" s="83">
        <f t="shared" si="2"/>
      </c>
      <c r="Z36" s="95">
        <f t="shared" si="3"/>
      </c>
      <c r="AA36" s="92">
        <f t="shared" si="4"/>
      </c>
      <c r="AB36" s="89">
        <f t="shared" si="5"/>
      </c>
      <c r="AC36" s="60">
        <f>IF(B36="","",ROUNDUP((G36/VLOOKUP($B36,'2-2_算定表①(旧々・旧制度)'!$B$8:$AJ$44,9,FALSE)*W36)+(I36/VLOOKUP($B36,'2-2_算定表①(旧々・旧制度)'!$B$8:$AJ$44,9,FALSE)*X36)+(G36/VLOOKUP($B36,'2-2_算定表①(旧々・旧制度)'!$B$8:$AJ$44,9,FALSE)*Y36)+(I36/VLOOKUP($B36,'2-2_算定表①(旧々・旧制度)'!$B$8:$AJ$44,9,FALSE)*Z36),0))</f>
      </c>
      <c r="AD36" s="530">
        <f t="shared" si="6"/>
      </c>
      <c r="AE36" s="1016">
        <f>IF(B36="","",VLOOKUP($B36,'2-2_算定表①(旧々・旧制度)'!$B$8:$AH$65536,33,FALSE))</f>
      </c>
      <c r="AF36" s="1017" t="s">
        <v>182</v>
      </c>
      <c r="AG36" s="1018" t="s">
        <v>182</v>
      </c>
      <c r="AI36" s="61">
        <f t="shared" si="9"/>
      </c>
      <c r="AJ36" s="61">
        <f t="shared" si="7"/>
      </c>
    </row>
    <row r="37" spans="1:36" s="53" customFormat="1" ht="18.75" customHeight="1">
      <c r="A37" s="27">
        <f t="shared" si="8"/>
      </c>
      <c r="B37" s="577"/>
      <c r="C37" s="290">
        <f>IF($B37="","",VLOOKUP($B37,'2-2_算定表①(旧々・旧制度)'!$B$8:$U$65536,2,FALSE))</f>
      </c>
      <c r="D37" s="81">
        <f>IF($B37="","",VLOOKUP($B37,'2-2_算定表①(旧々・旧制度)'!$B$8:$U$65536,3,FALSE))</f>
      </c>
      <c r="E37" s="81">
        <f>IF($B37="","",VLOOKUP($B37,'2-2_算定表①(旧々・旧制度)'!$B$8:$U$65536,6,FALSE))</f>
      </c>
      <c r="F37" s="580">
        <f>IF(B37="","",VLOOKUP($B37,'2-2_算定表①(旧々・旧制度)'!$B$8:$U$65536,14,FALSE))</f>
      </c>
      <c r="G37" s="583">
        <f>IF(B37="","",VLOOKUP($B37,'2-2_算定表①(旧々・旧制度)'!$B$8:$U$65536,16,FALSE))</f>
      </c>
      <c r="H37" s="580">
        <f>IF(B37="","",VLOOKUP($B37,'2-2_算定表①(旧々・旧制度)'!$B$8:$U$65536,17,FALSE))</f>
      </c>
      <c r="I37" s="583">
        <f>IF(B37="","",VLOOKUP($B37,'2-2_算定表①(旧々・旧制度)'!$B$8:$U$65536,19,FALSE))</f>
      </c>
      <c r="J37" s="60">
        <f>IF(B37="","",VLOOKUP($B37,'2-2_算定表①(旧々・旧制度)'!$B$8:$U$65536,20,FALSE))</f>
      </c>
      <c r="K37" s="571">
        <f>IF($B37="","",VLOOKUP($B37,'2-2_算定表①(旧々・旧制度)'!$B$8:$U$65536,14,FALSE))</f>
      </c>
      <c r="L37" s="524">
        <f>IF($B37="","",VLOOKUP($B37,'2-2_算定表①(旧々・旧制度)'!$B$8:$U$65536,14,FALSE))</f>
      </c>
      <c r="M37" s="307">
        <f>IF($B37="","",VLOOKUP($B37,'2-2_算定表①(旧々・旧制度)'!$B$8:$U$65536,14,FALSE))</f>
      </c>
      <c r="N37" s="526">
        <f>IF($B37="","",VLOOKUP($B37,'2-2_算定表①(旧々・旧制度)'!$B$8:$U$65536,17,FALSE))</f>
      </c>
      <c r="O37" s="82">
        <f>IF($B37="","",VLOOKUP($B37,'2-2_算定表①(旧々・旧制度)'!$B$8:$U$65536,17,FALSE))</f>
      </c>
      <c r="P37" s="82">
        <f>IF($B37="","",VLOOKUP($B37,'2-2_算定表①(旧々・旧制度)'!$B$8:$U$65536,17,FALSE))</f>
      </c>
      <c r="Q37" s="82">
        <f>IF($B37="","",VLOOKUP($B37,'2-2_算定表①(旧々・旧制度)'!$B$8:$U$65536,17,FALSE))</f>
      </c>
      <c r="R37" s="82">
        <f>IF($B37="","",VLOOKUP($B37,'2-2_算定表①(旧々・旧制度)'!$B$8:$U$65536,17,FALSE))</f>
      </c>
      <c r="S37" s="82">
        <f>IF($B37="","",VLOOKUP($B37,'2-2_算定表①(旧々・旧制度)'!$B$8:$U$65536,17,FALSE))</f>
      </c>
      <c r="T37" s="82">
        <f>IF($B37="","",VLOOKUP($B37,'2-2_算定表①(旧々・旧制度)'!$B$8:$U$65536,17,FALSE))</f>
      </c>
      <c r="U37" s="82">
        <f>IF($B37="","",VLOOKUP($B37,'2-2_算定表①(旧々・旧制度)'!$B$8:$U$65536,17,FALSE))</f>
      </c>
      <c r="V37" s="527">
        <f>IF($B37="","",VLOOKUP($B37,'2-2_算定表①(旧々・旧制度)'!$B$8:$U$65536,17,FALSE))</f>
      </c>
      <c r="W37" s="89">
        <f t="shared" si="0"/>
      </c>
      <c r="X37" s="86">
        <f t="shared" si="1"/>
      </c>
      <c r="Y37" s="83">
        <f t="shared" si="2"/>
      </c>
      <c r="Z37" s="95">
        <f t="shared" si="3"/>
      </c>
      <c r="AA37" s="92">
        <f t="shared" si="4"/>
      </c>
      <c r="AB37" s="89">
        <f t="shared" si="5"/>
      </c>
      <c r="AC37" s="60">
        <f>IF(B37="","",ROUNDUP((G37/VLOOKUP($B37,'2-2_算定表①(旧々・旧制度)'!$B$8:$AJ$44,9,FALSE)*W37)+(I37/VLOOKUP($B37,'2-2_算定表①(旧々・旧制度)'!$B$8:$AJ$44,9,FALSE)*X37)+(G37/VLOOKUP($B37,'2-2_算定表①(旧々・旧制度)'!$B$8:$AJ$44,9,FALSE)*Y37)+(I37/VLOOKUP($B37,'2-2_算定表①(旧々・旧制度)'!$B$8:$AJ$44,9,FALSE)*Z37),0))</f>
      </c>
      <c r="AD37" s="530">
        <f t="shared" si="6"/>
      </c>
      <c r="AE37" s="1016">
        <f>IF(B37="","",VLOOKUP($B37,'2-2_算定表①(旧々・旧制度)'!$B$8:$AH$65536,33,FALSE))</f>
      </c>
      <c r="AF37" s="1017" t="s">
        <v>182</v>
      </c>
      <c r="AG37" s="1018" t="s">
        <v>182</v>
      </c>
      <c r="AI37" s="61">
        <f t="shared" si="9"/>
      </c>
      <c r="AJ37" s="61">
        <f t="shared" si="7"/>
      </c>
    </row>
    <row r="38" spans="1:36" s="53" customFormat="1" ht="18.75" customHeight="1" thickBot="1">
      <c r="A38" s="27">
        <f t="shared" si="8"/>
      </c>
      <c r="B38" s="577"/>
      <c r="C38" s="578">
        <f>IF($B38="","",VLOOKUP($B38,'2-2_算定表①(旧々・旧制度)'!$B$8:$U$65536,2,FALSE))</f>
      </c>
      <c r="D38" s="218">
        <f>IF($B38="","",VLOOKUP($B38,'2-2_算定表①(旧々・旧制度)'!$B$8:$U$65536,3,FALSE))</f>
      </c>
      <c r="E38" s="218">
        <f>IF($B38="","",VLOOKUP($B38,'2-2_算定表①(旧々・旧制度)'!$B$8:$U$65536,6,FALSE))</f>
      </c>
      <c r="F38" s="581">
        <f>IF(B38="","",VLOOKUP($B38,'2-2_算定表①(旧々・旧制度)'!$B$8:$U$65536,14,FALSE))</f>
      </c>
      <c r="G38" s="584">
        <f>IF(B38="","",VLOOKUP($B38,'2-2_算定表①(旧々・旧制度)'!$B$8:$U$65536,16,FALSE))</f>
      </c>
      <c r="H38" s="581">
        <f>IF(B38="","",VLOOKUP($B38,'2-2_算定表①(旧々・旧制度)'!$B$8:$U$65536,17,FALSE))</f>
      </c>
      <c r="I38" s="584">
        <f>IF(B38="","",VLOOKUP($B38,'2-2_算定表①(旧々・旧制度)'!$B$8:$U$65536,19,FALSE))</f>
      </c>
      <c r="J38" s="310">
        <f>IF(B38="","",VLOOKUP($B38,'2-2_算定表①(旧々・旧制度)'!$B$8:$U$65536,20,FALSE))</f>
      </c>
      <c r="K38" s="586">
        <f>IF($B38="","",VLOOKUP($B38,'2-2_算定表①(旧々・旧制度)'!$B$8:$U$65536,14,FALSE))</f>
      </c>
      <c r="L38" s="531">
        <f>IF($B38="","",VLOOKUP($B38,'2-2_算定表①(旧々・旧制度)'!$B$8:$U$65536,14,FALSE))</f>
      </c>
      <c r="M38" s="312">
        <f>IF($B38="","",VLOOKUP($B38,'2-2_算定表①(旧々・旧制度)'!$B$8:$U$65536,14,FALSE))</f>
      </c>
      <c r="N38" s="533">
        <f>IF($B38="","",VLOOKUP($B38,'2-2_算定表①(旧々・旧制度)'!$B$8:$U$65536,17,FALSE))</f>
      </c>
      <c r="O38" s="311">
        <f>IF($B38="","",VLOOKUP($B38,'2-2_算定表①(旧々・旧制度)'!$B$8:$U$65536,17,FALSE))</f>
      </c>
      <c r="P38" s="311">
        <f>IF($B38="","",VLOOKUP($B38,'2-2_算定表①(旧々・旧制度)'!$B$8:$U$65536,17,FALSE))</f>
      </c>
      <c r="Q38" s="311">
        <f>IF($B38="","",VLOOKUP($B38,'2-2_算定表①(旧々・旧制度)'!$B$8:$U$65536,17,FALSE))</f>
      </c>
      <c r="R38" s="311">
        <f>IF($B38="","",VLOOKUP($B38,'2-2_算定表①(旧々・旧制度)'!$B$8:$U$65536,17,FALSE))</f>
      </c>
      <c r="S38" s="311">
        <f>IF($B38="","",VLOOKUP($B38,'2-2_算定表①(旧々・旧制度)'!$B$8:$U$65536,17,FALSE))</f>
      </c>
      <c r="T38" s="311">
        <f>IF($B38="","",VLOOKUP($B38,'2-2_算定表①(旧々・旧制度)'!$B$8:$U$65536,17,FALSE))</f>
      </c>
      <c r="U38" s="311">
        <f>IF($B38="","",VLOOKUP($B38,'2-2_算定表①(旧々・旧制度)'!$B$8:$U$65536,17,FALSE))</f>
      </c>
      <c r="V38" s="534">
        <f>IF($B38="","",VLOOKUP($B38,'2-2_算定表①(旧々・旧制度)'!$B$8:$U$65536,17,FALSE))</f>
      </c>
      <c r="W38" s="89">
        <f t="shared" si="0"/>
      </c>
      <c r="X38" s="86">
        <f t="shared" si="1"/>
      </c>
      <c r="Y38" s="83">
        <f t="shared" si="2"/>
      </c>
      <c r="Z38" s="95">
        <f t="shared" si="3"/>
      </c>
      <c r="AA38" s="92">
        <f t="shared" si="4"/>
      </c>
      <c r="AB38" s="89">
        <f t="shared" si="5"/>
      </c>
      <c r="AC38" s="310">
        <f>IF(B38="","",ROUNDUP((G38/VLOOKUP($B38,'2-2_算定表①(旧々・旧制度)'!$B$8:$AJ$44,9,FALSE)*W38)+(I38/VLOOKUP($B38,'2-2_算定表①(旧々・旧制度)'!$B$8:$AJ$44,9,FALSE)*X38)+(G38/VLOOKUP($B38,'2-2_算定表①(旧々・旧制度)'!$B$8:$AJ$44,9,FALSE)*Y38)+(I38/VLOOKUP($B38,'2-2_算定表①(旧々・旧制度)'!$B$8:$AJ$44,9,FALSE)*Z38),0))</f>
      </c>
      <c r="AD38" s="530">
        <f t="shared" si="6"/>
      </c>
      <c r="AE38" s="1019">
        <f>IF(B38="","",VLOOKUP($B38,'2-2_算定表①(旧々・旧制度)'!$B$8:$AH$65536,33,FALSE))</f>
      </c>
      <c r="AF38" s="1020" t="s">
        <v>182</v>
      </c>
      <c r="AG38" s="1021" t="s">
        <v>182</v>
      </c>
      <c r="AI38" s="61">
        <f t="shared" si="9"/>
      </c>
      <c r="AJ38" s="61">
        <f t="shared" si="7"/>
      </c>
    </row>
    <row r="39" spans="1:36" s="66" customFormat="1" ht="18.75" customHeight="1" thickBot="1">
      <c r="A39" s="948" t="s">
        <v>24</v>
      </c>
      <c r="B39" s="1022"/>
      <c r="C39" s="1023"/>
      <c r="D39" s="1023"/>
      <c r="E39" s="1023"/>
      <c r="F39" s="1023"/>
      <c r="G39" s="1023"/>
      <c r="H39" s="1023"/>
      <c r="I39" s="1023"/>
      <c r="J39" s="522">
        <f>SUM(J9:J38)</f>
        <v>0</v>
      </c>
      <c r="K39" s="536" t="s">
        <v>279</v>
      </c>
      <c r="L39" s="537" t="s">
        <v>280</v>
      </c>
      <c r="M39" s="538" t="s">
        <v>279</v>
      </c>
      <c r="N39" s="536" t="s">
        <v>281</v>
      </c>
      <c r="O39" s="537" t="s">
        <v>280</v>
      </c>
      <c r="P39" s="537" t="s">
        <v>280</v>
      </c>
      <c r="Q39" s="537" t="s">
        <v>134</v>
      </c>
      <c r="R39" s="537" t="s">
        <v>134</v>
      </c>
      <c r="S39" s="537" t="s">
        <v>281</v>
      </c>
      <c r="T39" s="537" t="s">
        <v>281</v>
      </c>
      <c r="U39" s="537" t="s">
        <v>281</v>
      </c>
      <c r="V39" s="538" t="s">
        <v>281</v>
      </c>
      <c r="W39" s="171" t="s">
        <v>281</v>
      </c>
      <c r="X39" s="173" t="s">
        <v>280</v>
      </c>
      <c r="Y39" s="171" t="s">
        <v>281</v>
      </c>
      <c r="Z39" s="174" t="s">
        <v>281</v>
      </c>
      <c r="AA39" s="175" t="s">
        <v>280</v>
      </c>
      <c r="AB39" s="176" t="s">
        <v>280</v>
      </c>
      <c r="AC39" s="65">
        <f>SUM(AC9:AC38)</f>
        <v>0</v>
      </c>
      <c r="AD39" s="65">
        <f>SUM(AD9:AD38)</f>
        <v>0</v>
      </c>
      <c r="AE39" s="1024"/>
      <c r="AF39" s="1025"/>
      <c r="AG39" s="1026"/>
      <c r="AI39" s="67"/>
      <c r="AJ39" s="67"/>
    </row>
    <row r="40" spans="1:36" s="68" customFormat="1" ht="16.5" customHeight="1">
      <c r="A40" s="68" t="s">
        <v>26</v>
      </c>
      <c r="AI40" s="69"/>
      <c r="AJ40" s="69"/>
    </row>
    <row r="41" ht="18.75" customHeight="1">
      <c r="A41" s="238" t="s">
        <v>282</v>
      </c>
    </row>
    <row r="42" ht="18.75" customHeight="1">
      <c r="A42" s="238" t="s">
        <v>64</v>
      </c>
    </row>
    <row r="43" ht="18.75" customHeight="1">
      <c r="A43" s="238" t="s">
        <v>156</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7:AG37"/>
    <mergeCell ref="AE38:AG38"/>
    <mergeCell ref="A39:I39"/>
    <mergeCell ref="AE39:AG39"/>
    <mergeCell ref="AE31:AG31"/>
    <mergeCell ref="AE32:AG32"/>
    <mergeCell ref="AE33:AG33"/>
    <mergeCell ref="AE34:AG34"/>
    <mergeCell ref="AE35:AG35"/>
    <mergeCell ref="AE36:AG36"/>
    <mergeCell ref="AE25:AG25"/>
    <mergeCell ref="AE26:AG26"/>
    <mergeCell ref="AE27:AG27"/>
    <mergeCell ref="AE28:AG28"/>
    <mergeCell ref="AE29:AG29"/>
    <mergeCell ref="AE30:AG30"/>
    <mergeCell ref="AE19:AG19"/>
    <mergeCell ref="AE20:AG20"/>
    <mergeCell ref="AE21:AG21"/>
    <mergeCell ref="AE22:AG22"/>
    <mergeCell ref="AE23:AG23"/>
    <mergeCell ref="AE24:AG24"/>
    <mergeCell ref="AE13:AG13"/>
    <mergeCell ref="AE14:AG14"/>
    <mergeCell ref="AE15:AG15"/>
    <mergeCell ref="AE16:AG16"/>
    <mergeCell ref="AE17:AG17"/>
    <mergeCell ref="AE18:AG18"/>
    <mergeCell ref="AI7:AI8"/>
    <mergeCell ref="AJ7:AJ8"/>
    <mergeCell ref="AE9:AG9"/>
    <mergeCell ref="AE10:AG10"/>
    <mergeCell ref="AE11:AG11"/>
    <mergeCell ref="AE12:AG12"/>
    <mergeCell ref="AA6:AA8"/>
    <mergeCell ref="AB6:AB8"/>
    <mergeCell ref="K7:K8"/>
    <mergeCell ref="L7:L8"/>
    <mergeCell ref="M7:M8"/>
    <mergeCell ref="N7:N8"/>
    <mergeCell ref="O7:O8"/>
    <mergeCell ref="P7:P8"/>
    <mergeCell ref="Q7:Q8"/>
    <mergeCell ref="R7:R8"/>
    <mergeCell ref="K6:M6"/>
    <mergeCell ref="N6:V6"/>
    <mergeCell ref="W6:W8"/>
    <mergeCell ref="X6:X8"/>
    <mergeCell ref="Y6:Y8"/>
    <mergeCell ref="Z6:Z8"/>
    <mergeCell ref="S7:S8"/>
    <mergeCell ref="T7:T8"/>
    <mergeCell ref="U7:U8"/>
    <mergeCell ref="V7:V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list" allowBlank="1" showInput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49"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W37"/>
  <sheetViews>
    <sheetView tabSelected="1" view="pageBreakPreview" zoomScaleNormal="75" zoomScaleSheetLayoutView="100" zoomScalePageLayoutView="0" workbookViewId="0" topLeftCell="A1">
      <pane xSplit="1" ySplit="8" topLeftCell="B9" activePane="bottomRight" state="frozen"/>
      <selection pane="topLeft" activeCell="T27" sqref="T27"/>
      <selection pane="topRight" activeCell="T27" sqref="T27"/>
      <selection pane="bottomLeft" activeCell="T27" sqref="T27"/>
      <selection pane="bottomRight" activeCell="T27" sqref="T27"/>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286" customWidth="1"/>
    <col min="15" max="15" width="8.25390625" style="40" customWidth="1"/>
    <col min="16" max="16" width="14.875" style="40" customWidth="1"/>
    <col min="17" max="17" width="8.25390625" style="286" customWidth="1"/>
    <col min="18" max="18" width="14.875" style="286" customWidth="1"/>
    <col min="19" max="19" width="3.125" style="40" customWidth="1"/>
    <col min="20" max="21" width="5.625" style="40" customWidth="1"/>
    <col min="22" max="22" width="8.25390625" style="40" customWidth="1"/>
    <col min="23" max="16384" width="9.625" style="40" customWidth="1"/>
  </cols>
  <sheetData>
    <row r="1" ht="18.75" customHeight="1" thickBot="1">
      <c r="A1" s="38" t="s">
        <v>215</v>
      </c>
    </row>
    <row r="2" spans="8:18" ht="24.75" customHeight="1" thickBot="1">
      <c r="H2" s="343"/>
      <c r="I2" s="344"/>
      <c r="J2" s="340"/>
      <c r="K2" s="340"/>
      <c r="L2" s="839" t="s">
        <v>22</v>
      </c>
      <c r="M2" s="840"/>
      <c r="N2" s="843">
        <f>'1_総括表'!E3</f>
        <v>0</v>
      </c>
      <c r="O2" s="844"/>
      <c r="P2" s="839" t="s">
        <v>23</v>
      </c>
      <c r="Q2" s="840"/>
      <c r="R2" s="157">
        <f>'1_総括表'!Z3</f>
        <v>0</v>
      </c>
    </row>
    <row r="3" spans="1:18" ht="24.75" customHeight="1" thickBot="1">
      <c r="A3" s="38"/>
      <c r="F3" s="107"/>
      <c r="G3" s="107"/>
      <c r="H3" s="343"/>
      <c r="I3" s="344"/>
      <c r="J3" s="340"/>
      <c r="K3" s="340"/>
      <c r="L3" s="841" t="s">
        <v>20</v>
      </c>
      <c r="M3" s="842"/>
      <c r="N3" s="843">
        <f>'1_総括表'!E4</f>
        <v>0</v>
      </c>
      <c r="O3" s="844"/>
      <c r="P3" s="841" t="s">
        <v>21</v>
      </c>
      <c r="Q3" s="842"/>
      <c r="R3" s="341">
        <f>'1_総括表'!Z4</f>
        <v>0</v>
      </c>
    </row>
    <row r="4" spans="1:9" ht="18.75" customHeight="1" thickBot="1">
      <c r="A4" s="272" t="s">
        <v>195</v>
      </c>
      <c r="F4" s="108"/>
      <c r="G4" s="108"/>
      <c r="H4" s="108"/>
      <c r="I4" s="108"/>
    </row>
    <row r="5" spans="1:18" s="44" customFormat="1" ht="19.5" customHeight="1" thickBot="1">
      <c r="A5" s="109" t="s">
        <v>14</v>
      </c>
      <c r="B5" s="877" t="s">
        <v>104</v>
      </c>
      <c r="C5" s="276"/>
      <c r="D5" s="277"/>
      <c r="E5" s="878" t="s">
        <v>139</v>
      </c>
      <c r="F5" s="151"/>
      <c r="G5" s="152"/>
      <c r="H5" s="880" t="s">
        <v>126</v>
      </c>
      <c r="I5" s="882" t="s">
        <v>127</v>
      </c>
      <c r="J5" s="882" t="s">
        <v>128</v>
      </c>
      <c r="K5" s="872" t="s">
        <v>207</v>
      </c>
      <c r="L5" s="873"/>
      <c r="M5" s="873"/>
      <c r="N5" s="874"/>
      <c r="O5" s="875" t="s">
        <v>219</v>
      </c>
      <c r="P5" s="876"/>
      <c r="Q5" s="875" t="s">
        <v>208</v>
      </c>
      <c r="R5" s="876"/>
    </row>
    <row r="6" spans="1:20" s="44" customFormat="1" ht="38.25" customHeight="1" thickBot="1">
      <c r="A6" s="868" t="s">
        <v>98</v>
      </c>
      <c r="B6" s="878"/>
      <c r="C6" s="278" t="s">
        <v>188</v>
      </c>
      <c r="D6" s="278" t="s">
        <v>60</v>
      </c>
      <c r="E6" s="879"/>
      <c r="F6" s="110" t="s">
        <v>120</v>
      </c>
      <c r="G6" s="112" t="s">
        <v>103</v>
      </c>
      <c r="H6" s="881"/>
      <c r="I6" s="878"/>
      <c r="J6" s="883"/>
      <c r="K6" s="110" t="s">
        <v>18</v>
      </c>
      <c r="L6" s="111" t="s">
        <v>43</v>
      </c>
      <c r="M6" s="330" t="s">
        <v>42</v>
      </c>
      <c r="N6" s="328" t="s">
        <v>61</v>
      </c>
      <c r="O6" s="337" t="s">
        <v>42</v>
      </c>
      <c r="P6" s="113" t="s">
        <v>61</v>
      </c>
      <c r="Q6" s="331" t="s">
        <v>42</v>
      </c>
      <c r="R6" s="332" t="s">
        <v>61</v>
      </c>
      <c r="T6" s="114" t="s">
        <v>63</v>
      </c>
    </row>
    <row r="7" spans="1:20" s="44" customFormat="1" ht="20.25" customHeight="1" thickBot="1">
      <c r="A7" s="869"/>
      <c r="B7" s="48" t="s">
        <v>105</v>
      </c>
      <c r="C7" s="48" t="s">
        <v>106</v>
      </c>
      <c r="D7" s="48" t="s">
        <v>107</v>
      </c>
      <c r="E7" s="48" t="s">
        <v>123</v>
      </c>
      <c r="F7" s="115" t="s">
        <v>108</v>
      </c>
      <c r="G7" s="117" t="s">
        <v>109</v>
      </c>
      <c r="H7" s="147" t="s">
        <v>110</v>
      </c>
      <c r="I7" s="48" t="s">
        <v>111</v>
      </c>
      <c r="J7" s="47" t="s">
        <v>112</v>
      </c>
      <c r="K7" s="115"/>
      <c r="L7" s="116"/>
      <c r="M7" s="117"/>
      <c r="N7" s="323"/>
      <c r="O7" s="117"/>
      <c r="P7" s="118" t="s">
        <v>85</v>
      </c>
      <c r="Q7" s="333"/>
      <c r="R7" s="334"/>
      <c r="T7" s="119"/>
    </row>
    <row r="8" spans="1:18" s="126" customFormat="1" ht="20.25" customHeight="1" thickBot="1">
      <c r="A8" s="120"/>
      <c r="B8" s="121" t="s">
        <v>16</v>
      </c>
      <c r="C8" s="121" t="s">
        <v>16</v>
      </c>
      <c r="D8" s="121" t="s">
        <v>16</v>
      </c>
      <c r="E8" s="121" t="s">
        <v>124</v>
      </c>
      <c r="F8" s="122" t="s">
        <v>121</v>
      </c>
      <c r="G8" s="124" t="s">
        <v>122</v>
      </c>
      <c r="H8" s="148" t="s">
        <v>19</v>
      </c>
      <c r="I8" s="121" t="s">
        <v>19</v>
      </c>
      <c r="J8" s="121" t="s">
        <v>19</v>
      </c>
      <c r="K8" s="122"/>
      <c r="L8" s="123" t="s">
        <v>17</v>
      </c>
      <c r="M8" s="124" t="s">
        <v>16</v>
      </c>
      <c r="N8" s="325" t="s">
        <v>17</v>
      </c>
      <c r="O8" s="124" t="s">
        <v>16</v>
      </c>
      <c r="P8" s="125" t="s">
        <v>17</v>
      </c>
      <c r="Q8" s="335" t="s">
        <v>16</v>
      </c>
      <c r="R8" s="336" t="s">
        <v>17</v>
      </c>
    </row>
    <row r="9" spans="1:20" s="44" customFormat="1" ht="18" customHeight="1" thickBot="1">
      <c r="A9" s="865">
        <v>1</v>
      </c>
      <c r="B9" s="870"/>
      <c r="C9" s="870"/>
      <c r="D9" s="870"/>
      <c r="E9" s="871"/>
      <c r="F9" s="153"/>
      <c r="G9" s="154"/>
      <c r="H9" s="149">
        <f>IF(F9="","",IF(ISERROR(F9+ROUNDDOWN(G9*3/74,0)),"",F9+ROUNDDOWN(G9*3/74,0)))</f>
      </c>
      <c r="I9" s="128">
        <f>IF(H9="","",IF(H9&gt;10032,10032,H9))</f>
      </c>
      <c r="J9" s="127">
        <f>IF(H9="","",MIN(H9,I9))</f>
      </c>
      <c r="K9" s="129" t="s">
        <v>74</v>
      </c>
      <c r="L9" s="71">
        <v>408</v>
      </c>
      <c r="M9" s="369"/>
      <c r="N9" s="370"/>
      <c r="O9" s="364">
        <f>SUMIF('2-2_算定表②(旧々・新制度)'!$AL:$AL,$T9,'2-2_算定表②(旧々・新制度)'!$AM:$AM)</f>
        <v>0</v>
      </c>
      <c r="P9" s="130">
        <f>SUMIF('2-2_算定表②(旧々・新制度)'!$AL:$AL,$T9,'2-2_算定表②(旧々・新制度)'!$AG:$AG)</f>
        <v>0</v>
      </c>
      <c r="Q9" s="354">
        <f>O9-M9</f>
        <v>0</v>
      </c>
      <c r="R9" s="355">
        <f>P9-N9</f>
        <v>0</v>
      </c>
      <c r="T9" s="131" t="str">
        <f>ASC($A$9&amp;$K9)</f>
        <v>1A</v>
      </c>
    </row>
    <row r="10" spans="1:22" s="44" customFormat="1" ht="18" customHeight="1" thickBot="1">
      <c r="A10" s="865"/>
      <c r="B10" s="861"/>
      <c r="C10" s="861"/>
      <c r="D10" s="861"/>
      <c r="E10" s="863"/>
      <c r="F10" s="153"/>
      <c r="G10" s="154"/>
      <c r="H10" s="149">
        <f>IF(F10="","",IF(ISERROR(F10+ROUNDDOWN(G10*3/74,0)),"",F10+ROUNDDOWN(G10*3/74,0)))</f>
      </c>
      <c r="I10" s="128">
        <f aca="true" t="shared" si="0" ref="I10:I24">IF(H10="","",IF(H10&gt;10032,10032,H10))</f>
      </c>
      <c r="J10" s="127">
        <f>IF(H10="","",MIN(H10,I10))</f>
      </c>
      <c r="K10" s="132" t="s">
        <v>80</v>
      </c>
      <c r="L10" s="133">
        <v>2814</v>
      </c>
      <c r="M10" s="371"/>
      <c r="N10" s="372"/>
      <c r="O10" s="354">
        <f>SUMIF('2-2_算定表②(旧々・新制度)'!$AL:$AL,$T10,'2-2_算定表②(旧々・新制度)'!$AM:$AM)</f>
        <v>0</v>
      </c>
      <c r="P10" s="130">
        <f>SUMIF('2-2_算定表②(旧々・新制度)'!$AL:$AL,$T10,'2-2_算定表②(旧々・新制度)'!$AG:$AG)</f>
        <v>0</v>
      </c>
      <c r="Q10" s="354">
        <f aca="true" t="shared" si="1" ref="Q10:R27">O10-M10</f>
        <v>0</v>
      </c>
      <c r="R10" s="355">
        <f t="shared" si="1"/>
        <v>0</v>
      </c>
      <c r="T10" s="135" t="str">
        <f>ASC($A$9&amp;$K10)</f>
        <v>1B</v>
      </c>
      <c r="V10" s="55" t="s">
        <v>5</v>
      </c>
    </row>
    <row r="11" spans="1:20" s="44" customFormat="1" ht="18" customHeight="1" thickBot="1">
      <c r="A11" s="865"/>
      <c r="B11" s="861"/>
      <c r="C11" s="861"/>
      <c r="D11" s="861"/>
      <c r="E11" s="863"/>
      <c r="F11" s="153"/>
      <c r="G11" s="154"/>
      <c r="H11" s="149">
        <f aca="true" t="shared" si="2" ref="H11:H24">IF(F11="","",IF(ISERROR(F11+ROUNDDOWN(G11*3/74,0)),"",F11+ROUNDDOWN(G11*3/74,0)))</f>
      </c>
      <c r="I11" s="128">
        <f t="shared" si="0"/>
      </c>
      <c r="J11" s="127">
        <f>IF(H11="","",MIN(H11,I11))</f>
      </c>
      <c r="K11" s="132" t="s">
        <v>152</v>
      </c>
      <c r="L11" s="169" t="s">
        <v>134</v>
      </c>
      <c r="M11" s="371"/>
      <c r="N11" s="372"/>
      <c r="O11" s="352">
        <f>SUMIF('2-2_算定表②(旧々・新制度)'!$AL:$AL,$T11,'2-2_算定表②(旧々・新制度)'!$AM:$AM)</f>
        <v>0</v>
      </c>
      <c r="P11" s="130">
        <f>SUMIF('2-2_算定表②(旧々・新制度)'!$AL:$AL,$T11,'2-2_算定表②(旧々・新制度)'!$AG:$AG)</f>
        <v>0</v>
      </c>
      <c r="Q11" s="358">
        <f t="shared" si="1"/>
        <v>0</v>
      </c>
      <c r="R11" s="359">
        <f t="shared" si="1"/>
        <v>0</v>
      </c>
      <c r="T11" s="135" t="str">
        <f>ASC($A$9&amp;$K11)</f>
        <v>1D</v>
      </c>
    </row>
    <row r="12" spans="1:23" s="44" customFormat="1" ht="18" customHeight="1" thickBot="1" thickTop="1">
      <c r="A12" s="865"/>
      <c r="B12" s="861"/>
      <c r="C12" s="861"/>
      <c r="D12" s="861"/>
      <c r="E12" s="864"/>
      <c r="F12" s="155"/>
      <c r="G12" s="156"/>
      <c r="H12" s="150">
        <f t="shared" si="2"/>
      </c>
      <c r="I12" s="137">
        <f t="shared" si="0"/>
      </c>
      <c r="J12" s="136">
        <f>IF(H12="","",MIN(H12,I12))</f>
      </c>
      <c r="K12" s="848" t="s">
        <v>99</v>
      </c>
      <c r="L12" s="849"/>
      <c r="M12" s="360">
        <f aca="true" t="shared" si="3" ref="M12:R12">SUM(M9:M11)</f>
        <v>0</v>
      </c>
      <c r="N12" s="361">
        <f t="shared" si="3"/>
        <v>0</v>
      </c>
      <c r="O12" s="360">
        <f t="shared" si="3"/>
        <v>0</v>
      </c>
      <c r="P12" s="138">
        <f t="shared" si="3"/>
        <v>0</v>
      </c>
      <c r="Q12" s="362">
        <f t="shared" si="3"/>
        <v>0</v>
      </c>
      <c r="R12" s="363">
        <f t="shared" si="3"/>
        <v>0</v>
      </c>
      <c r="V12" s="139" t="s">
        <v>6</v>
      </c>
      <c r="W12" s="62" t="str">
        <f>IF(D9&gt;=O12,"OK","ERR")</f>
        <v>OK</v>
      </c>
    </row>
    <row r="13" spans="1:23" s="44" customFormat="1" ht="18" customHeight="1" thickBot="1" thickTop="1">
      <c r="A13" s="866">
        <v>2</v>
      </c>
      <c r="B13" s="861"/>
      <c r="C13" s="861"/>
      <c r="D13" s="861"/>
      <c r="E13" s="862"/>
      <c r="F13" s="153"/>
      <c r="G13" s="154"/>
      <c r="H13" s="149">
        <f t="shared" si="2"/>
      </c>
      <c r="I13" s="128">
        <f t="shared" si="0"/>
      </c>
      <c r="J13" s="127">
        <f>IF(H13="","",MIN(H13,I13))</f>
      </c>
      <c r="K13" s="140" t="s">
        <v>74</v>
      </c>
      <c r="L13" s="141">
        <v>408</v>
      </c>
      <c r="M13" s="369"/>
      <c r="N13" s="370"/>
      <c r="O13" s="552">
        <f>SUMIF('2-2_算定表②(旧々・新制度)'!$AL:$AL,$T13,'2-2_算定表②(旧々・新制度)'!$AM:$AM)</f>
        <v>0</v>
      </c>
      <c r="P13" s="130">
        <f>SUMIF('2-2_算定表②(旧々・新制度)'!$AL:$AL,$T13,'2-2_算定表②(旧々・新制度)'!$AG:$AG)</f>
        <v>0</v>
      </c>
      <c r="Q13" s="364">
        <f t="shared" si="1"/>
        <v>0</v>
      </c>
      <c r="R13" s="365">
        <f t="shared" si="1"/>
        <v>0</v>
      </c>
      <c r="T13" s="131" t="str">
        <f>ASC($A$13&amp;$K13)</f>
        <v>2A</v>
      </c>
      <c r="V13" s="139" t="s">
        <v>7</v>
      </c>
      <c r="W13" s="62" t="str">
        <f>IF(D13&gt;=O16,"OK","ERR")</f>
        <v>OK</v>
      </c>
    </row>
    <row r="14" spans="1:23" s="44" customFormat="1" ht="18" customHeight="1" thickBot="1" thickTop="1">
      <c r="A14" s="865"/>
      <c r="B14" s="861"/>
      <c r="C14" s="861"/>
      <c r="D14" s="861"/>
      <c r="E14" s="863"/>
      <c r="F14" s="153"/>
      <c r="G14" s="154"/>
      <c r="H14" s="149">
        <f t="shared" si="2"/>
      </c>
      <c r="I14" s="128">
        <f t="shared" si="0"/>
      </c>
      <c r="J14" s="127">
        <f aca="true" t="shared" si="4" ref="J14:J20">IF(H14="","",MIN(H14,I14))</f>
      </c>
      <c r="K14" s="142" t="s">
        <v>80</v>
      </c>
      <c r="L14" s="143">
        <v>2814</v>
      </c>
      <c r="M14" s="371"/>
      <c r="N14" s="372"/>
      <c r="O14" s="354">
        <f>SUMIF('2-2_算定表②(旧々・新制度)'!$AL:$AL,$T14,'2-2_算定表②(旧々・新制度)'!$AM:$AM)</f>
        <v>0</v>
      </c>
      <c r="P14" s="130">
        <f>SUMIF('2-2_算定表②(旧々・新制度)'!$AL:$AL,$T14,'2-2_算定表②(旧々・新制度)'!$AG:$AG)</f>
        <v>0</v>
      </c>
      <c r="Q14" s="354">
        <f t="shared" si="1"/>
        <v>0</v>
      </c>
      <c r="R14" s="355">
        <f t="shared" si="1"/>
        <v>0</v>
      </c>
      <c r="T14" s="135" t="str">
        <f>ASC($A$13&amp;$K14)</f>
        <v>2B</v>
      </c>
      <c r="V14" s="139" t="s">
        <v>8</v>
      </c>
      <c r="W14" s="62" t="str">
        <f>IF(D17&gt;=O20,"OK","ERR")</f>
        <v>OK</v>
      </c>
    </row>
    <row r="15" spans="1:23" s="44" customFormat="1" ht="18" customHeight="1" thickBot="1" thickTop="1">
      <c r="A15" s="865"/>
      <c r="B15" s="861"/>
      <c r="C15" s="861"/>
      <c r="D15" s="861"/>
      <c r="E15" s="863"/>
      <c r="F15" s="153"/>
      <c r="G15" s="154"/>
      <c r="H15" s="149">
        <f t="shared" si="2"/>
      </c>
      <c r="I15" s="128">
        <f t="shared" si="0"/>
      </c>
      <c r="J15" s="127">
        <f t="shared" si="4"/>
      </c>
      <c r="K15" s="142" t="s">
        <v>152</v>
      </c>
      <c r="L15" s="170" t="s">
        <v>134</v>
      </c>
      <c r="M15" s="371"/>
      <c r="N15" s="372"/>
      <c r="O15" s="352">
        <f>SUMIF('2-2_算定表②(旧々・新制度)'!$AL:$AL,$T15,'2-2_算定表②(旧々・新制度)'!$AM:$AM)</f>
        <v>0</v>
      </c>
      <c r="P15" s="130">
        <f>SUMIF('2-2_算定表②(旧々・新制度)'!$AL:$AL,$T15,'2-2_算定表②(旧々・新制度)'!$AG:$AG)</f>
        <v>0</v>
      </c>
      <c r="Q15" s="358">
        <f t="shared" si="1"/>
        <v>0</v>
      </c>
      <c r="R15" s="359">
        <f t="shared" si="1"/>
        <v>0</v>
      </c>
      <c r="T15" s="761" t="str">
        <f>ASC($A$13&amp;$K15)</f>
        <v>2D</v>
      </c>
      <c r="U15" s="762"/>
      <c r="V15" s="139" t="s">
        <v>153</v>
      </c>
      <c r="W15" s="62" t="str">
        <f>IF(D21&gt;=O24,"OK","ERR")</f>
        <v>OK</v>
      </c>
    </row>
    <row r="16" spans="1:22" s="44" customFormat="1" ht="18" customHeight="1" thickBot="1">
      <c r="A16" s="867"/>
      <c r="B16" s="861"/>
      <c r="C16" s="861"/>
      <c r="D16" s="861"/>
      <c r="E16" s="864"/>
      <c r="F16" s="155"/>
      <c r="G16" s="156"/>
      <c r="H16" s="150">
        <f t="shared" si="2"/>
      </c>
      <c r="I16" s="137">
        <f t="shared" si="0"/>
      </c>
      <c r="J16" s="136">
        <f t="shared" si="4"/>
      </c>
      <c r="K16" s="848" t="s">
        <v>100</v>
      </c>
      <c r="L16" s="849"/>
      <c r="M16" s="360">
        <f aca="true" t="shared" si="5" ref="M16:R16">SUM(M13:M15)</f>
        <v>0</v>
      </c>
      <c r="N16" s="361">
        <f t="shared" si="5"/>
        <v>0</v>
      </c>
      <c r="O16" s="593">
        <f t="shared" si="5"/>
        <v>0</v>
      </c>
      <c r="P16" s="594">
        <f t="shared" si="5"/>
        <v>0</v>
      </c>
      <c r="Q16" s="362">
        <f t="shared" si="5"/>
        <v>0</v>
      </c>
      <c r="R16" s="363">
        <f t="shared" si="5"/>
        <v>0</v>
      </c>
      <c r="V16" s="55" t="s">
        <v>10</v>
      </c>
    </row>
    <row r="17" spans="1:23" s="44" customFormat="1" ht="18" customHeight="1" thickBot="1" thickTop="1">
      <c r="A17" s="865">
        <v>3</v>
      </c>
      <c r="B17" s="861"/>
      <c r="C17" s="861"/>
      <c r="D17" s="861"/>
      <c r="E17" s="862"/>
      <c r="F17" s="153"/>
      <c r="G17" s="154"/>
      <c r="H17" s="149">
        <f t="shared" si="2"/>
      </c>
      <c r="I17" s="128">
        <f t="shared" si="0"/>
      </c>
      <c r="J17" s="127">
        <f t="shared" si="4"/>
      </c>
      <c r="K17" s="144" t="s">
        <v>74</v>
      </c>
      <c r="L17" s="145">
        <v>408</v>
      </c>
      <c r="M17" s="373"/>
      <c r="N17" s="544"/>
      <c r="O17" s="552">
        <f>SUMIF('2-2_算定表②(旧々・新制度)'!$AL:$AL,$T17,'2-2_算定表②(旧々・新制度)'!$AM:$AM)</f>
        <v>0</v>
      </c>
      <c r="P17" s="553">
        <f>SUMIF('2-2_算定表②(旧々・新制度)'!$AL:$AL,$T17,'2-2_算定表②(旧々・新制度)'!$AG:$AG)</f>
        <v>0</v>
      </c>
      <c r="Q17" s="546">
        <f t="shared" si="1"/>
        <v>0</v>
      </c>
      <c r="R17" s="365">
        <f t="shared" si="1"/>
        <v>0</v>
      </c>
      <c r="T17" s="131" t="str">
        <f>ASC($A$17&amp;$K17)</f>
        <v>3A</v>
      </c>
      <c r="V17" s="55" t="s">
        <v>42</v>
      </c>
      <c r="W17" s="62" t="str">
        <f>IF(O28=SUM('2-2_算定表②(旧々・新制度)'!AM:AM),"OK","ERR")</f>
        <v>OK</v>
      </c>
    </row>
    <row r="18" spans="1:23" s="44" customFormat="1" ht="18" customHeight="1" thickBot="1" thickTop="1">
      <c r="A18" s="865"/>
      <c r="B18" s="861"/>
      <c r="C18" s="861"/>
      <c r="D18" s="861"/>
      <c r="E18" s="863"/>
      <c r="F18" s="153"/>
      <c r="G18" s="154"/>
      <c r="H18" s="149">
        <f t="shared" si="2"/>
      </c>
      <c r="I18" s="128">
        <f t="shared" si="0"/>
      </c>
      <c r="J18" s="127">
        <f t="shared" si="4"/>
      </c>
      <c r="K18" s="142" t="s">
        <v>80</v>
      </c>
      <c r="L18" s="143">
        <v>2814</v>
      </c>
      <c r="M18" s="371"/>
      <c r="N18" s="545"/>
      <c r="O18" s="354">
        <f>SUMIF('2-2_算定表②(旧々・新制度)'!$AL:$AL,$T18,'2-2_算定表②(旧々・新制度)'!$AM:$AM)</f>
        <v>0</v>
      </c>
      <c r="P18" s="554">
        <f>SUMIF('2-2_算定表②(旧々・新制度)'!$AL:$AL,$T18,'2-2_算定表②(旧々・新制度)'!$AG:$AG)</f>
        <v>0</v>
      </c>
      <c r="Q18" s="547">
        <f t="shared" si="1"/>
        <v>0</v>
      </c>
      <c r="R18" s="355">
        <f t="shared" si="1"/>
        <v>0</v>
      </c>
      <c r="T18" s="135" t="str">
        <f>ASC($A$17&amp;$K18)</f>
        <v>3B</v>
      </c>
      <c r="V18" s="55" t="s">
        <v>9</v>
      </c>
      <c r="W18" s="62" t="str">
        <f>IF(P28='2-2_算定表②(旧々・新制度)'!AG45,"OK","ERR")</f>
        <v>OK</v>
      </c>
    </row>
    <row r="19" spans="1:20" s="44" customFormat="1" ht="18" customHeight="1" thickBot="1">
      <c r="A19" s="865"/>
      <c r="B19" s="861"/>
      <c r="C19" s="861"/>
      <c r="D19" s="861"/>
      <c r="E19" s="863"/>
      <c r="F19" s="153"/>
      <c r="G19" s="154"/>
      <c r="H19" s="149">
        <f t="shared" si="2"/>
      </c>
      <c r="I19" s="128">
        <f t="shared" si="0"/>
      </c>
      <c r="J19" s="127">
        <f t="shared" si="4"/>
      </c>
      <c r="K19" s="142" t="s">
        <v>152</v>
      </c>
      <c r="L19" s="170" t="s">
        <v>134</v>
      </c>
      <c r="M19" s="371"/>
      <c r="N19" s="545"/>
      <c r="O19" s="555">
        <f>SUMIF('2-2_算定表②(旧々・新制度)'!$AL:$AL,$T19,'2-2_算定表②(旧々・新制度)'!$AM:$AM)</f>
        <v>0</v>
      </c>
      <c r="P19" s="556">
        <f>SUMIF('2-2_算定表②(旧々・新制度)'!$AL:$AL,$T19,'2-2_算定表②(旧々・新制度)'!$AG:$AG)</f>
        <v>0</v>
      </c>
      <c r="Q19" s="548">
        <f t="shared" si="1"/>
        <v>0</v>
      </c>
      <c r="R19" s="359">
        <f t="shared" si="1"/>
        <v>0</v>
      </c>
      <c r="T19" s="135" t="str">
        <f>ASC($A$17&amp;$K19)</f>
        <v>3D</v>
      </c>
    </row>
    <row r="20" spans="1:18" s="44" customFormat="1" ht="18" customHeight="1" thickBot="1">
      <c r="A20" s="865"/>
      <c r="B20" s="861"/>
      <c r="C20" s="861"/>
      <c r="D20" s="861"/>
      <c r="E20" s="864"/>
      <c r="F20" s="155"/>
      <c r="G20" s="156"/>
      <c r="H20" s="150">
        <f t="shared" si="2"/>
      </c>
      <c r="I20" s="137">
        <f t="shared" si="0"/>
      </c>
      <c r="J20" s="136">
        <f t="shared" si="4"/>
      </c>
      <c r="K20" s="848" t="s">
        <v>101</v>
      </c>
      <c r="L20" s="849"/>
      <c r="M20" s="360">
        <f aca="true" t="shared" si="6" ref="M20:R20">SUM(M17:M19)</f>
        <v>0</v>
      </c>
      <c r="N20" s="361">
        <f t="shared" si="6"/>
        <v>0</v>
      </c>
      <c r="O20" s="367">
        <f t="shared" si="6"/>
        <v>0</v>
      </c>
      <c r="P20" s="239">
        <f t="shared" si="6"/>
        <v>0</v>
      </c>
      <c r="Q20" s="362">
        <f t="shared" si="6"/>
        <v>0</v>
      </c>
      <c r="R20" s="363">
        <f t="shared" si="6"/>
        <v>0</v>
      </c>
    </row>
    <row r="21" spans="1:23" s="44" customFormat="1" ht="18" customHeight="1" thickBot="1">
      <c r="A21" s="858">
        <v>4</v>
      </c>
      <c r="B21" s="861"/>
      <c r="C21" s="861"/>
      <c r="D21" s="861"/>
      <c r="E21" s="862"/>
      <c r="F21" s="153"/>
      <c r="G21" s="154"/>
      <c r="H21" s="149">
        <f t="shared" si="2"/>
      </c>
      <c r="I21" s="128">
        <f t="shared" si="0"/>
      </c>
      <c r="J21" s="127">
        <f>IF(H21="","",MIN(H21,I21))</f>
      </c>
      <c r="K21" s="144" t="s">
        <v>74</v>
      </c>
      <c r="L21" s="145">
        <v>408</v>
      </c>
      <c r="M21" s="373"/>
      <c r="N21" s="544"/>
      <c r="O21" s="552">
        <f>SUMIF('2-2_算定表②(旧々・新制度)'!$AL:$AL,$T21,'2-2_算定表②(旧々・新制度)'!$AM:$AM)</f>
        <v>0</v>
      </c>
      <c r="P21" s="553">
        <f>SUMIF('2-2_算定表②(旧々・新制度)'!$AL:$AL,$T21,'2-2_算定表②(旧々・新制度)'!$AG:$AG)</f>
        <v>0</v>
      </c>
      <c r="Q21" s="546">
        <f t="shared" si="1"/>
        <v>0</v>
      </c>
      <c r="R21" s="365">
        <f t="shared" si="1"/>
        <v>0</v>
      </c>
      <c r="T21" s="131" t="str">
        <f>ASC($A$21&amp;$K21)</f>
        <v>4A</v>
      </c>
      <c r="V21" s="55"/>
      <c r="W21" s="237"/>
    </row>
    <row r="22" spans="1:23" s="44" customFormat="1" ht="18" customHeight="1" thickBot="1">
      <c r="A22" s="859"/>
      <c r="B22" s="861"/>
      <c r="C22" s="861"/>
      <c r="D22" s="861"/>
      <c r="E22" s="863"/>
      <c r="F22" s="153"/>
      <c r="G22" s="154"/>
      <c r="H22" s="149">
        <f t="shared" si="2"/>
      </c>
      <c r="I22" s="128">
        <f t="shared" si="0"/>
      </c>
      <c r="J22" s="127">
        <f>IF(H22="","",MIN(H22,I22))</f>
      </c>
      <c r="K22" s="142" t="s">
        <v>80</v>
      </c>
      <c r="L22" s="143">
        <v>2814</v>
      </c>
      <c r="M22" s="371"/>
      <c r="N22" s="545"/>
      <c r="O22" s="354">
        <f>SUMIF('2-2_算定表②(旧々・新制度)'!$AL:$AL,$T22,'2-2_算定表②(旧々・新制度)'!$AM:$AM)</f>
        <v>0</v>
      </c>
      <c r="P22" s="554">
        <f>SUMIF('2-2_算定表②(旧々・新制度)'!$AL:$AL,$T22,'2-2_算定表②(旧々・新制度)'!$AG:$AG)</f>
        <v>0</v>
      </c>
      <c r="Q22" s="547">
        <f t="shared" si="1"/>
        <v>0</v>
      </c>
      <c r="R22" s="355">
        <f t="shared" si="1"/>
        <v>0</v>
      </c>
      <c r="T22" s="135" t="str">
        <f>ASC($A$21&amp;$K22)</f>
        <v>4B</v>
      </c>
      <c r="V22" s="55"/>
      <c r="W22" s="237"/>
    </row>
    <row r="23" spans="1:20" s="44" customFormat="1" ht="18" customHeight="1" thickBot="1">
      <c r="A23" s="859"/>
      <c r="B23" s="861"/>
      <c r="C23" s="861"/>
      <c r="D23" s="861"/>
      <c r="E23" s="863"/>
      <c r="F23" s="153"/>
      <c r="G23" s="154"/>
      <c r="H23" s="149">
        <f t="shared" si="2"/>
      </c>
      <c r="I23" s="128">
        <f t="shared" si="0"/>
      </c>
      <c r="J23" s="127">
        <f>IF(H23="","",MIN(H23,I23))</f>
      </c>
      <c r="K23" s="142" t="s">
        <v>152</v>
      </c>
      <c r="L23" s="170" t="s">
        <v>134</v>
      </c>
      <c r="M23" s="371"/>
      <c r="N23" s="545"/>
      <c r="O23" s="555">
        <f>SUMIF('2-2_算定表②(旧々・新制度)'!$AL:$AL,$T23,'2-2_算定表②(旧々・新制度)'!$AM:$AM)</f>
        <v>0</v>
      </c>
      <c r="P23" s="556">
        <f>SUMIF('2-2_算定表②(旧々・新制度)'!$AL:$AL,$T23,'2-2_算定表②(旧々・新制度)'!$AG:$AG)</f>
        <v>0</v>
      </c>
      <c r="Q23" s="548">
        <f t="shared" si="1"/>
        <v>0</v>
      </c>
      <c r="R23" s="359">
        <f t="shared" si="1"/>
        <v>0</v>
      </c>
      <c r="T23" s="135" t="str">
        <f>ASC($A$21&amp;$K23)</f>
        <v>4D</v>
      </c>
    </row>
    <row r="24" spans="1:18" s="44" customFormat="1" ht="18" customHeight="1" thickBot="1">
      <c r="A24" s="860"/>
      <c r="B24" s="861"/>
      <c r="C24" s="861"/>
      <c r="D24" s="861"/>
      <c r="E24" s="864"/>
      <c r="F24" s="155"/>
      <c r="G24" s="156"/>
      <c r="H24" s="150">
        <f t="shared" si="2"/>
      </c>
      <c r="I24" s="137">
        <f t="shared" si="0"/>
      </c>
      <c r="J24" s="136">
        <f>IF(H24="","",MIN(H24,I24))</f>
      </c>
      <c r="K24" s="848" t="s">
        <v>102</v>
      </c>
      <c r="L24" s="849"/>
      <c r="M24" s="360">
        <f aca="true" t="shared" si="7" ref="M24:R24">SUM(M21:M23)</f>
        <v>0</v>
      </c>
      <c r="N24" s="361">
        <f t="shared" si="7"/>
        <v>0</v>
      </c>
      <c r="O24" s="595">
        <f t="shared" si="7"/>
        <v>0</v>
      </c>
      <c r="P24" s="596">
        <f t="shared" si="7"/>
        <v>0</v>
      </c>
      <c r="Q24" s="362">
        <f t="shared" si="7"/>
        <v>0</v>
      </c>
      <c r="R24" s="363">
        <f t="shared" si="7"/>
        <v>0</v>
      </c>
    </row>
    <row r="25" spans="1:18" s="44" customFormat="1" ht="18" customHeight="1" thickBot="1">
      <c r="A25" s="850" t="s">
        <v>24</v>
      </c>
      <c r="B25" s="853">
        <f>SUM(B9,B13,B17)</f>
        <v>0</v>
      </c>
      <c r="C25" s="853">
        <f>SUM(C9,C13,C17)</f>
        <v>0</v>
      </c>
      <c r="D25" s="853">
        <f>SUM(D9,D13,D17)</f>
        <v>0</v>
      </c>
      <c r="E25" s="854">
        <f>SUM(E9:E24)</f>
        <v>0</v>
      </c>
      <c r="F25" s="857"/>
      <c r="G25" s="845"/>
      <c r="H25" s="846"/>
      <c r="I25" s="847"/>
      <c r="J25" s="847"/>
      <c r="K25" s="140" t="s">
        <v>74</v>
      </c>
      <c r="L25" s="141">
        <v>408</v>
      </c>
      <c r="M25" s="367">
        <f aca="true" t="shared" si="8" ref="M25:N27">SUM(M9,M13,M17,M21)</f>
        <v>0</v>
      </c>
      <c r="N25" s="353">
        <f t="shared" si="8"/>
        <v>0</v>
      </c>
      <c r="O25" s="367">
        <f aca="true" t="shared" si="9" ref="O25:P27">SUM(O9,O13,O17,O21)</f>
        <v>0</v>
      </c>
      <c r="P25" s="130">
        <f t="shared" si="9"/>
        <v>0</v>
      </c>
      <c r="Q25" s="364">
        <f t="shared" si="1"/>
        <v>0</v>
      </c>
      <c r="R25" s="365">
        <f t="shared" si="1"/>
        <v>0</v>
      </c>
    </row>
    <row r="26" spans="1:22" s="44" customFormat="1" ht="18" customHeight="1" thickBot="1">
      <c r="A26" s="851"/>
      <c r="B26" s="853"/>
      <c r="C26" s="853"/>
      <c r="D26" s="853"/>
      <c r="E26" s="855"/>
      <c r="F26" s="857"/>
      <c r="G26" s="845"/>
      <c r="H26" s="846"/>
      <c r="I26" s="847"/>
      <c r="J26" s="847"/>
      <c r="K26" s="142" t="s">
        <v>80</v>
      </c>
      <c r="L26" s="143">
        <v>2814</v>
      </c>
      <c r="M26" s="368">
        <f t="shared" si="8"/>
        <v>0</v>
      </c>
      <c r="N26" s="357">
        <f t="shared" si="8"/>
        <v>0</v>
      </c>
      <c r="O26" s="368">
        <f t="shared" si="9"/>
        <v>0</v>
      </c>
      <c r="P26" s="134">
        <f t="shared" si="9"/>
        <v>0</v>
      </c>
      <c r="Q26" s="354">
        <f t="shared" si="1"/>
        <v>0</v>
      </c>
      <c r="R26" s="355">
        <f t="shared" si="1"/>
        <v>0</v>
      </c>
      <c r="V26" s="55"/>
    </row>
    <row r="27" spans="1:18" s="44" customFormat="1" ht="18" customHeight="1" thickBot="1">
      <c r="A27" s="851"/>
      <c r="B27" s="853"/>
      <c r="C27" s="853"/>
      <c r="D27" s="853"/>
      <c r="E27" s="855"/>
      <c r="F27" s="857"/>
      <c r="G27" s="845"/>
      <c r="H27" s="846"/>
      <c r="I27" s="847"/>
      <c r="J27" s="847"/>
      <c r="K27" s="142" t="s">
        <v>152</v>
      </c>
      <c r="L27" s="170" t="s">
        <v>134</v>
      </c>
      <c r="M27" s="368">
        <f t="shared" si="8"/>
        <v>0</v>
      </c>
      <c r="N27" s="357">
        <f t="shared" si="8"/>
        <v>0</v>
      </c>
      <c r="O27" s="368">
        <f t="shared" si="9"/>
        <v>0</v>
      </c>
      <c r="P27" s="134">
        <f t="shared" si="9"/>
        <v>0</v>
      </c>
      <c r="Q27" s="358">
        <f t="shared" si="1"/>
        <v>0</v>
      </c>
      <c r="R27" s="359">
        <f t="shared" si="1"/>
        <v>0</v>
      </c>
    </row>
    <row r="28" spans="1:19" s="44" customFormat="1" ht="18" customHeight="1" thickBot="1">
      <c r="A28" s="852"/>
      <c r="B28" s="853"/>
      <c r="C28" s="853"/>
      <c r="D28" s="853"/>
      <c r="E28" s="856"/>
      <c r="F28" s="857"/>
      <c r="G28" s="845"/>
      <c r="H28" s="846"/>
      <c r="I28" s="847"/>
      <c r="J28" s="847"/>
      <c r="K28" s="848" t="s">
        <v>135</v>
      </c>
      <c r="L28" s="849"/>
      <c r="M28" s="360">
        <f aca="true" t="shared" si="10" ref="M28:R28">SUM(M25:M27)</f>
        <v>0</v>
      </c>
      <c r="N28" s="361">
        <f t="shared" si="10"/>
        <v>0</v>
      </c>
      <c r="O28" s="360">
        <f t="shared" si="10"/>
        <v>0</v>
      </c>
      <c r="P28" s="138">
        <f t="shared" si="10"/>
        <v>0</v>
      </c>
      <c r="Q28" s="362">
        <f t="shared" si="10"/>
        <v>0</v>
      </c>
      <c r="R28" s="363">
        <f t="shared" si="10"/>
        <v>0</v>
      </c>
      <c r="S28" s="146"/>
    </row>
    <row r="29" spans="1:18" s="284" customFormat="1" ht="11.25" customHeight="1">
      <c r="A29" s="279" t="s">
        <v>26</v>
      </c>
      <c r="B29" s="280"/>
      <c r="C29" s="280"/>
      <c r="D29" s="280"/>
      <c r="E29" s="280"/>
      <c r="F29" s="281"/>
      <c r="G29" s="281"/>
      <c r="H29" s="281"/>
      <c r="I29" s="281"/>
      <c r="J29" s="281"/>
      <c r="K29" s="282"/>
      <c r="L29" s="282"/>
      <c r="M29" s="280"/>
      <c r="N29" s="283"/>
      <c r="O29" s="280"/>
      <c r="P29" s="283"/>
      <c r="Q29" s="283"/>
      <c r="R29" s="283"/>
    </row>
    <row r="30" s="284" customFormat="1" ht="11.25" customHeight="1">
      <c r="A30" s="285" t="s">
        <v>129</v>
      </c>
    </row>
    <row r="31" s="286" customFormat="1" ht="11.25" customHeight="1">
      <c r="A31" s="285" t="s">
        <v>200</v>
      </c>
    </row>
    <row r="32" s="284" customFormat="1" ht="11.25" customHeight="1">
      <c r="A32" s="285" t="s">
        <v>201</v>
      </c>
    </row>
    <row r="33" s="286" customFormat="1" ht="11.25" customHeight="1">
      <c r="A33" s="285" t="s">
        <v>2</v>
      </c>
    </row>
    <row r="34" s="286" customFormat="1" ht="11.25" customHeight="1">
      <c r="A34" s="279" t="s">
        <v>130</v>
      </c>
    </row>
    <row r="35" spans="1:9" s="286" customFormat="1" ht="11.25" customHeight="1">
      <c r="A35" s="279" t="s">
        <v>131</v>
      </c>
      <c r="E35" s="291"/>
      <c r="F35" s="291"/>
      <c r="G35" s="291"/>
      <c r="H35" s="291"/>
      <c r="I35" s="291"/>
    </row>
    <row r="36" s="286" customFormat="1" ht="11.25" customHeight="1">
      <c r="A36" s="285" t="s">
        <v>3</v>
      </c>
    </row>
    <row r="37" s="286" customFormat="1" ht="11.25" customHeight="1">
      <c r="A37" s="279" t="s">
        <v>187</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A13:A16"/>
    <mergeCell ref="B13:B16"/>
    <mergeCell ref="C13:C16"/>
    <mergeCell ref="D13:D16"/>
    <mergeCell ref="E13:E16"/>
    <mergeCell ref="K16:L16"/>
    <mergeCell ref="A9:A12"/>
    <mergeCell ref="B9:B12"/>
    <mergeCell ref="C9:C12"/>
    <mergeCell ref="D9:D12"/>
    <mergeCell ref="E9:E12"/>
    <mergeCell ref="K12:L12"/>
    <mergeCell ref="B5:B6"/>
    <mergeCell ref="E5:E6"/>
    <mergeCell ref="H5:H6"/>
    <mergeCell ref="I5:I6"/>
    <mergeCell ref="J5:J6"/>
    <mergeCell ref="A6:A7"/>
    <mergeCell ref="Q5:R5"/>
    <mergeCell ref="K5:N5"/>
    <mergeCell ref="O5:P5"/>
    <mergeCell ref="L2:M2"/>
    <mergeCell ref="N2:O2"/>
    <mergeCell ref="P2:Q2"/>
    <mergeCell ref="L3:M3"/>
    <mergeCell ref="N3:O3"/>
    <mergeCell ref="P3:Q3"/>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P59"/>
  <sheetViews>
    <sheetView tabSelected="1" view="pageBreakPreview" zoomScale="75" zoomScaleNormal="75" zoomScaleSheetLayoutView="75" zoomScalePageLayoutView="0" workbookViewId="0" topLeftCell="A1">
      <selection activeCell="T27" sqref="T27"/>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5.50390625" style="40" bestFit="1" customWidth="1"/>
    <col min="11" max="12" width="10.875" style="40" customWidth="1"/>
    <col min="13" max="13" width="14.125" style="40" bestFit="1" customWidth="1"/>
    <col min="14" max="14" width="13.125" style="40" bestFit="1" customWidth="1"/>
    <col min="15" max="15" width="6.625" style="241" customWidth="1"/>
    <col min="16" max="16" width="12.125" style="40" hidden="1" customWidth="1"/>
    <col min="17" max="17" width="10.00390625" style="40" customWidth="1"/>
    <col min="18" max="18" width="6.625" style="241" customWidth="1"/>
    <col min="19" max="19" width="10.00390625" style="40" hidden="1" customWidth="1"/>
    <col min="20" max="20" width="10.0039062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30" width="11.625" style="40"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thickBot="1">
      <c r="A1" s="185" t="s">
        <v>398</v>
      </c>
      <c r="B1" s="39"/>
      <c r="AA1" s="160" t="s">
        <v>22</v>
      </c>
      <c r="AB1" s="1027">
        <f>'1_総括表'!E3</f>
        <v>0</v>
      </c>
      <c r="AC1" s="1028"/>
      <c r="AD1" s="1028"/>
      <c r="AE1" s="1028"/>
      <c r="AF1" s="1028"/>
      <c r="AG1" s="1028"/>
      <c r="AH1" s="1029"/>
      <c r="AI1" s="160" t="s">
        <v>23</v>
      </c>
      <c r="AJ1" s="162">
        <f>'1_総括表'!Z3</f>
        <v>0</v>
      </c>
    </row>
    <row r="2" spans="1:36" ht="24.75" customHeight="1" thickBot="1">
      <c r="A2" s="42"/>
      <c r="AA2" s="161" t="s">
        <v>20</v>
      </c>
      <c r="AB2" s="1027">
        <f>'1_総括表'!E4</f>
        <v>0</v>
      </c>
      <c r="AC2" s="1028"/>
      <c r="AD2" s="1028"/>
      <c r="AE2" s="1028"/>
      <c r="AF2" s="1028"/>
      <c r="AG2" s="1028"/>
      <c r="AH2" s="1029"/>
      <c r="AI2" s="161" t="s">
        <v>21</v>
      </c>
      <c r="AJ2" s="162">
        <f>'1_総括表'!Z4</f>
        <v>0</v>
      </c>
    </row>
    <row r="3" spans="1:36" ht="31.5" customHeight="1" thickBot="1">
      <c r="A3" s="275" t="s">
        <v>199</v>
      </c>
      <c r="B3" s="274"/>
      <c r="AI3" s="43"/>
      <c r="AJ3" s="43" t="s">
        <v>25</v>
      </c>
    </row>
    <row r="4" spans="1:39" s="44" customFormat="1" ht="22.5" customHeight="1" thickBot="1">
      <c r="A4" s="883" t="s">
        <v>29</v>
      </c>
      <c r="B4" s="878" t="s">
        <v>149</v>
      </c>
      <c r="C4" s="894" t="s">
        <v>98</v>
      </c>
      <c r="D4" s="897" t="s">
        <v>96</v>
      </c>
      <c r="E4" s="899" t="s">
        <v>84</v>
      </c>
      <c r="F4" s="900"/>
      <c r="G4" s="1030"/>
      <c r="H4" s="902" t="s">
        <v>90</v>
      </c>
      <c r="I4" s="903"/>
      <c r="J4" s="903"/>
      <c r="K4" s="903"/>
      <c r="L4" s="903"/>
      <c r="M4" s="903"/>
      <c r="N4" s="901"/>
      <c r="O4" s="848" t="s">
        <v>93</v>
      </c>
      <c r="P4" s="849"/>
      <c r="Q4" s="849"/>
      <c r="R4" s="904"/>
      <c r="S4" s="904"/>
      <c r="T4" s="904"/>
      <c r="U4" s="904"/>
      <c r="V4" s="904"/>
      <c r="W4" s="905"/>
      <c r="X4" s="878" t="s">
        <v>1</v>
      </c>
      <c r="Y4" s="878" t="s">
        <v>94</v>
      </c>
      <c r="Z4" s="878" t="s">
        <v>95</v>
      </c>
      <c r="AA4" s="878" t="s">
        <v>62</v>
      </c>
      <c r="AB4" s="1031" t="s">
        <v>232</v>
      </c>
      <c r="AC4" s="1031" t="s">
        <v>232</v>
      </c>
      <c r="AD4" s="1031" t="s">
        <v>232</v>
      </c>
      <c r="AE4" s="878" t="s">
        <v>28</v>
      </c>
      <c r="AF4" s="878" t="s">
        <v>83</v>
      </c>
      <c r="AG4" s="906" t="s">
        <v>165</v>
      </c>
      <c r="AH4" s="908" t="s">
        <v>4</v>
      </c>
      <c r="AI4" s="909"/>
      <c r="AJ4" s="910"/>
      <c r="AL4" s="917" t="s">
        <v>27</v>
      </c>
      <c r="AM4" s="917" t="s">
        <v>70</v>
      </c>
    </row>
    <row r="5" spans="1:39" s="44" customFormat="1" ht="37.5" customHeight="1" thickBot="1">
      <c r="A5" s="890"/>
      <c r="B5" s="892"/>
      <c r="C5" s="895"/>
      <c r="D5" s="898"/>
      <c r="E5" s="921" t="s">
        <v>125</v>
      </c>
      <c r="F5" s="482" t="s">
        <v>232</v>
      </c>
      <c r="G5" s="923" t="s">
        <v>68</v>
      </c>
      <c r="H5" s="925" t="s">
        <v>283</v>
      </c>
      <c r="I5" s="927" t="s">
        <v>69</v>
      </c>
      <c r="J5" s="929" t="s">
        <v>137</v>
      </c>
      <c r="K5" s="483" t="s">
        <v>232</v>
      </c>
      <c r="L5" s="484" t="s">
        <v>232</v>
      </c>
      <c r="M5" s="925" t="s">
        <v>136</v>
      </c>
      <c r="N5" s="923" t="s">
        <v>0</v>
      </c>
      <c r="O5" s="931" t="s">
        <v>205</v>
      </c>
      <c r="P5" s="932"/>
      <c r="Q5" s="932"/>
      <c r="R5" s="931" t="s">
        <v>206</v>
      </c>
      <c r="S5" s="932"/>
      <c r="T5" s="933"/>
      <c r="U5" s="934" t="s">
        <v>284</v>
      </c>
      <c r="V5" s="936" t="s">
        <v>92</v>
      </c>
      <c r="W5" s="938" t="s">
        <v>91</v>
      </c>
      <c r="X5" s="892"/>
      <c r="Y5" s="892"/>
      <c r="Z5" s="892"/>
      <c r="AA5" s="892"/>
      <c r="AB5" s="1032"/>
      <c r="AC5" s="1032"/>
      <c r="AD5" s="1032"/>
      <c r="AE5" s="892"/>
      <c r="AF5" s="892"/>
      <c r="AG5" s="907"/>
      <c r="AH5" s="911"/>
      <c r="AI5" s="912"/>
      <c r="AJ5" s="913"/>
      <c r="AL5" s="918"/>
      <c r="AM5" s="918"/>
    </row>
    <row r="6" spans="1:39" s="44" customFormat="1" ht="50.25" customHeight="1">
      <c r="A6" s="890"/>
      <c r="B6" s="892"/>
      <c r="C6" s="895"/>
      <c r="D6" s="898"/>
      <c r="E6" s="976"/>
      <c r="F6" s="330" t="s">
        <v>235</v>
      </c>
      <c r="G6" s="924"/>
      <c r="H6" s="926"/>
      <c r="I6" s="928"/>
      <c r="J6" s="930"/>
      <c r="K6" s="486" t="s">
        <v>236</v>
      </c>
      <c r="L6" s="487" t="s">
        <v>237</v>
      </c>
      <c r="M6" s="926"/>
      <c r="N6" s="924"/>
      <c r="O6" s="940" t="s">
        <v>15</v>
      </c>
      <c r="P6" s="298"/>
      <c r="Q6" s="302" t="s">
        <v>147</v>
      </c>
      <c r="R6" s="940" t="s">
        <v>15</v>
      </c>
      <c r="S6" s="300"/>
      <c r="T6" s="302" t="s">
        <v>147</v>
      </c>
      <c r="U6" s="935"/>
      <c r="V6" s="937"/>
      <c r="W6" s="939"/>
      <c r="X6" s="892"/>
      <c r="Y6" s="892"/>
      <c r="Z6" s="892"/>
      <c r="AA6" s="892"/>
      <c r="AB6" s="469" t="s">
        <v>238</v>
      </c>
      <c r="AC6" s="469" t="s">
        <v>239</v>
      </c>
      <c r="AD6" s="469" t="s">
        <v>240</v>
      </c>
      <c r="AE6" s="892"/>
      <c r="AF6" s="892"/>
      <c r="AG6" s="907"/>
      <c r="AH6" s="911"/>
      <c r="AI6" s="912"/>
      <c r="AJ6" s="913"/>
      <c r="AL6" s="919"/>
      <c r="AM6" s="919"/>
    </row>
    <row r="7" spans="1:39" s="44" customFormat="1" ht="17.25" customHeight="1" thickBot="1">
      <c r="A7" s="891"/>
      <c r="B7" s="893"/>
      <c r="C7" s="896"/>
      <c r="D7" s="103" t="s">
        <v>285</v>
      </c>
      <c r="E7" s="178" t="s">
        <v>242</v>
      </c>
      <c r="F7" s="558"/>
      <c r="G7" s="470" t="s">
        <v>286</v>
      </c>
      <c r="H7" s="104" t="s">
        <v>287</v>
      </c>
      <c r="I7" s="49" t="s">
        <v>245</v>
      </c>
      <c r="J7" s="100" t="s">
        <v>288</v>
      </c>
      <c r="K7" s="49"/>
      <c r="L7" s="489"/>
      <c r="M7" s="101" t="s">
        <v>289</v>
      </c>
      <c r="N7" s="102" t="s">
        <v>86</v>
      </c>
      <c r="O7" s="941"/>
      <c r="P7" s="299"/>
      <c r="Q7" s="255" t="s">
        <v>290</v>
      </c>
      <c r="R7" s="941"/>
      <c r="S7" s="301"/>
      <c r="T7" s="256" t="s">
        <v>249</v>
      </c>
      <c r="U7" s="490" t="s">
        <v>291</v>
      </c>
      <c r="V7" s="97" t="s">
        <v>292</v>
      </c>
      <c r="W7" s="50" t="s">
        <v>293</v>
      </c>
      <c r="X7" s="47" t="s">
        <v>294</v>
      </c>
      <c r="Y7" s="47" t="s">
        <v>295</v>
      </c>
      <c r="Z7" s="47" t="s">
        <v>296</v>
      </c>
      <c r="AA7" s="47" t="s">
        <v>297</v>
      </c>
      <c r="AB7" s="47"/>
      <c r="AC7" s="472"/>
      <c r="AD7" s="472"/>
      <c r="AE7" s="47" t="s">
        <v>298</v>
      </c>
      <c r="AF7" s="472" t="s">
        <v>299</v>
      </c>
      <c r="AG7" s="475" t="s">
        <v>300</v>
      </c>
      <c r="AH7" s="914"/>
      <c r="AI7" s="915"/>
      <c r="AJ7" s="916"/>
      <c r="AL7" s="920"/>
      <c r="AM7" s="920"/>
    </row>
    <row r="8" spans="1:42" s="126" customFormat="1" ht="18.75" customHeight="1" thickBot="1">
      <c r="A8" s="26">
        <f>IF(B8="","",ROW($A8)-ROW($A$7))</f>
      </c>
      <c r="B8" s="228"/>
      <c r="C8" s="200"/>
      <c r="D8" s="51"/>
      <c r="E8" s="52"/>
      <c r="F8" s="559"/>
      <c r="G8" s="560">
        <f>IF(A8="","",IF(F8&gt;30,30,F8))</f>
      </c>
      <c r="H8" s="493">
        <f aca="true" t="shared" si="0" ref="H8:H44">IF(A8="","",(D8*G8))</f>
      </c>
      <c r="I8" s="192"/>
      <c r="J8" s="193"/>
      <c r="K8" s="494"/>
      <c r="L8" s="495"/>
      <c r="M8" s="194">
        <f aca="true" t="shared" si="1" ref="M8:M44">IF(A8="","",ROUNDDOWN((I8*J8/12+H8),0))</f>
      </c>
      <c r="N8" s="207">
        <f>IF(A8="","",ROUNDDOWN(10032*G8*(K8/J8),0))</f>
      </c>
      <c r="O8" s="247"/>
      <c r="P8" s="201"/>
      <c r="Q8" s="202">
        <f>IF($H8="","",IF($O8="Ａ",LOOKUP($D8,{8000,8500,9000,10000,12000},{0,1532,1032,408,408}),IF($O8="Ｂ",LOOKUP($D8,{8000,8500,9000,10000,12000},{782,2814,2814,2814,2814}),0)))</f>
      </c>
      <c r="R8" s="247"/>
      <c r="S8" s="244">
        <v>0</v>
      </c>
      <c r="T8" s="496">
        <f>IF($H8="","",IF($R8="Ａ",LOOKUP($D8,{8000,8500,9000,10000,12000},{0,1532,1032,408,408}),IF($R8="Ｂ",LOOKUP($D8,{8000,8500,9000,10000,12000},{782,2814,2814,2814,2814}),0)))</f>
      </c>
      <c r="U8" s="313">
        <f>IF(L8&gt;=7,T8,IF(AND(J8+L8&lt;=7,L8&gt;=4),Q8,IF(ISERROR(ROUNDUP(Q8*3/12+T8*9/12,0)),"",ROUNDUP(Q8*3/12+T8*9/12,0))))</f>
      </c>
      <c r="V8" s="561">
        <f>IF(B8="","",SUMIF('2-3_調整額内訳②(旧々・新制度)'!B:B,$B8,'2-3_調整額内訳②(旧々・新制度)'!AD:AD))</f>
      </c>
      <c r="W8" s="195">
        <f aca="true" t="shared" si="2" ref="W8:W44">IF(B8="","",SUM(U8:V8))</f>
      </c>
      <c r="X8" s="313">
        <f aca="true" t="shared" si="3" ref="X8:X44">IF(B8="","",ROUNDDOWN(W8*G8,0))</f>
      </c>
      <c r="Y8" s="196">
        <f>IF(M8&gt;=N8,N8,M8)</f>
      </c>
      <c r="Z8" s="51"/>
      <c r="AA8" s="196">
        <f aca="true" t="shared" si="4" ref="AA8:AA44">IF(A8="","",IF((M8-Y8)&lt;Z8,Y8-(M8-Z8),0))</f>
      </c>
      <c r="AB8" s="52"/>
      <c r="AC8" s="313" t="str">
        <f>_xlfn.IFERROR(D8*(E8-F8)*(K8/J8),"0")</f>
        <v>0</v>
      </c>
      <c r="AD8" s="562">
        <f>_xlfn.IFERROR(IF(AC8-AB8&gt;0,0,AC8-AB8),"0")</f>
        <v>0</v>
      </c>
      <c r="AE8" s="498"/>
      <c r="AF8" s="75">
        <f>IF(B8="","",MAX(0,Y8-AA8-AE8))</f>
      </c>
      <c r="AG8" s="499">
        <f>IF(B8="","",IF(MIN(X8,AF8)+AD8&gt;0,MIN(X8,AF8)+AD8,0))</f>
      </c>
      <c r="AH8" s="942"/>
      <c r="AI8" s="942"/>
      <c r="AJ8" s="943"/>
      <c r="AL8" s="54">
        <f aca="true" t="shared" si="5" ref="AL8:AL44">IF(A8&gt;0,ASC(C8&amp;R8),"")</f>
      </c>
      <c r="AM8" s="54">
        <f aca="true" t="shared" si="6" ref="AM8:AM44">IF(B8="","",IF(AG8&gt;0,1,0))</f>
      </c>
      <c r="AP8" s="197" t="s">
        <v>12</v>
      </c>
    </row>
    <row r="9" spans="1:42" s="53" customFormat="1" ht="18.75" customHeight="1" thickBot="1" thickTop="1">
      <c r="A9" s="37">
        <f aca="true" t="shared" si="7" ref="A9:A44">IF(B9="","",ROW($A9)-ROW($A$7))</f>
      </c>
      <c r="B9" s="233"/>
      <c r="C9" s="203"/>
      <c r="D9" s="57"/>
      <c r="E9" s="58"/>
      <c r="F9" s="563"/>
      <c r="G9" s="564">
        <f aca="true" t="shared" si="8" ref="G9:G44">IF(A9="","",IF(F9&gt;30,30,F9))</f>
      </c>
      <c r="H9" s="500">
        <f t="shared" si="0"/>
      </c>
      <c r="I9" s="204"/>
      <c r="J9" s="205"/>
      <c r="K9" s="501"/>
      <c r="L9" s="502"/>
      <c r="M9" s="206">
        <f t="shared" si="1"/>
      </c>
      <c r="N9" s="207">
        <f aca="true" t="shared" si="9" ref="N9:N44">IF(A9="","",ROUNDDOWN(10032*G9*(K9/J9),0))</f>
      </c>
      <c r="O9" s="248"/>
      <c r="P9" s="190"/>
      <c r="Q9" s="208">
        <f>IF($H9="","",IF($O9="Ａ",LOOKUP($D9,{8000,8500,9000,10000,12000},{0,1532,1032,408,408}),IF($O9="Ｂ",LOOKUP($D9,{8000,8500,9000,10000,12000},{782,2814,2814,2814,2814}),0)))</f>
      </c>
      <c r="R9" s="248"/>
      <c r="S9" s="245">
        <v>0</v>
      </c>
      <c r="T9" s="503">
        <f>IF($H9="","",IF($R9="Ａ",LOOKUP($D9,{8000,8500,9000,10000,12000},{0,1532,1032,408,408}),IF($R9="Ｂ",LOOKUP($D9,{8000,8500,9000,10000,12000},{782,2814,2814,2814,2814}),0)))</f>
      </c>
      <c r="U9" s="210">
        <f aca="true" t="shared" si="10" ref="U9:U44">IF(L9&gt;=7,T9,IF(AND(J9+L9&lt;=7,L9&gt;=4),Q9,IF(ISERROR(ROUNDUP(Q9*3/12+T9*9/12,0)),"",ROUNDUP(Q9*3/12+T9*9/12,0))))</f>
      </c>
      <c r="V9" s="561">
        <f>IF(B9="","",SUMIF('2-3_調整額内訳②(旧々・新制度)'!B:B,$B9,'2-3_調整額内訳②(旧々・新制度)'!AD:AD))</f>
      </c>
      <c r="W9" s="209">
        <f t="shared" si="2"/>
      </c>
      <c r="X9" s="210">
        <f t="shared" si="3"/>
      </c>
      <c r="Y9" s="210">
        <f aca="true" t="shared" si="11" ref="Y9:Y44">IF(M9&gt;=N9,N9,M9)</f>
      </c>
      <c r="Z9" s="57"/>
      <c r="AA9" s="210">
        <f t="shared" si="4"/>
      </c>
      <c r="AB9" s="58"/>
      <c r="AC9" s="210" t="str">
        <f aca="true" t="shared" si="12" ref="AC9:AC44">_xlfn.IFERROR(D9*(E9-F9)*(K9/J9),"0")</f>
        <v>0</v>
      </c>
      <c r="AD9" s="565">
        <f aca="true" t="shared" si="13" ref="AD9:AD44">_xlfn.IFERROR(IF(AC9-AB9&gt;0,0,AC9-AB9),"0")</f>
        <v>0</v>
      </c>
      <c r="AE9" s="505"/>
      <c r="AF9" s="81">
        <f aca="true" t="shared" si="14" ref="AF9:AF44">IF(B9="","",MAX(0,Y9-AA9-AE9))</f>
      </c>
      <c r="AG9" s="506">
        <f aca="true" t="shared" si="15" ref="AG9:AG44">IF(B9="","",IF(MIN(X9,AF9)+AD9&gt;0,MIN(X9,AF9)+AD9,0))</f>
      </c>
      <c r="AH9" s="944"/>
      <c r="AI9" s="944"/>
      <c r="AJ9" s="945"/>
      <c r="AL9" s="61">
        <f t="shared" si="5"/>
      </c>
      <c r="AM9" s="61">
        <f t="shared" si="6"/>
      </c>
      <c r="AO9" s="55" t="s">
        <v>11</v>
      </c>
      <c r="AP9" s="62" t="str">
        <f>IF(V45='2-3_調整額内訳②(旧々・新制度)'!AD39,"OK","ERR")</f>
        <v>OK</v>
      </c>
    </row>
    <row r="10" spans="1:42" s="53" customFormat="1" ht="18.75" customHeight="1" thickTop="1">
      <c r="A10" s="177">
        <f t="shared" si="7"/>
      </c>
      <c r="B10" s="233"/>
      <c r="C10" s="203"/>
      <c r="D10" s="57"/>
      <c r="E10" s="58"/>
      <c r="F10" s="563"/>
      <c r="G10" s="564">
        <f t="shared" si="8"/>
      </c>
      <c r="H10" s="500">
        <f t="shared" si="0"/>
      </c>
      <c r="I10" s="204"/>
      <c r="J10" s="205"/>
      <c r="K10" s="501"/>
      <c r="L10" s="502"/>
      <c r="M10" s="206">
        <f t="shared" si="1"/>
      </c>
      <c r="N10" s="207">
        <f t="shared" si="9"/>
      </c>
      <c r="O10" s="248"/>
      <c r="P10" s="190"/>
      <c r="Q10" s="208">
        <f>IF($H10="","",IF($O10="Ａ",LOOKUP($D10,{8000,8500,9000,10000,12000},{0,1532,1032,408,408}),IF($O10="Ｂ",LOOKUP($D10,{8000,8500,9000,10000,12000},{782,2814,2814,2814,2814}),0)))</f>
      </c>
      <c r="R10" s="248"/>
      <c r="S10" s="245">
        <v>0</v>
      </c>
      <c r="T10" s="503">
        <f>IF($H10="","",IF($R10="Ａ",LOOKUP($D10,{8000,8500,9000,10000,12000},{0,1532,1032,408,408}),IF($R10="Ｂ",LOOKUP($D10,{8000,8500,9000,10000,12000},{782,2814,2814,2814,2814}),0)))</f>
      </c>
      <c r="U10" s="210">
        <f t="shared" si="10"/>
      </c>
      <c r="V10" s="561">
        <f>IF(B10="","",SUMIF('2-3_調整額内訳②(旧々・新制度)'!B:B,$B10,'2-3_調整額内訳②(旧々・新制度)'!AD:AD))</f>
      </c>
      <c r="W10" s="209">
        <f t="shared" si="2"/>
      </c>
      <c r="X10" s="210">
        <f t="shared" si="3"/>
      </c>
      <c r="Y10" s="210">
        <f t="shared" si="11"/>
      </c>
      <c r="Z10" s="57"/>
      <c r="AA10" s="210">
        <f t="shared" si="4"/>
      </c>
      <c r="AB10" s="58"/>
      <c r="AC10" s="210" t="str">
        <f t="shared" si="12"/>
        <v>0</v>
      </c>
      <c r="AD10" s="565">
        <f t="shared" si="13"/>
        <v>0</v>
      </c>
      <c r="AE10" s="505"/>
      <c r="AF10" s="81">
        <f t="shared" si="14"/>
      </c>
      <c r="AG10" s="506">
        <f t="shared" si="15"/>
      </c>
      <c r="AH10" s="944"/>
      <c r="AI10" s="944"/>
      <c r="AJ10" s="945"/>
      <c r="AL10" s="61">
        <f t="shared" si="5"/>
      </c>
      <c r="AM10" s="61">
        <f t="shared" si="6"/>
      </c>
      <c r="AO10" s="55"/>
      <c r="AP10" s="63"/>
    </row>
    <row r="11" spans="1:39" s="53" customFormat="1" ht="18.75" customHeight="1">
      <c r="A11" s="177">
        <f t="shared" si="7"/>
      </c>
      <c r="B11" s="233"/>
      <c r="C11" s="203"/>
      <c r="D11" s="57"/>
      <c r="E11" s="58"/>
      <c r="F11" s="563"/>
      <c r="G11" s="564">
        <f t="shared" si="8"/>
      </c>
      <c r="H11" s="500">
        <f t="shared" si="0"/>
      </c>
      <c r="I11" s="204"/>
      <c r="J11" s="205"/>
      <c r="K11" s="501"/>
      <c r="L11" s="502"/>
      <c r="M11" s="206">
        <f t="shared" si="1"/>
      </c>
      <c r="N11" s="207">
        <f t="shared" si="9"/>
      </c>
      <c r="O11" s="248"/>
      <c r="P11" s="190"/>
      <c r="Q11" s="208">
        <f>IF($H11="","",IF($O11="Ａ",LOOKUP($D11,{8000,8500,9000,10000,12000},{0,1532,1032,408,408}),IF($O11="Ｂ",LOOKUP($D11,{8000,8500,9000,10000,12000},{782,2814,2814,2814,2814}),0)))</f>
      </c>
      <c r="R11" s="248"/>
      <c r="S11" s="245">
        <v>0</v>
      </c>
      <c r="T11" s="503">
        <f>IF($H11="","",IF($R11="Ａ",LOOKUP($D11,{8000,8500,9000,10000,12000},{0,1532,1032,408,408}),IF($R11="Ｂ",LOOKUP($D11,{8000,8500,9000,10000,12000},{782,2814,2814,2814,2814}),0)))</f>
      </c>
      <c r="U11" s="210">
        <f t="shared" si="10"/>
      </c>
      <c r="V11" s="561">
        <f>IF(B11="","",SUMIF('2-3_調整額内訳②(旧々・新制度)'!B:B,$B11,'2-3_調整額内訳②(旧々・新制度)'!AD:AD))</f>
      </c>
      <c r="W11" s="209">
        <f t="shared" si="2"/>
      </c>
      <c r="X11" s="210">
        <f t="shared" si="3"/>
      </c>
      <c r="Y11" s="210">
        <f t="shared" si="11"/>
      </c>
      <c r="Z11" s="57"/>
      <c r="AA11" s="210">
        <f t="shared" si="4"/>
      </c>
      <c r="AB11" s="58"/>
      <c r="AC11" s="210" t="str">
        <f t="shared" si="12"/>
        <v>0</v>
      </c>
      <c r="AD11" s="565">
        <f t="shared" si="13"/>
        <v>0</v>
      </c>
      <c r="AE11" s="505"/>
      <c r="AF11" s="81">
        <f t="shared" si="14"/>
      </c>
      <c r="AG11" s="506">
        <f t="shared" si="15"/>
      </c>
      <c r="AH11" s="944"/>
      <c r="AI11" s="944"/>
      <c r="AJ11" s="945"/>
      <c r="AL11" s="61">
        <f t="shared" si="5"/>
      </c>
      <c r="AM11" s="61">
        <f t="shared" si="6"/>
      </c>
    </row>
    <row r="12" spans="1:39" s="53" customFormat="1" ht="18.75" customHeight="1">
      <c r="A12" s="177">
        <f t="shared" si="7"/>
      </c>
      <c r="B12" s="233"/>
      <c r="C12" s="203"/>
      <c r="D12" s="57"/>
      <c r="E12" s="58"/>
      <c r="F12" s="563"/>
      <c r="G12" s="564">
        <f t="shared" si="8"/>
      </c>
      <c r="H12" s="500">
        <f t="shared" si="0"/>
      </c>
      <c r="I12" s="204"/>
      <c r="J12" s="205"/>
      <c r="K12" s="501"/>
      <c r="L12" s="502"/>
      <c r="M12" s="206">
        <f t="shared" si="1"/>
      </c>
      <c r="N12" s="207">
        <f t="shared" si="9"/>
      </c>
      <c r="O12" s="248"/>
      <c r="P12" s="190"/>
      <c r="Q12" s="208">
        <f>IF($H12="","",IF($O12="Ａ",LOOKUP($D12,{8000,8500,9000,10000,12000},{0,1532,1032,408,408}),IF($O12="Ｂ",LOOKUP($D12,{8000,8500,9000,10000,12000},{782,2814,2814,2814,2814}),0)))</f>
      </c>
      <c r="R12" s="248"/>
      <c r="S12" s="245">
        <v>0</v>
      </c>
      <c r="T12" s="503">
        <f>IF($H12="","",IF($R12="Ａ",LOOKUP($D12,{8000,8500,9000,10000,12000},{0,1532,1032,408,408}),IF($R12="Ｂ",LOOKUP($D12,{8000,8500,9000,10000,12000},{782,2814,2814,2814,2814}),0)))</f>
      </c>
      <c r="U12" s="210">
        <f t="shared" si="10"/>
      </c>
      <c r="V12" s="561">
        <f>IF(B12="","",SUMIF('2-3_調整額内訳②(旧々・新制度)'!B:B,$B12,'2-3_調整額内訳②(旧々・新制度)'!AD:AD))</f>
      </c>
      <c r="W12" s="209">
        <f t="shared" si="2"/>
      </c>
      <c r="X12" s="210">
        <f t="shared" si="3"/>
      </c>
      <c r="Y12" s="210">
        <f t="shared" si="11"/>
      </c>
      <c r="Z12" s="57"/>
      <c r="AA12" s="210">
        <f t="shared" si="4"/>
      </c>
      <c r="AB12" s="58"/>
      <c r="AC12" s="210" t="str">
        <f t="shared" si="12"/>
        <v>0</v>
      </c>
      <c r="AD12" s="565">
        <f t="shared" si="13"/>
        <v>0</v>
      </c>
      <c r="AE12" s="505"/>
      <c r="AF12" s="81">
        <f t="shared" si="14"/>
      </c>
      <c r="AG12" s="506">
        <f t="shared" si="15"/>
      </c>
      <c r="AH12" s="944"/>
      <c r="AI12" s="944"/>
      <c r="AJ12" s="945"/>
      <c r="AL12" s="61">
        <f t="shared" si="5"/>
      </c>
      <c r="AM12" s="61">
        <f t="shared" si="6"/>
      </c>
    </row>
    <row r="13" spans="1:39" s="53" customFormat="1" ht="18.75" customHeight="1">
      <c r="A13" s="177">
        <f t="shared" si="7"/>
      </c>
      <c r="B13" s="233"/>
      <c r="C13" s="203"/>
      <c r="D13" s="57"/>
      <c r="E13" s="58"/>
      <c r="F13" s="563"/>
      <c r="G13" s="564">
        <f t="shared" si="8"/>
      </c>
      <c r="H13" s="500">
        <f t="shared" si="0"/>
      </c>
      <c r="I13" s="204"/>
      <c r="J13" s="205"/>
      <c r="K13" s="501"/>
      <c r="L13" s="502"/>
      <c r="M13" s="206">
        <f t="shared" si="1"/>
      </c>
      <c r="N13" s="207">
        <f t="shared" si="9"/>
      </c>
      <c r="O13" s="248"/>
      <c r="P13" s="190"/>
      <c r="Q13" s="208">
        <f>IF($H13="","",IF($O13="Ａ",LOOKUP($D13,{8000,8500,9000,10000,12000},{0,1532,1032,408,408}),IF($O13="Ｂ",LOOKUP($D13,{8000,8500,9000,10000,12000},{782,2814,2814,2814,2814}),0)))</f>
      </c>
      <c r="R13" s="248"/>
      <c r="S13" s="245">
        <v>0</v>
      </c>
      <c r="T13" s="503">
        <f>IF($H13="","",IF($R13="Ａ",LOOKUP($D13,{8000,8500,9000,10000,12000},{0,1532,1032,408,408}),IF($R13="Ｂ",LOOKUP($D13,{8000,8500,9000,10000,12000},{782,2814,2814,2814,2814}),0)))</f>
      </c>
      <c r="U13" s="210">
        <f t="shared" si="10"/>
      </c>
      <c r="V13" s="561">
        <f>IF(B13="","",SUMIF('2-3_調整額内訳②(旧々・新制度)'!B:B,$B13,'2-3_調整額内訳②(旧々・新制度)'!AD:AD))</f>
      </c>
      <c r="W13" s="209">
        <f t="shared" si="2"/>
      </c>
      <c r="X13" s="210">
        <f t="shared" si="3"/>
      </c>
      <c r="Y13" s="210">
        <f t="shared" si="11"/>
      </c>
      <c r="Z13" s="57"/>
      <c r="AA13" s="210">
        <f t="shared" si="4"/>
      </c>
      <c r="AB13" s="58"/>
      <c r="AC13" s="210" t="str">
        <f t="shared" si="12"/>
        <v>0</v>
      </c>
      <c r="AD13" s="565">
        <f t="shared" si="13"/>
        <v>0</v>
      </c>
      <c r="AE13" s="505"/>
      <c r="AF13" s="81">
        <f t="shared" si="14"/>
      </c>
      <c r="AG13" s="506">
        <f t="shared" si="15"/>
      </c>
      <c r="AH13" s="944" t="s">
        <v>301</v>
      </c>
      <c r="AI13" s="944"/>
      <c r="AJ13" s="945"/>
      <c r="AL13" s="61">
        <f t="shared" si="5"/>
      </c>
      <c r="AM13" s="61">
        <f t="shared" si="6"/>
      </c>
    </row>
    <row r="14" spans="1:39" s="53" customFormat="1" ht="18.75" customHeight="1">
      <c r="A14" s="177">
        <f t="shared" si="7"/>
      </c>
      <c r="B14" s="233"/>
      <c r="C14" s="203"/>
      <c r="D14" s="57"/>
      <c r="E14" s="58"/>
      <c r="F14" s="563"/>
      <c r="G14" s="564">
        <f t="shared" si="8"/>
      </c>
      <c r="H14" s="500">
        <f t="shared" si="0"/>
      </c>
      <c r="I14" s="204"/>
      <c r="J14" s="205"/>
      <c r="K14" s="501"/>
      <c r="L14" s="502"/>
      <c r="M14" s="206">
        <f t="shared" si="1"/>
      </c>
      <c r="N14" s="207">
        <f t="shared" si="9"/>
      </c>
      <c r="O14" s="248"/>
      <c r="P14" s="190"/>
      <c r="Q14" s="208">
        <f>IF($H14="","",IF($O14="Ａ",LOOKUP($D14,{8000,8500,9000,10000,12000},{0,1532,1032,408,408}),IF($O14="Ｂ",LOOKUP($D14,{8000,8500,9000,10000,12000},{782,2814,2814,2814,2814}),0)))</f>
      </c>
      <c r="R14" s="248"/>
      <c r="S14" s="245">
        <v>0</v>
      </c>
      <c r="T14" s="503">
        <f>IF($H14="","",IF($R14="Ａ",LOOKUP($D14,{8000,8500,9000,10000,12000},{0,1532,1032,408,408}),IF($R14="Ｂ",LOOKUP($D14,{8000,8500,9000,10000,12000},{782,2814,2814,2814,2814}),0)))</f>
      </c>
      <c r="U14" s="210">
        <f t="shared" si="10"/>
      </c>
      <c r="V14" s="561">
        <f>IF(B14="","",SUMIF('2-3_調整額内訳②(旧々・新制度)'!B:B,$B14,'2-3_調整額内訳②(旧々・新制度)'!AD:AD))</f>
      </c>
      <c r="W14" s="209">
        <f t="shared" si="2"/>
      </c>
      <c r="X14" s="210">
        <f t="shared" si="3"/>
      </c>
      <c r="Y14" s="210">
        <f t="shared" si="11"/>
      </c>
      <c r="Z14" s="57"/>
      <c r="AA14" s="210">
        <f t="shared" si="4"/>
      </c>
      <c r="AB14" s="58"/>
      <c r="AC14" s="210" t="str">
        <f t="shared" si="12"/>
        <v>0</v>
      </c>
      <c r="AD14" s="565">
        <f t="shared" si="13"/>
        <v>0</v>
      </c>
      <c r="AE14" s="505"/>
      <c r="AF14" s="81">
        <f t="shared" si="14"/>
      </c>
      <c r="AG14" s="506">
        <f t="shared" si="15"/>
      </c>
      <c r="AH14" s="944"/>
      <c r="AI14" s="944"/>
      <c r="AJ14" s="945"/>
      <c r="AL14" s="61">
        <f t="shared" si="5"/>
      </c>
      <c r="AM14" s="61">
        <f t="shared" si="6"/>
      </c>
    </row>
    <row r="15" spans="1:39" s="53" customFormat="1" ht="18.75" customHeight="1">
      <c r="A15" s="177">
        <f t="shared" si="7"/>
      </c>
      <c r="B15" s="233"/>
      <c r="C15" s="203"/>
      <c r="D15" s="57"/>
      <c r="E15" s="58"/>
      <c r="F15" s="563"/>
      <c r="G15" s="564">
        <f t="shared" si="8"/>
      </c>
      <c r="H15" s="500">
        <f t="shared" si="0"/>
      </c>
      <c r="I15" s="204"/>
      <c r="J15" s="205"/>
      <c r="K15" s="501"/>
      <c r="L15" s="502"/>
      <c r="M15" s="206">
        <f t="shared" si="1"/>
      </c>
      <c r="N15" s="207">
        <f t="shared" si="9"/>
      </c>
      <c r="O15" s="248"/>
      <c r="P15" s="190"/>
      <c r="Q15" s="208">
        <f>IF($H15="","",IF($O15="Ａ",LOOKUP($D15,{8000,8500,9000,10000,12000},{0,1532,1032,408,408}),IF($O15="Ｂ",LOOKUP($D15,{8000,8500,9000,10000,12000},{782,2814,2814,2814,2814}),0)))</f>
      </c>
      <c r="R15" s="248"/>
      <c r="S15" s="245">
        <v>0</v>
      </c>
      <c r="T15" s="768">
        <f>IF($H15="","",IF($R15="Ａ",LOOKUP($D15,{8000,8500,9000,10000,12000},{0,1532,1032,408,408}),IF($R15="Ｂ",LOOKUP($D15,{8000,8500,9000,10000,12000},{782,2814,2814,2814,2814}),0)))</f>
      </c>
      <c r="U15" s="769">
        <f t="shared" si="10"/>
      </c>
      <c r="V15" s="561">
        <f>IF(B15="","",SUMIF('2-3_調整額内訳②(旧々・新制度)'!B:B,$B15,'2-3_調整額内訳②(旧々・新制度)'!AD:AD))</f>
      </c>
      <c r="W15" s="209">
        <f t="shared" si="2"/>
      </c>
      <c r="X15" s="210">
        <f t="shared" si="3"/>
      </c>
      <c r="Y15" s="210">
        <f t="shared" si="11"/>
      </c>
      <c r="Z15" s="57"/>
      <c r="AA15" s="210">
        <f t="shared" si="4"/>
      </c>
      <c r="AB15" s="58"/>
      <c r="AC15" s="210" t="str">
        <f t="shared" si="12"/>
        <v>0</v>
      </c>
      <c r="AD15" s="565">
        <f t="shared" si="13"/>
        <v>0</v>
      </c>
      <c r="AE15" s="505"/>
      <c r="AF15" s="81">
        <f t="shared" si="14"/>
      </c>
      <c r="AG15" s="506">
        <f t="shared" si="15"/>
      </c>
      <c r="AH15" s="944"/>
      <c r="AI15" s="944"/>
      <c r="AJ15" s="945"/>
      <c r="AL15" s="61">
        <f t="shared" si="5"/>
      </c>
      <c r="AM15" s="61">
        <f t="shared" si="6"/>
      </c>
    </row>
    <row r="16" spans="1:39" s="53" customFormat="1" ht="18.75" customHeight="1">
      <c r="A16" s="177">
        <f t="shared" si="7"/>
      </c>
      <c r="B16" s="233"/>
      <c r="C16" s="203"/>
      <c r="D16" s="57"/>
      <c r="E16" s="58"/>
      <c r="F16" s="563"/>
      <c r="G16" s="564">
        <f t="shared" si="8"/>
      </c>
      <c r="H16" s="500">
        <f t="shared" si="0"/>
      </c>
      <c r="I16" s="204"/>
      <c r="J16" s="205"/>
      <c r="K16" s="501"/>
      <c r="L16" s="502"/>
      <c r="M16" s="206">
        <f t="shared" si="1"/>
      </c>
      <c r="N16" s="207">
        <f t="shared" si="9"/>
      </c>
      <c r="O16" s="248"/>
      <c r="P16" s="190"/>
      <c r="Q16" s="208">
        <f>IF($H16="","",IF($O16="Ａ",LOOKUP($D16,{8000,8500,9000,10000,12000},{0,1532,1032,408,408}),IF($O16="Ｂ",LOOKUP($D16,{8000,8500,9000,10000,12000},{782,2814,2814,2814,2814}),0)))</f>
      </c>
      <c r="R16" s="248"/>
      <c r="S16" s="245">
        <v>0</v>
      </c>
      <c r="T16" s="503">
        <f>IF($H16="","",IF($R16="Ａ",LOOKUP($D16,{8000,8500,9000,10000,12000},{0,1532,1032,408,408}),IF($R16="Ｂ",LOOKUP($D16,{8000,8500,9000,10000,12000},{782,2814,2814,2814,2814}),0)))</f>
      </c>
      <c r="U16" s="210">
        <f t="shared" si="10"/>
      </c>
      <c r="V16" s="561">
        <f>IF(B16="","",SUMIF('2-3_調整額内訳②(旧々・新制度)'!B:B,$B16,'2-3_調整額内訳②(旧々・新制度)'!AD:AD))</f>
      </c>
      <c r="W16" s="209">
        <f t="shared" si="2"/>
      </c>
      <c r="X16" s="210">
        <f t="shared" si="3"/>
      </c>
      <c r="Y16" s="210">
        <f t="shared" si="11"/>
      </c>
      <c r="Z16" s="57"/>
      <c r="AA16" s="210">
        <f t="shared" si="4"/>
      </c>
      <c r="AB16" s="58"/>
      <c r="AC16" s="210" t="str">
        <f t="shared" si="12"/>
        <v>0</v>
      </c>
      <c r="AD16" s="565">
        <f t="shared" si="13"/>
        <v>0</v>
      </c>
      <c r="AE16" s="505"/>
      <c r="AF16" s="81">
        <f t="shared" si="14"/>
      </c>
      <c r="AG16" s="506">
        <f t="shared" si="15"/>
      </c>
      <c r="AH16" s="944"/>
      <c r="AI16" s="944"/>
      <c r="AJ16" s="945"/>
      <c r="AL16" s="61">
        <f t="shared" si="5"/>
      </c>
      <c r="AM16" s="61">
        <f t="shared" si="6"/>
      </c>
    </row>
    <row r="17" spans="1:39" s="53" customFormat="1" ht="18.75" customHeight="1">
      <c r="A17" s="177">
        <f t="shared" si="7"/>
      </c>
      <c r="B17" s="233"/>
      <c r="C17" s="203"/>
      <c r="D17" s="57"/>
      <c r="E17" s="58"/>
      <c r="F17" s="563"/>
      <c r="G17" s="564">
        <f t="shared" si="8"/>
      </c>
      <c r="H17" s="500">
        <f t="shared" si="0"/>
      </c>
      <c r="I17" s="204"/>
      <c r="J17" s="205"/>
      <c r="K17" s="501"/>
      <c r="L17" s="502"/>
      <c r="M17" s="206">
        <f t="shared" si="1"/>
      </c>
      <c r="N17" s="207">
        <f t="shared" si="9"/>
      </c>
      <c r="O17" s="248"/>
      <c r="P17" s="190"/>
      <c r="Q17" s="208">
        <f>IF($H17="","",IF($O17="Ａ",LOOKUP($D17,{8000,8500,9000,10000,12000},{0,1532,1032,408,408}),IF($O17="Ｂ",LOOKUP($D17,{8000,8500,9000,10000,12000},{782,2814,2814,2814,2814}),0)))</f>
      </c>
      <c r="R17" s="248"/>
      <c r="S17" s="245">
        <v>0</v>
      </c>
      <c r="T17" s="503">
        <f>IF($H17="","",IF($R17="Ａ",LOOKUP($D17,{8000,8500,9000,10000,12000},{0,1532,1032,408,408}),IF($R17="Ｂ",LOOKUP($D17,{8000,8500,9000,10000,12000},{782,2814,2814,2814,2814}),0)))</f>
      </c>
      <c r="U17" s="210">
        <f t="shared" si="10"/>
      </c>
      <c r="V17" s="561">
        <f>IF(B17="","",SUMIF('2-3_調整額内訳②(旧々・新制度)'!B:B,$B17,'2-3_調整額内訳②(旧々・新制度)'!AD:AD))</f>
      </c>
      <c r="W17" s="209">
        <f t="shared" si="2"/>
      </c>
      <c r="X17" s="210">
        <f t="shared" si="3"/>
      </c>
      <c r="Y17" s="210">
        <f t="shared" si="11"/>
      </c>
      <c r="Z17" s="57"/>
      <c r="AA17" s="210">
        <f t="shared" si="4"/>
      </c>
      <c r="AB17" s="58"/>
      <c r="AC17" s="210" t="str">
        <f t="shared" si="12"/>
        <v>0</v>
      </c>
      <c r="AD17" s="565">
        <f t="shared" si="13"/>
        <v>0</v>
      </c>
      <c r="AE17" s="505"/>
      <c r="AF17" s="81">
        <f t="shared" si="14"/>
      </c>
      <c r="AG17" s="506">
        <f t="shared" si="15"/>
      </c>
      <c r="AH17" s="944"/>
      <c r="AI17" s="944"/>
      <c r="AJ17" s="945"/>
      <c r="AL17" s="61">
        <f t="shared" si="5"/>
      </c>
      <c r="AM17" s="61">
        <f t="shared" si="6"/>
      </c>
    </row>
    <row r="18" spans="1:39" s="53" customFormat="1" ht="18.75" customHeight="1">
      <c r="A18" s="177">
        <f t="shared" si="7"/>
      </c>
      <c r="B18" s="233"/>
      <c r="C18" s="203"/>
      <c r="D18" s="57"/>
      <c r="E18" s="58"/>
      <c r="F18" s="563"/>
      <c r="G18" s="564">
        <f t="shared" si="8"/>
      </c>
      <c r="H18" s="500">
        <f t="shared" si="0"/>
      </c>
      <c r="I18" s="204"/>
      <c r="J18" s="205"/>
      <c r="K18" s="501"/>
      <c r="L18" s="502"/>
      <c r="M18" s="206">
        <f t="shared" si="1"/>
      </c>
      <c r="N18" s="207">
        <f t="shared" si="9"/>
      </c>
      <c r="O18" s="248"/>
      <c r="P18" s="190"/>
      <c r="Q18" s="208">
        <f>IF($H18="","",IF($O18="Ａ",LOOKUP($D18,{8000,8500,9000,10000,12000},{0,1532,1032,408,408}),IF($O18="Ｂ",LOOKUP($D18,{8000,8500,9000,10000,12000},{782,2814,2814,2814,2814}),0)))</f>
      </c>
      <c r="R18" s="248"/>
      <c r="S18" s="245">
        <v>0</v>
      </c>
      <c r="T18" s="503">
        <f>IF($H18="","",IF($R18="Ａ",LOOKUP($D18,{8000,8500,9000,10000,12000},{0,1532,1032,408,408}),IF($R18="Ｂ",LOOKUP($D18,{8000,8500,9000,10000,12000},{782,2814,2814,2814,2814}),0)))</f>
      </c>
      <c r="U18" s="210">
        <f t="shared" si="10"/>
      </c>
      <c r="V18" s="561">
        <f>IF(B18="","",SUMIF('2-3_調整額内訳②(旧々・新制度)'!B:B,$B18,'2-3_調整額内訳②(旧々・新制度)'!AD:AD))</f>
      </c>
      <c r="W18" s="209">
        <f t="shared" si="2"/>
      </c>
      <c r="X18" s="210">
        <f t="shared" si="3"/>
      </c>
      <c r="Y18" s="210">
        <f t="shared" si="11"/>
      </c>
      <c r="Z18" s="57"/>
      <c r="AA18" s="210">
        <f t="shared" si="4"/>
      </c>
      <c r="AB18" s="58"/>
      <c r="AC18" s="210" t="str">
        <f t="shared" si="12"/>
        <v>0</v>
      </c>
      <c r="AD18" s="565">
        <f t="shared" si="13"/>
        <v>0</v>
      </c>
      <c r="AE18" s="505"/>
      <c r="AF18" s="81">
        <f t="shared" si="14"/>
      </c>
      <c r="AG18" s="506">
        <f t="shared" si="15"/>
      </c>
      <c r="AH18" s="944"/>
      <c r="AI18" s="944"/>
      <c r="AJ18" s="945"/>
      <c r="AL18" s="61">
        <f t="shared" si="5"/>
      </c>
      <c r="AM18" s="61">
        <f t="shared" si="6"/>
      </c>
    </row>
    <row r="19" spans="1:39" s="53" customFormat="1" ht="18.75" customHeight="1">
      <c r="A19" s="177">
        <f t="shared" si="7"/>
      </c>
      <c r="B19" s="233"/>
      <c r="C19" s="203"/>
      <c r="D19" s="57"/>
      <c r="E19" s="58"/>
      <c r="F19" s="563"/>
      <c r="G19" s="564">
        <f t="shared" si="8"/>
      </c>
      <c r="H19" s="500">
        <f t="shared" si="0"/>
      </c>
      <c r="I19" s="204"/>
      <c r="J19" s="205"/>
      <c r="K19" s="501"/>
      <c r="L19" s="502"/>
      <c r="M19" s="206">
        <f t="shared" si="1"/>
      </c>
      <c r="N19" s="207">
        <f t="shared" si="9"/>
      </c>
      <c r="O19" s="248"/>
      <c r="P19" s="190"/>
      <c r="Q19" s="208">
        <f>IF($H19="","",IF($O19="Ａ",LOOKUP($D19,{8000,8500,9000,10000,12000},{0,1532,1032,408,408}),IF($O19="Ｂ",LOOKUP($D19,{8000,8500,9000,10000,12000},{782,2814,2814,2814,2814}),0)))</f>
      </c>
      <c r="R19" s="248"/>
      <c r="S19" s="245">
        <v>0</v>
      </c>
      <c r="T19" s="503">
        <f>IF($H19="","",IF($R19="Ａ",LOOKUP($D19,{8000,8500,9000,10000,12000},{0,1532,1032,408,408}),IF($R19="Ｂ",LOOKUP($D19,{8000,8500,9000,10000,12000},{782,2814,2814,2814,2814}),0)))</f>
      </c>
      <c r="U19" s="210">
        <f t="shared" si="10"/>
      </c>
      <c r="V19" s="561">
        <f>IF(B19="","",SUMIF('2-3_調整額内訳②(旧々・新制度)'!B:B,$B19,'2-3_調整額内訳②(旧々・新制度)'!AD:AD))</f>
      </c>
      <c r="W19" s="209">
        <f t="shared" si="2"/>
      </c>
      <c r="X19" s="210">
        <f t="shared" si="3"/>
      </c>
      <c r="Y19" s="210">
        <f t="shared" si="11"/>
      </c>
      <c r="Z19" s="57"/>
      <c r="AA19" s="210">
        <f t="shared" si="4"/>
      </c>
      <c r="AB19" s="58"/>
      <c r="AC19" s="210" t="str">
        <f t="shared" si="12"/>
        <v>0</v>
      </c>
      <c r="AD19" s="565">
        <f t="shared" si="13"/>
        <v>0</v>
      </c>
      <c r="AE19" s="505"/>
      <c r="AF19" s="81">
        <f t="shared" si="14"/>
      </c>
      <c r="AG19" s="506">
        <f t="shared" si="15"/>
      </c>
      <c r="AH19" s="944"/>
      <c r="AI19" s="944"/>
      <c r="AJ19" s="945"/>
      <c r="AL19" s="61">
        <f t="shared" si="5"/>
      </c>
      <c r="AM19" s="61">
        <f t="shared" si="6"/>
      </c>
    </row>
    <row r="20" spans="1:39" s="53" customFormat="1" ht="18.75" customHeight="1">
      <c r="A20" s="177">
        <f t="shared" si="7"/>
      </c>
      <c r="B20" s="233"/>
      <c r="C20" s="203"/>
      <c r="D20" s="57"/>
      <c r="E20" s="58"/>
      <c r="F20" s="563"/>
      <c r="G20" s="564">
        <f t="shared" si="8"/>
      </c>
      <c r="H20" s="500">
        <f t="shared" si="0"/>
      </c>
      <c r="I20" s="204"/>
      <c r="J20" s="205"/>
      <c r="K20" s="501"/>
      <c r="L20" s="502"/>
      <c r="M20" s="206">
        <f t="shared" si="1"/>
      </c>
      <c r="N20" s="207">
        <f t="shared" si="9"/>
      </c>
      <c r="O20" s="248"/>
      <c r="P20" s="190"/>
      <c r="Q20" s="208">
        <f>IF($H20="","",IF($O20="Ａ",LOOKUP($D20,{8000,8500,9000,10000,12000},{0,1532,1032,408,408}),IF($O20="Ｂ",LOOKUP($D20,{8000,8500,9000,10000,12000},{782,2814,2814,2814,2814}),0)))</f>
      </c>
      <c r="R20" s="248"/>
      <c r="S20" s="245">
        <v>0</v>
      </c>
      <c r="T20" s="503">
        <f>IF($H20="","",IF($R20="Ａ",LOOKUP($D20,{8000,8500,9000,10000,12000},{0,1532,1032,408,408}),IF($R20="Ｂ",LOOKUP($D20,{8000,8500,9000,10000,12000},{782,2814,2814,2814,2814}),0)))</f>
      </c>
      <c r="U20" s="210">
        <f t="shared" si="10"/>
      </c>
      <c r="V20" s="561">
        <f>IF(B20="","",SUMIF('2-3_調整額内訳②(旧々・新制度)'!B:B,$B20,'2-3_調整額内訳②(旧々・新制度)'!AD:AD))</f>
      </c>
      <c r="W20" s="209">
        <f t="shared" si="2"/>
      </c>
      <c r="X20" s="210">
        <f t="shared" si="3"/>
      </c>
      <c r="Y20" s="210">
        <f t="shared" si="11"/>
      </c>
      <c r="Z20" s="57"/>
      <c r="AA20" s="210">
        <f t="shared" si="4"/>
      </c>
      <c r="AB20" s="58"/>
      <c r="AC20" s="210" t="str">
        <f t="shared" si="12"/>
        <v>0</v>
      </c>
      <c r="AD20" s="565">
        <f t="shared" si="13"/>
        <v>0</v>
      </c>
      <c r="AE20" s="505"/>
      <c r="AF20" s="81">
        <f t="shared" si="14"/>
      </c>
      <c r="AG20" s="506">
        <f t="shared" si="15"/>
      </c>
      <c r="AH20" s="944"/>
      <c r="AI20" s="944"/>
      <c r="AJ20" s="945"/>
      <c r="AL20" s="61">
        <f t="shared" si="5"/>
      </c>
      <c r="AM20" s="61">
        <f t="shared" si="6"/>
      </c>
    </row>
    <row r="21" spans="1:39" s="53" customFormat="1" ht="18.75" customHeight="1">
      <c r="A21" s="177">
        <f t="shared" si="7"/>
      </c>
      <c r="B21" s="233"/>
      <c r="C21" s="203"/>
      <c r="D21" s="57"/>
      <c r="E21" s="58"/>
      <c r="F21" s="563"/>
      <c r="G21" s="564">
        <f t="shared" si="8"/>
      </c>
      <c r="H21" s="500">
        <f t="shared" si="0"/>
      </c>
      <c r="I21" s="204"/>
      <c r="J21" s="205"/>
      <c r="K21" s="501"/>
      <c r="L21" s="502"/>
      <c r="M21" s="206">
        <f t="shared" si="1"/>
      </c>
      <c r="N21" s="207">
        <f t="shared" si="9"/>
      </c>
      <c r="O21" s="248"/>
      <c r="P21" s="190"/>
      <c r="Q21" s="208">
        <f>IF($H21="","",IF($O21="Ａ",LOOKUP($D21,{8000,8500,9000,10000,12000},{0,1532,1032,408,408}),IF($O21="Ｂ",LOOKUP($D21,{8000,8500,9000,10000,12000},{782,2814,2814,2814,2814}),0)))</f>
      </c>
      <c r="R21" s="248"/>
      <c r="S21" s="245">
        <v>0</v>
      </c>
      <c r="T21" s="503">
        <f>IF($H21="","",IF($R21="Ａ",LOOKUP($D21,{8000,8500,9000,10000,12000},{0,1532,1032,408,408}),IF($R21="Ｂ",LOOKUP($D21,{8000,8500,9000,10000,12000},{782,2814,2814,2814,2814}),0)))</f>
      </c>
      <c r="U21" s="210">
        <f t="shared" si="10"/>
      </c>
      <c r="V21" s="561">
        <f>IF(B21="","",SUMIF('2-3_調整額内訳②(旧々・新制度)'!B:B,$B21,'2-3_調整額内訳②(旧々・新制度)'!AD:AD))</f>
      </c>
      <c r="W21" s="209">
        <f t="shared" si="2"/>
      </c>
      <c r="X21" s="210">
        <f t="shared" si="3"/>
      </c>
      <c r="Y21" s="210">
        <f t="shared" si="11"/>
      </c>
      <c r="Z21" s="57"/>
      <c r="AA21" s="210">
        <f t="shared" si="4"/>
      </c>
      <c r="AB21" s="58"/>
      <c r="AC21" s="210" t="str">
        <f t="shared" si="12"/>
        <v>0</v>
      </c>
      <c r="AD21" s="565">
        <f t="shared" si="13"/>
        <v>0</v>
      </c>
      <c r="AE21" s="505"/>
      <c r="AF21" s="81">
        <f t="shared" si="14"/>
      </c>
      <c r="AG21" s="506">
        <f t="shared" si="15"/>
      </c>
      <c r="AH21" s="944"/>
      <c r="AI21" s="944"/>
      <c r="AJ21" s="945"/>
      <c r="AL21" s="61">
        <f t="shared" si="5"/>
      </c>
      <c r="AM21" s="61">
        <f t="shared" si="6"/>
      </c>
    </row>
    <row r="22" spans="1:39" s="53" customFormat="1" ht="18.75" customHeight="1">
      <c r="A22" s="177">
        <f t="shared" si="7"/>
      </c>
      <c r="B22" s="233"/>
      <c r="C22" s="203"/>
      <c r="D22" s="57"/>
      <c r="E22" s="58"/>
      <c r="F22" s="563"/>
      <c r="G22" s="564">
        <f t="shared" si="8"/>
      </c>
      <c r="H22" s="500">
        <f t="shared" si="0"/>
      </c>
      <c r="I22" s="204"/>
      <c r="J22" s="205"/>
      <c r="K22" s="501"/>
      <c r="L22" s="502"/>
      <c r="M22" s="206">
        <f t="shared" si="1"/>
      </c>
      <c r="N22" s="207">
        <f t="shared" si="9"/>
      </c>
      <c r="O22" s="248"/>
      <c r="P22" s="190"/>
      <c r="Q22" s="208">
        <f>IF($H22="","",IF($O22="Ａ",LOOKUP($D22,{8000,8500,9000,10000,12000},{0,1532,1032,408,408}),IF($O22="Ｂ",LOOKUP($D22,{8000,8500,9000,10000,12000},{782,2814,2814,2814,2814}),0)))</f>
      </c>
      <c r="R22" s="248"/>
      <c r="S22" s="245">
        <v>0</v>
      </c>
      <c r="T22" s="503">
        <f>IF($H22="","",IF($R22="Ａ",LOOKUP($D22,{8000,8500,9000,10000,12000},{0,1532,1032,408,408}),IF($R22="Ｂ",LOOKUP($D22,{8000,8500,9000,10000,12000},{782,2814,2814,2814,2814}),0)))</f>
      </c>
      <c r="U22" s="210">
        <f t="shared" si="10"/>
      </c>
      <c r="V22" s="561">
        <f>IF(B22="","",SUMIF('2-3_調整額内訳②(旧々・新制度)'!B:B,$B22,'2-3_調整額内訳②(旧々・新制度)'!AD:AD))</f>
      </c>
      <c r="W22" s="209">
        <f t="shared" si="2"/>
      </c>
      <c r="X22" s="210">
        <f t="shared" si="3"/>
      </c>
      <c r="Y22" s="210">
        <f t="shared" si="11"/>
      </c>
      <c r="Z22" s="57"/>
      <c r="AA22" s="210">
        <f t="shared" si="4"/>
      </c>
      <c r="AB22" s="58"/>
      <c r="AC22" s="210" t="str">
        <f t="shared" si="12"/>
        <v>0</v>
      </c>
      <c r="AD22" s="565">
        <f t="shared" si="13"/>
        <v>0</v>
      </c>
      <c r="AE22" s="505"/>
      <c r="AF22" s="81">
        <f t="shared" si="14"/>
      </c>
      <c r="AG22" s="506">
        <f t="shared" si="15"/>
      </c>
      <c r="AH22" s="944"/>
      <c r="AI22" s="944"/>
      <c r="AJ22" s="945"/>
      <c r="AL22" s="61">
        <f t="shared" si="5"/>
      </c>
      <c r="AM22" s="61">
        <f t="shared" si="6"/>
      </c>
    </row>
    <row r="23" spans="1:39" s="53" customFormat="1" ht="18.75" customHeight="1">
      <c r="A23" s="177">
        <f t="shared" si="7"/>
      </c>
      <c r="B23" s="233"/>
      <c r="C23" s="203"/>
      <c r="D23" s="57"/>
      <c r="E23" s="58"/>
      <c r="F23" s="563"/>
      <c r="G23" s="564">
        <f t="shared" si="8"/>
      </c>
      <c r="H23" s="500">
        <f t="shared" si="0"/>
      </c>
      <c r="I23" s="204"/>
      <c r="J23" s="205"/>
      <c r="K23" s="501"/>
      <c r="L23" s="502"/>
      <c r="M23" s="206">
        <f t="shared" si="1"/>
      </c>
      <c r="N23" s="207">
        <f t="shared" si="9"/>
      </c>
      <c r="O23" s="248"/>
      <c r="P23" s="190"/>
      <c r="Q23" s="208">
        <f>IF($H23="","",IF($O23="Ａ",LOOKUP($D23,{8000,8500,9000,10000,12000},{0,1532,1032,408,408}),IF($O23="Ｂ",LOOKUP($D23,{8000,8500,9000,10000,12000},{782,2814,2814,2814,2814}),0)))</f>
      </c>
      <c r="R23" s="248"/>
      <c r="S23" s="245">
        <v>0</v>
      </c>
      <c r="T23" s="503">
        <f>IF($H23="","",IF($R23="Ａ",LOOKUP($D23,{8000,8500,9000,10000,12000},{0,1532,1032,408,408}),IF($R23="Ｂ",LOOKUP($D23,{8000,8500,9000,10000,12000},{782,2814,2814,2814,2814}),0)))</f>
      </c>
      <c r="U23" s="210">
        <f t="shared" si="10"/>
      </c>
      <c r="V23" s="561">
        <f>IF(B23="","",SUMIF('2-3_調整額内訳②(旧々・新制度)'!B:B,$B23,'2-3_調整額内訳②(旧々・新制度)'!AD:AD))</f>
      </c>
      <c r="W23" s="209">
        <f t="shared" si="2"/>
      </c>
      <c r="X23" s="210">
        <f t="shared" si="3"/>
      </c>
      <c r="Y23" s="210">
        <f t="shared" si="11"/>
      </c>
      <c r="Z23" s="57"/>
      <c r="AA23" s="210">
        <f t="shared" si="4"/>
      </c>
      <c r="AB23" s="58"/>
      <c r="AC23" s="210" t="str">
        <f t="shared" si="12"/>
        <v>0</v>
      </c>
      <c r="AD23" s="565">
        <f t="shared" si="13"/>
        <v>0</v>
      </c>
      <c r="AE23" s="505"/>
      <c r="AF23" s="81">
        <f t="shared" si="14"/>
      </c>
      <c r="AG23" s="506">
        <f t="shared" si="15"/>
      </c>
      <c r="AH23" s="944"/>
      <c r="AI23" s="944"/>
      <c r="AJ23" s="945"/>
      <c r="AL23" s="61">
        <f t="shared" si="5"/>
      </c>
      <c r="AM23" s="61">
        <f t="shared" si="6"/>
      </c>
    </row>
    <row r="24" spans="1:39" s="53" customFormat="1" ht="18.75" customHeight="1">
      <c r="A24" s="177">
        <f t="shared" si="7"/>
      </c>
      <c r="B24" s="233"/>
      <c r="C24" s="203"/>
      <c r="D24" s="57"/>
      <c r="E24" s="58"/>
      <c r="F24" s="563"/>
      <c r="G24" s="564">
        <f t="shared" si="8"/>
      </c>
      <c r="H24" s="500">
        <f t="shared" si="0"/>
      </c>
      <c r="I24" s="204"/>
      <c r="J24" s="205"/>
      <c r="K24" s="501"/>
      <c r="L24" s="502"/>
      <c r="M24" s="206">
        <f t="shared" si="1"/>
      </c>
      <c r="N24" s="207">
        <f t="shared" si="9"/>
      </c>
      <c r="O24" s="248"/>
      <c r="P24" s="190"/>
      <c r="Q24" s="208">
        <f>IF($H24="","",IF($O24="Ａ",LOOKUP($D24,{8000,8500,9000,10000,12000},{0,1532,1032,408,408}),IF($O24="Ｂ",LOOKUP($D24,{8000,8500,9000,10000,12000},{782,2814,2814,2814,2814}),0)))</f>
      </c>
      <c r="R24" s="248"/>
      <c r="S24" s="245">
        <v>0</v>
      </c>
      <c r="T24" s="503">
        <f>IF($H24="","",IF($R24="Ａ",LOOKUP($D24,{8000,8500,9000,10000,12000},{0,1532,1032,408,408}),IF($R24="Ｂ",LOOKUP($D24,{8000,8500,9000,10000,12000},{782,2814,2814,2814,2814}),0)))</f>
      </c>
      <c r="U24" s="210">
        <f t="shared" si="10"/>
      </c>
      <c r="V24" s="561">
        <f>IF(B24="","",SUMIF('2-3_調整額内訳②(旧々・新制度)'!B:B,$B24,'2-3_調整額内訳②(旧々・新制度)'!AD:AD))</f>
      </c>
      <c r="W24" s="209">
        <f t="shared" si="2"/>
      </c>
      <c r="X24" s="210">
        <f t="shared" si="3"/>
      </c>
      <c r="Y24" s="210">
        <f t="shared" si="11"/>
      </c>
      <c r="Z24" s="57"/>
      <c r="AA24" s="210">
        <f t="shared" si="4"/>
      </c>
      <c r="AB24" s="58"/>
      <c r="AC24" s="210" t="str">
        <f t="shared" si="12"/>
        <v>0</v>
      </c>
      <c r="AD24" s="565">
        <f t="shared" si="13"/>
        <v>0</v>
      </c>
      <c r="AE24" s="505"/>
      <c r="AF24" s="81">
        <f t="shared" si="14"/>
      </c>
      <c r="AG24" s="506">
        <f t="shared" si="15"/>
      </c>
      <c r="AH24" s="944"/>
      <c r="AI24" s="944"/>
      <c r="AJ24" s="945"/>
      <c r="AL24" s="61">
        <f t="shared" si="5"/>
      </c>
      <c r="AM24" s="61">
        <f t="shared" si="6"/>
      </c>
    </row>
    <row r="25" spans="1:39" s="53" customFormat="1" ht="18.75" customHeight="1">
      <c r="A25" s="177">
        <f t="shared" si="7"/>
      </c>
      <c r="B25" s="233"/>
      <c r="C25" s="203"/>
      <c r="D25" s="57"/>
      <c r="E25" s="58"/>
      <c r="F25" s="563"/>
      <c r="G25" s="564">
        <f t="shared" si="8"/>
      </c>
      <c r="H25" s="500">
        <f t="shared" si="0"/>
      </c>
      <c r="I25" s="204"/>
      <c r="J25" s="205"/>
      <c r="K25" s="501"/>
      <c r="L25" s="502"/>
      <c r="M25" s="206">
        <f t="shared" si="1"/>
      </c>
      <c r="N25" s="207">
        <f t="shared" si="9"/>
      </c>
      <c r="O25" s="248"/>
      <c r="P25" s="190"/>
      <c r="Q25" s="208">
        <f>IF($H25="","",IF($O25="Ａ",LOOKUP($D25,{8000,8500,9000,10000,12000},{0,1532,1032,408,408}),IF($O25="Ｂ",LOOKUP($D25,{8000,8500,9000,10000,12000},{782,2814,2814,2814,2814}),0)))</f>
      </c>
      <c r="R25" s="248"/>
      <c r="S25" s="245">
        <v>0</v>
      </c>
      <c r="T25" s="503">
        <f>IF($H25="","",IF($R25="Ａ",LOOKUP($D25,{8000,8500,9000,10000,12000},{0,1532,1032,408,408}),IF($R25="Ｂ",LOOKUP($D25,{8000,8500,9000,10000,12000},{782,2814,2814,2814,2814}),0)))</f>
      </c>
      <c r="U25" s="210">
        <f t="shared" si="10"/>
      </c>
      <c r="V25" s="561">
        <f>IF(B25="","",SUMIF('2-3_調整額内訳②(旧々・新制度)'!B:B,$B25,'2-3_調整額内訳②(旧々・新制度)'!AD:AD))</f>
      </c>
      <c r="W25" s="209">
        <f t="shared" si="2"/>
      </c>
      <c r="X25" s="210">
        <f t="shared" si="3"/>
      </c>
      <c r="Y25" s="210">
        <f t="shared" si="11"/>
      </c>
      <c r="Z25" s="57"/>
      <c r="AA25" s="210">
        <f t="shared" si="4"/>
      </c>
      <c r="AB25" s="58"/>
      <c r="AC25" s="210" t="str">
        <f t="shared" si="12"/>
        <v>0</v>
      </c>
      <c r="AD25" s="565">
        <f t="shared" si="13"/>
        <v>0</v>
      </c>
      <c r="AE25" s="505"/>
      <c r="AF25" s="81">
        <f t="shared" si="14"/>
      </c>
      <c r="AG25" s="506">
        <f t="shared" si="15"/>
      </c>
      <c r="AH25" s="944"/>
      <c r="AI25" s="944"/>
      <c r="AJ25" s="945"/>
      <c r="AL25" s="61">
        <f t="shared" si="5"/>
      </c>
      <c r="AM25" s="61">
        <f t="shared" si="6"/>
      </c>
    </row>
    <row r="26" spans="1:39" s="53" customFormat="1" ht="18.75" customHeight="1">
      <c r="A26" s="177">
        <f t="shared" si="7"/>
      </c>
      <c r="B26" s="233"/>
      <c r="C26" s="203"/>
      <c r="D26" s="57"/>
      <c r="E26" s="58"/>
      <c r="F26" s="563"/>
      <c r="G26" s="564">
        <f t="shared" si="8"/>
      </c>
      <c r="H26" s="500">
        <f t="shared" si="0"/>
      </c>
      <c r="I26" s="204"/>
      <c r="J26" s="205"/>
      <c r="K26" s="501"/>
      <c r="L26" s="502"/>
      <c r="M26" s="206">
        <f t="shared" si="1"/>
      </c>
      <c r="N26" s="207">
        <f t="shared" si="9"/>
      </c>
      <c r="O26" s="248"/>
      <c r="P26" s="190"/>
      <c r="Q26" s="208">
        <f>IF($H26="","",IF($O26="Ａ",LOOKUP($D26,{8000,8500,9000,10000,12000},{0,1532,1032,408,408}),IF($O26="Ｂ",LOOKUP($D26,{8000,8500,9000,10000,12000},{782,2814,2814,2814,2814}),0)))</f>
      </c>
      <c r="R26" s="248"/>
      <c r="S26" s="245">
        <v>0</v>
      </c>
      <c r="T26" s="503">
        <f>IF($H26="","",IF($R26="Ａ",LOOKUP($D26,{8000,8500,9000,10000,12000},{0,1532,1032,408,408}),IF($R26="Ｂ",LOOKUP($D26,{8000,8500,9000,10000,12000},{782,2814,2814,2814,2814}),0)))</f>
      </c>
      <c r="U26" s="210">
        <f t="shared" si="10"/>
      </c>
      <c r="V26" s="561">
        <f>IF(B26="","",SUMIF('2-3_調整額内訳②(旧々・新制度)'!B:B,$B26,'2-3_調整額内訳②(旧々・新制度)'!AD:AD))</f>
      </c>
      <c r="W26" s="209">
        <f t="shared" si="2"/>
      </c>
      <c r="X26" s="210">
        <f t="shared" si="3"/>
      </c>
      <c r="Y26" s="210">
        <f t="shared" si="11"/>
      </c>
      <c r="Z26" s="57"/>
      <c r="AA26" s="210">
        <f t="shared" si="4"/>
      </c>
      <c r="AB26" s="58"/>
      <c r="AC26" s="210" t="str">
        <f t="shared" si="12"/>
        <v>0</v>
      </c>
      <c r="AD26" s="565">
        <f t="shared" si="13"/>
        <v>0</v>
      </c>
      <c r="AE26" s="505"/>
      <c r="AF26" s="81">
        <f t="shared" si="14"/>
      </c>
      <c r="AG26" s="506">
        <f t="shared" si="15"/>
      </c>
      <c r="AH26" s="944"/>
      <c r="AI26" s="944"/>
      <c r="AJ26" s="945"/>
      <c r="AL26" s="61">
        <f t="shared" si="5"/>
      </c>
      <c r="AM26" s="61">
        <f t="shared" si="6"/>
      </c>
    </row>
    <row r="27" spans="1:39" s="53" customFormat="1" ht="18.75" customHeight="1">
      <c r="A27" s="177">
        <f t="shared" si="7"/>
      </c>
      <c r="B27" s="233"/>
      <c r="C27" s="203"/>
      <c r="D27" s="57"/>
      <c r="E27" s="58"/>
      <c r="F27" s="563"/>
      <c r="G27" s="564">
        <f t="shared" si="8"/>
      </c>
      <c r="H27" s="500">
        <f t="shared" si="0"/>
      </c>
      <c r="I27" s="204"/>
      <c r="J27" s="205"/>
      <c r="K27" s="501"/>
      <c r="L27" s="502"/>
      <c r="M27" s="206">
        <f t="shared" si="1"/>
      </c>
      <c r="N27" s="207">
        <f t="shared" si="9"/>
      </c>
      <c r="O27" s="248"/>
      <c r="P27" s="190"/>
      <c r="Q27" s="208">
        <f>IF($H27="","",IF($O27="Ａ",LOOKUP($D27,{8000,8500,9000,10000,12000},{0,1532,1032,408,408}),IF($O27="Ｂ",LOOKUP($D27,{8000,8500,9000,10000,12000},{782,2814,2814,2814,2814}),0)))</f>
      </c>
      <c r="R27" s="248"/>
      <c r="S27" s="245">
        <v>0</v>
      </c>
      <c r="T27" s="503">
        <f>IF($H27="","",IF($R27="Ａ",LOOKUP($D27,{8000,8500,9000,10000,12000},{0,1532,1032,408,408}),IF($R27="Ｂ",LOOKUP($D27,{8000,8500,9000,10000,12000},{782,2814,2814,2814,2814}),0)))</f>
      </c>
      <c r="U27" s="210">
        <f t="shared" si="10"/>
      </c>
      <c r="V27" s="561">
        <f>IF(B27="","",SUMIF('2-3_調整額内訳②(旧々・新制度)'!B:B,$B27,'2-3_調整額内訳②(旧々・新制度)'!AD:AD))</f>
      </c>
      <c r="W27" s="209">
        <f t="shared" si="2"/>
      </c>
      <c r="X27" s="210">
        <f t="shared" si="3"/>
      </c>
      <c r="Y27" s="210">
        <f t="shared" si="11"/>
      </c>
      <c r="Z27" s="57"/>
      <c r="AA27" s="210">
        <f t="shared" si="4"/>
      </c>
      <c r="AB27" s="58"/>
      <c r="AC27" s="210" t="str">
        <f t="shared" si="12"/>
        <v>0</v>
      </c>
      <c r="AD27" s="565">
        <f t="shared" si="13"/>
        <v>0</v>
      </c>
      <c r="AE27" s="505"/>
      <c r="AF27" s="81">
        <f t="shared" si="14"/>
      </c>
      <c r="AG27" s="506">
        <f t="shared" si="15"/>
      </c>
      <c r="AH27" s="944"/>
      <c r="AI27" s="944"/>
      <c r="AJ27" s="945"/>
      <c r="AL27" s="61">
        <f t="shared" si="5"/>
      </c>
      <c r="AM27" s="61">
        <f t="shared" si="6"/>
      </c>
    </row>
    <row r="28" spans="1:39" s="53" customFormat="1" ht="18.75" customHeight="1">
      <c r="A28" s="177">
        <f t="shared" si="7"/>
      </c>
      <c r="B28" s="233"/>
      <c r="C28" s="203"/>
      <c r="D28" s="57"/>
      <c r="E28" s="58"/>
      <c r="F28" s="563"/>
      <c r="G28" s="564">
        <f t="shared" si="8"/>
      </c>
      <c r="H28" s="500">
        <f t="shared" si="0"/>
      </c>
      <c r="I28" s="204"/>
      <c r="J28" s="205"/>
      <c r="K28" s="501"/>
      <c r="L28" s="502"/>
      <c r="M28" s="206">
        <f t="shared" si="1"/>
      </c>
      <c r="N28" s="207">
        <f t="shared" si="9"/>
      </c>
      <c r="O28" s="248"/>
      <c r="P28" s="190"/>
      <c r="Q28" s="208">
        <f>IF($H28="","",IF($O28="Ａ",LOOKUP($D28,{8000,8500,9000,10000,12000},{0,1532,1032,408,408}),IF($O28="Ｂ",LOOKUP($D28,{8000,8500,9000,10000,12000},{782,2814,2814,2814,2814}),0)))</f>
      </c>
      <c r="R28" s="248"/>
      <c r="S28" s="245">
        <v>0</v>
      </c>
      <c r="T28" s="503">
        <f>IF($H28="","",IF($R28="Ａ",LOOKUP($D28,{8000,8500,9000,10000,12000},{0,1532,1032,408,408}),IF($R28="Ｂ",LOOKUP($D28,{8000,8500,9000,10000,12000},{782,2814,2814,2814,2814}),0)))</f>
      </c>
      <c r="U28" s="210">
        <f t="shared" si="10"/>
      </c>
      <c r="V28" s="561">
        <f>IF(B28="","",SUMIF('2-3_調整額内訳②(旧々・新制度)'!B:B,$B28,'2-3_調整額内訳②(旧々・新制度)'!AD:AD))</f>
      </c>
      <c r="W28" s="209">
        <f t="shared" si="2"/>
      </c>
      <c r="X28" s="210">
        <f t="shared" si="3"/>
      </c>
      <c r="Y28" s="210">
        <f t="shared" si="11"/>
      </c>
      <c r="Z28" s="57"/>
      <c r="AA28" s="210">
        <f t="shared" si="4"/>
      </c>
      <c r="AB28" s="58"/>
      <c r="AC28" s="210" t="str">
        <f t="shared" si="12"/>
        <v>0</v>
      </c>
      <c r="AD28" s="565">
        <f t="shared" si="13"/>
        <v>0</v>
      </c>
      <c r="AE28" s="505"/>
      <c r="AF28" s="81">
        <f t="shared" si="14"/>
      </c>
      <c r="AG28" s="506">
        <f t="shared" si="15"/>
      </c>
      <c r="AH28" s="944"/>
      <c r="AI28" s="944"/>
      <c r="AJ28" s="945"/>
      <c r="AL28" s="61">
        <f t="shared" si="5"/>
      </c>
      <c r="AM28" s="61">
        <f t="shared" si="6"/>
      </c>
    </row>
    <row r="29" spans="1:39" s="53" customFormat="1" ht="18.75" customHeight="1">
      <c r="A29" s="177">
        <f t="shared" si="7"/>
      </c>
      <c r="B29" s="233"/>
      <c r="C29" s="203"/>
      <c r="D29" s="57"/>
      <c r="E29" s="58"/>
      <c r="F29" s="563"/>
      <c r="G29" s="564">
        <f t="shared" si="8"/>
      </c>
      <c r="H29" s="500">
        <f t="shared" si="0"/>
      </c>
      <c r="I29" s="204"/>
      <c r="J29" s="205"/>
      <c r="K29" s="501"/>
      <c r="L29" s="502"/>
      <c r="M29" s="206">
        <f t="shared" si="1"/>
      </c>
      <c r="N29" s="207">
        <f t="shared" si="9"/>
      </c>
      <c r="O29" s="248"/>
      <c r="P29" s="190"/>
      <c r="Q29" s="208">
        <f>IF($H29="","",IF($O29="Ａ",LOOKUP($D29,{8000,8500,9000,10000,12000},{0,1532,1032,408,408}),IF($O29="Ｂ",LOOKUP($D29,{8000,8500,9000,10000,12000},{782,2814,2814,2814,2814}),0)))</f>
      </c>
      <c r="R29" s="248"/>
      <c r="S29" s="245">
        <v>0</v>
      </c>
      <c r="T29" s="503">
        <f>IF($H29="","",IF($R29="Ａ",LOOKUP($D29,{8000,8500,9000,10000,12000},{0,1532,1032,408,408}),IF($R29="Ｂ",LOOKUP($D29,{8000,8500,9000,10000,12000},{782,2814,2814,2814,2814}),0)))</f>
      </c>
      <c r="U29" s="210">
        <f t="shared" si="10"/>
      </c>
      <c r="V29" s="561">
        <f>IF(B29="","",SUMIF('2-3_調整額内訳②(旧々・新制度)'!B:B,$B29,'2-3_調整額内訳②(旧々・新制度)'!AD:AD))</f>
      </c>
      <c r="W29" s="209">
        <f t="shared" si="2"/>
      </c>
      <c r="X29" s="210">
        <f t="shared" si="3"/>
      </c>
      <c r="Y29" s="210">
        <f t="shared" si="11"/>
      </c>
      <c r="Z29" s="57"/>
      <c r="AA29" s="210">
        <f t="shared" si="4"/>
      </c>
      <c r="AB29" s="58"/>
      <c r="AC29" s="210" t="str">
        <f t="shared" si="12"/>
        <v>0</v>
      </c>
      <c r="AD29" s="565">
        <f t="shared" si="13"/>
        <v>0</v>
      </c>
      <c r="AE29" s="505"/>
      <c r="AF29" s="81">
        <f t="shared" si="14"/>
      </c>
      <c r="AG29" s="506">
        <f t="shared" si="15"/>
      </c>
      <c r="AH29" s="944"/>
      <c r="AI29" s="944"/>
      <c r="AJ29" s="945"/>
      <c r="AL29" s="61">
        <f t="shared" si="5"/>
      </c>
      <c r="AM29" s="61">
        <f t="shared" si="6"/>
      </c>
    </row>
    <row r="30" spans="1:39" s="53" customFormat="1" ht="18.75" customHeight="1">
      <c r="A30" s="177">
        <f t="shared" si="7"/>
      </c>
      <c r="B30" s="233"/>
      <c r="C30" s="203"/>
      <c r="D30" s="57"/>
      <c r="E30" s="58"/>
      <c r="F30" s="563"/>
      <c r="G30" s="564">
        <f t="shared" si="8"/>
      </c>
      <c r="H30" s="500">
        <f t="shared" si="0"/>
      </c>
      <c r="I30" s="204"/>
      <c r="J30" s="205"/>
      <c r="K30" s="501"/>
      <c r="L30" s="502"/>
      <c r="M30" s="206">
        <f t="shared" si="1"/>
      </c>
      <c r="N30" s="207">
        <f t="shared" si="9"/>
      </c>
      <c r="O30" s="248"/>
      <c r="P30" s="190"/>
      <c r="Q30" s="208">
        <f>IF($H30="","",IF($O30="Ａ",LOOKUP($D30,{8000,8500,9000,10000,12000},{0,1532,1032,408,408}),IF($O30="Ｂ",LOOKUP($D30,{8000,8500,9000,10000,12000},{782,2814,2814,2814,2814}),0)))</f>
      </c>
      <c r="R30" s="248"/>
      <c r="S30" s="245">
        <v>0</v>
      </c>
      <c r="T30" s="503">
        <f>IF($H30="","",IF($R30="Ａ",LOOKUP($D30,{8000,8500,9000,10000,12000},{0,1532,1032,408,408}),IF($R30="Ｂ",LOOKUP($D30,{8000,8500,9000,10000,12000},{782,2814,2814,2814,2814}),0)))</f>
      </c>
      <c r="U30" s="210">
        <f t="shared" si="10"/>
      </c>
      <c r="V30" s="561">
        <f>IF(B30="","",SUMIF('2-3_調整額内訳②(旧々・新制度)'!B:B,$B30,'2-3_調整額内訳②(旧々・新制度)'!AD:AD))</f>
      </c>
      <c r="W30" s="209">
        <f t="shared" si="2"/>
      </c>
      <c r="X30" s="210">
        <f t="shared" si="3"/>
      </c>
      <c r="Y30" s="210">
        <f t="shared" si="11"/>
      </c>
      <c r="Z30" s="57"/>
      <c r="AA30" s="210">
        <f t="shared" si="4"/>
      </c>
      <c r="AB30" s="58"/>
      <c r="AC30" s="210" t="str">
        <f t="shared" si="12"/>
        <v>0</v>
      </c>
      <c r="AD30" s="565">
        <f t="shared" si="13"/>
        <v>0</v>
      </c>
      <c r="AE30" s="505"/>
      <c r="AF30" s="81">
        <f t="shared" si="14"/>
      </c>
      <c r="AG30" s="506">
        <f t="shared" si="15"/>
      </c>
      <c r="AH30" s="944"/>
      <c r="AI30" s="944"/>
      <c r="AJ30" s="945"/>
      <c r="AL30" s="61">
        <f t="shared" si="5"/>
      </c>
      <c r="AM30" s="61">
        <f t="shared" si="6"/>
      </c>
    </row>
    <row r="31" spans="1:39" s="53" customFormat="1" ht="18.75" customHeight="1">
      <c r="A31" s="177">
        <f t="shared" si="7"/>
      </c>
      <c r="B31" s="233"/>
      <c r="C31" s="203"/>
      <c r="D31" s="57"/>
      <c r="E31" s="58"/>
      <c r="F31" s="563"/>
      <c r="G31" s="564">
        <f t="shared" si="8"/>
      </c>
      <c r="H31" s="500">
        <f t="shared" si="0"/>
      </c>
      <c r="I31" s="204"/>
      <c r="J31" s="205"/>
      <c r="K31" s="501"/>
      <c r="L31" s="502"/>
      <c r="M31" s="206">
        <f t="shared" si="1"/>
      </c>
      <c r="N31" s="207">
        <f t="shared" si="9"/>
      </c>
      <c r="O31" s="248"/>
      <c r="P31" s="190"/>
      <c r="Q31" s="208">
        <f>IF($H31="","",IF($O31="Ａ",LOOKUP($D31,{8000,8500,9000,10000,12000},{0,1532,1032,408,408}),IF($O31="Ｂ",LOOKUP($D31,{8000,8500,9000,10000,12000},{782,2814,2814,2814,2814}),0)))</f>
      </c>
      <c r="R31" s="248"/>
      <c r="S31" s="245">
        <v>0</v>
      </c>
      <c r="T31" s="503">
        <f>IF($H31="","",IF($R31="Ａ",LOOKUP($D31,{8000,8500,9000,10000,12000},{0,1532,1032,408,408}),IF($R31="Ｂ",LOOKUP($D31,{8000,8500,9000,10000,12000},{782,2814,2814,2814,2814}),0)))</f>
      </c>
      <c r="U31" s="210">
        <f t="shared" si="10"/>
      </c>
      <c r="V31" s="561">
        <f>IF(B31="","",SUMIF('2-3_調整額内訳②(旧々・新制度)'!B:B,$B31,'2-3_調整額内訳②(旧々・新制度)'!AD:AD))</f>
      </c>
      <c r="W31" s="209">
        <f t="shared" si="2"/>
      </c>
      <c r="X31" s="210">
        <f t="shared" si="3"/>
      </c>
      <c r="Y31" s="210">
        <f t="shared" si="11"/>
      </c>
      <c r="Z31" s="57"/>
      <c r="AA31" s="210">
        <f t="shared" si="4"/>
      </c>
      <c r="AB31" s="58"/>
      <c r="AC31" s="210" t="str">
        <f t="shared" si="12"/>
        <v>0</v>
      </c>
      <c r="AD31" s="565">
        <f t="shared" si="13"/>
        <v>0</v>
      </c>
      <c r="AE31" s="505"/>
      <c r="AF31" s="81">
        <f t="shared" si="14"/>
      </c>
      <c r="AG31" s="506">
        <f t="shared" si="15"/>
      </c>
      <c r="AH31" s="944"/>
      <c r="AI31" s="944"/>
      <c r="AJ31" s="945"/>
      <c r="AL31" s="61">
        <f t="shared" si="5"/>
      </c>
      <c r="AM31" s="61">
        <f t="shared" si="6"/>
      </c>
    </row>
    <row r="32" spans="1:39" s="53" customFormat="1" ht="18.75" customHeight="1">
      <c r="A32" s="177">
        <f t="shared" si="7"/>
      </c>
      <c r="B32" s="233"/>
      <c r="C32" s="203"/>
      <c r="D32" s="57"/>
      <c r="E32" s="58"/>
      <c r="F32" s="563"/>
      <c r="G32" s="564">
        <f t="shared" si="8"/>
      </c>
      <c r="H32" s="500">
        <f t="shared" si="0"/>
      </c>
      <c r="I32" s="204"/>
      <c r="J32" s="205"/>
      <c r="K32" s="501"/>
      <c r="L32" s="502"/>
      <c r="M32" s="206">
        <f t="shared" si="1"/>
      </c>
      <c r="N32" s="207">
        <f t="shared" si="9"/>
      </c>
      <c r="O32" s="248"/>
      <c r="P32" s="190"/>
      <c r="Q32" s="208">
        <f>IF($H32="","",IF($O32="Ａ",LOOKUP($D32,{8000,8500,9000,10000,12000},{0,1532,1032,408,408}),IF($O32="Ｂ",LOOKUP($D32,{8000,8500,9000,10000,12000},{782,2814,2814,2814,2814}),0)))</f>
      </c>
      <c r="R32" s="248"/>
      <c r="S32" s="245">
        <v>0</v>
      </c>
      <c r="T32" s="503">
        <f>IF($H32="","",IF($R32="Ａ",LOOKUP($D32,{8000,8500,9000,10000,12000},{0,1532,1032,408,408}),IF($R32="Ｂ",LOOKUP($D32,{8000,8500,9000,10000,12000},{782,2814,2814,2814,2814}),0)))</f>
      </c>
      <c r="U32" s="210">
        <f t="shared" si="10"/>
      </c>
      <c r="V32" s="561">
        <f>IF(B32="","",SUMIF('2-3_調整額内訳②(旧々・新制度)'!B:B,$B32,'2-3_調整額内訳②(旧々・新制度)'!AD:AD))</f>
      </c>
      <c r="W32" s="209">
        <f t="shared" si="2"/>
      </c>
      <c r="X32" s="210">
        <f t="shared" si="3"/>
      </c>
      <c r="Y32" s="210">
        <f t="shared" si="11"/>
      </c>
      <c r="Z32" s="57"/>
      <c r="AA32" s="210">
        <f t="shared" si="4"/>
      </c>
      <c r="AB32" s="58"/>
      <c r="AC32" s="210" t="str">
        <f t="shared" si="12"/>
        <v>0</v>
      </c>
      <c r="AD32" s="565">
        <f t="shared" si="13"/>
        <v>0</v>
      </c>
      <c r="AE32" s="505"/>
      <c r="AF32" s="81">
        <f t="shared" si="14"/>
      </c>
      <c r="AG32" s="506">
        <f t="shared" si="15"/>
      </c>
      <c r="AH32" s="944"/>
      <c r="AI32" s="944"/>
      <c r="AJ32" s="945"/>
      <c r="AL32" s="61">
        <f t="shared" si="5"/>
      </c>
      <c r="AM32" s="61">
        <f t="shared" si="6"/>
      </c>
    </row>
    <row r="33" spans="1:39" s="53" customFormat="1" ht="18.75" customHeight="1">
      <c r="A33" s="27">
        <f t="shared" si="7"/>
      </c>
      <c r="B33" s="233"/>
      <c r="C33" s="203"/>
      <c r="D33" s="57"/>
      <c r="E33" s="58"/>
      <c r="F33" s="563"/>
      <c r="G33" s="564">
        <f t="shared" si="8"/>
      </c>
      <c r="H33" s="500">
        <f t="shared" si="0"/>
      </c>
      <c r="I33" s="204"/>
      <c r="J33" s="205"/>
      <c r="K33" s="501"/>
      <c r="L33" s="502"/>
      <c r="M33" s="206">
        <f t="shared" si="1"/>
      </c>
      <c r="N33" s="207">
        <f t="shared" si="9"/>
      </c>
      <c r="O33" s="248"/>
      <c r="P33" s="190"/>
      <c r="Q33" s="208">
        <f>IF($H33="","",IF($O33="Ａ",LOOKUP($D33,{8000,8500,9000,10000,12000},{0,1532,1032,408,408}),IF($O33="Ｂ",LOOKUP($D33,{8000,8500,9000,10000,12000},{782,2814,2814,2814,2814}),0)))</f>
      </c>
      <c r="R33" s="248"/>
      <c r="S33" s="245">
        <v>0</v>
      </c>
      <c r="T33" s="503">
        <f>IF($H33="","",IF($R33="Ａ",LOOKUP($D33,{8000,8500,9000,10000,12000},{0,1532,1032,408,408}),IF($R33="Ｂ",LOOKUP($D33,{8000,8500,9000,10000,12000},{782,2814,2814,2814,2814}),0)))</f>
      </c>
      <c r="U33" s="210">
        <f t="shared" si="10"/>
      </c>
      <c r="V33" s="561">
        <f>IF(B33="","",SUMIF('2-3_調整額内訳②(旧々・新制度)'!B:B,$B33,'2-3_調整額内訳②(旧々・新制度)'!AD:AD))</f>
      </c>
      <c r="W33" s="209">
        <f t="shared" si="2"/>
      </c>
      <c r="X33" s="210">
        <f t="shared" si="3"/>
      </c>
      <c r="Y33" s="210">
        <f t="shared" si="11"/>
      </c>
      <c r="Z33" s="57"/>
      <c r="AA33" s="210">
        <f t="shared" si="4"/>
      </c>
      <c r="AB33" s="58"/>
      <c r="AC33" s="210" t="str">
        <f t="shared" si="12"/>
        <v>0</v>
      </c>
      <c r="AD33" s="565">
        <f t="shared" si="13"/>
        <v>0</v>
      </c>
      <c r="AE33" s="505"/>
      <c r="AF33" s="81">
        <f t="shared" si="14"/>
      </c>
      <c r="AG33" s="506">
        <f t="shared" si="15"/>
      </c>
      <c r="AH33" s="944"/>
      <c r="AI33" s="944"/>
      <c r="AJ33" s="945"/>
      <c r="AL33" s="61">
        <f t="shared" si="5"/>
      </c>
      <c r="AM33" s="61">
        <f t="shared" si="6"/>
      </c>
    </row>
    <row r="34" spans="1:39" s="53" customFormat="1" ht="18.75" customHeight="1">
      <c r="A34" s="27">
        <f t="shared" si="7"/>
      </c>
      <c r="B34" s="233"/>
      <c r="C34" s="203"/>
      <c r="D34" s="57"/>
      <c r="E34" s="58"/>
      <c r="F34" s="563"/>
      <c r="G34" s="564">
        <f t="shared" si="8"/>
      </c>
      <c r="H34" s="500">
        <f t="shared" si="0"/>
      </c>
      <c r="I34" s="204"/>
      <c r="J34" s="205"/>
      <c r="K34" s="501"/>
      <c r="L34" s="502"/>
      <c r="M34" s="206">
        <f t="shared" si="1"/>
      </c>
      <c r="N34" s="207">
        <f t="shared" si="9"/>
      </c>
      <c r="O34" s="248"/>
      <c r="P34" s="190"/>
      <c r="Q34" s="208">
        <f>IF($H34="","",IF($O34="Ａ",LOOKUP($D34,{8000,8500,9000,10000,12000},{0,1532,1032,408,408}),IF($O34="Ｂ",LOOKUP($D34,{8000,8500,9000,10000,12000},{782,2814,2814,2814,2814}),0)))</f>
      </c>
      <c r="R34" s="248"/>
      <c r="S34" s="245">
        <v>0</v>
      </c>
      <c r="T34" s="503">
        <f>IF($H34="","",IF($R34="Ａ",LOOKUP($D34,{8000,8500,9000,10000,12000},{0,1532,1032,408,408}),IF($R34="Ｂ",LOOKUP($D34,{8000,8500,9000,10000,12000},{782,2814,2814,2814,2814}),0)))</f>
      </c>
      <c r="U34" s="210">
        <f t="shared" si="10"/>
      </c>
      <c r="V34" s="561">
        <f>IF(B34="","",SUMIF('2-3_調整額内訳②(旧々・新制度)'!B:B,$B34,'2-3_調整額内訳②(旧々・新制度)'!AD:AD))</f>
      </c>
      <c r="W34" s="209">
        <f t="shared" si="2"/>
      </c>
      <c r="X34" s="210">
        <f t="shared" si="3"/>
      </c>
      <c r="Y34" s="210">
        <f t="shared" si="11"/>
      </c>
      <c r="Z34" s="57"/>
      <c r="AA34" s="210">
        <f t="shared" si="4"/>
      </c>
      <c r="AB34" s="58"/>
      <c r="AC34" s="210" t="str">
        <f t="shared" si="12"/>
        <v>0</v>
      </c>
      <c r="AD34" s="565">
        <f t="shared" si="13"/>
        <v>0</v>
      </c>
      <c r="AE34" s="505"/>
      <c r="AF34" s="81">
        <f t="shared" si="14"/>
      </c>
      <c r="AG34" s="506">
        <f t="shared" si="15"/>
      </c>
      <c r="AH34" s="944"/>
      <c r="AI34" s="944"/>
      <c r="AJ34" s="945"/>
      <c r="AL34" s="61">
        <f t="shared" si="5"/>
      </c>
      <c r="AM34" s="61">
        <f t="shared" si="6"/>
      </c>
    </row>
    <row r="35" spans="1:39" s="53" customFormat="1" ht="18.75" customHeight="1">
      <c r="A35" s="37">
        <f t="shared" si="7"/>
      </c>
      <c r="B35" s="233"/>
      <c r="C35" s="203"/>
      <c r="D35" s="57"/>
      <c r="E35" s="58"/>
      <c r="F35" s="563"/>
      <c r="G35" s="564">
        <f t="shared" si="8"/>
      </c>
      <c r="H35" s="500">
        <f t="shared" si="0"/>
      </c>
      <c r="I35" s="204"/>
      <c r="J35" s="205"/>
      <c r="K35" s="501"/>
      <c r="L35" s="502"/>
      <c r="M35" s="206">
        <f t="shared" si="1"/>
      </c>
      <c r="N35" s="207">
        <f t="shared" si="9"/>
      </c>
      <c r="O35" s="248"/>
      <c r="P35" s="190"/>
      <c r="Q35" s="208">
        <f>IF($H35="","",IF($O35="Ａ",LOOKUP($D35,{8000,8500,9000,10000,12000},{0,1532,1032,408,408}),IF($O35="Ｂ",LOOKUP($D35,{8000,8500,9000,10000,12000},{782,2814,2814,2814,2814}),0)))</f>
      </c>
      <c r="R35" s="248"/>
      <c r="S35" s="245">
        <v>0</v>
      </c>
      <c r="T35" s="503">
        <f>IF($H35="","",IF($R35="Ａ",LOOKUP($D35,{8000,8500,9000,10000,12000},{0,1532,1032,408,408}),IF($R35="Ｂ",LOOKUP($D35,{8000,8500,9000,10000,12000},{782,2814,2814,2814,2814}),0)))</f>
      </c>
      <c r="U35" s="210">
        <f t="shared" si="10"/>
      </c>
      <c r="V35" s="561">
        <f>IF(B35="","",SUMIF('2-3_調整額内訳②(旧々・新制度)'!B:B,$B35,'2-3_調整額内訳②(旧々・新制度)'!AD:AD))</f>
      </c>
      <c r="W35" s="209">
        <f t="shared" si="2"/>
      </c>
      <c r="X35" s="210">
        <f t="shared" si="3"/>
      </c>
      <c r="Y35" s="210">
        <f t="shared" si="11"/>
      </c>
      <c r="Z35" s="57"/>
      <c r="AA35" s="210">
        <f t="shared" si="4"/>
      </c>
      <c r="AB35" s="58"/>
      <c r="AC35" s="210" t="str">
        <f t="shared" si="12"/>
        <v>0</v>
      </c>
      <c r="AD35" s="565">
        <f t="shared" si="13"/>
        <v>0</v>
      </c>
      <c r="AE35" s="505"/>
      <c r="AF35" s="81">
        <f t="shared" si="14"/>
      </c>
      <c r="AG35" s="506">
        <f t="shared" si="15"/>
      </c>
      <c r="AH35" s="944"/>
      <c r="AI35" s="944"/>
      <c r="AJ35" s="945"/>
      <c r="AL35" s="61">
        <f t="shared" si="5"/>
      </c>
      <c r="AM35" s="61">
        <f t="shared" si="6"/>
      </c>
    </row>
    <row r="36" spans="1:39" s="53" customFormat="1" ht="18.75" customHeight="1">
      <c r="A36" s="177">
        <f t="shared" si="7"/>
      </c>
      <c r="B36" s="233"/>
      <c r="C36" s="203"/>
      <c r="D36" s="57"/>
      <c r="E36" s="292"/>
      <c r="F36" s="566"/>
      <c r="G36" s="564">
        <f t="shared" si="8"/>
      </c>
      <c r="H36" s="508">
        <f t="shared" si="0"/>
      </c>
      <c r="I36" s="293"/>
      <c r="J36" s="294"/>
      <c r="K36" s="293"/>
      <c r="L36" s="509"/>
      <c r="M36" s="206">
        <f t="shared" si="1"/>
      </c>
      <c r="N36" s="207">
        <f t="shared" si="9"/>
      </c>
      <c r="O36" s="248"/>
      <c r="P36" s="190"/>
      <c r="Q36" s="208">
        <f>IF($H36="","",IF($O36="Ａ",LOOKUP($D36,{8000,8500,9000,10000,12000},{0,1532,1032,408,408}),IF($O36="Ｂ",LOOKUP($D36,{8000,8500,9000,10000,12000},{782,2814,2814,2814,2814}),0)))</f>
      </c>
      <c r="R36" s="248"/>
      <c r="S36" s="245">
        <v>0</v>
      </c>
      <c r="T36" s="503">
        <f>IF($H36="","",IF($R36="Ａ",LOOKUP($D36,{8000,8500,9000,10000,12000},{0,1532,1032,408,408}),IF($R36="Ｂ",LOOKUP($D36,{8000,8500,9000,10000,12000},{782,2814,2814,2814,2814}),0)))</f>
      </c>
      <c r="U36" s="210">
        <f t="shared" si="10"/>
      </c>
      <c r="V36" s="561">
        <f>IF(B36="","",SUMIF('2-3_調整額内訳②(旧々・新制度)'!B:B,$B36,'2-3_調整額内訳②(旧々・新制度)'!AD:AD))</f>
      </c>
      <c r="W36" s="209">
        <f t="shared" si="2"/>
      </c>
      <c r="X36" s="210">
        <f t="shared" si="3"/>
      </c>
      <c r="Y36" s="210">
        <f t="shared" si="11"/>
      </c>
      <c r="Z36" s="57"/>
      <c r="AA36" s="210">
        <f t="shared" si="4"/>
      </c>
      <c r="AB36" s="58"/>
      <c r="AC36" s="210" t="str">
        <f t="shared" si="12"/>
        <v>0</v>
      </c>
      <c r="AD36" s="565">
        <f t="shared" si="13"/>
        <v>0</v>
      </c>
      <c r="AE36" s="505"/>
      <c r="AF36" s="81">
        <f t="shared" si="14"/>
      </c>
      <c r="AG36" s="506">
        <f t="shared" si="15"/>
      </c>
      <c r="AH36" s="944"/>
      <c r="AI36" s="944"/>
      <c r="AJ36" s="945"/>
      <c r="AL36" s="61">
        <f t="shared" si="5"/>
      </c>
      <c r="AM36" s="61">
        <f t="shared" si="6"/>
      </c>
    </row>
    <row r="37" spans="1:39" s="53" customFormat="1" ht="18.75" customHeight="1">
      <c r="A37" s="27">
        <f t="shared" si="7"/>
      </c>
      <c r="B37" s="233"/>
      <c r="C37" s="203"/>
      <c r="D37" s="57"/>
      <c r="E37" s="58"/>
      <c r="F37" s="563"/>
      <c r="G37" s="564">
        <f t="shared" si="8"/>
      </c>
      <c r="H37" s="500">
        <f t="shared" si="0"/>
      </c>
      <c r="I37" s="204"/>
      <c r="J37" s="205"/>
      <c r="K37" s="501"/>
      <c r="L37" s="502"/>
      <c r="M37" s="206">
        <f t="shared" si="1"/>
      </c>
      <c r="N37" s="207">
        <f t="shared" si="9"/>
      </c>
      <c r="O37" s="248"/>
      <c r="P37" s="190"/>
      <c r="Q37" s="208">
        <f>IF($H37="","",IF($O37="Ａ",LOOKUP($D37,{8000,8500,9000,10000,12000},{0,1532,1032,408,408}),IF($O37="Ｂ",LOOKUP($D37,{8000,8500,9000,10000,12000},{782,2814,2814,2814,2814}),0)))</f>
      </c>
      <c r="R37" s="248"/>
      <c r="S37" s="245">
        <v>0</v>
      </c>
      <c r="T37" s="503">
        <f>IF($H37="","",IF($R37="Ａ",LOOKUP($D37,{8000,8500,9000,10000,12000},{0,1532,1032,408,408}),IF($R37="Ｂ",LOOKUP($D37,{8000,8500,9000,10000,12000},{782,2814,2814,2814,2814}),0)))</f>
      </c>
      <c r="U37" s="210">
        <f t="shared" si="10"/>
      </c>
      <c r="V37" s="561">
        <f>IF(B37="","",SUMIF('2-3_調整額内訳②(旧々・新制度)'!B:B,$B37,'2-3_調整額内訳②(旧々・新制度)'!AD:AD))</f>
      </c>
      <c r="W37" s="209">
        <f t="shared" si="2"/>
      </c>
      <c r="X37" s="210">
        <f t="shared" si="3"/>
      </c>
      <c r="Y37" s="210">
        <f t="shared" si="11"/>
      </c>
      <c r="Z37" s="57"/>
      <c r="AA37" s="210">
        <f t="shared" si="4"/>
      </c>
      <c r="AB37" s="58"/>
      <c r="AC37" s="210" t="str">
        <f t="shared" si="12"/>
        <v>0</v>
      </c>
      <c r="AD37" s="565">
        <f t="shared" si="13"/>
        <v>0</v>
      </c>
      <c r="AE37" s="505"/>
      <c r="AF37" s="81">
        <f t="shared" si="14"/>
      </c>
      <c r="AG37" s="506">
        <f t="shared" si="15"/>
      </c>
      <c r="AH37" s="944"/>
      <c r="AI37" s="944"/>
      <c r="AJ37" s="945"/>
      <c r="AL37" s="61">
        <f t="shared" si="5"/>
      </c>
      <c r="AM37" s="61">
        <f t="shared" si="6"/>
      </c>
    </row>
    <row r="38" spans="1:39" s="53" customFormat="1" ht="18.75" customHeight="1">
      <c r="A38" s="27">
        <f t="shared" si="7"/>
      </c>
      <c r="B38" s="233"/>
      <c r="C38" s="203"/>
      <c r="D38" s="57"/>
      <c r="E38" s="58"/>
      <c r="F38" s="563"/>
      <c r="G38" s="564">
        <f t="shared" si="8"/>
      </c>
      <c r="H38" s="500">
        <f t="shared" si="0"/>
      </c>
      <c r="I38" s="204"/>
      <c r="J38" s="205"/>
      <c r="K38" s="501"/>
      <c r="L38" s="502"/>
      <c r="M38" s="206">
        <f t="shared" si="1"/>
      </c>
      <c r="N38" s="207">
        <f t="shared" si="9"/>
      </c>
      <c r="O38" s="248"/>
      <c r="P38" s="190"/>
      <c r="Q38" s="208">
        <f>IF($H38="","",IF($O38="Ａ",LOOKUP($D38,{8000,8500,9000,10000,12000},{0,1532,1032,408,408}),IF($O38="Ｂ",LOOKUP($D38,{8000,8500,9000,10000,12000},{782,2814,2814,2814,2814}),0)))</f>
      </c>
      <c r="R38" s="248"/>
      <c r="S38" s="245">
        <v>0</v>
      </c>
      <c r="T38" s="503">
        <f>IF($H38="","",IF($R38="Ａ",LOOKUP($D38,{8000,8500,9000,10000,12000},{0,1532,1032,408,408}),IF($R38="Ｂ",LOOKUP($D38,{8000,8500,9000,10000,12000},{782,2814,2814,2814,2814}),0)))</f>
      </c>
      <c r="U38" s="210">
        <f t="shared" si="10"/>
      </c>
      <c r="V38" s="561">
        <f>IF(B38="","",SUMIF('2-3_調整額内訳②(旧々・新制度)'!B:B,$B38,'2-3_調整額内訳②(旧々・新制度)'!AD:AD))</f>
      </c>
      <c r="W38" s="209">
        <f t="shared" si="2"/>
      </c>
      <c r="X38" s="210">
        <f t="shared" si="3"/>
      </c>
      <c r="Y38" s="210">
        <f t="shared" si="11"/>
      </c>
      <c r="Z38" s="57"/>
      <c r="AA38" s="210">
        <f t="shared" si="4"/>
      </c>
      <c r="AB38" s="58"/>
      <c r="AC38" s="210" t="str">
        <f t="shared" si="12"/>
        <v>0</v>
      </c>
      <c r="AD38" s="565">
        <f t="shared" si="13"/>
        <v>0</v>
      </c>
      <c r="AE38" s="505"/>
      <c r="AF38" s="81">
        <f t="shared" si="14"/>
      </c>
      <c r="AG38" s="506">
        <f t="shared" si="15"/>
      </c>
      <c r="AH38" s="944"/>
      <c r="AI38" s="944"/>
      <c r="AJ38" s="945"/>
      <c r="AL38" s="61">
        <f t="shared" si="5"/>
      </c>
      <c r="AM38" s="61">
        <f t="shared" si="6"/>
      </c>
    </row>
    <row r="39" spans="1:39" s="53" customFormat="1" ht="18.75" customHeight="1">
      <c r="A39" s="27">
        <f t="shared" si="7"/>
      </c>
      <c r="B39" s="233"/>
      <c r="C39" s="203"/>
      <c r="D39" s="57"/>
      <c r="E39" s="58"/>
      <c r="F39" s="563"/>
      <c r="G39" s="564">
        <f t="shared" si="8"/>
      </c>
      <c r="H39" s="500">
        <f t="shared" si="0"/>
      </c>
      <c r="I39" s="204"/>
      <c r="J39" s="205"/>
      <c r="K39" s="501"/>
      <c r="L39" s="502"/>
      <c r="M39" s="206">
        <f t="shared" si="1"/>
      </c>
      <c r="N39" s="207">
        <f t="shared" si="9"/>
      </c>
      <c r="O39" s="248"/>
      <c r="P39" s="190"/>
      <c r="Q39" s="208">
        <f>IF($H39="","",IF($O39="Ａ",LOOKUP($D39,{8000,8500,9000,10000,12000},{0,1532,1032,408,408}),IF($O39="Ｂ",LOOKUP($D39,{8000,8500,9000,10000,12000},{782,2814,2814,2814,2814}),0)))</f>
      </c>
      <c r="R39" s="248"/>
      <c r="S39" s="245">
        <v>0</v>
      </c>
      <c r="T39" s="503">
        <f>IF($H39="","",IF($R39="Ａ",LOOKUP($D39,{8000,8500,9000,10000,12000},{0,1532,1032,408,408}),IF($R39="Ｂ",LOOKUP($D39,{8000,8500,9000,10000,12000},{782,2814,2814,2814,2814}),0)))</f>
      </c>
      <c r="U39" s="210">
        <f t="shared" si="10"/>
      </c>
      <c r="V39" s="561">
        <f>IF(B39="","",SUMIF('2-3_調整額内訳②(旧々・新制度)'!B:B,$B39,'2-3_調整額内訳②(旧々・新制度)'!AD:AD))</f>
      </c>
      <c r="W39" s="209">
        <f t="shared" si="2"/>
      </c>
      <c r="X39" s="210">
        <f t="shared" si="3"/>
      </c>
      <c r="Y39" s="210">
        <f t="shared" si="11"/>
      </c>
      <c r="Z39" s="57"/>
      <c r="AA39" s="210">
        <f t="shared" si="4"/>
      </c>
      <c r="AB39" s="58"/>
      <c r="AC39" s="210" t="str">
        <f t="shared" si="12"/>
        <v>0</v>
      </c>
      <c r="AD39" s="565">
        <f t="shared" si="13"/>
        <v>0</v>
      </c>
      <c r="AE39" s="505"/>
      <c r="AF39" s="81">
        <f t="shared" si="14"/>
      </c>
      <c r="AG39" s="506">
        <f t="shared" si="15"/>
      </c>
      <c r="AH39" s="944"/>
      <c r="AI39" s="944"/>
      <c r="AJ39" s="945"/>
      <c r="AL39" s="61">
        <f t="shared" si="5"/>
      </c>
      <c r="AM39" s="61">
        <f t="shared" si="6"/>
      </c>
    </row>
    <row r="40" spans="1:39" s="53" customFormat="1" ht="18.75" customHeight="1">
      <c r="A40" s="37">
        <f t="shared" si="7"/>
      </c>
      <c r="B40" s="233"/>
      <c r="C40" s="203"/>
      <c r="D40" s="57"/>
      <c r="E40" s="58"/>
      <c r="F40" s="563"/>
      <c r="G40" s="564">
        <f t="shared" si="8"/>
      </c>
      <c r="H40" s="500">
        <f t="shared" si="0"/>
      </c>
      <c r="I40" s="204"/>
      <c r="J40" s="205"/>
      <c r="K40" s="501"/>
      <c r="L40" s="502"/>
      <c r="M40" s="206">
        <f t="shared" si="1"/>
      </c>
      <c r="N40" s="207">
        <f t="shared" si="9"/>
      </c>
      <c r="O40" s="248"/>
      <c r="P40" s="190"/>
      <c r="Q40" s="208">
        <f>IF($H40="","",IF($O40="Ａ",LOOKUP($D40,{8000,8500,9000,10000,12000},{0,1532,1032,408,408}),IF($O40="Ｂ",LOOKUP($D40,{8000,8500,9000,10000,12000},{782,2814,2814,2814,2814}),0)))</f>
      </c>
      <c r="R40" s="248"/>
      <c r="S40" s="245">
        <v>0</v>
      </c>
      <c r="T40" s="503">
        <f>IF($H40="","",IF($R40="Ａ",LOOKUP($D40,{8000,8500,9000,10000,12000},{0,1532,1032,408,408}),IF($R40="Ｂ",LOOKUP($D40,{8000,8500,9000,10000,12000},{782,2814,2814,2814,2814}),0)))</f>
      </c>
      <c r="U40" s="210">
        <f t="shared" si="10"/>
      </c>
      <c r="V40" s="561">
        <f>IF(B40="","",SUMIF('2-3_調整額内訳②(旧々・新制度)'!B:B,$B40,'2-3_調整額内訳②(旧々・新制度)'!AD:AD))</f>
      </c>
      <c r="W40" s="209">
        <f t="shared" si="2"/>
      </c>
      <c r="X40" s="210">
        <f t="shared" si="3"/>
      </c>
      <c r="Y40" s="210">
        <f t="shared" si="11"/>
      </c>
      <c r="Z40" s="57"/>
      <c r="AA40" s="210">
        <f t="shared" si="4"/>
      </c>
      <c r="AB40" s="58"/>
      <c r="AC40" s="210" t="str">
        <f t="shared" si="12"/>
        <v>0</v>
      </c>
      <c r="AD40" s="565">
        <f t="shared" si="13"/>
        <v>0</v>
      </c>
      <c r="AE40" s="505"/>
      <c r="AF40" s="81">
        <f t="shared" si="14"/>
      </c>
      <c r="AG40" s="506">
        <f t="shared" si="15"/>
      </c>
      <c r="AH40" s="944"/>
      <c r="AI40" s="944"/>
      <c r="AJ40" s="945"/>
      <c r="AL40" s="61">
        <f t="shared" si="5"/>
      </c>
      <c r="AM40" s="61">
        <f t="shared" si="6"/>
      </c>
    </row>
    <row r="41" spans="1:39" s="53" customFormat="1" ht="18.75" customHeight="1">
      <c r="A41" s="177">
        <f t="shared" si="7"/>
      </c>
      <c r="B41" s="233"/>
      <c r="C41" s="203"/>
      <c r="D41" s="57"/>
      <c r="E41" s="58"/>
      <c r="F41" s="563"/>
      <c r="G41" s="564">
        <f t="shared" si="8"/>
      </c>
      <c r="H41" s="500">
        <f t="shared" si="0"/>
      </c>
      <c r="I41" s="204"/>
      <c r="J41" s="205"/>
      <c r="K41" s="501"/>
      <c r="L41" s="502"/>
      <c r="M41" s="206">
        <f t="shared" si="1"/>
      </c>
      <c r="N41" s="207">
        <f t="shared" si="9"/>
      </c>
      <c r="O41" s="248"/>
      <c r="P41" s="190"/>
      <c r="Q41" s="208">
        <f>IF($H41="","",IF($O41="Ａ",LOOKUP($D41,{8000,8500,9000,10000,12000},{0,1532,1032,408,408}),IF($O41="Ｂ",LOOKUP($D41,{8000,8500,9000,10000,12000},{782,2814,2814,2814,2814}),0)))</f>
      </c>
      <c r="R41" s="248"/>
      <c r="S41" s="245">
        <v>0</v>
      </c>
      <c r="T41" s="503">
        <f>IF($H41="","",IF($R41="Ａ",LOOKUP($D41,{8000,8500,9000,10000,12000},{0,1532,1032,408,408}),IF($R41="Ｂ",LOOKUP($D41,{8000,8500,9000,10000,12000},{782,2814,2814,2814,2814}),0)))</f>
      </c>
      <c r="U41" s="210">
        <f t="shared" si="10"/>
      </c>
      <c r="V41" s="561">
        <f>IF(B41="","",SUMIF('2-3_調整額内訳②(旧々・新制度)'!B:B,$B41,'2-3_調整額内訳②(旧々・新制度)'!AD:AD))</f>
      </c>
      <c r="W41" s="209">
        <f t="shared" si="2"/>
      </c>
      <c r="X41" s="210">
        <f t="shared" si="3"/>
      </c>
      <c r="Y41" s="210">
        <f t="shared" si="11"/>
      </c>
      <c r="Z41" s="57"/>
      <c r="AA41" s="210">
        <f t="shared" si="4"/>
      </c>
      <c r="AB41" s="58"/>
      <c r="AC41" s="210" t="str">
        <f t="shared" si="12"/>
        <v>0</v>
      </c>
      <c r="AD41" s="565">
        <f t="shared" si="13"/>
        <v>0</v>
      </c>
      <c r="AE41" s="505"/>
      <c r="AF41" s="81">
        <f t="shared" si="14"/>
      </c>
      <c r="AG41" s="506">
        <f t="shared" si="15"/>
      </c>
      <c r="AH41" s="944"/>
      <c r="AI41" s="944"/>
      <c r="AJ41" s="945"/>
      <c r="AL41" s="61">
        <f t="shared" si="5"/>
      </c>
      <c r="AM41" s="61">
        <f t="shared" si="6"/>
      </c>
    </row>
    <row r="42" spans="1:39" s="53" customFormat="1" ht="18.75" customHeight="1">
      <c r="A42" s="27">
        <f t="shared" si="7"/>
      </c>
      <c r="B42" s="233"/>
      <c r="C42" s="203"/>
      <c r="D42" s="57"/>
      <c r="E42" s="58"/>
      <c r="F42" s="563"/>
      <c r="G42" s="564">
        <f t="shared" si="8"/>
      </c>
      <c r="H42" s="500">
        <f t="shared" si="0"/>
      </c>
      <c r="I42" s="204"/>
      <c r="J42" s="205"/>
      <c r="K42" s="501"/>
      <c r="L42" s="502"/>
      <c r="M42" s="206">
        <f t="shared" si="1"/>
      </c>
      <c r="N42" s="207">
        <f t="shared" si="9"/>
      </c>
      <c r="O42" s="248"/>
      <c r="P42" s="190"/>
      <c r="Q42" s="208">
        <f>IF($H42="","",IF($O42="Ａ",LOOKUP($D42,{8000,8500,9000,10000,12000},{0,1532,1032,408,408}),IF($O42="Ｂ",LOOKUP($D42,{8000,8500,9000,10000,12000},{782,2814,2814,2814,2814}),0)))</f>
      </c>
      <c r="R42" s="248"/>
      <c r="S42" s="245">
        <v>0</v>
      </c>
      <c r="T42" s="503">
        <f>IF($H42="","",IF($R42="Ａ",LOOKUP($D42,{8000,8500,9000,10000,12000},{0,1532,1032,408,408}),IF($R42="Ｂ",LOOKUP($D42,{8000,8500,9000,10000,12000},{782,2814,2814,2814,2814}),0)))</f>
      </c>
      <c r="U42" s="210">
        <f t="shared" si="10"/>
      </c>
      <c r="V42" s="561">
        <f>IF(B42="","",SUMIF('2-3_調整額内訳②(旧々・新制度)'!B:B,$B42,'2-3_調整額内訳②(旧々・新制度)'!AD:AD))</f>
      </c>
      <c r="W42" s="209">
        <f t="shared" si="2"/>
      </c>
      <c r="X42" s="210">
        <f t="shared" si="3"/>
      </c>
      <c r="Y42" s="210">
        <f t="shared" si="11"/>
      </c>
      <c r="Z42" s="57"/>
      <c r="AA42" s="210">
        <f t="shared" si="4"/>
      </c>
      <c r="AB42" s="58"/>
      <c r="AC42" s="210" t="str">
        <f t="shared" si="12"/>
        <v>0</v>
      </c>
      <c r="AD42" s="565">
        <f t="shared" si="13"/>
        <v>0</v>
      </c>
      <c r="AE42" s="505"/>
      <c r="AF42" s="81">
        <f t="shared" si="14"/>
      </c>
      <c r="AG42" s="506">
        <f t="shared" si="15"/>
      </c>
      <c r="AH42" s="944"/>
      <c r="AI42" s="944"/>
      <c r="AJ42" s="945"/>
      <c r="AL42" s="61">
        <f t="shared" si="5"/>
      </c>
      <c r="AM42" s="61">
        <f t="shared" si="6"/>
      </c>
    </row>
    <row r="43" spans="1:39" s="53" customFormat="1" ht="18.75" customHeight="1">
      <c r="A43" s="27">
        <f t="shared" si="7"/>
      </c>
      <c r="B43" s="233"/>
      <c r="C43" s="203"/>
      <c r="D43" s="57"/>
      <c r="E43" s="58"/>
      <c r="F43" s="563"/>
      <c r="G43" s="564">
        <f t="shared" si="8"/>
      </c>
      <c r="H43" s="500">
        <f t="shared" si="0"/>
      </c>
      <c r="I43" s="204"/>
      <c r="J43" s="205"/>
      <c r="K43" s="501"/>
      <c r="L43" s="502"/>
      <c r="M43" s="206">
        <f t="shared" si="1"/>
      </c>
      <c r="N43" s="207">
        <f t="shared" si="9"/>
      </c>
      <c r="O43" s="248"/>
      <c r="P43" s="190"/>
      <c r="Q43" s="208">
        <f>IF($H43="","",IF($O43="Ａ",LOOKUP($D43,{8000,8500,9000,10000,12000},{0,1532,1032,408,408}),IF($O43="Ｂ",LOOKUP($D43,{8000,8500,9000,10000,12000},{782,2814,2814,2814,2814}),0)))</f>
      </c>
      <c r="R43" s="248"/>
      <c r="S43" s="245">
        <v>0</v>
      </c>
      <c r="T43" s="503">
        <f>IF($H43="","",IF($R43="Ａ",LOOKUP($D43,{8000,8500,9000,10000,12000},{0,1532,1032,408,408}),IF($R43="Ｂ",LOOKUP($D43,{8000,8500,9000,10000,12000},{782,2814,2814,2814,2814}),0)))</f>
      </c>
      <c r="U43" s="210">
        <f t="shared" si="10"/>
      </c>
      <c r="V43" s="561">
        <f>IF(B43="","",SUMIF('2-3_調整額内訳②(旧々・新制度)'!B:B,$B43,'2-3_調整額内訳②(旧々・新制度)'!AD:AD))</f>
      </c>
      <c r="W43" s="209">
        <f t="shared" si="2"/>
      </c>
      <c r="X43" s="210">
        <f t="shared" si="3"/>
      </c>
      <c r="Y43" s="210">
        <f t="shared" si="11"/>
      </c>
      <c r="Z43" s="57"/>
      <c r="AA43" s="210">
        <f t="shared" si="4"/>
      </c>
      <c r="AB43" s="58"/>
      <c r="AC43" s="210" t="str">
        <f t="shared" si="12"/>
        <v>0</v>
      </c>
      <c r="AD43" s="565">
        <f t="shared" si="13"/>
        <v>0</v>
      </c>
      <c r="AE43" s="505"/>
      <c r="AF43" s="81">
        <f t="shared" si="14"/>
      </c>
      <c r="AG43" s="506">
        <f t="shared" si="15"/>
      </c>
      <c r="AH43" s="944"/>
      <c r="AI43" s="944"/>
      <c r="AJ43" s="945"/>
      <c r="AL43" s="61">
        <f t="shared" si="5"/>
      </c>
      <c r="AM43" s="61">
        <f t="shared" si="6"/>
      </c>
    </row>
    <row r="44" spans="1:39" s="53" customFormat="1" ht="18.75" customHeight="1" thickBot="1">
      <c r="A44" s="27">
        <f t="shared" si="7"/>
      </c>
      <c r="B44" s="235"/>
      <c r="C44" s="211"/>
      <c r="D44" s="212"/>
      <c r="E44" s="213"/>
      <c r="F44" s="567"/>
      <c r="G44" s="568">
        <f t="shared" si="8"/>
      </c>
      <c r="H44" s="510">
        <f t="shared" si="0"/>
      </c>
      <c r="I44" s="214"/>
      <c r="J44" s="215"/>
      <c r="K44" s="511"/>
      <c r="L44" s="512"/>
      <c r="M44" s="216">
        <f t="shared" si="1"/>
      </c>
      <c r="N44" s="207">
        <f t="shared" si="9"/>
      </c>
      <c r="O44" s="249"/>
      <c r="P44" s="191"/>
      <c r="Q44" s="217">
        <f>IF($H44="","",IF($O44="Ａ",LOOKUP($D44,{8000,8500,9000,10000,12000},{0,1532,1032,408,408}),IF($O44="Ｂ",LOOKUP($D44,{8000,8500,9000,10000,12000},{782,2814,2814,2814,2814}),0)))</f>
      </c>
      <c r="R44" s="249"/>
      <c r="S44" s="246">
        <v>0</v>
      </c>
      <c r="T44" s="513">
        <f>IF($H44="","",IF($R44="Ａ",LOOKUP($D44,{8000,8500,9000,10000,12000},{0,1532,1032,408,408}),IF($R44="Ｂ",LOOKUP($D44,{8000,8500,9000,10000,12000},{782,2814,2814,2814,2814}),0)))</f>
      </c>
      <c r="U44" s="220">
        <f t="shared" si="10"/>
      </c>
      <c r="V44" s="561">
        <f>IF(B44="","",SUMIF('2-3_調整額内訳②(旧々・新制度)'!B:B,$B44,'2-3_調整額内訳②(旧々・新制度)'!AD:AD))</f>
      </c>
      <c r="W44" s="389">
        <f t="shared" si="2"/>
      </c>
      <c r="X44" s="220">
        <f t="shared" si="3"/>
      </c>
      <c r="Y44" s="220">
        <f t="shared" si="11"/>
      </c>
      <c r="Z44" s="212"/>
      <c r="AA44" s="220">
        <f t="shared" si="4"/>
      </c>
      <c r="AB44" s="213"/>
      <c r="AC44" s="220" t="str">
        <f t="shared" si="12"/>
        <v>0</v>
      </c>
      <c r="AD44" s="569">
        <f t="shared" si="13"/>
        <v>0</v>
      </c>
      <c r="AE44" s="515"/>
      <c r="AF44" s="218">
        <f t="shared" si="14"/>
      </c>
      <c r="AG44" s="516">
        <f t="shared" si="15"/>
      </c>
      <c r="AH44" s="946"/>
      <c r="AI44" s="946"/>
      <c r="AJ44" s="947"/>
      <c r="AL44" s="61">
        <f t="shared" si="5"/>
      </c>
      <c r="AM44" s="61">
        <f t="shared" si="6"/>
      </c>
    </row>
    <row r="45" spans="1:39" s="66" customFormat="1" ht="25.5" customHeight="1" thickBot="1">
      <c r="A45" s="948" t="s">
        <v>140</v>
      </c>
      <c r="B45" s="949"/>
      <c r="C45" s="949"/>
      <c r="D45" s="950"/>
      <c r="E45" s="180">
        <f>SUM(E8:E44)</f>
        <v>0</v>
      </c>
      <c r="F45" s="182"/>
      <c r="G45" s="519">
        <f>SUM(G8:G44)</f>
        <v>0</v>
      </c>
      <c r="H45" s="99" t="s">
        <v>302</v>
      </c>
      <c r="I45" s="181" t="s">
        <v>281</v>
      </c>
      <c r="J45" s="179" t="s">
        <v>302</v>
      </c>
      <c r="K45" s="99"/>
      <c r="L45" s="520"/>
      <c r="M45" s="182">
        <f>SUM(M8:M44)</f>
        <v>0</v>
      </c>
      <c r="N45" s="183" t="s">
        <v>303</v>
      </c>
      <c r="O45" s="99" t="s">
        <v>134</v>
      </c>
      <c r="P45" s="99"/>
      <c r="Q45" s="99"/>
      <c r="R45" s="303" t="s">
        <v>134</v>
      </c>
      <c r="S45" s="99"/>
      <c r="T45" s="304"/>
      <c r="U45" s="521">
        <f aca="true" t="shared" si="16" ref="U45:AG45">SUM(U8:U44)</f>
        <v>0</v>
      </c>
      <c r="V45" s="98">
        <f t="shared" si="16"/>
        <v>0</v>
      </c>
      <c r="W45" s="96">
        <f t="shared" si="16"/>
        <v>0</v>
      </c>
      <c r="X45" s="64">
        <f t="shared" si="16"/>
        <v>0</v>
      </c>
      <c r="Y45" s="64">
        <f>SUM(Y8:Y44)</f>
        <v>0</v>
      </c>
      <c r="Z45" s="64">
        <f t="shared" si="16"/>
        <v>0</v>
      </c>
      <c r="AA45" s="64">
        <f t="shared" si="16"/>
        <v>0</v>
      </c>
      <c r="AB45" s="64">
        <f t="shared" si="16"/>
        <v>0</v>
      </c>
      <c r="AC45" s="522">
        <f t="shared" si="16"/>
        <v>0</v>
      </c>
      <c r="AD45" s="522">
        <f t="shared" si="16"/>
        <v>0</v>
      </c>
      <c r="AE45" s="64">
        <f t="shared" si="16"/>
        <v>0</v>
      </c>
      <c r="AF45" s="522">
        <f t="shared" si="16"/>
        <v>0</v>
      </c>
      <c r="AG45" s="523">
        <f t="shared" si="16"/>
        <v>0</v>
      </c>
      <c r="AH45" s="951"/>
      <c r="AI45" s="952"/>
      <c r="AJ45" s="953"/>
      <c r="AL45" s="67"/>
      <c r="AM45" s="67"/>
    </row>
    <row r="46" spans="1:39" s="287" customFormat="1" ht="15.75" customHeight="1">
      <c r="A46" s="287" t="s">
        <v>26</v>
      </c>
      <c r="O46" s="288"/>
      <c r="R46" s="288"/>
      <c r="AL46" s="289"/>
      <c r="AM46" s="289"/>
    </row>
    <row r="47" spans="1:39" s="287" customFormat="1" ht="15.75" customHeight="1">
      <c r="A47" s="287" t="s">
        <v>132</v>
      </c>
      <c r="O47" s="288"/>
      <c r="R47" s="288"/>
      <c r="AL47" s="289"/>
      <c r="AM47" s="289"/>
    </row>
    <row r="48" spans="1:39" s="287" customFormat="1" ht="15.75" customHeight="1">
      <c r="A48" s="287" t="s">
        <v>146</v>
      </c>
      <c r="O48" s="288"/>
      <c r="R48" s="288"/>
      <c r="AL48" s="289"/>
      <c r="AM48" s="289"/>
    </row>
    <row r="49" spans="1:39" s="287" customFormat="1" ht="15.75" customHeight="1">
      <c r="A49" s="287" t="s">
        <v>138</v>
      </c>
      <c r="O49" s="288"/>
      <c r="R49" s="288"/>
      <c r="AL49" s="289"/>
      <c r="AM49" s="289"/>
    </row>
    <row r="50" spans="1:39" s="287" customFormat="1" ht="15.75" customHeight="1">
      <c r="A50" s="287" t="s">
        <v>263</v>
      </c>
      <c r="O50" s="288"/>
      <c r="R50" s="288"/>
      <c r="AL50" s="289"/>
      <c r="AM50" s="289"/>
    </row>
    <row r="51" spans="1:39" s="287" customFormat="1" ht="15.75" customHeight="1">
      <c r="A51" s="287" t="s">
        <v>228</v>
      </c>
      <c r="O51" s="288"/>
      <c r="R51" s="288"/>
      <c r="AL51" s="289"/>
      <c r="AM51" s="289"/>
    </row>
    <row r="52" spans="1:39" s="287" customFormat="1" ht="15.75" customHeight="1">
      <c r="A52" s="287" t="s">
        <v>154</v>
      </c>
      <c r="O52" s="288"/>
      <c r="R52" s="288"/>
      <c r="AL52" s="289"/>
      <c r="AM52" s="289"/>
    </row>
    <row r="53" spans="1:39" s="287" customFormat="1" ht="15.75" customHeight="1">
      <c r="A53" s="287" t="s">
        <v>155</v>
      </c>
      <c r="O53" s="288"/>
      <c r="R53" s="288"/>
      <c r="AL53" s="289"/>
      <c r="AM53" s="289"/>
    </row>
    <row r="54" spans="1:39" s="287" customFormat="1" ht="15.75" customHeight="1">
      <c r="A54" s="287" t="s">
        <v>264</v>
      </c>
      <c r="O54" s="288"/>
      <c r="R54" s="288"/>
      <c r="AL54" s="289"/>
      <c r="AM54" s="289"/>
    </row>
    <row r="55" spans="1:39" s="287" customFormat="1" ht="15.75" customHeight="1">
      <c r="A55" s="287" t="s">
        <v>202</v>
      </c>
      <c r="O55" s="288"/>
      <c r="R55" s="288"/>
      <c r="AL55" s="289"/>
      <c r="AM55" s="289"/>
    </row>
    <row r="56" spans="1:38" s="287" customFormat="1" ht="15.75" customHeight="1">
      <c r="A56" s="287" t="s">
        <v>203</v>
      </c>
      <c r="O56" s="288"/>
      <c r="R56" s="288"/>
      <c r="AK56" s="289"/>
      <c r="AL56" s="289"/>
    </row>
    <row r="57" spans="1:39" s="287" customFormat="1" ht="15.75" customHeight="1">
      <c r="A57" s="287" t="s">
        <v>141</v>
      </c>
      <c r="O57" s="288"/>
      <c r="R57" s="288"/>
      <c r="AL57" s="289"/>
      <c r="AM57" s="289"/>
    </row>
    <row r="58" spans="1:39" s="287" customFormat="1" ht="15.75" customHeight="1">
      <c r="A58" s="287" t="s">
        <v>142</v>
      </c>
      <c r="O58" s="288"/>
      <c r="R58" s="288"/>
      <c r="AL58" s="289"/>
      <c r="AM58" s="289"/>
    </row>
    <row r="59" spans="1:39" s="287" customFormat="1" ht="15.75" customHeight="1">
      <c r="A59" s="287" t="s">
        <v>143</v>
      </c>
      <c r="O59" s="288"/>
      <c r="R59" s="288"/>
      <c r="AL59" s="289"/>
      <c r="AM59" s="28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5">
    <mergeCell ref="AH44:AJ44"/>
    <mergeCell ref="A45:D45"/>
    <mergeCell ref="AH45:AJ45"/>
    <mergeCell ref="AH38:AJ38"/>
    <mergeCell ref="AH39:AJ39"/>
    <mergeCell ref="AH40:AJ40"/>
    <mergeCell ref="AH41:AJ41"/>
    <mergeCell ref="AH42:AJ42"/>
    <mergeCell ref="AH43:AJ43"/>
    <mergeCell ref="AH32:AJ32"/>
    <mergeCell ref="AH33:AJ33"/>
    <mergeCell ref="AH34:AJ34"/>
    <mergeCell ref="AH35:AJ35"/>
    <mergeCell ref="AH36:AJ36"/>
    <mergeCell ref="AH37:AJ37"/>
    <mergeCell ref="AH26:AJ26"/>
    <mergeCell ref="AH27:AJ27"/>
    <mergeCell ref="AH28:AJ28"/>
    <mergeCell ref="AH29:AJ29"/>
    <mergeCell ref="AH30:AJ30"/>
    <mergeCell ref="AH31:AJ31"/>
    <mergeCell ref="AH20:AJ20"/>
    <mergeCell ref="AH21:AJ21"/>
    <mergeCell ref="AH22:AJ22"/>
    <mergeCell ref="AH23:AJ23"/>
    <mergeCell ref="AH24:AJ24"/>
    <mergeCell ref="AH25:AJ25"/>
    <mergeCell ref="AH14:AJ14"/>
    <mergeCell ref="AH15:AJ15"/>
    <mergeCell ref="AH16:AJ16"/>
    <mergeCell ref="AH17:AJ17"/>
    <mergeCell ref="AH18:AJ18"/>
    <mergeCell ref="AH19:AJ19"/>
    <mergeCell ref="AH8:AJ8"/>
    <mergeCell ref="AH9:AJ9"/>
    <mergeCell ref="AH10:AJ10"/>
    <mergeCell ref="AH11:AJ11"/>
    <mergeCell ref="AH12:AJ12"/>
    <mergeCell ref="AH13:AJ13"/>
    <mergeCell ref="N5:N6"/>
    <mergeCell ref="O5:Q5"/>
    <mergeCell ref="R5:T5"/>
    <mergeCell ref="U5:U6"/>
    <mergeCell ref="V5:V6"/>
    <mergeCell ref="W5:W6"/>
    <mergeCell ref="O6:O7"/>
    <mergeCell ref="R6:R7"/>
    <mergeCell ref="E5:E6"/>
    <mergeCell ref="G5:G6"/>
    <mergeCell ref="H5:H6"/>
    <mergeCell ref="I5:I6"/>
    <mergeCell ref="J5:J6"/>
    <mergeCell ref="M5:M6"/>
    <mergeCell ref="AE4:AE6"/>
    <mergeCell ref="AF4:AF6"/>
    <mergeCell ref="AG4:AG6"/>
    <mergeCell ref="AH4:AJ7"/>
    <mergeCell ref="AL4:AL7"/>
    <mergeCell ref="AM4:AM7"/>
    <mergeCell ref="Y4:Y6"/>
    <mergeCell ref="Z4:Z6"/>
    <mergeCell ref="AA4:AA6"/>
    <mergeCell ref="AB4:AB5"/>
    <mergeCell ref="AC4:AC5"/>
    <mergeCell ref="AD4:AD5"/>
    <mergeCell ref="AB1:AH1"/>
    <mergeCell ref="AB2:AH2"/>
    <mergeCell ref="A4:A7"/>
    <mergeCell ref="B4:B7"/>
    <mergeCell ref="C4:C7"/>
    <mergeCell ref="D4:D6"/>
    <mergeCell ref="E4:G4"/>
    <mergeCell ref="H4:N4"/>
    <mergeCell ref="O4:W4"/>
    <mergeCell ref="X4:X6"/>
  </mergeCells>
  <dataValidations count="4">
    <dataValidation type="whole" allowBlank="1" showInputMessage="1" showErrorMessage="1" sqref="C8:C44">
      <formula1>1</formula1>
      <formula2>4</formula2>
    </dataValidation>
    <dataValidation type="whole" allowBlank="1" showInputMessage="1" showErrorMessage="1" sqref="Z8:Z44 H8:I44 AB8:AB44">
      <formula1>0</formula1>
      <formula2>9999999</formula2>
    </dataValidation>
    <dataValidation type="list" allowBlank="1" showInputMessage="1" showErrorMessage="1" sqref="O8:O44 R8:R44">
      <formula1>"Ａ,Ｂ,Ｄ"</formula1>
    </dataValidation>
    <dataValidation allowBlank="1" showInputMessage="1" sqref="N8:N44"/>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M43"/>
  <sheetViews>
    <sheetView tabSelected="1" view="pageBreakPreview" zoomScale="75" zoomScaleNormal="75" zoomScaleSheetLayoutView="75" zoomScalePageLayoutView="0" workbookViewId="0" topLeftCell="A1">
      <selection activeCell="T27" sqref="T27"/>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thickBot="1">
      <c r="A1" s="39" t="s">
        <v>216</v>
      </c>
      <c r="B1" s="39"/>
      <c r="W1" s="954" t="s">
        <v>22</v>
      </c>
      <c r="X1" s="954"/>
      <c r="Y1" s="954"/>
      <c r="Z1" s="884">
        <f>'1_総括表'!E3</f>
        <v>0</v>
      </c>
      <c r="AA1" s="955"/>
      <c r="AB1" s="955"/>
      <c r="AC1" s="955"/>
      <c r="AD1" s="956"/>
      <c r="AE1" s="160" t="s">
        <v>23</v>
      </c>
      <c r="AF1" s="957">
        <f>'1_総括表'!Z3</f>
        <v>0</v>
      </c>
      <c r="AG1" s="958"/>
      <c r="AI1" s="46"/>
      <c r="AJ1" s="46"/>
    </row>
    <row r="2" spans="1:36" ht="24.75" customHeight="1" thickBot="1">
      <c r="A2" s="42"/>
      <c r="W2" s="959" t="s">
        <v>20</v>
      </c>
      <c r="X2" s="959"/>
      <c r="Y2" s="959"/>
      <c r="Z2" s="1033">
        <f>'1_総括表'!E4</f>
        <v>0</v>
      </c>
      <c r="AA2" s="843"/>
      <c r="AB2" s="843"/>
      <c r="AC2" s="843"/>
      <c r="AD2" s="844"/>
      <c r="AE2" s="161" t="s">
        <v>21</v>
      </c>
      <c r="AF2" s="1034">
        <f>'1_総括表'!Z4</f>
        <v>0</v>
      </c>
      <c r="AG2" s="1035"/>
      <c r="AI2" s="70"/>
      <c r="AJ2" s="71"/>
    </row>
    <row r="3" spans="1:36" ht="20.25" customHeight="1" thickBot="1">
      <c r="A3" s="273" t="s">
        <v>195</v>
      </c>
      <c r="B3" s="38"/>
      <c r="AF3" s="43"/>
      <c r="AG3" s="43" t="s">
        <v>25</v>
      </c>
      <c r="AI3" s="70"/>
      <c r="AJ3" s="71"/>
    </row>
    <row r="4" spans="1:36" s="44" customFormat="1" ht="18.75" customHeight="1" thickBot="1">
      <c r="A4" s="883" t="s">
        <v>304</v>
      </c>
      <c r="B4" s="878" t="s">
        <v>148</v>
      </c>
      <c r="C4" s="1036" t="s">
        <v>13</v>
      </c>
      <c r="D4" s="1038" t="s">
        <v>67</v>
      </c>
      <c r="E4" s="1038" t="s">
        <v>87</v>
      </c>
      <c r="F4" s="875" t="s">
        <v>265</v>
      </c>
      <c r="G4" s="1040"/>
      <c r="H4" s="1040"/>
      <c r="I4" s="1040"/>
      <c r="J4" s="876"/>
      <c r="K4" s="1045" t="s">
        <v>58</v>
      </c>
      <c r="L4" s="1046"/>
      <c r="M4" s="1046"/>
      <c r="N4" s="1046"/>
      <c r="O4" s="1046"/>
      <c r="P4" s="1046"/>
      <c r="Q4" s="1046"/>
      <c r="R4" s="1046"/>
      <c r="S4" s="1046"/>
      <c r="T4" s="1046"/>
      <c r="U4" s="1046"/>
      <c r="V4" s="1046"/>
      <c r="W4" s="1046"/>
      <c r="X4" s="1046"/>
      <c r="Y4" s="1046"/>
      <c r="Z4" s="1046"/>
      <c r="AA4" s="1046"/>
      <c r="AB4" s="1046"/>
      <c r="AC4" s="878" t="s">
        <v>56</v>
      </c>
      <c r="AD4" s="970" t="s">
        <v>57</v>
      </c>
      <c r="AE4" s="973" t="s">
        <v>59</v>
      </c>
      <c r="AF4" s="974"/>
      <c r="AG4" s="975"/>
      <c r="AI4" s="70"/>
      <c r="AJ4" s="71"/>
    </row>
    <row r="5" spans="1:36" s="44" customFormat="1" ht="18.75" customHeight="1" thickBot="1">
      <c r="A5" s="890"/>
      <c r="B5" s="892"/>
      <c r="C5" s="1037"/>
      <c r="D5" s="1039"/>
      <c r="E5" s="1039"/>
      <c r="F5" s="1045" t="s">
        <v>88</v>
      </c>
      <c r="G5" s="1047"/>
      <c r="H5" s="1048"/>
      <c r="I5" s="1048"/>
      <c r="J5" s="1049"/>
      <c r="K5" s="1050" t="s">
        <v>55</v>
      </c>
      <c r="L5" s="1051"/>
      <c r="M5" s="1051"/>
      <c r="N5" s="1051"/>
      <c r="O5" s="1051"/>
      <c r="P5" s="1051"/>
      <c r="Q5" s="1051"/>
      <c r="R5" s="1051"/>
      <c r="S5" s="1051"/>
      <c r="T5" s="1051"/>
      <c r="U5" s="1051"/>
      <c r="V5" s="1052"/>
      <c r="W5" s="875" t="s">
        <v>97</v>
      </c>
      <c r="X5" s="1040"/>
      <c r="Y5" s="1040"/>
      <c r="Z5" s="1040"/>
      <c r="AA5" s="1040"/>
      <c r="AB5" s="1040"/>
      <c r="AC5" s="892"/>
      <c r="AD5" s="971"/>
      <c r="AE5" s="976"/>
      <c r="AF5" s="977"/>
      <c r="AG5" s="978"/>
      <c r="AI5" s="70"/>
      <c r="AJ5" s="71"/>
    </row>
    <row r="6" spans="1:36" s="44" customFormat="1" ht="21.75" customHeight="1" thickBot="1">
      <c r="A6" s="890"/>
      <c r="B6" s="890"/>
      <c r="C6" s="1037"/>
      <c r="D6" s="1039"/>
      <c r="E6" s="1039"/>
      <c r="F6" s="1053" t="s">
        <v>15</v>
      </c>
      <c r="G6" s="1041" t="s">
        <v>43</v>
      </c>
      <c r="H6" s="1053" t="s">
        <v>15</v>
      </c>
      <c r="I6" s="1041" t="s">
        <v>43</v>
      </c>
      <c r="J6" s="1043" t="s">
        <v>305</v>
      </c>
      <c r="K6" s="875" t="s">
        <v>53</v>
      </c>
      <c r="L6" s="1040"/>
      <c r="M6" s="876"/>
      <c r="N6" s="1055" t="s">
        <v>54</v>
      </c>
      <c r="O6" s="1056"/>
      <c r="P6" s="1056"/>
      <c r="Q6" s="1056"/>
      <c r="R6" s="1056"/>
      <c r="S6" s="1056"/>
      <c r="T6" s="1056"/>
      <c r="U6" s="1056"/>
      <c r="V6" s="1057"/>
      <c r="W6" s="1045" t="s">
        <v>306</v>
      </c>
      <c r="X6" s="1060" t="s">
        <v>306</v>
      </c>
      <c r="Y6" s="1045" t="s">
        <v>307</v>
      </c>
      <c r="Z6" s="1063" t="s">
        <v>307</v>
      </c>
      <c r="AA6" s="1068" t="s">
        <v>308</v>
      </c>
      <c r="AB6" s="1071" t="s">
        <v>308</v>
      </c>
      <c r="AC6" s="892"/>
      <c r="AD6" s="972"/>
      <c r="AE6" s="979"/>
      <c r="AF6" s="980"/>
      <c r="AG6" s="978"/>
      <c r="AI6" s="70"/>
      <c r="AJ6" s="72"/>
    </row>
    <row r="7" spans="1:39" s="44" customFormat="1" ht="20.25" customHeight="1">
      <c r="A7" s="890"/>
      <c r="B7" s="890"/>
      <c r="C7" s="1037"/>
      <c r="D7" s="1039"/>
      <c r="E7" s="1039"/>
      <c r="F7" s="1054"/>
      <c r="G7" s="1042"/>
      <c r="H7" s="1054"/>
      <c r="I7" s="1042"/>
      <c r="J7" s="1044"/>
      <c r="K7" s="1074" t="s">
        <v>47</v>
      </c>
      <c r="L7" s="1066" t="s">
        <v>48</v>
      </c>
      <c r="M7" s="1063" t="s">
        <v>49</v>
      </c>
      <c r="N7" s="1074" t="s">
        <v>44</v>
      </c>
      <c r="O7" s="1066" t="s">
        <v>309</v>
      </c>
      <c r="P7" s="1066" t="s">
        <v>271</v>
      </c>
      <c r="Q7" s="1066" t="s">
        <v>310</v>
      </c>
      <c r="R7" s="1066" t="s">
        <v>45</v>
      </c>
      <c r="S7" s="1066" t="s">
        <v>46</v>
      </c>
      <c r="T7" s="1066" t="s">
        <v>50</v>
      </c>
      <c r="U7" s="1066" t="s">
        <v>51</v>
      </c>
      <c r="V7" s="1063" t="s">
        <v>52</v>
      </c>
      <c r="W7" s="1058"/>
      <c r="X7" s="1061"/>
      <c r="Y7" s="1058"/>
      <c r="Z7" s="1064"/>
      <c r="AA7" s="1069"/>
      <c r="AB7" s="1072"/>
      <c r="AC7" s="892"/>
      <c r="AD7" s="972"/>
      <c r="AE7" s="979"/>
      <c r="AF7" s="980"/>
      <c r="AG7" s="978"/>
      <c r="AI7" s="1011" t="s">
        <v>27</v>
      </c>
      <c r="AJ7" s="1011" t="s">
        <v>70</v>
      </c>
      <c r="AK7" s="73"/>
      <c r="AL7" s="73"/>
      <c r="AM7" s="73"/>
    </row>
    <row r="8" spans="1:36" s="44" customFormat="1" ht="18.75" customHeight="1" thickBot="1">
      <c r="A8" s="891"/>
      <c r="B8" s="891"/>
      <c r="C8" s="1037"/>
      <c r="D8" s="1039"/>
      <c r="E8" s="1039"/>
      <c r="F8" s="1054"/>
      <c r="G8" s="474" t="s">
        <v>274</v>
      </c>
      <c r="H8" s="1054"/>
      <c r="I8" s="474" t="s">
        <v>311</v>
      </c>
      <c r="J8" s="570" t="s">
        <v>276</v>
      </c>
      <c r="K8" s="1075"/>
      <c r="L8" s="1067"/>
      <c r="M8" s="1064"/>
      <c r="N8" s="1075"/>
      <c r="O8" s="1067"/>
      <c r="P8" s="1067"/>
      <c r="Q8" s="1067"/>
      <c r="R8" s="1067"/>
      <c r="S8" s="1067"/>
      <c r="T8" s="1067"/>
      <c r="U8" s="1067"/>
      <c r="V8" s="1064"/>
      <c r="W8" s="1059"/>
      <c r="X8" s="1062"/>
      <c r="Y8" s="1059"/>
      <c r="Z8" s="1065"/>
      <c r="AA8" s="1070"/>
      <c r="AB8" s="1073"/>
      <c r="AC8" s="472" t="s">
        <v>312</v>
      </c>
      <c r="AD8" s="74" t="s">
        <v>278</v>
      </c>
      <c r="AE8" s="979"/>
      <c r="AF8" s="980"/>
      <c r="AG8" s="978"/>
      <c r="AI8" s="1012"/>
      <c r="AJ8" s="1012"/>
    </row>
    <row r="9" spans="1:36" s="53" customFormat="1" ht="18.75" customHeight="1">
      <c r="A9" s="26">
        <f>IF(B9="","",ROW($A9)-ROW($A$8))</f>
      </c>
      <c r="B9" s="575"/>
      <c r="C9" s="305">
        <f>IF($B9="","",VLOOKUP($B9,'2-2_算定表②(旧々・新制度)'!$B$8:$U$65536,2,FALSE))</f>
      </c>
      <c r="D9" s="313">
        <f>IF($B9="","",VLOOKUP($B9,'2-2_算定表②(旧々・新制度)'!$B$8:$U$65536,3,FALSE))</f>
      </c>
      <c r="E9" s="562">
        <f>IF($B9="","",VLOOKUP($B9,'2-2_算定表②(旧々・新制度)'!$B$8:$U$65536,6,FALSE))</f>
      </c>
      <c r="F9" s="590">
        <f>IF(B9="","",VLOOKUP($B9,'2-2_算定表②(旧々・新制度)'!$B$8:$U$65536,14,FALSE))</f>
      </c>
      <c r="G9" s="76">
        <f>IF(B9="","",VLOOKUP($B9,'2-2_算定表②(旧々・新制度)'!$B$8:$U$65536,16,FALSE))</f>
      </c>
      <c r="H9" s="590">
        <f>IF(B9="","",VLOOKUP($B9,'2-2_算定表②(旧々・新制度)'!$B$8:$U$65536,17,FALSE))</f>
      </c>
      <c r="I9" s="76">
        <f>IF(B9="","",VLOOKUP($B9,'2-2_算定表②(旧々・新制度)'!$B$8:$U$65536,19,FALSE))</f>
      </c>
      <c r="J9" s="585">
        <f>IF(B9="","",VLOOKUP($B9,'2-2_算定表②(旧々・新制度)'!$B$8:$U$65536,20,FALSE))</f>
      </c>
      <c r="K9" s="572">
        <f>IF($B9="","",VLOOKUP($B9,'2-2_算定表②(旧々・新制度)'!$B$8:$U$65536,14,FALSE))</f>
      </c>
      <c r="L9" s="78">
        <f>IF($B9="","",VLOOKUP($B9,'2-2_算定表②(旧々・新制度)'!$B$8:$U$65536,14,FALSE))</f>
      </c>
      <c r="M9" s="587">
        <f>IF($B9="","",VLOOKUP($B9,'2-2_算定表②(旧々・新制度)'!$B$8:$U$65536,14,FALSE))</f>
      </c>
      <c r="N9" s="573">
        <f>IF($B9="","",VLOOKUP($B9,'2-2_算定表②(旧々・新制度)'!$B$8:$U$65536,17,FALSE))</f>
      </c>
      <c r="O9" s="78">
        <f>IF($B9="","",VLOOKUP($B9,'2-2_算定表②(旧々・新制度)'!$B$8:$U$65536,17,FALSE))</f>
      </c>
      <c r="P9" s="78">
        <f>IF($B9="","",VLOOKUP($B9,'2-2_算定表②(旧々・新制度)'!$B$8:$U$65536,17,FALSE))</f>
      </c>
      <c r="Q9" s="78">
        <f>IF($B9="","",VLOOKUP($B9,'2-2_算定表②(旧々・新制度)'!$B$8:$U$65536,17,FALSE))</f>
      </c>
      <c r="R9" s="78">
        <f>IF($B9="","",VLOOKUP($B9,'2-2_算定表②(旧々・新制度)'!$B$8:$U$65536,17,FALSE))</f>
      </c>
      <c r="S9" s="78">
        <f>IF($B9="","",VLOOKUP($B9,'2-2_算定表②(旧々・新制度)'!$B$8:$U$65536,17,FALSE))</f>
      </c>
      <c r="T9" s="78">
        <f>IF($B9="","",VLOOKUP($B9,'2-2_算定表②(旧々・新制度)'!$B$8:$U$65536,17,FALSE))</f>
      </c>
      <c r="U9" s="78">
        <f>IF($B9="","",VLOOKUP($B9,'2-2_算定表②(旧々・新制度)'!$B$8:$U$65536,17,FALSE))</f>
      </c>
      <c r="V9" s="574">
        <f>IF($B9="","",VLOOKUP($B9,'2-2_算定表②(旧々・新制度)'!$B$8:$U$65536,17,FALSE))</f>
      </c>
      <c r="W9" s="87">
        <f aca="true" t="shared" si="0" ref="W9:W38">IF($B9="","",COUNTIF($K9:$M9,W$6))</f>
      </c>
      <c r="X9" s="84">
        <f aca="true" t="shared" si="1" ref="X9:X38">IF($B9="","",COUNTIF($N9:$V9,X$6))</f>
      </c>
      <c r="Y9" s="79">
        <f aca="true" t="shared" si="2" ref="Y9:Y38">IF($B9="","",COUNTIF($K9:$M9,Y$6))</f>
      </c>
      <c r="Z9" s="93">
        <f aca="true" t="shared" si="3" ref="Z9:Z38">IF($B9="","",COUNTIF($N9:$V9,Z$6))</f>
      </c>
      <c r="AA9" s="90">
        <f aca="true" t="shared" si="4" ref="AA9:AA38">IF($B9="","",COUNTIF($K9:$M9,AA$6))</f>
      </c>
      <c r="AB9" s="87">
        <f aca="true" t="shared" si="5" ref="AB9:AB38">IF($B9="","",COUNTIF($N9:$V9,AB$6))</f>
      </c>
      <c r="AC9" s="77">
        <f>IF(B9="","",ROUNDUP((G9/VLOOKUP($B9,'2-2_算定表②(旧々・新制度)'!$B$8:$AJ$44,9,FALSE)*W9)+(I9/VLOOKUP($B9,'2-2_算定表②(旧々・新制度)'!$B$8:$AJ$44,9,FALSE)*X9)+(G9/VLOOKUP($B9,'2-2_算定表②(旧々・新制度)'!$B$8:$AJ$44,9,FALSE)*Y9)+(I9/VLOOKUP($B9,'2-2_算定表②(旧々・新制度)'!$B$8:$AJ$44,9,FALSE)*Z9),0))</f>
      </c>
      <c r="AD9" s="528">
        <f aca="true" t="shared" si="6" ref="AD9:AD38">IF(B9="","",AC9-J9)</f>
      </c>
      <c r="AE9" s="1076">
        <f>IF(B9="","",VLOOKUP($B9,'2-2_算定表②(旧々・新制度)'!$B$8:$AH$65536,33,FALSE))</f>
      </c>
      <c r="AF9" s="1077" t="s">
        <v>182</v>
      </c>
      <c r="AG9" s="1078" t="s">
        <v>182</v>
      </c>
      <c r="AI9" s="61">
        <f>IF(A9&gt;0,ASC(C9&amp;H9),"")</f>
      </c>
      <c r="AJ9" s="61">
        <f aca="true" t="shared" si="7" ref="AJ9:AJ38">IF(B9="","",IF(AD9=0,0,1))</f>
      </c>
    </row>
    <row r="10" spans="1:36" s="53" customFormat="1" ht="18.75" customHeight="1">
      <c r="A10" s="34">
        <f aca="true" t="shared" si="8" ref="A10:A38">IF(B10="","",ROW($A10)-ROW($A$8))</f>
      </c>
      <c r="B10" s="576"/>
      <c r="C10" s="306">
        <f>IF($B10="","",VLOOKUP($B10,'2-2_算定表②(旧々・新制度)'!$B$8:$U$65536,2,FALSE))</f>
      </c>
      <c r="D10" s="210">
        <f>IF($B10="","",VLOOKUP($B10,'2-2_算定表②(旧々・新制度)'!$B$8:$U$65536,3,FALSE))</f>
      </c>
      <c r="E10" s="565">
        <f>IF($B10="","",VLOOKUP($B10,'2-2_算定表②(旧々・新制度)'!$B$8:$U$65536,6,FALSE))</f>
      </c>
      <c r="F10" s="591">
        <f>IF(B10="","",VLOOKUP($B10,'2-2_算定表②(旧々・新制度)'!$B$8:$U$65536,14,FALSE))</f>
      </c>
      <c r="G10" s="59">
        <f>IF(B10="","",VLOOKUP($B10,'2-2_算定表②(旧々・新制度)'!$B$8:$U$65536,16,FALSE))</f>
      </c>
      <c r="H10" s="591">
        <f>IF(B10="","",VLOOKUP($B10,'2-2_算定表②(旧々・新制度)'!$B$8:$U$65536,17,FALSE))</f>
      </c>
      <c r="I10" s="59">
        <f>IF(B10="","",VLOOKUP($B10,'2-2_算定表②(旧々・新制度)'!$B$8:$U$65536,19,FALSE))</f>
      </c>
      <c r="J10" s="588">
        <f>IF(B10="","",VLOOKUP($B10,'2-2_算定表②(旧々・新制度)'!$B$8:$U$65536,20,FALSE))</f>
      </c>
      <c r="K10" s="524">
        <f>IF($B10="","",VLOOKUP($B10,'2-2_算定表②(旧々・新制度)'!$B$8:$U$65536,14,FALSE))</f>
      </c>
      <c r="L10" s="82">
        <f>IF($B10="","",VLOOKUP($B10,'2-2_算定表②(旧々・新制度)'!$B$8:$U$65536,14,FALSE))</f>
      </c>
      <c r="M10" s="525">
        <f>IF($B10="","",VLOOKUP($B10,'2-2_算定表②(旧々・新制度)'!$B$8:$U$65536,14,FALSE))</f>
      </c>
      <c r="N10" s="526">
        <f>IF($B10="","",VLOOKUP($B10,'2-2_算定表②(旧々・新制度)'!$B$8:$U$65536,17,FALSE))</f>
      </c>
      <c r="O10" s="82">
        <f>IF($B10="","",VLOOKUP($B10,'2-2_算定表②(旧々・新制度)'!$B$8:$U$65536,17,FALSE))</f>
      </c>
      <c r="P10" s="82">
        <f>IF($B10="","",VLOOKUP($B10,'2-2_算定表②(旧々・新制度)'!$B$8:$U$65536,17,FALSE))</f>
      </c>
      <c r="Q10" s="82">
        <f>IF($B10="","",VLOOKUP($B10,'2-2_算定表②(旧々・新制度)'!$B$8:$U$65536,17,FALSE))</f>
      </c>
      <c r="R10" s="82">
        <f>IF($B10="","",VLOOKUP($B10,'2-2_算定表②(旧々・新制度)'!$B$8:$U$65536,17,FALSE))</f>
      </c>
      <c r="S10" s="82">
        <f>IF($B10="","",VLOOKUP($B10,'2-2_算定表②(旧々・新制度)'!$B$8:$U$65536,17,FALSE))</f>
      </c>
      <c r="T10" s="82">
        <f>IF($B10="","",VLOOKUP($B10,'2-2_算定表②(旧々・新制度)'!$B$8:$U$65536,17,FALSE))</f>
      </c>
      <c r="U10" s="82">
        <f>IF($B10="","",VLOOKUP($B10,'2-2_算定表②(旧々・新制度)'!$B$8:$U$65536,17,FALSE))</f>
      </c>
      <c r="V10" s="527">
        <f>IF($B10="","",VLOOKUP($B10,'2-2_算定表②(旧々・新制度)'!$B$8:$U$65536,17,FALSE))</f>
      </c>
      <c r="W10" s="88">
        <f t="shared" si="0"/>
      </c>
      <c r="X10" s="85">
        <f t="shared" si="1"/>
      </c>
      <c r="Y10" s="80">
        <f t="shared" si="2"/>
      </c>
      <c r="Z10" s="94">
        <f t="shared" si="3"/>
      </c>
      <c r="AA10" s="91">
        <f t="shared" si="4"/>
      </c>
      <c r="AB10" s="88">
        <f t="shared" si="5"/>
      </c>
      <c r="AC10" s="60">
        <f>IF(B10="","",ROUNDUP((G10/VLOOKUP($B10,'2-2_算定表②(旧々・新制度)'!$B$8:$AJ$44,9,FALSE)*W10)+(I10/VLOOKUP($B10,'2-2_算定表②(旧々・新制度)'!$B$8:$AJ$44,9,FALSE)*X10)+(G10/VLOOKUP($B10,'2-2_算定表②(旧々・新制度)'!$B$8:$AJ$44,9,FALSE)*Y10)+(I10/VLOOKUP($B10,'2-2_算定表②(旧々・新制度)'!$B$8:$AJ$44,9,FALSE)*Z10),0))</f>
      </c>
      <c r="AD10" s="529">
        <f t="shared" si="6"/>
      </c>
      <c r="AE10" s="1079">
        <f>IF(B10="","",VLOOKUP($B10,'2-2_算定表②(旧々・新制度)'!$B$8:$AH$65536,33,FALSE))</f>
      </c>
      <c r="AF10" s="1080" t="s">
        <v>182</v>
      </c>
      <c r="AG10" s="1081" t="s">
        <v>182</v>
      </c>
      <c r="AI10" s="54">
        <f>IF(A10&gt;0,ASC(C10&amp;H10),"")</f>
      </c>
      <c r="AJ10" s="54">
        <f t="shared" si="7"/>
      </c>
    </row>
    <row r="11" spans="1:36" s="53" customFormat="1" ht="18.75" customHeight="1">
      <c r="A11" s="27">
        <f t="shared" si="8"/>
      </c>
      <c r="B11" s="576"/>
      <c r="C11" s="306">
        <f>IF($B11="","",VLOOKUP($B11,'2-2_算定表②(旧々・新制度)'!$B$8:$U$65536,2,FALSE))</f>
      </c>
      <c r="D11" s="210">
        <f>IF($B11="","",VLOOKUP($B11,'2-2_算定表②(旧々・新制度)'!$B$8:$U$65536,3,FALSE))</f>
      </c>
      <c r="E11" s="565">
        <f>IF($B11="","",VLOOKUP($B11,'2-2_算定表②(旧々・新制度)'!$B$8:$U$65536,6,FALSE))</f>
      </c>
      <c r="F11" s="591">
        <f>IF(B11="","",VLOOKUP($B11,'2-2_算定表②(旧々・新制度)'!$B$8:$U$65536,14,FALSE))</f>
      </c>
      <c r="G11" s="59">
        <f>IF(B11="","",VLOOKUP($B11,'2-2_算定表②(旧々・新制度)'!$B$8:$U$65536,16,FALSE))</f>
      </c>
      <c r="H11" s="591">
        <f>IF(B11="","",VLOOKUP($B11,'2-2_算定表②(旧々・新制度)'!$B$8:$U$65536,17,FALSE))</f>
      </c>
      <c r="I11" s="59">
        <f>IF(B11="","",VLOOKUP($B11,'2-2_算定表②(旧々・新制度)'!$B$8:$U$65536,19,FALSE))</f>
      </c>
      <c r="J11" s="588">
        <f>IF(B11="","",VLOOKUP($B11,'2-2_算定表②(旧々・新制度)'!$B$8:$U$65536,20,FALSE))</f>
      </c>
      <c r="K11" s="524">
        <f>IF($B11="","",VLOOKUP($B11,'2-2_算定表②(旧々・新制度)'!$B$8:$U$65536,14,FALSE))</f>
      </c>
      <c r="L11" s="82">
        <f>IF($B11="","",VLOOKUP($B11,'2-2_算定表②(旧々・新制度)'!$B$8:$U$65536,14,FALSE))</f>
      </c>
      <c r="M11" s="525">
        <f>IF($B11="","",VLOOKUP($B11,'2-2_算定表②(旧々・新制度)'!$B$8:$U$65536,14,FALSE))</f>
      </c>
      <c r="N11" s="526">
        <f>IF($B11="","",VLOOKUP($B11,'2-2_算定表②(旧々・新制度)'!$B$8:$U$65536,17,FALSE))</f>
      </c>
      <c r="O11" s="82">
        <f>IF($B11="","",VLOOKUP($B11,'2-2_算定表②(旧々・新制度)'!$B$8:$U$65536,17,FALSE))</f>
      </c>
      <c r="P11" s="82">
        <f>IF($B11="","",VLOOKUP($B11,'2-2_算定表②(旧々・新制度)'!$B$8:$U$65536,17,FALSE))</f>
      </c>
      <c r="Q11" s="82">
        <f>IF($B11="","",VLOOKUP($B11,'2-2_算定表②(旧々・新制度)'!$B$8:$U$65536,17,FALSE))</f>
      </c>
      <c r="R11" s="82">
        <f>IF($B11="","",VLOOKUP($B11,'2-2_算定表②(旧々・新制度)'!$B$8:$U$65536,17,FALSE))</f>
      </c>
      <c r="S11" s="82">
        <f>IF($B11="","",VLOOKUP($B11,'2-2_算定表②(旧々・新制度)'!$B$8:$U$65536,17,FALSE))</f>
      </c>
      <c r="T11" s="82">
        <f>IF($B11="","",VLOOKUP($B11,'2-2_算定表②(旧々・新制度)'!$B$8:$U$65536,17,FALSE))</f>
      </c>
      <c r="U11" s="82">
        <f>IF($B11="","",VLOOKUP($B11,'2-2_算定表②(旧々・新制度)'!$B$8:$U$65536,17,FALSE))</f>
      </c>
      <c r="V11" s="527">
        <f>IF($B11="","",VLOOKUP($B11,'2-2_算定表②(旧々・新制度)'!$B$8:$U$65536,17,FALSE))</f>
      </c>
      <c r="W11" s="88">
        <f t="shared" si="0"/>
      </c>
      <c r="X11" s="85">
        <f t="shared" si="1"/>
      </c>
      <c r="Y11" s="80">
        <f t="shared" si="2"/>
      </c>
      <c r="Z11" s="94">
        <f t="shared" si="3"/>
      </c>
      <c r="AA11" s="91">
        <f t="shared" si="4"/>
      </c>
      <c r="AB11" s="88">
        <f t="shared" si="5"/>
      </c>
      <c r="AC11" s="60">
        <f>IF(B11="","",ROUNDUP((G11/VLOOKUP($B11,'2-2_算定表②(旧々・新制度)'!$B$8:$AJ$44,9,FALSE)*W11)+(I11/VLOOKUP($B11,'2-2_算定表②(旧々・新制度)'!$B$8:$AJ$44,9,FALSE)*X11)+(G11/VLOOKUP($B11,'2-2_算定表②(旧々・新制度)'!$B$8:$AJ$44,9,FALSE)*Y11)+(I11/VLOOKUP($B11,'2-2_算定表②(旧々・新制度)'!$B$8:$AJ$44,9,FALSE)*Z11),0))</f>
      </c>
      <c r="AD11" s="530">
        <f t="shared" si="6"/>
      </c>
      <c r="AE11" s="1079">
        <f>IF(B11="","",VLOOKUP($B11,'2-2_算定表②(旧々・新制度)'!$B$8:$AH$65536,33,FALSE))</f>
      </c>
      <c r="AF11" s="1080" t="s">
        <v>182</v>
      </c>
      <c r="AG11" s="1081" t="s">
        <v>182</v>
      </c>
      <c r="AI11" s="61">
        <f aca="true" t="shared" si="9" ref="AI11:AI38">IF(A11&gt;0,ASC(C11&amp;H11),"")</f>
      </c>
      <c r="AJ11" s="61">
        <f t="shared" si="7"/>
      </c>
    </row>
    <row r="12" spans="1:36" s="53" customFormat="1" ht="18.75" customHeight="1">
      <c r="A12" s="27">
        <f t="shared" si="8"/>
      </c>
      <c r="B12" s="576"/>
      <c r="C12" s="306">
        <f>IF($B12="","",VLOOKUP($B12,'2-2_算定表②(旧々・新制度)'!$B$8:$U$65536,2,FALSE))</f>
      </c>
      <c r="D12" s="210">
        <f>IF($B12="","",VLOOKUP($B12,'2-2_算定表②(旧々・新制度)'!$B$8:$U$65536,3,FALSE))</f>
      </c>
      <c r="E12" s="565">
        <f>IF($B12="","",VLOOKUP($B12,'2-2_算定表②(旧々・新制度)'!$B$8:$U$65536,6,FALSE))</f>
      </c>
      <c r="F12" s="591">
        <f>IF(B12="","",VLOOKUP($B12,'2-2_算定表②(旧々・新制度)'!$B$8:$U$65536,14,FALSE))</f>
      </c>
      <c r="G12" s="59">
        <f>IF(B12="","",VLOOKUP($B12,'2-2_算定表②(旧々・新制度)'!$B$8:$U$65536,16,FALSE))</f>
      </c>
      <c r="H12" s="591">
        <f>IF(B12="","",VLOOKUP($B12,'2-2_算定表②(旧々・新制度)'!$B$8:$U$65536,17,FALSE))</f>
      </c>
      <c r="I12" s="59">
        <f>IF(B12="","",VLOOKUP($B12,'2-2_算定表②(旧々・新制度)'!$B$8:$U$65536,19,FALSE))</f>
      </c>
      <c r="J12" s="588">
        <f>IF(B12="","",VLOOKUP($B12,'2-2_算定表②(旧々・新制度)'!$B$8:$U$65536,20,FALSE))</f>
      </c>
      <c r="K12" s="524">
        <f>IF($B12="","",VLOOKUP($B12,'2-2_算定表②(旧々・新制度)'!$B$8:$U$65536,14,FALSE))</f>
      </c>
      <c r="L12" s="82">
        <f>IF($B12="","",VLOOKUP($B12,'2-2_算定表②(旧々・新制度)'!$B$8:$U$65536,14,FALSE))</f>
      </c>
      <c r="M12" s="525">
        <f>IF($B12="","",VLOOKUP($B12,'2-2_算定表②(旧々・新制度)'!$B$8:$U$65536,14,FALSE))</f>
      </c>
      <c r="N12" s="526">
        <f>IF($B12="","",VLOOKUP($B12,'2-2_算定表②(旧々・新制度)'!$B$8:$U$65536,17,FALSE))</f>
      </c>
      <c r="O12" s="82">
        <f>IF($B12="","",VLOOKUP($B12,'2-2_算定表②(旧々・新制度)'!$B$8:$U$65536,17,FALSE))</f>
      </c>
      <c r="P12" s="82">
        <f>IF($B12="","",VLOOKUP($B12,'2-2_算定表②(旧々・新制度)'!$B$8:$U$65536,17,FALSE))</f>
      </c>
      <c r="Q12" s="82">
        <f>IF($B12="","",VLOOKUP($B12,'2-2_算定表②(旧々・新制度)'!$B$8:$U$65536,17,FALSE))</f>
      </c>
      <c r="R12" s="82">
        <f>IF($B12="","",VLOOKUP($B12,'2-2_算定表②(旧々・新制度)'!$B$8:$U$65536,17,FALSE))</f>
      </c>
      <c r="S12" s="82">
        <f>IF($B12="","",VLOOKUP($B12,'2-2_算定表②(旧々・新制度)'!$B$8:$U$65536,17,FALSE))</f>
      </c>
      <c r="T12" s="82">
        <f>IF($B12="","",VLOOKUP($B12,'2-2_算定表②(旧々・新制度)'!$B$8:$U$65536,17,FALSE))</f>
      </c>
      <c r="U12" s="82">
        <f>IF($B12="","",VLOOKUP($B12,'2-2_算定表②(旧々・新制度)'!$B$8:$U$65536,17,FALSE))</f>
      </c>
      <c r="V12" s="527">
        <f>IF($B12="","",VLOOKUP($B12,'2-2_算定表②(旧々・新制度)'!$B$8:$U$65536,17,FALSE))</f>
      </c>
      <c r="W12" s="89">
        <f t="shared" si="0"/>
      </c>
      <c r="X12" s="86">
        <f t="shared" si="1"/>
      </c>
      <c r="Y12" s="83">
        <f t="shared" si="2"/>
      </c>
      <c r="Z12" s="95">
        <f t="shared" si="3"/>
      </c>
      <c r="AA12" s="92">
        <f t="shared" si="4"/>
      </c>
      <c r="AB12" s="89">
        <f t="shared" si="5"/>
      </c>
      <c r="AC12" s="60">
        <f>IF(B12="","",ROUNDUP((G12/VLOOKUP($B12,'2-2_算定表②(旧々・新制度)'!$B$8:$AJ$44,9,FALSE)*W12)+(I12/VLOOKUP($B12,'2-2_算定表②(旧々・新制度)'!$B$8:$AJ$44,9,FALSE)*X12)+(G12/VLOOKUP($B12,'2-2_算定表②(旧々・新制度)'!$B$8:$AJ$44,9,FALSE)*Y12)+(I12/VLOOKUP($B12,'2-2_算定表②(旧々・新制度)'!$B$8:$AJ$44,9,FALSE)*Z12),0))</f>
      </c>
      <c r="AD12" s="530">
        <f t="shared" si="6"/>
      </c>
      <c r="AE12" s="1079">
        <f>IF(B12="","",VLOOKUP($B12,'2-2_算定表②(旧々・新制度)'!$B$8:$AH$65536,33,FALSE))</f>
      </c>
      <c r="AF12" s="1080" t="s">
        <v>182</v>
      </c>
      <c r="AG12" s="1081" t="s">
        <v>182</v>
      </c>
      <c r="AI12" s="61">
        <f t="shared" si="9"/>
      </c>
      <c r="AJ12" s="61">
        <f t="shared" si="7"/>
      </c>
    </row>
    <row r="13" spans="1:36" s="53" customFormat="1" ht="18.75" customHeight="1">
      <c r="A13" s="27">
        <f t="shared" si="8"/>
      </c>
      <c r="B13" s="576"/>
      <c r="C13" s="306">
        <f>IF($B13="","",VLOOKUP($B13,'2-2_算定表②(旧々・新制度)'!$B$8:$U$65536,2,FALSE))</f>
      </c>
      <c r="D13" s="210">
        <f>IF($B13="","",VLOOKUP($B13,'2-2_算定表②(旧々・新制度)'!$B$8:$U$65536,3,FALSE))</f>
      </c>
      <c r="E13" s="565">
        <f>IF($B13="","",VLOOKUP($B13,'2-2_算定表②(旧々・新制度)'!$B$8:$U$65536,6,FALSE))</f>
      </c>
      <c r="F13" s="591">
        <f>IF(B13="","",VLOOKUP($B13,'2-2_算定表②(旧々・新制度)'!$B$8:$U$65536,14,FALSE))</f>
      </c>
      <c r="G13" s="59">
        <f>IF(B13="","",VLOOKUP($B13,'2-2_算定表②(旧々・新制度)'!$B$8:$U$65536,16,FALSE))</f>
      </c>
      <c r="H13" s="591">
        <f>IF(B13="","",VLOOKUP($B13,'2-2_算定表②(旧々・新制度)'!$B$8:$U$65536,17,FALSE))</f>
      </c>
      <c r="I13" s="59">
        <f>IF(B13="","",VLOOKUP($B13,'2-2_算定表②(旧々・新制度)'!$B$8:$U$65536,19,FALSE))</f>
      </c>
      <c r="J13" s="588">
        <f>IF(B13="","",VLOOKUP($B13,'2-2_算定表②(旧々・新制度)'!$B$8:$U$65536,20,FALSE))</f>
      </c>
      <c r="K13" s="524">
        <f>IF($B13="","",VLOOKUP($B13,'2-2_算定表②(旧々・新制度)'!$B$8:$U$65536,14,FALSE))</f>
      </c>
      <c r="L13" s="82">
        <f>IF($B13="","",VLOOKUP($B13,'2-2_算定表②(旧々・新制度)'!$B$8:$U$65536,14,FALSE))</f>
      </c>
      <c r="M13" s="525">
        <f>IF($B13="","",VLOOKUP($B13,'2-2_算定表②(旧々・新制度)'!$B$8:$U$65536,14,FALSE))</f>
      </c>
      <c r="N13" s="526">
        <f>IF($B13="","",VLOOKUP($B13,'2-2_算定表②(旧々・新制度)'!$B$8:$U$65536,17,FALSE))</f>
      </c>
      <c r="O13" s="82">
        <f>IF($B13="","",VLOOKUP($B13,'2-2_算定表②(旧々・新制度)'!$B$8:$U$65536,17,FALSE))</f>
      </c>
      <c r="P13" s="82">
        <f>IF($B13="","",VLOOKUP($B13,'2-2_算定表②(旧々・新制度)'!$B$8:$U$65536,17,FALSE))</f>
      </c>
      <c r="Q13" s="82">
        <f>IF($B13="","",VLOOKUP($B13,'2-2_算定表②(旧々・新制度)'!$B$8:$U$65536,17,FALSE))</f>
      </c>
      <c r="R13" s="82">
        <f>IF($B13="","",VLOOKUP($B13,'2-2_算定表②(旧々・新制度)'!$B$8:$U$65536,17,FALSE))</f>
      </c>
      <c r="S13" s="82">
        <f>IF($B13="","",VLOOKUP($B13,'2-2_算定表②(旧々・新制度)'!$B$8:$U$65536,17,FALSE))</f>
      </c>
      <c r="T13" s="82">
        <f>IF($B13="","",VLOOKUP($B13,'2-2_算定表②(旧々・新制度)'!$B$8:$U$65536,17,FALSE))</f>
      </c>
      <c r="U13" s="82">
        <f>IF($B13="","",VLOOKUP($B13,'2-2_算定表②(旧々・新制度)'!$B$8:$U$65536,17,FALSE))</f>
      </c>
      <c r="V13" s="527">
        <f>IF($B13="","",VLOOKUP($B13,'2-2_算定表②(旧々・新制度)'!$B$8:$U$65536,17,FALSE))</f>
      </c>
      <c r="W13" s="89">
        <f t="shared" si="0"/>
      </c>
      <c r="X13" s="86">
        <f t="shared" si="1"/>
      </c>
      <c r="Y13" s="83">
        <f t="shared" si="2"/>
      </c>
      <c r="Z13" s="95">
        <f t="shared" si="3"/>
      </c>
      <c r="AA13" s="92">
        <f t="shared" si="4"/>
      </c>
      <c r="AB13" s="89">
        <f t="shared" si="5"/>
      </c>
      <c r="AC13" s="60">
        <f>IF(B13="","",ROUNDUP((G13/VLOOKUP($B13,'2-2_算定表②(旧々・新制度)'!$B$8:$AJ$44,9,FALSE)*W13)+(I13/VLOOKUP($B13,'2-2_算定表②(旧々・新制度)'!$B$8:$AJ$44,9,FALSE)*X13)+(G13/VLOOKUP($B13,'2-2_算定表②(旧々・新制度)'!$B$8:$AJ$44,9,FALSE)*Y13)+(I13/VLOOKUP($B13,'2-2_算定表②(旧々・新制度)'!$B$8:$AJ$44,9,FALSE)*Z13),0))</f>
      </c>
      <c r="AD13" s="530">
        <f t="shared" si="6"/>
      </c>
      <c r="AE13" s="1079">
        <f>IF(B13="","",VLOOKUP($B13,'2-2_算定表②(旧々・新制度)'!$B$8:$AH$65536,33,FALSE))</f>
      </c>
      <c r="AF13" s="1080" t="s">
        <v>182</v>
      </c>
      <c r="AG13" s="1081" t="s">
        <v>182</v>
      </c>
      <c r="AI13" s="61">
        <f t="shared" si="9"/>
      </c>
      <c r="AJ13" s="61">
        <f t="shared" si="7"/>
      </c>
    </row>
    <row r="14" spans="1:36" s="53" customFormat="1" ht="18.75" customHeight="1">
      <c r="A14" s="27">
        <f t="shared" si="8"/>
      </c>
      <c r="B14" s="577"/>
      <c r="C14" s="306">
        <f>IF($B14="","",VLOOKUP($B14,'2-2_算定表②(旧々・新制度)'!$B$8:$U$65536,2,FALSE))</f>
      </c>
      <c r="D14" s="210">
        <f>IF($B14="","",VLOOKUP($B14,'2-2_算定表②(旧々・新制度)'!$B$8:$U$65536,3,FALSE))</f>
      </c>
      <c r="E14" s="565">
        <f>IF($B14="","",VLOOKUP($B14,'2-2_算定表②(旧々・新制度)'!$B$8:$U$65536,6,FALSE))</f>
      </c>
      <c r="F14" s="591">
        <f>IF(B14="","",VLOOKUP($B14,'2-2_算定表②(旧々・新制度)'!$B$8:$U$65536,14,FALSE))</f>
      </c>
      <c r="G14" s="59">
        <f>IF(B14="","",VLOOKUP($B14,'2-2_算定表②(旧々・新制度)'!$B$8:$U$65536,16,FALSE))</f>
      </c>
      <c r="H14" s="591">
        <f>IF(B14="","",VLOOKUP($B14,'2-2_算定表②(旧々・新制度)'!$B$8:$U$65536,17,FALSE))</f>
      </c>
      <c r="I14" s="59">
        <f>IF(B14="","",VLOOKUP($B14,'2-2_算定表②(旧々・新制度)'!$B$8:$U$65536,19,FALSE))</f>
      </c>
      <c r="J14" s="588">
        <f>IF(B14="","",VLOOKUP($B14,'2-2_算定表②(旧々・新制度)'!$B$8:$U$65536,20,FALSE))</f>
      </c>
      <c r="K14" s="524">
        <f>IF($B14="","",VLOOKUP($B14,'2-2_算定表②(旧々・新制度)'!$B$8:$U$65536,14,FALSE))</f>
      </c>
      <c r="L14" s="82">
        <f>IF($B14="","",VLOOKUP($B14,'2-2_算定表②(旧々・新制度)'!$B$8:$U$65536,14,FALSE))</f>
      </c>
      <c r="M14" s="525">
        <f>IF($B14="","",VLOOKUP($B14,'2-2_算定表②(旧々・新制度)'!$B$8:$U$65536,14,FALSE))</f>
      </c>
      <c r="N14" s="526">
        <f>IF($B14="","",VLOOKUP($B14,'2-2_算定表②(旧々・新制度)'!$B$8:$U$65536,17,FALSE))</f>
      </c>
      <c r="O14" s="82">
        <f>IF($B14="","",VLOOKUP($B14,'2-2_算定表②(旧々・新制度)'!$B$8:$U$65536,17,FALSE))</f>
      </c>
      <c r="P14" s="82">
        <f>IF($B14="","",VLOOKUP($B14,'2-2_算定表②(旧々・新制度)'!$B$8:$U$65536,17,FALSE))</f>
      </c>
      <c r="Q14" s="82">
        <f>IF($B14="","",VLOOKUP($B14,'2-2_算定表②(旧々・新制度)'!$B$8:$U$65536,17,FALSE))</f>
      </c>
      <c r="R14" s="82">
        <f>IF($B14="","",VLOOKUP($B14,'2-2_算定表②(旧々・新制度)'!$B$8:$U$65536,17,FALSE))</f>
      </c>
      <c r="S14" s="82">
        <f>IF($B14="","",VLOOKUP($B14,'2-2_算定表②(旧々・新制度)'!$B$8:$U$65536,17,FALSE))</f>
      </c>
      <c r="T14" s="82">
        <f>IF($B14="","",VLOOKUP($B14,'2-2_算定表②(旧々・新制度)'!$B$8:$U$65536,17,FALSE))</f>
      </c>
      <c r="U14" s="82">
        <f>IF($B14="","",VLOOKUP($B14,'2-2_算定表②(旧々・新制度)'!$B$8:$U$65536,17,FALSE))</f>
      </c>
      <c r="V14" s="527">
        <f>IF($B14="","",VLOOKUP($B14,'2-2_算定表②(旧々・新制度)'!$B$8:$U$65536,17,FALSE))</f>
      </c>
      <c r="W14" s="89">
        <f t="shared" si="0"/>
      </c>
      <c r="X14" s="86">
        <f t="shared" si="1"/>
      </c>
      <c r="Y14" s="83">
        <f t="shared" si="2"/>
      </c>
      <c r="Z14" s="95">
        <f t="shared" si="3"/>
      </c>
      <c r="AA14" s="92">
        <f t="shared" si="4"/>
      </c>
      <c r="AB14" s="89">
        <f t="shared" si="5"/>
      </c>
      <c r="AC14" s="60">
        <f>IF(B14="","",ROUNDUP((G14/VLOOKUP($B14,'2-2_算定表②(旧々・新制度)'!$B$8:$AJ$44,9,FALSE)*W14)+(I14/VLOOKUP($B14,'2-2_算定表②(旧々・新制度)'!$B$8:$AJ$44,9,FALSE)*X14)+(G14/VLOOKUP($B14,'2-2_算定表②(旧々・新制度)'!$B$8:$AJ$44,9,FALSE)*Y14)+(I14/VLOOKUP($B14,'2-2_算定表②(旧々・新制度)'!$B$8:$AJ$44,9,FALSE)*Z14),0))</f>
      </c>
      <c r="AD14" s="530">
        <f t="shared" si="6"/>
      </c>
      <c r="AE14" s="1079">
        <f>IF(B14="","",VLOOKUP($B14,'2-2_算定表②(旧々・新制度)'!$B$8:$AH$65536,33,FALSE))</f>
      </c>
      <c r="AF14" s="1080" t="s">
        <v>182</v>
      </c>
      <c r="AG14" s="1081" t="s">
        <v>182</v>
      </c>
      <c r="AI14" s="61">
        <f t="shared" si="9"/>
      </c>
      <c r="AJ14" s="61">
        <f t="shared" si="7"/>
      </c>
    </row>
    <row r="15" spans="1:36" s="53" customFormat="1" ht="18.75" customHeight="1">
      <c r="A15" s="27">
        <f t="shared" si="8"/>
      </c>
      <c r="B15" s="577"/>
      <c r="C15" s="306">
        <f>IF($B15="","",VLOOKUP($B15,'2-2_算定表②(旧々・新制度)'!$B$8:$U$65536,2,FALSE))</f>
      </c>
      <c r="D15" s="210">
        <f>IF($B15="","",VLOOKUP($B15,'2-2_算定表②(旧々・新制度)'!$B$8:$U$65536,3,FALSE))</f>
      </c>
      <c r="E15" s="565">
        <f>IF($B15="","",VLOOKUP($B15,'2-2_算定表②(旧々・新制度)'!$B$8:$U$65536,6,FALSE))</f>
      </c>
      <c r="F15" s="591">
        <f>IF(B15="","",VLOOKUP($B15,'2-2_算定表②(旧々・新制度)'!$B$8:$U$65536,14,FALSE))</f>
      </c>
      <c r="G15" s="59">
        <f>IF(B15="","",VLOOKUP($B15,'2-2_算定表②(旧々・新制度)'!$B$8:$U$65536,16,FALSE))</f>
      </c>
      <c r="H15" s="591">
        <f>IF(B15="","",VLOOKUP($B15,'2-2_算定表②(旧々・新制度)'!$B$8:$U$65536,17,FALSE))</f>
      </c>
      <c r="I15" s="59">
        <f>IF(B15="","",VLOOKUP($B15,'2-2_算定表②(旧々・新制度)'!$B$8:$U$65536,19,FALSE))</f>
      </c>
      <c r="J15" s="588">
        <f>IF(B15="","",VLOOKUP($B15,'2-2_算定表②(旧々・新制度)'!$B$8:$U$65536,20,FALSE))</f>
      </c>
      <c r="K15" s="524">
        <f>IF($B15="","",VLOOKUP($B15,'2-2_算定表②(旧々・新制度)'!$B$8:$U$65536,14,FALSE))</f>
      </c>
      <c r="L15" s="82">
        <f>IF($B15="","",VLOOKUP($B15,'2-2_算定表②(旧々・新制度)'!$B$8:$U$65536,14,FALSE))</f>
      </c>
      <c r="M15" s="525">
        <f>IF($B15="","",VLOOKUP($B15,'2-2_算定表②(旧々・新制度)'!$B$8:$U$65536,14,FALSE))</f>
      </c>
      <c r="N15" s="526">
        <f>IF($B15="","",VLOOKUP($B15,'2-2_算定表②(旧々・新制度)'!$B$8:$U$65536,17,FALSE))</f>
      </c>
      <c r="O15" s="82">
        <f>IF($B15="","",VLOOKUP($B15,'2-2_算定表②(旧々・新制度)'!$B$8:$U$65536,17,FALSE))</f>
      </c>
      <c r="P15" s="82">
        <f>IF($B15="","",VLOOKUP($B15,'2-2_算定表②(旧々・新制度)'!$B$8:$U$65536,17,FALSE))</f>
      </c>
      <c r="Q15" s="82">
        <f>IF($B15="","",VLOOKUP($B15,'2-2_算定表②(旧々・新制度)'!$B$8:$U$65536,17,FALSE))</f>
      </c>
      <c r="R15" s="82">
        <f>IF($B15="","",VLOOKUP($B15,'2-2_算定表②(旧々・新制度)'!$B$8:$U$65536,17,FALSE))</f>
      </c>
      <c r="S15" s="82">
        <f>IF($B15="","",VLOOKUP($B15,'2-2_算定表②(旧々・新制度)'!$B$8:$U$65536,17,FALSE))</f>
      </c>
      <c r="T15" s="767">
        <f>IF($B15="","",VLOOKUP($B15,'2-2_算定表②(旧々・新制度)'!$B$8:$U$65536,17,FALSE))</f>
      </c>
      <c r="U15" s="767">
        <f>IF($B15="","",VLOOKUP($B15,'2-2_算定表②(旧々・新制度)'!$B$8:$U$65536,17,FALSE))</f>
      </c>
      <c r="V15" s="527">
        <f>IF($B15="","",VLOOKUP($B15,'2-2_算定表②(旧々・新制度)'!$B$8:$U$65536,17,FALSE))</f>
      </c>
      <c r="W15" s="89">
        <f t="shared" si="0"/>
      </c>
      <c r="X15" s="86">
        <f t="shared" si="1"/>
      </c>
      <c r="Y15" s="83">
        <f t="shared" si="2"/>
      </c>
      <c r="Z15" s="95">
        <f t="shared" si="3"/>
      </c>
      <c r="AA15" s="92">
        <f t="shared" si="4"/>
      </c>
      <c r="AB15" s="89">
        <f t="shared" si="5"/>
      </c>
      <c r="AC15" s="60">
        <f>IF(B15="","",ROUNDUP((G15/VLOOKUP($B15,'2-2_算定表②(旧々・新制度)'!$B$8:$AJ$44,9,FALSE)*W15)+(I15/VLOOKUP($B15,'2-2_算定表②(旧々・新制度)'!$B$8:$AJ$44,9,FALSE)*X15)+(G15/VLOOKUP($B15,'2-2_算定表②(旧々・新制度)'!$B$8:$AJ$44,9,FALSE)*Y15)+(I15/VLOOKUP($B15,'2-2_算定表②(旧々・新制度)'!$B$8:$AJ$44,9,FALSE)*Z15),0))</f>
      </c>
      <c r="AD15" s="530">
        <f t="shared" si="6"/>
      </c>
      <c r="AE15" s="1079">
        <f>IF(B15="","",VLOOKUP($B15,'2-2_算定表②(旧々・新制度)'!$B$8:$AH$65536,33,FALSE))</f>
      </c>
      <c r="AF15" s="1080" t="s">
        <v>182</v>
      </c>
      <c r="AG15" s="1081" t="s">
        <v>182</v>
      </c>
      <c r="AI15" s="61">
        <f t="shared" si="9"/>
      </c>
      <c r="AJ15" s="61">
        <f t="shared" si="7"/>
      </c>
    </row>
    <row r="16" spans="1:36" s="53" customFormat="1" ht="18.75" customHeight="1">
      <c r="A16" s="27">
        <f t="shared" si="8"/>
      </c>
      <c r="B16" s="577"/>
      <c r="C16" s="306">
        <f>IF($B16="","",VLOOKUP($B16,'2-2_算定表②(旧々・新制度)'!$B$8:$U$65536,2,FALSE))</f>
      </c>
      <c r="D16" s="210">
        <f>IF($B16="","",VLOOKUP($B16,'2-2_算定表②(旧々・新制度)'!$B$8:$U$65536,3,FALSE))</f>
      </c>
      <c r="E16" s="565">
        <f>IF($B16="","",VLOOKUP($B16,'2-2_算定表②(旧々・新制度)'!$B$8:$U$65536,6,FALSE))</f>
      </c>
      <c r="F16" s="591">
        <f>IF(B16="","",VLOOKUP($B16,'2-2_算定表②(旧々・新制度)'!$B$8:$U$65536,14,FALSE))</f>
      </c>
      <c r="G16" s="59">
        <f>IF(B16="","",VLOOKUP($B16,'2-2_算定表②(旧々・新制度)'!$B$8:$U$65536,16,FALSE))</f>
      </c>
      <c r="H16" s="591">
        <f>IF(B16="","",VLOOKUP($B16,'2-2_算定表②(旧々・新制度)'!$B$8:$U$65536,17,FALSE))</f>
      </c>
      <c r="I16" s="59">
        <f>IF(B16="","",VLOOKUP($B16,'2-2_算定表②(旧々・新制度)'!$B$8:$U$65536,19,FALSE))</f>
      </c>
      <c r="J16" s="588">
        <f>IF(B16="","",VLOOKUP($B16,'2-2_算定表②(旧々・新制度)'!$B$8:$U$65536,20,FALSE))</f>
      </c>
      <c r="K16" s="524">
        <f>IF($B16="","",VLOOKUP($B16,'2-2_算定表②(旧々・新制度)'!$B$8:$U$65536,14,FALSE))</f>
      </c>
      <c r="L16" s="82">
        <f>IF($B16="","",VLOOKUP($B16,'2-2_算定表②(旧々・新制度)'!$B$8:$U$65536,14,FALSE))</f>
      </c>
      <c r="M16" s="525">
        <f>IF($B16="","",VLOOKUP($B16,'2-2_算定表②(旧々・新制度)'!$B$8:$U$65536,14,FALSE))</f>
      </c>
      <c r="N16" s="526">
        <f>IF($B16="","",VLOOKUP($B16,'2-2_算定表②(旧々・新制度)'!$B$8:$U$65536,17,FALSE))</f>
      </c>
      <c r="O16" s="82">
        <f>IF($B16="","",VLOOKUP($B16,'2-2_算定表②(旧々・新制度)'!$B$8:$U$65536,17,FALSE))</f>
      </c>
      <c r="P16" s="82">
        <f>IF($B16="","",VLOOKUP($B16,'2-2_算定表②(旧々・新制度)'!$B$8:$U$65536,17,FALSE))</f>
      </c>
      <c r="Q16" s="82">
        <f>IF($B16="","",VLOOKUP($B16,'2-2_算定表②(旧々・新制度)'!$B$8:$U$65536,17,FALSE))</f>
      </c>
      <c r="R16" s="82">
        <f>IF($B16="","",VLOOKUP($B16,'2-2_算定表②(旧々・新制度)'!$B$8:$U$65536,17,FALSE))</f>
      </c>
      <c r="S16" s="82">
        <f>IF($B16="","",VLOOKUP($B16,'2-2_算定表②(旧々・新制度)'!$B$8:$U$65536,17,FALSE))</f>
      </c>
      <c r="T16" s="82">
        <f>IF($B16="","",VLOOKUP($B16,'2-2_算定表②(旧々・新制度)'!$B$8:$U$65536,17,FALSE))</f>
      </c>
      <c r="U16" s="82">
        <f>IF($B16="","",VLOOKUP($B16,'2-2_算定表②(旧々・新制度)'!$B$8:$U$65536,17,FALSE))</f>
      </c>
      <c r="V16" s="527">
        <f>IF($B16="","",VLOOKUP($B16,'2-2_算定表②(旧々・新制度)'!$B$8:$U$65536,17,FALSE))</f>
      </c>
      <c r="W16" s="89">
        <f t="shared" si="0"/>
      </c>
      <c r="X16" s="86">
        <f t="shared" si="1"/>
      </c>
      <c r="Y16" s="83">
        <f t="shared" si="2"/>
      </c>
      <c r="Z16" s="95">
        <f t="shared" si="3"/>
      </c>
      <c r="AA16" s="92">
        <f t="shared" si="4"/>
      </c>
      <c r="AB16" s="89">
        <f t="shared" si="5"/>
      </c>
      <c r="AC16" s="60">
        <f>IF(B16="","",ROUNDUP((G16/VLOOKUP($B16,'2-2_算定表②(旧々・新制度)'!$B$8:$AJ$44,9,FALSE)*W16)+(I16/VLOOKUP($B16,'2-2_算定表②(旧々・新制度)'!$B$8:$AJ$44,9,FALSE)*X16)+(G16/VLOOKUP($B16,'2-2_算定表②(旧々・新制度)'!$B$8:$AJ$44,9,FALSE)*Y16)+(I16/VLOOKUP($B16,'2-2_算定表②(旧々・新制度)'!$B$8:$AJ$44,9,FALSE)*Z16),0))</f>
      </c>
      <c r="AD16" s="530">
        <f t="shared" si="6"/>
      </c>
      <c r="AE16" s="1079">
        <f>IF(B16="","",VLOOKUP($B16,'2-2_算定表②(旧々・新制度)'!$B$8:$AH$65536,33,FALSE))</f>
      </c>
      <c r="AF16" s="1080" t="s">
        <v>182</v>
      </c>
      <c r="AG16" s="1081" t="s">
        <v>182</v>
      </c>
      <c r="AI16" s="61">
        <f t="shared" si="9"/>
      </c>
      <c r="AJ16" s="61">
        <f t="shared" si="7"/>
      </c>
    </row>
    <row r="17" spans="1:36" s="53" customFormat="1" ht="18.75" customHeight="1">
      <c r="A17" s="27">
        <f t="shared" si="8"/>
      </c>
      <c r="B17" s="577"/>
      <c r="C17" s="306">
        <f>IF($B17="","",VLOOKUP($B17,'2-2_算定表②(旧々・新制度)'!$B$8:$U$65536,2,FALSE))</f>
      </c>
      <c r="D17" s="210">
        <f>IF($B17="","",VLOOKUP($B17,'2-2_算定表②(旧々・新制度)'!$B$8:$U$65536,3,FALSE))</f>
      </c>
      <c r="E17" s="565">
        <f>IF($B17="","",VLOOKUP($B17,'2-2_算定表②(旧々・新制度)'!$B$8:$U$65536,6,FALSE))</f>
      </c>
      <c r="F17" s="591">
        <f>IF(B17="","",VLOOKUP($B17,'2-2_算定表②(旧々・新制度)'!$B$8:$U$65536,14,FALSE))</f>
      </c>
      <c r="G17" s="59">
        <f>IF(B17="","",VLOOKUP($B17,'2-2_算定表②(旧々・新制度)'!$B$8:$U$65536,16,FALSE))</f>
      </c>
      <c r="H17" s="591">
        <f>IF(B17="","",VLOOKUP($B17,'2-2_算定表②(旧々・新制度)'!$B$8:$U$65536,17,FALSE))</f>
      </c>
      <c r="I17" s="59">
        <f>IF(B17="","",VLOOKUP($B17,'2-2_算定表②(旧々・新制度)'!$B$8:$U$65536,19,FALSE))</f>
      </c>
      <c r="J17" s="588">
        <f>IF(B17="","",VLOOKUP($B17,'2-2_算定表②(旧々・新制度)'!$B$8:$U$65536,20,FALSE))</f>
      </c>
      <c r="K17" s="524">
        <f>IF($B17="","",VLOOKUP($B17,'2-2_算定表②(旧々・新制度)'!$B$8:$U$65536,14,FALSE))</f>
      </c>
      <c r="L17" s="82">
        <f>IF($B17="","",VLOOKUP($B17,'2-2_算定表②(旧々・新制度)'!$B$8:$U$65536,14,FALSE))</f>
      </c>
      <c r="M17" s="525">
        <f>IF($B17="","",VLOOKUP($B17,'2-2_算定表②(旧々・新制度)'!$B$8:$U$65536,14,FALSE))</f>
      </c>
      <c r="N17" s="526">
        <f>IF($B17="","",VLOOKUP($B17,'2-2_算定表②(旧々・新制度)'!$B$8:$U$65536,17,FALSE))</f>
      </c>
      <c r="O17" s="82">
        <f>IF($B17="","",VLOOKUP($B17,'2-2_算定表②(旧々・新制度)'!$B$8:$U$65536,17,FALSE))</f>
      </c>
      <c r="P17" s="82">
        <f>IF($B17="","",VLOOKUP($B17,'2-2_算定表②(旧々・新制度)'!$B$8:$U$65536,17,FALSE))</f>
      </c>
      <c r="Q17" s="82">
        <f>IF($B17="","",VLOOKUP($B17,'2-2_算定表②(旧々・新制度)'!$B$8:$U$65536,17,FALSE))</f>
      </c>
      <c r="R17" s="82">
        <f>IF($B17="","",VLOOKUP($B17,'2-2_算定表②(旧々・新制度)'!$B$8:$U$65536,17,FALSE))</f>
      </c>
      <c r="S17" s="82">
        <f>IF($B17="","",VLOOKUP($B17,'2-2_算定表②(旧々・新制度)'!$B$8:$U$65536,17,FALSE))</f>
      </c>
      <c r="T17" s="82">
        <f>IF($B17="","",VLOOKUP($B17,'2-2_算定表②(旧々・新制度)'!$B$8:$U$65536,17,FALSE))</f>
      </c>
      <c r="U17" s="82">
        <f>IF($B17="","",VLOOKUP($B17,'2-2_算定表②(旧々・新制度)'!$B$8:$U$65536,17,FALSE))</f>
      </c>
      <c r="V17" s="527">
        <f>IF($B17="","",VLOOKUP($B17,'2-2_算定表②(旧々・新制度)'!$B$8:$U$65536,17,FALSE))</f>
      </c>
      <c r="W17" s="89">
        <f t="shared" si="0"/>
      </c>
      <c r="X17" s="86">
        <f t="shared" si="1"/>
      </c>
      <c r="Y17" s="83">
        <f t="shared" si="2"/>
      </c>
      <c r="Z17" s="95">
        <f t="shared" si="3"/>
      </c>
      <c r="AA17" s="92">
        <f t="shared" si="4"/>
      </c>
      <c r="AB17" s="89">
        <f t="shared" si="5"/>
      </c>
      <c r="AC17" s="60">
        <f>IF(B17="","",ROUNDUP((G17/VLOOKUP($B17,'2-2_算定表②(旧々・新制度)'!$B$8:$AJ$44,9,FALSE)*W17)+(I17/VLOOKUP($B17,'2-2_算定表②(旧々・新制度)'!$B$8:$AJ$44,9,FALSE)*X17)+(G17/VLOOKUP($B17,'2-2_算定表②(旧々・新制度)'!$B$8:$AJ$44,9,FALSE)*Y17)+(I17/VLOOKUP($B17,'2-2_算定表②(旧々・新制度)'!$B$8:$AJ$44,9,FALSE)*Z17),0))</f>
      </c>
      <c r="AD17" s="530">
        <f t="shared" si="6"/>
      </c>
      <c r="AE17" s="1079">
        <f>IF(B17="","",VLOOKUP($B17,'2-2_算定表②(旧々・新制度)'!$B$8:$AH$65536,33,FALSE))</f>
      </c>
      <c r="AF17" s="1080" t="s">
        <v>182</v>
      </c>
      <c r="AG17" s="1081" t="s">
        <v>182</v>
      </c>
      <c r="AI17" s="61">
        <f t="shared" si="9"/>
      </c>
      <c r="AJ17" s="61">
        <f t="shared" si="7"/>
      </c>
    </row>
    <row r="18" spans="1:36" s="53" customFormat="1" ht="18.75" customHeight="1">
      <c r="A18" s="27">
        <f t="shared" si="8"/>
      </c>
      <c r="B18" s="577"/>
      <c r="C18" s="306">
        <f>IF($B18="","",VLOOKUP($B18,'2-2_算定表②(旧々・新制度)'!$B$8:$U$65536,2,FALSE))</f>
      </c>
      <c r="D18" s="210">
        <f>IF($B18="","",VLOOKUP($B18,'2-2_算定表②(旧々・新制度)'!$B$8:$U$65536,3,FALSE))</f>
      </c>
      <c r="E18" s="565">
        <f>IF($B18="","",VLOOKUP($B18,'2-2_算定表②(旧々・新制度)'!$B$8:$U$65536,6,FALSE))</f>
      </c>
      <c r="F18" s="591">
        <f>IF(B18="","",VLOOKUP($B18,'2-2_算定表②(旧々・新制度)'!$B$8:$U$65536,14,FALSE))</f>
      </c>
      <c r="G18" s="59">
        <f>IF(B18="","",VLOOKUP($B18,'2-2_算定表②(旧々・新制度)'!$B$8:$U$65536,16,FALSE))</f>
      </c>
      <c r="H18" s="591">
        <f>IF(B18="","",VLOOKUP($B18,'2-2_算定表②(旧々・新制度)'!$B$8:$U$65536,17,FALSE))</f>
      </c>
      <c r="I18" s="59">
        <f>IF(B18="","",VLOOKUP($B18,'2-2_算定表②(旧々・新制度)'!$B$8:$U$65536,19,FALSE))</f>
      </c>
      <c r="J18" s="588">
        <f>IF(B18="","",VLOOKUP($B18,'2-2_算定表②(旧々・新制度)'!$B$8:$U$65536,20,FALSE))</f>
      </c>
      <c r="K18" s="524">
        <f>IF($B18="","",VLOOKUP($B18,'2-2_算定表②(旧々・新制度)'!$B$8:$U$65536,14,FALSE))</f>
      </c>
      <c r="L18" s="82">
        <f>IF($B18="","",VLOOKUP($B18,'2-2_算定表②(旧々・新制度)'!$B$8:$U$65536,14,FALSE))</f>
      </c>
      <c r="M18" s="525">
        <f>IF($B18="","",VLOOKUP($B18,'2-2_算定表②(旧々・新制度)'!$B$8:$U$65536,14,FALSE))</f>
      </c>
      <c r="N18" s="526">
        <f>IF($B18="","",VLOOKUP($B18,'2-2_算定表②(旧々・新制度)'!$B$8:$U$65536,17,FALSE))</f>
      </c>
      <c r="O18" s="82">
        <f>IF($B18="","",VLOOKUP($B18,'2-2_算定表②(旧々・新制度)'!$B$8:$U$65536,17,FALSE))</f>
      </c>
      <c r="P18" s="82">
        <f>IF($B18="","",VLOOKUP($B18,'2-2_算定表②(旧々・新制度)'!$B$8:$U$65536,17,FALSE))</f>
      </c>
      <c r="Q18" s="82">
        <f>IF($B18="","",VLOOKUP($B18,'2-2_算定表②(旧々・新制度)'!$B$8:$U$65536,17,FALSE))</f>
      </c>
      <c r="R18" s="82">
        <f>IF($B18="","",VLOOKUP($B18,'2-2_算定表②(旧々・新制度)'!$B$8:$U$65536,17,FALSE))</f>
      </c>
      <c r="S18" s="82">
        <f>IF($B18="","",VLOOKUP($B18,'2-2_算定表②(旧々・新制度)'!$B$8:$U$65536,17,FALSE))</f>
      </c>
      <c r="T18" s="82">
        <f>IF($B18="","",VLOOKUP($B18,'2-2_算定表②(旧々・新制度)'!$B$8:$U$65536,17,FALSE))</f>
      </c>
      <c r="U18" s="82">
        <f>IF($B18="","",VLOOKUP($B18,'2-2_算定表②(旧々・新制度)'!$B$8:$U$65536,17,FALSE))</f>
      </c>
      <c r="V18" s="527">
        <f>IF($B18="","",VLOOKUP($B18,'2-2_算定表②(旧々・新制度)'!$B$8:$U$65536,17,FALSE))</f>
      </c>
      <c r="W18" s="89">
        <f t="shared" si="0"/>
      </c>
      <c r="X18" s="86">
        <f t="shared" si="1"/>
      </c>
      <c r="Y18" s="83">
        <f t="shared" si="2"/>
      </c>
      <c r="Z18" s="95">
        <f t="shared" si="3"/>
      </c>
      <c r="AA18" s="92">
        <f t="shared" si="4"/>
      </c>
      <c r="AB18" s="89">
        <f t="shared" si="5"/>
      </c>
      <c r="AC18" s="60">
        <f>IF(B18="","",ROUNDUP((G18/VLOOKUP($B18,'2-2_算定表②(旧々・新制度)'!$B$8:$AJ$44,9,FALSE)*W18)+(I18/VLOOKUP($B18,'2-2_算定表②(旧々・新制度)'!$B$8:$AJ$44,9,FALSE)*X18)+(G18/VLOOKUP($B18,'2-2_算定表②(旧々・新制度)'!$B$8:$AJ$44,9,FALSE)*Y18)+(I18/VLOOKUP($B18,'2-2_算定表②(旧々・新制度)'!$B$8:$AJ$44,9,FALSE)*Z18),0))</f>
      </c>
      <c r="AD18" s="530">
        <f t="shared" si="6"/>
      </c>
      <c r="AE18" s="1079">
        <f>IF(B18="","",VLOOKUP($B18,'2-2_算定表②(旧々・新制度)'!$B$8:$AH$65536,33,FALSE))</f>
      </c>
      <c r="AF18" s="1080" t="s">
        <v>182</v>
      </c>
      <c r="AG18" s="1081" t="s">
        <v>182</v>
      </c>
      <c r="AI18" s="61">
        <f t="shared" si="9"/>
      </c>
      <c r="AJ18" s="61">
        <f t="shared" si="7"/>
      </c>
    </row>
    <row r="19" spans="1:36" s="53" customFormat="1" ht="18.75" customHeight="1">
      <c r="A19" s="27">
        <f t="shared" si="8"/>
      </c>
      <c r="B19" s="577"/>
      <c r="C19" s="306">
        <f>IF($B19="","",VLOOKUP($B19,'2-2_算定表②(旧々・新制度)'!$B$8:$U$65536,2,FALSE))</f>
      </c>
      <c r="D19" s="210">
        <f>IF($B19="","",VLOOKUP($B19,'2-2_算定表②(旧々・新制度)'!$B$8:$U$65536,3,FALSE))</f>
      </c>
      <c r="E19" s="565">
        <f>IF($B19="","",VLOOKUP($B19,'2-2_算定表②(旧々・新制度)'!$B$8:$U$65536,6,FALSE))</f>
      </c>
      <c r="F19" s="591">
        <f>IF(B19="","",VLOOKUP($B19,'2-2_算定表②(旧々・新制度)'!$B$8:$U$65536,14,FALSE))</f>
      </c>
      <c r="G19" s="59">
        <f>IF(B19="","",VLOOKUP($B19,'2-2_算定表②(旧々・新制度)'!$B$8:$U$65536,16,FALSE))</f>
      </c>
      <c r="H19" s="591">
        <f>IF(B19="","",VLOOKUP($B19,'2-2_算定表②(旧々・新制度)'!$B$8:$U$65536,17,FALSE))</f>
      </c>
      <c r="I19" s="59">
        <f>IF(B19="","",VLOOKUP($B19,'2-2_算定表②(旧々・新制度)'!$B$8:$U$65536,19,FALSE))</f>
      </c>
      <c r="J19" s="588">
        <f>IF(B19="","",VLOOKUP($B19,'2-2_算定表②(旧々・新制度)'!$B$8:$U$65536,20,FALSE))</f>
      </c>
      <c r="K19" s="524">
        <f>IF($B19="","",VLOOKUP($B19,'2-2_算定表②(旧々・新制度)'!$B$8:$U$65536,14,FALSE))</f>
      </c>
      <c r="L19" s="82">
        <f>IF($B19="","",VLOOKUP($B19,'2-2_算定表②(旧々・新制度)'!$B$8:$U$65536,14,FALSE))</f>
      </c>
      <c r="M19" s="525">
        <f>IF($B19="","",VLOOKUP($B19,'2-2_算定表②(旧々・新制度)'!$B$8:$U$65536,14,FALSE))</f>
      </c>
      <c r="N19" s="526">
        <f>IF($B19="","",VLOOKUP($B19,'2-2_算定表②(旧々・新制度)'!$B$8:$U$65536,17,FALSE))</f>
      </c>
      <c r="O19" s="82">
        <f>IF($B19="","",VLOOKUP($B19,'2-2_算定表②(旧々・新制度)'!$B$8:$U$65536,17,FALSE))</f>
      </c>
      <c r="P19" s="82">
        <f>IF($B19="","",VLOOKUP($B19,'2-2_算定表②(旧々・新制度)'!$B$8:$U$65536,17,FALSE))</f>
      </c>
      <c r="Q19" s="82">
        <f>IF($B19="","",VLOOKUP($B19,'2-2_算定表②(旧々・新制度)'!$B$8:$U$65536,17,FALSE))</f>
      </c>
      <c r="R19" s="82">
        <f>IF($B19="","",VLOOKUP($B19,'2-2_算定表②(旧々・新制度)'!$B$8:$U$65536,17,FALSE))</f>
      </c>
      <c r="S19" s="82">
        <f>IF($B19="","",VLOOKUP($B19,'2-2_算定表②(旧々・新制度)'!$B$8:$U$65536,17,FALSE))</f>
      </c>
      <c r="T19" s="82">
        <f>IF($B19="","",VLOOKUP($B19,'2-2_算定表②(旧々・新制度)'!$B$8:$U$65536,17,FALSE))</f>
      </c>
      <c r="U19" s="82">
        <f>IF($B19="","",VLOOKUP($B19,'2-2_算定表②(旧々・新制度)'!$B$8:$U$65536,17,FALSE))</f>
      </c>
      <c r="V19" s="527">
        <f>IF($B19="","",VLOOKUP($B19,'2-2_算定表②(旧々・新制度)'!$B$8:$U$65536,17,FALSE))</f>
      </c>
      <c r="W19" s="89">
        <f t="shared" si="0"/>
      </c>
      <c r="X19" s="86">
        <f t="shared" si="1"/>
      </c>
      <c r="Y19" s="83">
        <f t="shared" si="2"/>
      </c>
      <c r="Z19" s="95">
        <f t="shared" si="3"/>
      </c>
      <c r="AA19" s="92">
        <f t="shared" si="4"/>
      </c>
      <c r="AB19" s="89">
        <f t="shared" si="5"/>
      </c>
      <c r="AC19" s="60">
        <f>IF(B19="","",ROUNDUP((G19/VLOOKUP($B19,'2-2_算定表②(旧々・新制度)'!$B$8:$AJ$44,9,FALSE)*W19)+(I19/VLOOKUP($B19,'2-2_算定表②(旧々・新制度)'!$B$8:$AJ$44,9,FALSE)*X19)+(G19/VLOOKUP($B19,'2-2_算定表②(旧々・新制度)'!$B$8:$AJ$44,9,FALSE)*Y19)+(I19/VLOOKUP($B19,'2-2_算定表②(旧々・新制度)'!$B$8:$AJ$44,9,FALSE)*Z19),0))</f>
      </c>
      <c r="AD19" s="530">
        <f t="shared" si="6"/>
      </c>
      <c r="AE19" s="1079">
        <f>IF(B19="","",VLOOKUP($B19,'2-2_算定表②(旧々・新制度)'!$B$8:$AH$65536,33,FALSE))</f>
      </c>
      <c r="AF19" s="1080" t="s">
        <v>182</v>
      </c>
      <c r="AG19" s="1081" t="s">
        <v>182</v>
      </c>
      <c r="AI19" s="61">
        <f t="shared" si="9"/>
      </c>
      <c r="AJ19" s="61">
        <f t="shared" si="7"/>
      </c>
    </row>
    <row r="20" spans="1:36" s="53" customFormat="1" ht="18.75" customHeight="1">
      <c r="A20" s="27">
        <f t="shared" si="8"/>
      </c>
      <c r="B20" s="577"/>
      <c r="C20" s="306">
        <f>IF($B20="","",VLOOKUP($B20,'2-2_算定表②(旧々・新制度)'!$B$8:$U$65536,2,FALSE))</f>
      </c>
      <c r="D20" s="210">
        <f>IF($B20="","",VLOOKUP($B20,'2-2_算定表②(旧々・新制度)'!$B$8:$U$65536,3,FALSE))</f>
      </c>
      <c r="E20" s="565">
        <f>IF($B20="","",VLOOKUP($B20,'2-2_算定表②(旧々・新制度)'!$B$8:$U$65536,6,FALSE))</f>
      </c>
      <c r="F20" s="591">
        <f>IF(B20="","",VLOOKUP($B20,'2-2_算定表②(旧々・新制度)'!$B$8:$U$65536,14,FALSE))</f>
      </c>
      <c r="G20" s="59">
        <f>IF(B20="","",VLOOKUP($B20,'2-2_算定表②(旧々・新制度)'!$B$8:$U$65536,16,FALSE))</f>
      </c>
      <c r="H20" s="591">
        <f>IF(B20="","",VLOOKUP($B20,'2-2_算定表②(旧々・新制度)'!$B$8:$U$65536,17,FALSE))</f>
      </c>
      <c r="I20" s="59">
        <f>IF(B20="","",VLOOKUP($B20,'2-2_算定表②(旧々・新制度)'!$B$8:$U$65536,19,FALSE))</f>
      </c>
      <c r="J20" s="588">
        <f>IF(B20="","",VLOOKUP($B20,'2-2_算定表②(旧々・新制度)'!$B$8:$U$65536,20,FALSE))</f>
      </c>
      <c r="K20" s="524">
        <f>IF($B20="","",VLOOKUP($B20,'2-2_算定表②(旧々・新制度)'!$B$8:$U$65536,14,FALSE))</f>
      </c>
      <c r="L20" s="82">
        <f>IF($B20="","",VLOOKUP($B20,'2-2_算定表②(旧々・新制度)'!$B$8:$U$65536,14,FALSE))</f>
      </c>
      <c r="M20" s="525">
        <f>IF($B20="","",VLOOKUP($B20,'2-2_算定表②(旧々・新制度)'!$B$8:$U$65536,14,FALSE))</f>
      </c>
      <c r="N20" s="526">
        <f>IF($B20="","",VLOOKUP($B20,'2-2_算定表②(旧々・新制度)'!$B$8:$U$65536,17,FALSE))</f>
      </c>
      <c r="O20" s="82">
        <f>IF($B20="","",VLOOKUP($B20,'2-2_算定表②(旧々・新制度)'!$B$8:$U$65536,17,FALSE))</f>
      </c>
      <c r="P20" s="82">
        <f>IF($B20="","",VLOOKUP($B20,'2-2_算定表②(旧々・新制度)'!$B$8:$U$65536,17,FALSE))</f>
      </c>
      <c r="Q20" s="82">
        <f>IF($B20="","",VLOOKUP($B20,'2-2_算定表②(旧々・新制度)'!$B$8:$U$65536,17,FALSE))</f>
      </c>
      <c r="R20" s="82">
        <f>IF($B20="","",VLOOKUP($B20,'2-2_算定表②(旧々・新制度)'!$B$8:$U$65536,17,FALSE))</f>
      </c>
      <c r="S20" s="82">
        <f>IF($B20="","",VLOOKUP($B20,'2-2_算定表②(旧々・新制度)'!$B$8:$U$65536,17,FALSE))</f>
      </c>
      <c r="T20" s="82">
        <f>IF($B20="","",VLOOKUP($B20,'2-2_算定表②(旧々・新制度)'!$B$8:$U$65536,17,FALSE))</f>
      </c>
      <c r="U20" s="82">
        <f>IF($B20="","",VLOOKUP($B20,'2-2_算定表②(旧々・新制度)'!$B$8:$U$65536,17,FALSE))</f>
      </c>
      <c r="V20" s="527">
        <f>IF($B20="","",VLOOKUP($B20,'2-2_算定表②(旧々・新制度)'!$B$8:$U$65536,17,FALSE))</f>
      </c>
      <c r="W20" s="89">
        <f t="shared" si="0"/>
      </c>
      <c r="X20" s="86">
        <f t="shared" si="1"/>
      </c>
      <c r="Y20" s="83">
        <f t="shared" si="2"/>
      </c>
      <c r="Z20" s="95">
        <f t="shared" si="3"/>
      </c>
      <c r="AA20" s="92">
        <f t="shared" si="4"/>
      </c>
      <c r="AB20" s="89">
        <f t="shared" si="5"/>
      </c>
      <c r="AC20" s="60">
        <f>IF(B20="","",ROUNDUP((G20/VLOOKUP($B20,'2-2_算定表②(旧々・新制度)'!$B$8:$AJ$44,9,FALSE)*W20)+(I20/VLOOKUP($B20,'2-2_算定表②(旧々・新制度)'!$B$8:$AJ$44,9,FALSE)*X20)+(G20/VLOOKUP($B20,'2-2_算定表②(旧々・新制度)'!$B$8:$AJ$44,9,FALSE)*Y20)+(I20/VLOOKUP($B20,'2-2_算定表②(旧々・新制度)'!$B$8:$AJ$44,9,FALSE)*Z20),0))</f>
      </c>
      <c r="AD20" s="530">
        <f t="shared" si="6"/>
      </c>
      <c r="AE20" s="1079">
        <f>IF(B20="","",VLOOKUP($B20,'2-2_算定表②(旧々・新制度)'!$B$8:$AH$65536,33,FALSE))</f>
      </c>
      <c r="AF20" s="1080" t="s">
        <v>182</v>
      </c>
      <c r="AG20" s="1081" t="s">
        <v>182</v>
      </c>
      <c r="AI20" s="61">
        <f t="shared" si="9"/>
      </c>
      <c r="AJ20" s="61">
        <f t="shared" si="7"/>
      </c>
    </row>
    <row r="21" spans="1:36" s="53" customFormat="1" ht="18.75" customHeight="1">
      <c r="A21" s="27">
        <f t="shared" si="8"/>
      </c>
      <c r="B21" s="577"/>
      <c r="C21" s="306">
        <f>IF($B21="","",VLOOKUP($B21,'2-2_算定表②(旧々・新制度)'!$B$8:$U$65536,2,FALSE))</f>
      </c>
      <c r="D21" s="210">
        <f>IF($B21="","",VLOOKUP($B21,'2-2_算定表②(旧々・新制度)'!$B$8:$U$65536,3,FALSE))</f>
      </c>
      <c r="E21" s="565">
        <f>IF($B21="","",VLOOKUP($B21,'2-2_算定表②(旧々・新制度)'!$B$8:$U$65536,6,FALSE))</f>
      </c>
      <c r="F21" s="591">
        <f>IF(B21="","",VLOOKUP($B21,'2-2_算定表②(旧々・新制度)'!$B$8:$U$65536,14,FALSE))</f>
      </c>
      <c r="G21" s="59">
        <f>IF(B21="","",VLOOKUP($B21,'2-2_算定表②(旧々・新制度)'!$B$8:$U$65536,16,FALSE))</f>
      </c>
      <c r="H21" s="591">
        <f>IF(B21="","",VLOOKUP($B21,'2-2_算定表②(旧々・新制度)'!$B$8:$U$65536,17,FALSE))</f>
      </c>
      <c r="I21" s="59">
        <f>IF(B21="","",VLOOKUP($B21,'2-2_算定表②(旧々・新制度)'!$B$8:$U$65536,19,FALSE))</f>
      </c>
      <c r="J21" s="588">
        <f>IF(B21="","",VLOOKUP($B21,'2-2_算定表②(旧々・新制度)'!$B$8:$U$65536,20,FALSE))</f>
      </c>
      <c r="K21" s="524">
        <f>IF($B21="","",VLOOKUP($B21,'2-2_算定表②(旧々・新制度)'!$B$8:$U$65536,14,FALSE))</f>
      </c>
      <c r="L21" s="82">
        <f>IF($B21="","",VLOOKUP($B21,'2-2_算定表②(旧々・新制度)'!$B$8:$U$65536,14,FALSE))</f>
      </c>
      <c r="M21" s="525">
        <f>IF($B21="","",VLOOKUP($B21,'2-2_算定表②(旧々・新制度)'!$B$8:$U$65536,14,FALSE))</f>
      </c>
      <c r="N21" s="526">
        <f>IF($B21="","",VLOOKUP($B21,'2-2_算定表②(旧々・新制度)'!$B$8:$U$65536,17,FALSE))</f>
      </c>
      <c r="O21" s="82">
        <f>IF($B21="","",VLOOKUP($B21,'2-2_算定表②(旧々・新制度)'!$B$8:$U$65536,17,FALSE))</f>
      </c>
      <c r="P21" s="82">
        <f>IF($B21="","",VLOOKUP($B21,'2-2_算定表②(旧々・新制度)'!$B$8:$U$65536,17,FALSE))</f>
      </c>
      <c r="Q21" s="82">
        <f>IF($B21="","",VLOOKUP($B21,'2-2_算定表②(旧々・新制度)'!$B$8:$U$65536,17,FALSE))</f>
      </c>
      <c r="R21" s="82">
        <f>IF($B21="","",VLOOKUP($B21,'2-2_算定表②(旧々・新制度)'!$B$8:$U$65536,17,FALSE))</f>
      </c>
      <c r="S21" s="82">
        <f>IF($B21="","",VLOOKUP($B21,'2-2_算定表②(旧々・新制度)'!$B$8:$U$65536,17,FALSE))</f>
      </c>
      <c r="T21" s="82">
        <f>IF($B21="","",VLOOKUP($B21,'2-2_算定表②(旧々・新制度)'!$B$8:$U$65536,17,FALSE))</f>
      </c>
      <c r="U21" s="82">
        <f>IF($B21="","",VLOOKUP($B21,'2-2_算定表②(旧々・新制度)'!$B$8:$U$65536,17,FALSE))</f>
      </c>
      <c r="V21" s="527">
        <f>IF($B21="","",VLOOKUP($B21,'2-2_算定表②(旧々・新制度)'!$B$8:$U$65536,17,FALSE))</f>
      </c>
      <c r="W21" s="89">
        <f t="shared" si="0"/>
      </c>
      <c r="X21" s="86">
        <f t="shared" si="1"/>
      </c>
      <c r="Y21" s="83">
        <f t="shared" si="2"/>
      </c>
      <c r="Z21" s="95">
        <f t="shared" si="3"/>
      </c>
      <c r="AA21" s="92">
        <f t="shared" si="4"/>
      </c>
      <c r="AB21" s="89">
        <f t="shared" si="5"/>
      </c>
      <c r="AC21" s="60">
        <f>IF(B21="","",ROUNDUP((G21/VLOOKUP($B21,'2-2_算定表②(旧々・新制度)'!$B$8:$AJ$44,9,FALSE)*W21)+(I21/VLOOKUP($B21,'2-2_算定表②(旧々・新制度)'!$B$8:$AJ$44,9,FALSE)*X21)+(G21/VLOOKUP($B21,'2-2_算定表②(旧々・新制度)'!$B$8:$AJ$44,9,FALSE)*Y21)+(I21/VLOOKUP($B21,'2-2_算定表②(旧々・新制度)'!$B$8:$AJ$44,9,FALSE)*Z21),0))</f>
      </c>
      <c r="AD21" s="530">
        <f t="shared" si="6"/>
      </c>
      <c r="AE21" s="1079">
        <f>IF(B21="","",VLOOKUP($B21,'2-2_算定表②(旧々・新制度)'!$B$8:$AH$65536,33,FALSE))</f>
      </c>
      <c r="AF21" s="1080" t="s">
        <v>182</v>
      </c>
      <c r="AG21" s="1081" t="s">
        <v>182</v>
      </c>
      <c r="AI21" s="61">
        <f t="shared" si="9"/>
      </c>
      <c r="AJ21" s="61">
        <f t="shared" si="7"/>
      </c>
    </row>
    <row r="22" spans="1:36" s="53" customFormat="1" ht="18.75" customHeight="1">
      <c r="A22" s="27">
        <f t="shared" si="8"/>
      </c>
      <c r="B22" s="577"/>
      <c r="C22" s="306">
        <f>IF($B22="","",VLOOKUP($B22,'2-2_算定表②(旧々・新制度)'!$B$8:$U$65536,2,FALSE))</f>
      </c>
      <c r="D22" s="210">
        <f>IF($B22="","",VLOOKUP($B22,'2-2_算定表②(旧々・新制度)'!$B$8:$U$65536,3,FALSE))</f>
      </c>
      <c r="E22" s="565">
        <f>IF($B22="","",VLOOKUP($B22,'2-2_算定表②(旧々・新制度)'!$B$8:$U$65536,6,FALSE))</f>
      </c>
      <c r="F22" s="591">
        <f>IF(B22="","",VLOOKUP($B22,'2-2_算定表②(旧々・新制度)'!$B$8:$U$65536,14,FALSE))</f>
      </c>
      <c r="G22" s="59">
        <f>IF(B22="","",VLOOKUP($B22,'2-2_算定表②(旧々・新制度)'!$B$8:$U$65536,16,FALSE))</f>
      </c>
      <c r="H22" s="591">
        <f>IF(B22="","",VLOOKUP($B22,'2-2_算定表②(旧々・新制度)'!$B$8:$U$65536,17,FALSE))</f>
      </c>
      <c r="I22" s="59">
        <f>IF(B22="","",VLOOKUP($B22,'2-2_算定表②(旧々・新制度)'!$B$8:$U$65536,19,FALSE))</f>
      </c>
      <c r="J22" s="588">
        <f>IF(B22="","",VLOOKUP($B22,'2-2_算定表②(旧々・新制度)'!$B$8:$U$65536,20,FALSE))</f>
      </c>
      <c r="K22" s="524">
        <f>IF($B22="","",VLOOKUP($B22,'2-2_算定表②(旧々・新制度)'!$B$8:$U$65536,14,FALSE))</f>
      </c>
      <c r="L22" s="82">
        <f>IF($B22="","",VLOOKUP($B22,'2-2_算定表②(旧々・新制度)'!$B$8:$U$65536,14,FALSE))</f>
      </c>
      <c r="M22" s="525">
        <f>IF($B22="","",VLOOKUP($B22,'2-2_算定表②(旧々・新制度)'!$B$8:$U$65536,14,FALSE))</f>
      </c>
      <c r="N22" s="526">
        <f>IF($B22="","",VLOOKUP($B22,'2-2_算定表②(旧々・新制度)'!$B$8:$U$65536,17,FALSE))</f>
      </c>
      <c r="O22" s="82">
        <f>IF($B22="","",VLOOKUP($B22,'2-2_算定表②(旧々・新制度)'!$B$8:$U$65536,17,FALSE))</f>
      </c>
      <c r="P22" s="82">
        <f>IF($B22="","",VLOOKUP($B22,'2-2_算定表②(旧々・新制度)'!$B$8:$U$65536,17,FALSE))</f>
      </c>
      <c r="Q22" s="82">
        <f>IF($B22="","",VLOOKUP($B22,'2-2_算定表②(旧々・新制度)'!$B$8:$U$65536,17,FALSE))</f>
      </c>
      <c r="R22" s="82">
        <f>IF($B22="","",VLOOKUP($B22,'2-2_算定表②(旧々・新制度)'!$B$8:$U$65536,17,FALSE))</f>
      </c>
      <c r="S22" s="82">
        <f>IF($B22="","",VLOOKUP($B22,'2-2_算定表②(旧々・新制度)'!$B$8:$U$65536,17,FALSE))</f>
      </c>
      <c r="T22" s="82">
        <f>IF($B22="","",VLOOKUP($B22,'2-2_算定表②(旧々・新制度)'!$B$8:$U$65536,17,FALSE))</f>
      </c>
      <c r="U22" s="82">
        <f>IF($B22="","",VLOOKUP($B22,'2-2_算定表②(旧々・新制度)'!$B$8:$U$65536,17,FALSE))</f>
      </c>
      <c r="V22" s="527">
        <f>IF($B22="","",VLOOKUP($B22,'2-2_算定表②(旧々・新制度)'!$B$8:$U$65536,17,FALSE))</f>
      </c>
      <c r="W22" s="89">
        <f t="shared" si="0"/>
      </c>
      <c r="X22" s="86">
        <f t="shared" si="1"/>
      </c>
      <c r="Y22" s="83">
        <f t="shared" si="2"/>
      </c>
      <c r="Z22" s="95">
        <f t="shared" si="3"/>
      </c>
      <c r="AA22" s="92">
        <f t="shared" si="4"/>
      </c>
      <c r="AB22" s="89">
        <f t="shared" si="5"/>
      </c>
      <c r="AC22" s="60">
        <f>IF(B22="","",ROUNDUP((G22/VLOOKUP($B22,'2-2_算定表②(旧々・新制度)'!$B$8:$AJ$44,9,FALSE)*W22)+(I22/VLOOKUP($B22,'2-2_算定表②(旧々・新制度)'!$B$8:$AJ$44,9,FALSE)*X22)+(G22/VLOOKUP($B22,'2-2_算定表②(旧々・新制度)'!$B$8:$AJ$44,9,FALSE)*Y22)+(I22/VLOOKUP($B22,'2-2_算定表②(旧々・新制度)'!$B$8:$AJ$44,9,FALSE)*Z22),0))</f>
      </c>
      <c r="AD22" s="530">
        <f t="shared" si="6"/>
      </c>
      <c r="AE22" s="1079">
        <f>IF(B22="","",VLOOKUP($B22,'2-2_算定表②(旧々・新制度)'!$B$8:$AH$65536,33,FALSE))</f>
      </c>
      <c r="AF22" s="1080" t="s">
        <v>182</v>
      </c>
      <c r="AG22" s="1081" t="s">
        <v>182</v>
      </c>
      <c r="AI22" s="61">
        <f t="shared" si="9"/>
      </c>
      <c r="AJ22" s="61">
        <f t="shared" si="7"/>
      </c>
    </row>
    <row r="23" spans="1:36" s="53" customFormat="1" ht="18.75" customHeight="1">
      <c r="A23" s="27">
        <f t="shared" si="8"/>
      </c>
      <c r="B23" s="577"/>
      <c r="C23" s="306">
        <f>IF($B23="","",VLOOKUP($B23,'2-2_算定表②(旧々・新制度)'!$B$8:$U$65536,2,FALSE))</f>
      </c>
      <c r="D23" s="210">
        <f>IF($B23="","",VLOOKUP($B23,'2-2_算定表②(旧々・新制度)'!$B$8:$U$65536,3,FALSE))</f>
      </c>
      <c r="E23" s="565">
        <f>IF($B23="","",VLOOKUP($B23,'2-2_算定表②(旧々・新制度)'!$B$8:$U$65536,6,FALSE))</f>
      </c>
      <c r="F23" s="591">
        <f>IF(B23="","",VLOOKUP($B23,'2-2_算定表②(旧々・新制度)'!$B$8:$U$65536,14,FALSE))</f>
      </c>
      <c r="G23" s="59">
        <f>IF(B23="","",VLOOKUP($B23,'2-2_算定表②(旧々・新制度)'!$B$8:$U$65536,16,FALSE))</f>
      </c>
      <c r="H23" s="591">
        <f>IF(B23="","",VLOOKUP($B23,'2-2_算定表②(旧々・新制度)'!$B$8:$U$65536,17,FALSE))</f>
      </c>
      <c r="I23" s="59">
        <f>IF(B23="","",VLOOKUP($B23,'2-2_算定表②(旧々・新制度)'!$B$8:$U$65536,19,FALSE))</f>
      </c>
      <c r="J23" s="588">
        <f>IF(B23="","",VLOOKUP($B23,'2-2_算定表②(旧々・新制度)'!$B$8:$U$65536,20,FALSE))</f>
      </c>
      <c r="K23" s="524">
        <f>IF($B23="","",VLOOKUP($B23,'2-2_算定表②(旧々・新制度)'!$B$8:$U$65536,14,FALSE))</f>
      </c>
      <c r="L23" s="82">
        <f>IF($B23="","",VLOOKUP($B23,'2-2_算定表②(旧々・新制度)'!$B$8:$U$65536,14,FALSE))</f>
      </c>
      <c r="M23" s="525">
        <f>IF($B23="","",VLOOKUP($B23,'2-2_算定表②(旧々・新制度)'!$B$8:$U$65536,14,FALSE))</f>
      </c>
      <c r="N23" s="526">
        <f>IF($B23="","",VLOOKUP($B23,'2-2_算定表②(旧々・新制度)'!$B$8:$U$65536,17,FALSE))</f>
      </c>
      <c r="O23" s="82">
        <f>IF($B23="","",VLOOKUP($B23,'2-2_算定表②(旧々・新制度)'!$B$8:$U$65536,17,FALSE))</f>
      </c>
      <c r="P23" s="82">
        <f>IF($B23="","",VLOOKUP($B23,'2-2_算定表②(旧々・新制度)'!$B$8:$U$65536,17,FALSE))</f>
      </c>
      <c r="Q23" s="82">
        <f>IF($B23="","",VLOOKUP($B23,'2-2_算定表②(旧々・新制度)'!$B$8:$U$65536,17,FALSE))</f>
      </c>
      <c r="R23" s="82">
        <f>IF($B23="","",VLOOKUP($B23,'2-2_算定表②(旧々・新制度)'!$B$8:$U$65536,17,FALSE))</f>
      </c>
      <c r="S23" s="82">
        <f>IF($B23="","",VLOOKUP($B23,'2-2_算定表②(旧々・新制度)'!$B$8:$U$65536,17,FALSE))</f>
      </c>
      <c r="T23" s="82">
        <f>IF($B23="","",VLOOKUP($B23,'2-2_算定表②(旧々・新制度)'!$B$8:$U$65536,17,FALSE))</f>
      </c>
      <c r="U23" s="82">
        <f>IF($B23="","",VLOOKUP($B23,'2-2_算定表②(旧々・新制度)'!$B$8:$U$65536,17,FALSE))</f>
      </c>
      <c r="V23" s="527">
        <f>IF($B23="","",VLOOKUP($B23,'2-2_算定表②(旧々・新制度)'!$B$8:$U$65536,17,FALSE))</f>
      </c>
      <c r="W23" s="89">
        <f t="shared" si="0"/>
      </c>
      <c r="X23" s="86">
        <f t="shared" si="1"/>
      </c>
      <c r="Y23" s="83">
        <f t="shared" si="2"/>
      </c>
      <c r="Z23" s="95">
        <f t="shared" si="3"/>
      </c>
      <c r="AA23" s="92">
        <f t="shared" si="4"/>
      </c>
      <c r="AB23" s="89">
        <f t="shared" si="5"/>
      </c>
      <c r="AC23" s="60">
        <f>IF(B23="","",ROUNDUP((G23/VLOOKUP($B23,'2-2_算定表②(旧々・新制度)'!$B$8:$AJ$44,9,FALSE)*W23)+(I23/VLOOKUP($B23,'2-2_算定表②(旧々・新制度)'!$B$8:$AJ$44,9,FALSE)*X23)+(G23/VLOOKUP($B23,'2-2_算定表②(旧々・新制度)'!$B$8:$AJ$44,9,FALSE)*Y23)+(I23/VLOOKUP($B23,'2-2_算定表②(旧々・新制度)'!$B$8:$AJ$44,9,FALSE)*Z23),0))</f>
      </c>
      <c r="AD23" s="530">
        <f t="shared" si="6"/>
      </c>
      <c r="AE23" s="1079">
        <f>IF(B23="","",VLOOKUP($B23,'2-2_算定表②(旧々・新制度)'!$B$8:$AH$65536,33,FALSE))</f>
      </c>
      <c r="AF23" s="1080" t="s">
        <v>182</v>
      </c>
      <c r="AG23" s="1081" t="s">
        <v>182</v>
      </c>
      <c r="AI23" s="61">
        <f t="shared" si="9"/>
      </c>
      <c r="AJ23" s="61">
        <f t="shared" si="7"/>
      </c>
    </row>
    <row r="24" spans="1:36" s="53" customFormat="1" ht="18.75" customHeight="1">
      <c r="A24" s="27">
        <f t="shared" si="8"/>
      </c>
      <c r="B24" s="577"/>
      <c r="C24" s="306">
        <f>IF($B24="","",VLOOKUP($B24,'2-2_算定表②(旧々・新制度)'!$B$8:$U$65536,2,FALSE))</f>
      </c>
      <c r="D24" s="210">
        <f>IF($B24="","",VLOOKUP($B24,'2-2_算定表②(旧々・新制度)'!$B$8:$U$65536,3,FALSE))</f>
      </c>
      <c r="E24" s="565">
        <f>IF($B24="","",VLOOKUP($B24,'2-2_算定表②(旧々・新制度)'!$B$8:$U$65536,6,FALSE))</f>
      </c>
      <c r="F24" s="591">
        <f>IF(B24="","",VLOOKUP($B24,'2-2_算定表②(旧々・新制度)'!$B$8:$U$65536,14,FALSE))</f>
      </c>
      <c r="G24" s="59">
        <f>IF(B24="","",VLOOKUP($B24,'2-2_算定表②(旧々・新制度)'!$B$8:$U$65536,16,FALSE))</f>
      </c>
      <c r="H24" s="591">
        <f>IF(B24="","",VLOOKUP($B24,'2-2_算定表②(旧々・新制度)'!$B$8:$U$65536,17,FALSE))</f>
      </c>
      <c r="I24" s="59">
        <f>IF(B24="","",VLOOKUP($B24,'2-2_算定表②(旧々・新制度)'!$B$8:$U$65536,19,FALSE))</f>
      </c>
      <c r="J24" s="588">
        <f>IF(B24="","",VLOOKUP($B24,'2-2_算定表②(旧々・新制度)'!$B$8:$U$65536,20,FALSE))</f>
      </c>
      <c r="K24" s="524">
        <f>IF($B24="","",VLOOKUP($B24,'2-2_算定表②(旧々・新制度)'!$B$8:$U$65536,14,FALSE))</f>
      </c>
      <c r="L24" s="82">
        <f>IF($B24="","",VLOOKUP($B24,'2-2_算定表②(旧々・新制度)'!$B$8:$U$65536,14,FALSE))</f>
      </c>
      <c r="M24" s="525">
        <f>IF($B24="","",VLOOKUP($B24,'2-2_算定表②(旧々・新制度)'!$B$8:$U$65536,14,FALSE))</f>
      </c>
      <c r="N24" s="526">
        <f>IF($B24="","",VLOOKUP($B24,'2-2_算定表②(旧々・新制度)'!$B$8:$U$65536,17,FALSE))</f>
      </c>
      <c r="O24" s="82">
        <f>IF($B24="","",VLOOKUP($B24,'2-2_算定表②(旧々・新制度)'!$B$8:$U$65536,17,FALSE))</f>
      </c>
      <c r="P24" s="82">
        <f>IF($B24="","",VLOOKUP($B24,'2-2_算定表②(旧々・新制度)'!$B$8:$U$65536,17,FALSE))</f>
      </c>
      <c r="Q24" s="82">
        <f>IF($B24="","",VLOOKUP($B24,'2-2_算定表②(旧々・新制度)'!$B$8:$U$65536,17,FALSE))</f>
      </c>
      <c r="R24" s="82">
        <f>IF($B24="","",VLOOKUP($B24,'2-2_算定表②(旧々・新制度)'!$B$8:$U$65536,17,FALSE))</f>
      </c>
      <c r="S24" s="82">
        <f>IF($B24="","",VLOOKUP($B24,'2-2_算定表②(旧々・新制度)'!$B$8:$U$65536,17,FALSE))</f>
      </c>
      <c r="T24" s="82">
        <f>IF($B24="","",VLOOKUP($B24,'2-2_算定表②(旧々・新制度)'!$B$8:$U$65536,17,FALSE))</f>
      </c>
      <c r="U24" s="82">
        <f>IF($B24="","",VLOOKUP($B24,'2-2_算定表②(旧々・新制度)'!$B$8:$U$65536,17,FALSE))</f>
      </c>
      <c r="V24" s="527">
        <f>IF($B24="","",VLOOKUP($B24,'2-2_算定表②(旧々・新制度)'!$B$8:$U$65536,17,FALSE))</f>
      </c>
      <c r="W24" s="89">
        <f t="shared" si="0"/>
      </c>
      <c r="X24" s="86">
        <f t="shared" si="1"/>
      </c>
      <c r="Y24" s="83">
        <f t="shared" si="2"/>
      </c>
      <c r="Z24" s="95">
        <f t="shared" si="3"/>
      </c>
      <c r="AA24" s="92">
        <f t="shared" si="4"/>
      </c>
      <c r="AB24" s="89">
        <f t="shared" si="5"/>
      </c>
      <c r="AC24" s="60">
        <f>IF(B24="","",ROUNDUP((G24/VLOOKUP($B24,'2-2_算定表②(旧々・新制度)'!$B$8:$AJ$44,9,FALSE)*W24)+(I24/VLOOKUP($B24,'2-2_算定表②(旧々・新制度)'!$B$8:$AJ$44,9,FALSE)*X24)+(G24/VLOOKUP($B24,'2-2_算定表②(旧々・新制度)'!$B$8:$AJ$44,9,FALSE)*Y24)+(I24/VLOOKUP($B24,'2-2_算定表②(旧々・新制度)'!$B$8:$AJ$44,9,FALSE)*Z24),0))</f>
      </c>
      <c r="AD24" s="530">
        <f t="shared" si="6"/>
      </c>
      <c r="AE24" s="1079">
        <f>IF(B24="","",VLOOKUP($B24,'2-2_算定表②(旧々・新制度)'!$B$8:$AH$65536,33,FALSE))</f>
      </c>
      <c r="AF24" s="1080" t="s">
        <v>182</v>
      </c>
      <c r="AG24" s="1081" t="s">
        <v>182</v>
      </c>
      <c r="AI24" s="61">
        <f t="shared" si="9"/>
      </c>
      <c r="AJ24" s="61">
        <f t="shared" si="7"/>
      </c>
    </row>
    <row r="25" spans="1:36" s="53" customFormat="1" ht="18.75" customHeight="1">
      <c r="A25" s="27">
        <f t="shared" si="8"/>
      </c>
      <c r="B25" s="577"/>
      <c r="C25" s="306">
        <f>IF($B25="","",VLOOKUP($B25,'2-2_算定表②(旧々・新制度)'!$B$8:$U$65536,2,FALSE))</f>
      </c>
      <c r="D25" s="210">
        <f>IF($B25="","",VLOOKUP($B25,'2-2_算定表②(旧々・新制度)'!$B$8:$U$65536,3,FALSE))</f>
      </c>
      <c r="E25" s="565">
        <f>IF($B25="","",VLOOKUP($B25,'2-2_算定表②(旧々・新制度)'!$B$8:$U$65536,6,FALSE))</f>
      </c>
      <c r="F25" s="591">
        <f>IF(B25="","",VLOOKUP($B25,'2-2_算定表②(旧々・新制度)'!$B$8:$U$65536,14,FALSE))</f>
      </c>
      <c r="G25" s="59">
        <f>IF(B25="","",VLOOKUP($B25,'2-2_算定表②(旧々・新制度)'!$B$8:$U$65536,16,FALSE))</f>
      </c>
      <c r="H25" s="591">
        <f>IF(B25="","",VLOOKUP($B25,'2-2_算定表②(旧々・新制度)'!$B$8:$U$65536,17,FALSE))</f>
      </c>
      <c r="I25" s="59">
        <f>IF(B25="","",VLOOKUP($B25,'2-2_算定表②(旧々・新制度)'!$B$8:$U$65536,19,FALSE))</f>
      </c>
      <c r="J25" s="588">
        <f>IF(B25="","",VLOOKUP($B25,'2-2_算定表②(旧々・新制度)'!$B$8:$U$65536,20,FALSE))</f>
      </c>
      <c r="K25" s="524">
        <f>IF($B25="","",VLOOKUP($B25,'2-2_算定表②(旧々・新制度)'!$B$8:$U$65536,14,FALSE))</f>
      </c>
      <c r="L25" s="82">
        <f>IF($B25="","",VLOOKUP($B25,'2-2_算定表②(旧々・新制度)'!$B$8:$U$65536,14,FALSE))</f>
      </c>
      <c r="M25" s="525">
        <f>IF($B25="","",VLOOKUP($B25,'2-2_算定表②(旧々・新制度)'!$B$8:$U$65536,14,FALSE))</f>
      </c>
      <c r="N25" s="526">
        <f>IF($B25="","",VLOOKUP($B25,'2-2_算定表②(旧々・新制度)'!$B$8:$U$65536,17,FALSE))</f>
      </c>
      <c r="O25" s="82">
        <f>IF($B25="","",VLOOKUP($B25,'2-2_算定表②(旧々・新制度)'!$B$8:$U$65536,17,FALSE))</f>
      </c>
      <c r="P25" s="82">
        <f>IF($B25="","",VLOOKUP($B25,'2-2_算定表②(旧々・新制度)'!$B$8:$U$65536,17,FALSE))</f>
      </c>
      <c r="Q25" s="82">
        <f>IF($B25="","",VLOOKUP($B25,'2-2_算定表②(旧々・新制度)'!$B$8:$U$65536,17,FALSE))</f>
      </c>
      <c r="R25" s="82">
        <f>IF($B25="","",VLOOKUP($B25,'2-2_算定表②(旧々・新制度)'!$B$8:$U$65536,17,FALSE))</f>
      </c>
      <c r="S25" s="82">
        <f>IF($B25="","",VLOOKUP($B25,'2-2_算定表②(旧々・新制度)'!$B$8:$U$65536,17,FALSE))</f>
      </c>
      <c r="T25" s="82">
        <f>IF($B25="","",VLOOKUP($B25,'2-2_算定表②(旧々・新制度)'!$B$8:$U$65536,17,FALSE))</f>
      </c>
      <c r="U25" s="82">
        <f>IF($B25="","",VLOOKUP($B25,'2-2_算定表②(旧々・新制度)'!$B$8:$U$65536,17,FALSE))</f>
      </c>
      <c r="V25" s="527">
        <f>IF($B25="","",VLOOKUP($B25,'2-2_算定表②(旧々・新制度)'!$B$8:$U$65536,17,FALSE))</f>
      </c>
      <c r="W25" s="89">
        <f t="shared" si="0"/>
      </c>
      <c r="X25" s="86">
        <f t="shared" si="1"/>
      </c>
      <c r="Y25" s="83">
        <f t="shared" si="2"/>
      </c>
      <c r="Z25" s="95">
        <f t="shared" si="3"/>
      </c>
      <c r="AA25" s="92">
        <f t="shared" si="4"/>
      </c>
      <c r="AB25" s="89">
        <f t="shared" si="5"/>
      </c>
      <c r="AC25" s="60">
        <f>IF(B25="","",ROUNDUP((G25/VLOOKUP($B25,'2-2_算定表②(旧々・新制度)'!$B$8:$AJ$44,9,FALSE)*W25)+(I25/VLOOKUP($B25,'2-2_算定表②(旧々・新制度)'!$B$8:$AJ$44,9,FALSE)*X25)+(G25/VLOOKUP($B25,'2-2_算定表②(旧々・新制度)'!$B$8:$AJ$44,9,FALSE)*Y25)+(I25/VLOOKUP($B25,'2-2_算定表②(旧々・新制度)'!$B$8:$AJ$44,9,FALSE)*Z25),0))</f>
      </c>
      <c r="AD25" s="530">
        <f t="shared" si="6"/>
      </c>
      <c r="AE25" s="1079">
        <f>IF(B25="","",VLOOKUP($B25,'2-2_算定表②(旧々・新制度)'!$B$8:$AH$65536,33,FALSE))</f>
      </c>
      <c r="AF25" s="1080" t="s">
        <v>182</v>
      </c>
      <c r="AG25" s="1081" t="s">
        <v>182</v>
      </c>
      <c r="AI25" s="61">
        <f t="shared" si="9"/>
      </c>
      <c r="AJ25" s="61">
        <f t="shared" si="7"/>
      </c>
    </row>
    <row r="26" spans="1:36" s="53" customFormat="1" ht="18.75" customHeight="1">
      <c r="A26" s="27">
        <f t="shared" si="8"/>
      </c>
      <c r="B26" s="577"/>
      <c r="C26" s="306">
        <f>IF($B26="","",VLOOKUP($B26,'2-2_算定表②(旧々・新制度)'!$B$8:$U$65536,2,FALSE))</f>
      </c>
      <c r="D26" s="210">
        <f>IF($B26="","",VLOOKUP($B26,'2-2_算定表②(旧々・新制度)'!$B$8:$U$65536,3,FALSE))</f>
      </c>
      <c r="E26" s="565">
        <f>IF($B26="","",VLOOKUP($B26,'2-2_算定表②(旧々・新制度)'!$B$8:$U$65536,6,FALSE))</f>
      </c>
      <c r="F26" s="591">
        <f>IF(B26="","",VLOOKUP($B26,'2-2_算定表②(旧々・新制度)'!$B$8:$U$65536,14,FALSE))</f>
      </c>
      <c r="G26" s="59">
        <f>IF(B26="","",VLOOKUP($B26,'2-2_算定表②(旧々・新制度)'!$B$8:$U$65536,16,FALSE))</f>
      </c>
      <c r="H26" s="591">
        <f>IF(B26="","",VLOOKUP($B26,'2-2_算定表②(旧々・新制度)'!$B$8:$U$65536,17,FALSE))</f>
      </c>
      <c r="I26" s="59">
        <f>IF(B26="","",VLOOKUP($B26,'2-2_算定表②(旧々・新制度)'!$B$8:$U$65536,19,FALSE))</f>
      </c>
      <c r="J26" s="588">
        <f>IF(B26="","",VLOOKUP($B26,'2-2_算定表②(旧々・新制度)'!$B$8:$U$65536,20,FALSE))</f>
      </c>
      <c r="K26" s="524">
        <f>IF($B26="","",VLOOKUP($B26,'2-2_算定表②(旧々・新制度)'!$B$8:$U$65536,14,FALSE))</f>
      </c>
      <c r="L26" s="82">
        <f>IF($B26="","",VLOOKUP($B26,'2-2_算定表②(旧々・新制度)'!$B$8:$U$65536,14,FALSE))</f>
      </c>
      <c r="M26" s="525">
        <f>IF($B26="","",VLOOKUP($B26,'2-2_算定表②(旧々・新制度)'!$B$8:$U$65536,14,FALSE))</f>
      </c>
      <c r="N26" s="526">
        <f>IF($B26="","",VLOOKUP($B26,'2-2_算定表②(旧々・新制度)'!$B$8:$U$65536,17,FALSE))</f>
      </c>
      <c r="O26" s="82">
        <f>IF($B26="","",VLOOKUP($B26,'2-2_算定表②(旧々・新制度)'!$B$8:$U$65536,17,FALSE))</f>
      </c>
      <c r="P26" s="82">
        <f>IF($B26="","",VLOOKUP($B26,'2-2_算定表②(旧々・新制度)'!$B$8:$U$65536,17,FALSE))</f>
      </c>
      <c r="Q26" s="82">
        <f>IF($B26="","",VLOOKUP($B26,'2-2_算定表②(旧々・新制度)'!$B$8:$U$65536,17,FALSE))</f>
      </c>
      <c r="R26" s="82">
        <f>IF($B26="","",VLOOKUP($B26,'2-2_算定表②(旧々・新制度)'!$B$8:$U$65536,17,FALSE))</f>
      </c>
      <c r="S26" s="82">
        <f>IF($B26="","",VLOOKUP($B26,'2-2_算定表②(旧々・新制度)'!$B$8:$U$65536,17,FALSE))</f>
      </c>
      <c r="T26" s="82">
        <f>IF($B26="","",VLOOKUP($B26,'2-2_算定表②(旧々・新制度)'!$B$8:$U$65536,17,FALSE))</f>
      </c>
      <c r="U26" s="82">
        <f>IF($B26="","",VLOOKUP($B26,'2-2_算定表②(旧々・新制度)'!$B$8:$U$65536,17,FALSE))</f>
      </c>
      <c r="V26" s="527">
        <f>IF($B26="","",VLOOKUP($B26,'2-2_算定表②(旧々・新制度)'!$B$8:$U$65536,17,FALSE))</f>
      </c>
      <c r="W26" s="89">
        <f t="shared" si="0"/>
      </c>
      <c r="X26" s="86">
        <f t="shared" si="1"/>
      </c>
      <c r="Y26" s="83">
        <f t="shared" si="2"/>
      </c>
      <c r="Z26" s="95">
        <f t="shared" si="3"/>
      </c>
      <c r="AA26" s="92">
        <f t="shared" si="4"/>
      </c>
      <c r="AB26" s="89">
        <f t="shared" si="5"/>
      </c>
      <c r="AC26" s="60">
        <f>IF(B26="","",ROUNDUP((G26/VLOOKUP($B26,'2-2_算定表②(旧々・新制度)'!$B$8:$AJ$44,9,FALSE)*W26)+(I26/VLOOKUP($B26,'2-2_算定表②(旧々・新制度)'!$B$8:$AJ$44,9,FALSE)*X26)+(G26/VLOOKUP($B26,'2-2_算定表②(旧々・新制度)'!$B$8:$AJ$44,9,FALSE)*Y26)+(I26/VLOOKUP($B26,'2-2_算定表②(旧々・新制度)'!$B$8:$AJ$44,9,FALSE)*Z26),0))</f>
      </c>
      <c r="AD26" s="530">
        <f t="shared" si="6"/>
      </c>
      <c r="AE26" s="1079">
        <f>IF(B26="","",VLOOKUP($B26,'2-2_算定表②(旧々・新制度)'!$B$8:$AH$65536,33,FALSE))</f>
      </c>
      <c r="AF26" s="1080" t="s">
        <v>182</v>
      </c>
      <c r="AG26" s="1081" t="s">
        <v>182</v>
      </c>
      <c r="AI26" s="61">
        <f t="shared" si="9"/>
      </c>
      <c r="AJ26" s="61">
        <f t="shared" si="7"/>
      </c>
    </row>
    <row r="27" spans="1:36" s="53" customFormat="1" ht="18.75" customHeight="1">
      <c r="A27" s="27">
        <f t="shared" si="8"/>
      </c>
      <c r="B27" s="577"/>
      <c r="C27" s="306">
        <f>IF($B27="","",VLOOKUP($B27,'2-2_算定表②(旧々・新制度)'!$B$8:$U$65536,2,FALSE))</f>
      </c>
      <c r="D27" s="210">
        <f>IF($B27="","",VLOOKUP($B27,'2-2_算定表②(旧々・新制度)'!$B$8:$U$65536,3,FALSE))</f>
      </c>
      <c r="E27" s="565">
        <f>IF($B27="","",VLOOKUP($B27,'2-2_算定表②(旧々・新制度)'!$B$8:$U$65536,6,FALSE))</f>
      </c>
      <c r="F27" s="591">
        <f>IF(B27="","",VLOOKUP($B27,'2-2_算定表②(旧々・新制度)'!$B$8:$U$65536,14,FALSE))</f>
      </c>
      <c r="G27" s="59">
        <f>IF(B27="","",VLOOKUP($B27,'2-2_算定表②(旧々・新制度)'!$B$8:$U$65536,16,FALSE))</f>
      </c>
      <c r="H27" s="591">
        <f>IF(B27="","",VLOOKUP($B27,'2-2_算定表②(旧々・新制度)'!$B$8:$U$65536,17,FALSE))</f>
      </c>
      <c r="I27" s="59">
        <f>IF(B27="","",VLOOKUP($B27,'2-2_算定表②(旧々・新制度)'!$B$8:$U$65536,19,FALSE))</f>
      </c>
      <c r="J27" s="588">
        <f>IF(B27="","",VLOOKUP($B27,'2-2_算定表②(旧々・新制度)'!$B$8:$U$65536,20,FALSE))</f>
      </c>
      <c r="K27" s="524">
        <f>IF($B27="","",VLOOKUP($B27,'2-2_算定表②(旧々・新制度)'!$B$8:$U$65536,14,FALSE))</f>
      </c>
      <c r="L27" s="82">
        <f>IF($B27="","",VLOOKUP($B27,'2-2_算定表②(旧々・新制度)'!$B$8:$U$65536,14,FALSE))</f>
      </c>
      <c r="M27" s="525">
        <f>IF($B27="","",VLOOKUP($B27,'2-2_算定表②(旧々・新制度)'!$B$8:$U$65536,14,FALSE))</f>
      </c>
      <c r="N27" s="526">
        <f>IF($B27="","",VLOOKUP($B27,'2-2_算定表②(旧々・新制度)'!$B$8:$U$65536,17,FALSE))</f>
      </c>
      <c r="O27" s="82">
        <f>IF($B27="","",VLOOKUP($B27,'2-2_算定表②(旧々・新制度)'!$B$8:$U$65536,17,FALSE))</f>
      </c>
      <c r="P27" s="82">
        <f>IF($B27="","",VLOOKUP($B27,'2-2_算定表②(旧々・新制度)'!$B$8:$U$65536,17,FALSE))</f>
      </c>
      <c r="Q27" s="82">
        <f>IF($B27="","",VLOOKUP($B27,'2-2_算定表②(旧々・新制度)'!$B$8:$U$65536,17,FALSE))</f>
      </c>
      <c r="R27" s="82">
        <f>IF($B27="","",VLOOKUP($B27,'2-2_算定表②(旧々・新制度)'!$B$8:$U$65536,17,FALSE))</f>
      </c>
      <c r="S27" s="82">
        <f>IF($B27="","",VLOOKUP($B27,'2-2_算定表②(旧々・新制度)'!$B$8:$U$65536,17,FALSE))</f>
      </c>
      <c r="T27" s="82">
        <f>IF($B27="","",VLOOKUP($B27,'2-2_算定表②(旧々・新制度)'!$B$8:$U$65536,17,FALSE))</f>
      </c>
      <c r="U27" s="82">
        <f>IF($B27="","",VLOOKUP($B27,'2-2_算定表②(旧々・新制度)'!$B$8:$U$65536,17,FALSE))</f>
      </c>
      <c r="V27" s="527">
        <f>IF($B27="","",VLOOKUP($B27,'2-2_算定表②(旧々・新制度)'!$B$8:$U$65536,17,FALSE))</f>
      </c>
      <c r="W27" s="89">
        <f t="shared" si="0"/>
      </c>
      <c r="X27" s="86">
        <f t="shared" si="1"/>
      </c>
      <c r="Y27" s="83">
        <f t="shared" si="2"/>
      </c>
      <c r="Z27" s="95">
        <f t="shared" si="3"/>
      </c>
      <c r="AA27" s="92">
        <f t="shared" si="4"/>
      </c>
      <c r="AB27" s="89">
        <f t="shared" si="5"/>
      </c>
      <c r="AC27" s="60">
        <f>IF(B27="","",ROUNDUP((G27/VLOOKUP($B27,'2-2_算定表②(旧々・新制度)'!$B$8:$AJ$44,9,FALSE)*W27)+(I27/VLOOKUP($B27,'2-2_算定表②(旧々・新制度)'!$B$8:$AJ$44,9,FALSE)*X27)+(G27/VLOOKUP($B27,'2-2_算定表②(旧々・新制度)'!$B$8:$AJ$44,9,FALSE)*Y27)+(I27/VLOOKUP($B27,'2-2_算定表②(旧々・新制度)'!$B$8:$AJ$44,9,FALSE)*Z27),0))</f>
      </c>
      <c r="AD27" s="530">
        <f t="shared" si="6"/>
      </c>
      <c r="AE27" s="1079">
        <f>IF(B27="","",VLOOKUP($B27,'2-2_算定表②(旧々・新制度)'!$B$8:$AH$65536,33,FALSE))</f>
      </c>
      <c r="AF27" s="1080" t="s">
        <v>182</v>
      </c>
      <c r="AG27" s="1081" t="s">
        <v>182</v>
      </c>
      <c r="AI27" s="61">
        <f t="shared" si="9"/>
      </c>
      <c r="AJ27" s="61">
        <f t="shared" si="7"/>
      </c>
    </row>
    <row r="28" spans="1:36" s="53" customFormat="1" ht="14.25">
      <c r="A28" s="27">
        <f t="shared" si="8"/>
      </c>
      <c r="B28" s="577"/>
      <c r="C28" s="306">
        <f>IF($B28="","",VLOOKUP($B28,'2-2_算定表②(旧々・新制度)'!$B$8:$U$65536,2,FALSE))</f>
      </c>
      <c r="D28" s="210">
        <f>IF($B28="","",VLOOKUP($B28,'2-2_算定表②(旧々・新制度)'!$B$8:$U$65536,3,FALSE))</f>
      </c>
      <c r="E28" s="565">
        <f>IF($B28="","",VLOOKUP($B28,'2-2_算定表②(旧々・新制度)'!$B$8:$U$65536,6,FALSE))</f>
      </c>
      <c r="F28" s="591">
        <f>IF(B28="","",VLOOKUP($B28,'2-2_算定表②(旧々・新制度)'!$B$8:$U$65536,14,FALSE))</f>
      </c>
      <c r="G28" s="59">
        <f>IF(B28="","",VLOOKUP($B28,'2-2_算定表②(旧々・新制度)'!$B$8:$U$65536,16,FALSE))</f>
      </c>
      <c r="H28" s="591">
        <f>IF(B28="","",VLOOKUP($B28,'2-2_算定表②(旧々・新制度)'!$B$8:$U$65536,17,FALSE))</f>
      </c>
      <c r="I28" s="59">
        <f>IF(B28="","",VLOOKUP($B28,'2-2_算定表②(旧々・新制度)'!$B$8:$U$65536,19,FALSE))</f>
      </c>
      <c r="J28" s="588">
        <f>IF(B28="","",VLOOKUP($B28,'2-2_算定表②(旧々・新制度)'!$B$8:$U$65536,20,FALSE))</f>
      </c>
      <c r="K28" s="524">
        <f>IF($B28="","",VLOOKUP($B28,'2-2_算定表②(旧々・新制度)'!$B$8:$U$65536,14,FALSE))</f>
      </c>
      <c r="L28" s="82">
        <f>IF($B28="","",VLOOKUP($B28,'2-2_算定表②(旧々・新制度)'!$B$8:$U$65536,14,FALSE))</f>
      </c>
      <c r="M28" s="525">
        <f>IF($B28="","",VLOOKUP($B28,'2-2_算定表②(旧々・新制度)'!$B$8:$U$65536,14,FALSE))</f>
      </c>
      <c r="N28" s="526">
        <f>IF($B28="","",VLOOKUP($B28,'2-2_算定表②(旧々・新制度)'!$B$8:$U$65536,17,FALSE))</f>
      </c>
      <c r="O28" s="82">
        <f>IF($B28="","",VLOOKUP($B28,'2-2_算定表②(旧々・新制度)'!$B$8:$U$65536,17,FALSE))</f>
      </c>
      <c r="P28" s="82">
        <f>IF($B28="","",VLOOKUP($B28,'2-2_算定表②(旧々・新制度)'!$B$8:$U$65536,17,FALSE))</f>
      </c>
      <c r="Q28" s="82">
        <f>IF($B28="","",VLOOKUP($B28,'2-2_算定表②(旧々・新制度)'!$B$8:$U$65536,17,FALSE))</f>
      </c>
      <c r="R28" s="82">
        <f>IF($B28="","",VLOOKUP($B28,'2-2_算定表②(旧々・新制度)'!$B$8:$U$65536,17,FALSE))</f>
      </c>
      <c r="S28" s="82">
        <f>IF($B28="","",VLOOKUP($B28,'2-2_算定表②(旧々・新制度)'!$B$8:$U$65536,17,FALSE))</f>
      </c>
      <c r="T28" s="82">
        <f>IF($B28="","",VLOOKUP($B28,'2-2_算定表②(旧々・新制度)'!$B$8:$U$65536,17,FALSE))</f>
      </c>
      <c r="U28" s="82">
        <f>IF($B28="","",VLOOKUP($B28,'2-2_算定表②(旧々・新制度)'!$B$8:$U$65536,17,FALSE))</f>
      </c>
      <c r="V28" s="527">
        <f>IF($B28="","",VLOOKUP($B28,'2-2_算定表②(旧々・新制度)'!$B$8:$U$65536,17,FALSE))</f>
      </c>
      <c r="W28" s="89">
        <f t="shared" si="0"/>
      </c>
      <c r="X28" s="86">
        <f t="shared" si="1"/>
      </c>
      <c r="Y28" s="83">
        <f t="shared" si="2"/>
      </c>
      <c r="Z28" s="95">
        <f t="shared" si="3"/>
      </c>
      <c r="AA28" s="92">
        <f t="shared" si="4"/>
      </c>
      <c r="AB28" s="89">
        <f t="shared" si="5"/>
      </c>
      <c r="AC28" s="60">
        <f>IF(B28="","",ROUNDUP((G28/VLOOKUP($B28,'2-2_算定表②(旧々・新制度)'!$B$8:$AJ$44,9,FALSE)*W28)+(I28/VLOOKUP($B28,'2-2_算定表②(旧々・新制度)'!$B$8:$AJ$44,9,FALSE)*X28)+(G28/VLOOKUP($B28,'2-2_算定表②(旧々・新制度)'!$B$8:$AJ$44,9,FALSE)*Y28)+(I28/VLOOKUP($B28,'2-2_算定表②(旧々・新制度)'!$B$8:$AJ$44,9,FALSE)*Z28),0))</f>
      </c>
      <c r="AD28" s="530">
        <f t="shared" si="6"/>
      </c>
      <c r="AE28" s="1079">
        <f>IF(B28="","",VLOOKUP($B28,'2-2_算定表②(旧々・新制度)'!$B$8:$AH$65536,33,FALSE))</f>
      </c>
      <c r="AF28" s="1080" t="s">
        <v>182</v>
      </c>
      <c r="AG28" s="1081" t="s">
        <v>182</v>
      </c>
      <c r="AI28" s="61">
        <f t="shared" si="9"/>
      </c>
      <c r="AJ28" s="61">
        <f t="shared" si="7"/>
      </c>
    </row>
    <row r="29" spans="1:36" s="53" customFormat="1" ht="18.75" customHeight="1">
      <c r="A29" s="27">
        <f t="shared" si="8"/>
      </c>
      <c r="B29" s="577"/>
      <c r="C29" s="306">
        <f>IF($B29="","",VLOOKUP($B29,'2-2_算定表②(旧々・新制度)'!$B$8:$U$65536,2,FALSE))</f>
      </c>
      <c r="D29" s="210">
        <f>IF($B29="","",VLOOKUP($B29,'2-2_算定表②(旧々・新制度)'!$B$8:$U$65536,3,FALSE))</f>
      </c>
      <c r="E29" s="565">
        <f>IF($B29="","",VLOOKUP($B29,'2-2_算定表②(旧々・新制度)'!$B$8:$U$65536,6,FALSE))</f>
      </c>
      <c r="F29" s="591">
        <f>IF(B29="","",VLOOKUP($B29,'2-2_算定表②(旧々・新制度)'!$B$8:$U$65536,14,FALSE))</f>
      </c>
      <c r="G29" s="59">
        <f>IF(B29="","",VLOOKUP($B29,'2-2_算定表②(旧々・新制度)'!$B$8:$U$65536,16,FALSE))</f>
      </c>
      <c r="H29" s="591">
        <f>IF(B29="","",VLOOKUP($B29,'2-2_算定表②(旧々・新制度)'!$B$8:$U$65536,17,FALSE))</f>
      </c>
      <c r="I29" s="59">
        <f>IF(B29="","",VLOOKUP($B29,'2-2_算定表②(旧々・新制度)'!$B$8:$U$65536,19,FALSE))</f>
      </c>
      <c r="J29" s="588">
        <f>IF(B29="","",VLOOKUP($B29,'2-2_算定表②(旧々・新制度)'!$B$8:$U$65536,20,FALSE))</f>
      </c>
      <c r="K29" s="524">
        <f>IF($B29="","",VLOOKUP($B29,'2-2_算定表②(旧々・新制度)'!$B$8:$U$65536,14,FALSE))</f>
      </c>
      <c r="L29" s="82">
        <f>IF($B29="","",VLOOKUP($B29,'2-2_算定表②(旧々・新制度)'!$B$8:$U$65536,14,FALSE))</f>
      </c>
      <c r="M29" s="525">
        <f>IF($B29="","",VLOOKUP($B29,'2-2_算定表②(旧々・新制度)'!$B$8:$U$65536,14,FALSE))</f>
      </c>
      <c r="N29" s="526">
        <f>IF($B29="","",VLOOKUP($B29,'2-2_算定表②(旧々・新制度)'!$B$8:$U$65536,17,FALSE))</f>
      </c>
      <c r="O29" s="82">
        <f>IF($B29="","",VLOOKUP($B29,'2-2_算定表②(旧々・新制度)'!$B$8:$U$65536,17,FALSE))</f>
      </c>
      <c r="P29" s="82">
        <f>IF($B29="","",VLOOKUP($B29,'2-2_算定表②(旧々・新制度)'!$B$8:$U$65536,17,FALSE))</f>
      </c>
      <c r="Q29" s="82">
        <f>IF($B29="","",VLOOKUP($B29,'2-2_算定表②(旧々・新制度)'!$B$8:$U$65536,17,FALSE))</f>
      </c>
      <c r="R29" s="82">
        <f>IF($B29="","",VLOOKUP($B29,'2-2_算定表②(旧々・新制度)'!$B$8:$U$65536,17,FALSE))</f>
      </c>
      <c r="S29" s="82">
        <f>IF($B29="","",VLOOKUP($B29,'2-2_算定表②(旧々・新制度)'!$B$8:$U$65536,17,FALSE))</f>
      </c>
      <c r="T29" s="82">
        <f>IF($B29="","",VLOOKUP($B29,'2-2_算定表②(旧々・新制度)'!$B$8:$U$65536,17,FALSE))</f>
      </c>
      <c r="U29" s="82">
        <f>IF($B29="","",VLOOKUP($B29,'2-2_算定表②(旧々・新制度)'!$B$8:$U$65536,17,FALSE))</f>
      </c>
      <c r="V29" s="527">
        <f>IF($B29="","",VLOOKUP($B29,'2-2_算定表②(旧々・新制度)'!$B$8:$U$65536,17,FALSE))</f>
      </c>
      <c r="W29" s="89">
        <f t="shared" si="0"/>
      </c>
      <c r="X29" s="86">
        <f t="shared" si="1"/>
      </c>
      <c r="Y29" s="83">
        <f t="shared" si="2"/>
      </c>
      <c r="Z29" s="95">
        <f t="shared" si="3"/>
      </c>
      <c r="AA29" s="92">
        <f t="shared" si="4"/>
      </c>
      <c r="AB29" s="89">
        <f t="shared" si="5"/>
      </c>
      <c r="AC29" s="60">
        <f>IF(B29="","",ROUNDUP((G29/VLOOKUP($B29,'2-2_算定表②(旧々・新制度)'!$B$8:$AJ$44,9,FALSE)*W29)+(I29/VLOOKUP($B29,'2-2_算定表②(旧々・新制度)'!$B$8:$AJ$44,9,FALSE)*X29)+(G29/VLOOKUP($B29,'2-2_算定表②(旧々・新制度)'!$B$8:$AJ$44,9,FALSE)*Y29)+(I29/VLOOKUP($B29,'2-2_算定表②(旧々・新制度)'!$B$8:$AJ$44,9,FALSE)*Z29),0))</f>
      </c>
      <c r="AD29" s="530">
        <f t="shared" si="6"/>
      </c>
      <c r="AE29" s="1079">
        <f>IF(B29="","",VLOOKUP($B29,'2-2_算定表②(旧々・新制度)'!$B$8:$AH$65536,33,FALSE))</f>
      </c>
      <c r="AF29" s="1080" t="s">
        <v>182</v>
      </c>
      <c r="AG29" s="1081" t="s">
        <v>182</v>
      </c>
      <c r="AI29" s="61">
        <f t="shared" si="9"/>
      </c>
      <c r="AJ29" s="61">
        <f t="shared" si="7"/>
      </c>
    </row>
    <row r="30" spans="1:36" s="53" customFormat="1" ht="18.75" customHeight="1">
      <c r="A30" s="27">
        <f t="shared" si="8"/>
      </c>
      <c r="B30" s="577"/>
      <c r="C30" s="306">
        <f>IF($B30="","",VLOOKUP($B30,'2-2_算定表②(旧々・新制度)'!$B$8:$U$65536,2,FALSE))</f>
      </c>
      <c r="D30" s="210">
        <f>IF($B30="","",VLOOKUP($B30,'2-2_算定表②(旧々・新制度)'!$B$8:$U$65536,3,FALSE))</f>
      </c>
      <c r="E30" s="565">
        <f>IF($B30="","",VLOOKUP($B30,'2-2_算定表②(旧々・新制度)'!$B$8:$U$65536,6,FALSE))</f>
      </c>
      <c r="F30" s="591">
        <f>IF(B30="","",VLOOKUP($B30,'2-2_算定表②(旧々・新制度)'!$B$8:$U$65536,14,FALSE))</f>
      </c>
      <c r="G30" s="59">
        <f>IF(B30="","",VLOOKUP($B30,'2-2_算定表②(旧々・新制度)'!$B$8:$U$65536,16,FALSE))</f>
      </c>
      <c r="H30" s="591">
        <f>IF(B30="","",VLOOKUP($B30,'2-2_算定表②(旧々・新制度)'!$B$8:$U$65536,17,FALSE))</f>
      </c>
      <c r="I30" s="59">
        <f>IF(B30="","",VLOOKUP($B30,'2-2_算定表②(旧々・新制度)'!$B$8:$U$65536,19,FALSE))</f>
      </c>
      <c r="J30" s="588">
        <f>IF(B30="","",VLOOKUP($B30,'2-2_算定表②(旧々・新制度)'!$B$8:$U$65536,20,FALSE))</f>
      </c>
      <c r="K30" s="524">
        <f>IF($B30="","",VLOOKUP($B30,'2-2_算定表②(旧々・新制度)'!$B$8:$U$65536,14,FALSE))</f>
      </c>
      <c r="L30" s="82">
        <f>IF($B30="","",VLOOKUP($B30,'2-2_算定表②(旧々・新制度)'!$B$8:$U$65536,14,FALSE))</f>
      </c>
      <c r="M30" s="525">
        <f>IF($B30="","",VLOOKUP($B30,'2-2_算定表②(旧々・新制度)'!$B$8:$U$65536,14,FALSE))</f>
      </c>
      <c r="N30" s="526">
        <f>IF($B30="","",VLOOKUP($B30,'2-2_算定表②(旧々・新制度)'!$B$8:$U$65536,17,FALSE))</f>
      </c>
      <c r="O30" s="82">
        <f>IF($B30="","",VLOOKUP($B30,'2-2_算定表②(旧々・新制度)'!$B$8:$U$65536,17,FALSE))</f>
      </c>
      <c r="P30" s="82">
        <f>IF($B30="","",VLOOKUP($B30,'2-2_算定表②(旧々・新制度)'!$B$8:$U$65536,17,FALSE))</f>
      </c>
      <c r="Q30" s="82">
        <f>IF($B30="","",VLOOKUP($B30,'2-2_算定表②(旧々・新制度)'!$B$8:$U$65536,17,FALSE))</f>
      </c>
      <c r="R30" s="82">
        <f>IF($B30="","",VLOOKUP($B30,'2-2_算定表②(旧々・新制度)'!$B$8:$U$65536,17,FALSE))</f>
      </c>
      <c r="S30" s="82">
        <f>IF($B30="","",VLOOKUP($B30,'2-2_算定表②(旧々・新制度)'!$B$8:$U$65536,17,FALSE))</f>
      </c>
      <c r="T30" s="82">
        <f>IF($B30="","",VLOOKUP($B30,'2-2_算定表②(旧々・新制度)'!$B$8:$U$65536,17,FALSE))</f>
      </c>
      <c r="U30" s="82">
        <f>IF($B30="","",VLOOKUP($B30,'2-2_算定表②(旧々・新制度)'!$B$8:$U$65536,17,FALSE))</f>
      </c>
      <c r="V30" s="527">
        <f>IF($B30="","",VLOOKUP($B30,'2-2_算定表②(旧々・新制度)'!$B$8:$U$65536,17,FALSE))</f>
      </c>
      <c r="W30" s="89">
        <f t="shared" si="0"/>
      </c>
      <c r="X30" s="86">
        <f t="shared" si="1"/>
      </c>
      <c r="Y30" s="83">
        <f t="shared" si="2"/>
      </c>
      <c r="Z30" s="95">
        <f t="shared" si="3"/>
      </c>
      <c r="AA30" s="92">
        <f t="shared" si="4"/>
      </c>
      <c r="AB30" s="89">
        <f t="shared" si="5"/>
      </c>
      <c r="AC30" s="60">
        <f>IF(B30="","",ROUNDUP((G30/VLOOKUP($B30,'2-2_算定表②(旧々・新制度)'!$B$8:$AJ$44,9,FALSE)*W30)+(I30/VLOOKUP($B30,'2-2_算定表②(旧々・新制度)'!$B$8:$AJ$44,9,FALSE)*X30)+(G30/VLOOKUP($B30,'2-2_算定表②(旧々・新制度)'!$B$8:$AJ$44,9,FALSE)*Y30)+(I30/VLOOKUP($B30,'2-2_算定表②(旧々・新制度)'!$B$8:$AJ$44,9,FALSE)*Z30),0))</f>
      </c>
      <c r="AD30" s="530">
        <f t="shared" si="6"/>
      </c>
      <c r="AE30" s="1079">
        <f>IF(B30="","",VLOOKUP($B30,'2-2_算定表②(旧々・新制度)'!$B$8:$AH$65536,33,FALSE))</f>
      </c>
      <c r="AF30" s="1080" t="s">
        <v>182</v>
      </c>
      <c r="AG30" s="1081" t="s">
        <v>182</v>
      </c>
      <c r="AI30" s="61">
        <f>IF(A30&gt;0,ASC(C30&amp;H30),"")</f>
      </c>
      <c r="AJ30" s="61">
        <f t="shared" si="7"/>
      </c>
    </row>
    <row r="31" spans="1:36" s="53" customFormat="1" ht="18.75" customHeight="1">
      <c r="A31" s="27">
        <f t="shared" si="8"/>
      </c>
      <c r="B31" s="577"/>
      <c r="C31" s="306">
        <f>IF($B31="","",VLOOKUP($B31,'2-2_算定表②(旧々・新制度)'!$B$8:$U$65536,2,FALSE))</f>
      </c>
      <c r="D31" s="210">
        <f>IF($B31="","",VLOOKUP($B31,'2-2_算定表②(旧々・新制度)'!$B$8:$U$65536,3,FALSE))</f>
      </c>
      <c r="E31" s="565">
        <f>IF($B31="","",VLOOKUP($B31,'2-2_算定表②(旧々・新制度)'!$B$8:$U$65536,6,FALSE))</f>
      </c>
      <c r="F31" s="591">
        <f>IF(B31="","",VLOOKUP($B31,'2-2_算定表②(旧々・新制度)'!$B$8:$U$65536,14,FALSE))</f>
      </c>
      <c r="G31" s="59">
        <f>IF(B31="","",VLOOKUP($B31,'2-2_算定表②(旧々・新制度)'!$B$8:$U$65536,16,FALSE))</f>
      </c>
      <c r="H31" s="591">
        <f>IF(B31="","",VLOOKUP($B31,'2-2_算定表②(旧々・新制度)'!$B$8:$U$65536,17,FALSE))</f>
      </c>
      <c r="I31" s="59">
        <f>IF(B31="","",VLOOKUP($B31,'2-2_算定表②(旧々・新制度)'!$B$8:$U$65536,19,FALSE))</f>
      </c>
      <c r="J31" s="588">
        <f>IF(B31="","",VLOOKUP($B31,'2-2_算定表②(旧々・新制度)'!$B$8:$U$65536,20,FALSE))</f>
      </c>
      <c r="K31" s="524">
        <f>IF($B31="","",VLOOKUP($B31,'2-2_算定表②(旧々・新制度)'!$B$8:$U$65536,14,FALSE))</f>
      </c>
      <c r="L31" s="82">
        <f>IF($B31="","",VLOOKUP($B31,'2-2_算定表②(旧々・新制度)'!$B$8:$U$65536,14,FALSE))</f>
      </c>
      <c r="M31" s="525">
        <f>IF($B31="","",VLOOKUP($B31,'2-2_算定表②(旧々・新制度)'!$B$8:$U$65536,14,FALSE))</f>
      </c>
      <c r="N31" s="526">
        <f>IF($B31="","",VLOOKUP($B31,'2-2_算定表②(旧々・新制度)'!$B$8:$U$65536,17,FALSE))</f>
      </c>
      <c r="O31" s="82">
        <f>IF($B31="","",VLOOKUP($B31,'2-2_算定表②(旧々・新制度)'!$B$8:$U$65536,17,FALSE))</f>
      </c>
      <c r="P31" s="82">
        <f>IF($B31="","",VLOOKUP($B31,'2-2_算定表②(旧々・新制度)'!$B$8:$U$65536,17,FALSE))</f>
      </c>
      <c r="Q31" s="82">
        <f>IF($B31="","",VLOOKUP($B31,'2-2_算定表②(旧々・新制度)'!$B$8:$U$65536,17,FALSE))</f>
      </c>
      <c r="R31" s="82">
        <f>IF($B31="","",VLOOKUP($B31,'2-2_算定表②(旧々・新制度)'!$B$8:$U$65536,17,FALSE))</f>
      </c>
      <c r="S31" s="82">
        <f>IF($B31="","",VLOOKUP($B31,'2-2_算定表②(旧々・新制度)'!$B$8:$U$65536,17,FALSE))</f>
      </c>
      <c r="T31" s="82">
        <f>IF($B31="","",VLOOKUP($B31,'2-2_算定表②(旧々・新制度)'!$B$8:$U$65536,17,FALSE))</f>
      </c>
      <c r="U31" s="82">
        <f>IF($B31="","",VLOOKUP($B31,'2-2_算定表②(旧々・新制度)'!$B$8:$U$65536,17,FALSE))</f>
      </c>
      <c r="V31" s="527">
        <f>IF($B31="","",VLOOKUP($B31,'2-2_算定表②(旧々・新制度)'!$B$8:$U$65536,17,FALSE))</f>
      </c>
      <c r="W31" s="89">
        <f t="shared" si="0"/>
      </c>
      <c r="X31" s="86">
        <f t="shared" si="1"/>
      </c>
      <c r="Y31" s="83">
        <f t="shared" si="2"/>
      </c>
      <c r="Z31" s="95">
        <f t="shared" si="3"/>
      </c>
      <c r="AA31" s="92">
        <f t="shared" si="4"/>
      </c>
      <c r="AB31" s="89">
        <f t="shared" si="5"/>
      </c>
      <c r="AC31" s="60">
        <f>IF(B31="","",ROUNDUP((G31/VLOOKUP($B31,'2-2_算定表②(旧々・新制度)'!$B$8:$AJ$44,9,FALSE)*W31)+(I31/VLOOKUP($B31,'2-2_算定表②(旧々・新制度)'!$B$8:$AJ$44,9,FALSE)*X31)+(G31/VLOOKUP($B31,'2-2_算定表②(旧々・新制度)'!$B$8:$AJ$44,9,FALSE)*Y31)+(I31/VLOOKUP($B31,'2-2_算定表②(旧々・新制度)'!$B$8:$AJ$44,9,FALSE)*Z31),0))</f>
      </c>
      <c r="AD31" s="530">
        <f t="shared" si="6"/>
      </c>
      <c r="AE31" s="1079">
        <f>IF(B31="","",VLOOKUP($B31,'2-2_算定表②(旧々・新制度)'!$B$8:$AH$65536,33,FALSE))</f>
      </c>
      <c r="AF31" s="1080" t="s">
        <v>182</v>
      </c>
      <c r="AG31" s="1081" t="s">
        <v>182</v>
      </c>
      <c r="AI31" s="61">
        <f>IF(A31&gt;0,ASC(C31&amp;H31),"")</f>
      </c>
      <c r="AJ31" s="61">
        <f t="shared" si="7"/>
      </c>
    </row>
    <row r="32" spans="1:36" s="53" customFormat="1" ht="18.75" customHeight="1">
      <c r="A32" s="27">
        <f t="shared" si="8"/>
      </c>
      <c r="B32" s="577"/>
      <c r="C32" s="306">
        <f>IF($B32="","",VLOOKUP($B32,'2-2_算定表②(旧々・新制度)'!$B$8:$U$65536,2,FALSE))</f>
      </c>
      <c r="D32" s="210">
        <f>IF($B32="","",VLOOKUP($B32,'2-2_算定表②(旧々・新制度)'!$B$8:$U$65536,3,FALSE))</f>
      </c>
      <c r="E32" s="565">
        <f>IF($B32="","",VLOOKUP($B32,'2-2_算定表②(旧々・新制度)'!$B$8:$U$65536,6,FALSE))</f>
      </c>
      <c r="F32" s="591">
        <f>IF(B32="","",VLOOKUP($B32,'2-2_算定表②(旧々・新制度)'!$B$8:$U$65536,14,FALSE))</f>
      </c>
      <c r="G32" s="59">
        <f>IF(B32="","",VLOOKUP($B32,'2-2_算定表②(旧々・新制度)'!$B$8:$U$65536,16,FALSE))</f>
      </c>
      <c r="H32" s="591">
        <f>IF(B32="","",VLOOKUP($B32,'2-2_算定表②(旧々・新制度)'!$B$8:$U$65536,17,FALSE))</f>
      </c>
      <c r="I32" s="59">
        <f>IF(B32="","",VLOOKUP($B32,'2-2_算定表②(旧々・新制度)'!$B$8:$U$65536,19,FALSE))</f>
      </c>
      <c r="J32" s="588">
        <f>IF(B32="","",VLOOKUP($B32,'2-2_算定表②(旧々・新制度)'!$B$8:$U$65536,20,FALSE))</f>
      </c>
      <c r="K32" s="524">
        <f>IF($B32="","",VLOOKUP($B32,'2-2_算定表②(旧々・新制度)'!$B$8:$U$65536,14,FALSE))</f>
      </c>
      <c r="L32" s="82">
        <f>IF($B32="","",VLOOKUP($B32,'2-2_算定表②(旧々・新制度)'!$B$8:$U$65536,14,FALSE))</f>
      </c>
      <c r="M32" s="525">
        <f>IF($B32="","",VLOOKUP($B32,'2-2_算定表②(旧々・新制度)'!$B$8:$U$65536,14,FALSE))</f>
      </c>
      <c r="N32" s="526">
        <f>IF($B32="","",VLOOKUP($B32,'2-2_算定表②(旧々・新制度)'!$B$8:$U$65536,17,FALSE))</f>
      </c>
      <c r="O32" s="82">
        <f>IF($B32="","",VLOOKUP($B32,'2-2_算定表②(旧々・新制度)'!$B$8:$U$65536,17,FALSE))</f>
      </c>
      <c r="P32" s="82">
        <f>IF($B32="","",VLOOKUP($B32,'2-2_算定表②(旧々・新制度)'!$B$8:$U$65536,17,FALSE))</f>
      </c>
      <c r="Q32" s="82">
        <f>IF($B32="","",VLOOKUP($B32,'2-2_算定表②(旧々・新制度)'!$B$8:$U$65536,17,FALSE))</f>
      </c>
      <c r="R32" s="82">
        <f>IF($B32="","",VLOOKUP($B32,'2-2_算定表②(旧々・新制度)'!$B$8:$U$65536,17,FALSE))</f>
      </c>
      <c r="S32" s="82">
        <f>IF($B32="","",VLOOKUP($B32,'2-2_算定表②(旧々・新制度)'!$B$8:$U$65536,17,FALSE))</f>
      </c>
      <c r="T32" s="82">
        <f>IF($B32="","",VLOOKUP($B32,'2-2_算定表②(旧々・新制度)'!$B$8:$U$65536,17,FALSE))</f>
      </c>
      <c r="U32" s="82">
        <f>IF($B32="","",VLOOKUP($B32,'2-2_算定表②(旧々・新制度)'!$B$8:$U$65536,17,FALSE))</f>
      </c>
      <c r="V32" s="527">
        <f>IF($B32="","",VLOOKUP($B32,'2-2_算定表②(旧々・新制度)'!$B$8:$U$65536,17,FALSE))</f>
      </c>
      <c r="W32" s="89">
        <f t="shared" si="0"/>
      </c>
      <c r="X32" s="86">
        <f t="shared" si="1"/>
      </c>
      <c r="Y32" s="83">
        <f t="shared" si="2"/>
      </c>
      <c r="Z32" s="95">
        <f t="shared" si="3"/>
      </c>
      <c r="AA32" s="92">
        <f t="shared" si="4"/>
      </c>
      <c r="AB32" s="89">
        <f t="shared" si="5"/>
      </c>
      <c r="AC32" s="60">
        <f>IF(B32="","",ROUNDUP((G32/VLOOKUP($B32,'2-2_算定表②(旧々・新制度)'!$B$8:$AJ$44,9,FALSE)*W32)+(I32/VLOOKUP($B32,'2-2_算定表②(旧々・新制度)'!$B$8:$AJ$44,9,FALSE)*X32)+(G32/VLOOKUP($B32,'2-2_算定表②(旧々・新制度)'!$B$8:$AJ$44,9,FALSE)*Y32)+(I32/VLOOKUP($B32,'2-2_算定表②(旧々・新制度)'!$B$8:$AJ$44,9,FALSE)*Z32),0))</f>
      </c>
      <c r="AD32" s="530">
        <f t="shared" si="6"/>
      </c>
      <c r="AE32" s="1079">
        <f>IF(B32="","",VLOOKUP($B32,'2-2_算定表②(旧々・新制度)'!$B$8:$AH$65536,33,FALSE))</f>
      </c>
      <c r="AF32" s="1080" t="s">
        <v>182</v>
      </c>
      <c r="AG32" s="1081" t="s">
        <v>182</v>
      </c>
      <c r="AI32" s="61">
        <f>IF(A32&gt;0,ASC(C32&amp;H32),"")</f>
      </c>
      <c r="AJ32" s="61">
        <f t="shared" si="7"/>
      </c>
    </row>
    <row r="33" spans="1:36" s="53" customFormat="1" ht="18.75" customHeight="1">
      <c r="A33" s="27">
        <f t="shared" si="8"/>
      </c>
      <c r="B33" s="577"/>
      <c r="C33" s="306">
        <f>IF($B33="","",VLOOKUP($B33,'2-2_算定表②(旧々・新制度)'!$B$8:$U$65536,2,FALSE))</f>
      </c>
      <c r="D33" s="210">
        <f>IF($B33="","",VLOOKUP($B33,'2-2_算定表②(旧々・新制度)'!$B$8:$U$65536,3,FALSE))</f>
      </c>
      <c r="E33" s="565">
        <f>IF($B33="","",VLOOKUP($B33,'2-2_算定表②(旧々・新制度)'!$B$8:$U$65536,6,FALSE))</f>
      </c>
      <c r="F33" s="591">
        <f>IF(B33="","",VLOOKUP($B33,'2-2_算定表②(旧々・新制度)'!$B$8:$U$65536,14,FALSE))</f>
      </c>
      <c r="G33" s="59">
        <f>IF(B33="","",VLOOKUP($B33,'2-2_算定表②(旧々・新制度)'!$B$8:$U$65536,16,FALSE))</f>
      </c>
      <c r="H33" s="591">
        <f>IF(B33="","",VLOOKUP($B33,'2-2_算定表②(旧々・新制度)'!$B$8:$U$65536,17,FALSE))</f>
      </c>
      <c r="I33" s="59">
        <f>IF(B33="","",VLOOKUP($B33,'2-2_算定表②(旧々・新制度)'!$B$8:$U$65536,19,FALSE))</f>
      </c>
      <c r="J33" s="588">
        <f>IF(B33="","",VLOOKUP($B33,'2-2_算定表②(旧々・新制度)'!$B$8:$U$65536,20,FALSE))</f>
      </c>
      <c r="K33" s="524">
        <f>IF($B33="","",VLOOKUP($B33,'2-2_算定表②(旧々・新制度)'!$B$8:$U$65536,14,FALSE))</f>
      </c>
      <c r="L33" s="82">
        <f>IF($B33="","",VLOOKUP($B33,'2-2_算定表②(旧々・新制度)'!$B$8:$U$65536,14,FALSE))</f>
      </c>
      <c r="M33" s="525">
        <f>IF($B33="","",VLOOKUP($B33,'2-2_算定表②(旧々・新制度)'!$B$8:$U$65536,14,FALSE))</f>
      </c>
      <c r="N33" s="526">
        <f>IF($B33="","",VLOOKUP($B33,'2-2_算定表②(旧々・新制度)'!$B$8:$U$65536,17,FALSE))</f>
      </c>
      <c r="O33" s="82">
        <f>IF($B33="","",VLOOKUP($B33,'2-2_算定表②(旧々・新制度)'!$B$8:$U$65536,17,FALSE))</f>
      </c>
      <c r="P33" s="82">
        <f>IF($B33="","",VLOOKUP($B33,'2-2_算定表②(旧々・新制度)'!$B$8:$U$65536,17,FALSE))</f>
      </c>
      <c r="Q33" s="82">
        <f>IF($B33="","",VLOOKUP($B33,'2-2_算定表②(旧々・新制度)'!$B$8:$U$65536,17,FALSE))</f>
      </c>
      <c r="R33" s="82">
        <f>IF($B33="","",VLOOKUP($B33,'2-2_算定表②(旧々・新制度)'!$B$8:$U$65536,17,FALSE))</f>
      </c>
      <c r="S33" s="82">
        <f>IF($B33="","",VLOOKUP($B33,'2-2_算定表②(旧々・新制度)'!$B$8:$U$65536,17,FALSE))</f>
      </c>
      <c r="T33" s="82">
        <f>IF($B33="","",VLOOKUP($B33,'2-2_算定表②(旧々・新制度)'!$B$8:$U$65536,17,FALSE))</f>
      </c>
      <c r="U33" s="82">
        <f>IF($B33="","",VLOOKUP($B33,'2-2_算定表②(旧々・新制度)'!$B$8:$U$65536,17,FALSE))</f>
      </c>
      <c r="V33" s="527">
        <f>IF($B33="","",VLOOKUP($B33,'2-2_算定表②(旧々・新制度)'!$B$8:$U$65536,17,FALSE))</f>
      </c>
      <c r="W33" s="89">
        <f t="shared" si="0"/>
      </c>
      <c r="X33" s="86">
        <f t="shared" si="1"/>
      </c>
      <c r="Y33" s="83">
        <f t="shared" si="2"/>
      </c>
      <c r="Z33" s="95">
        <f t="shared" si="3"/>
      </c>
      <c r="AA33" s="92">
        <f t="shared" si="4"/>
      </c>
      <c r="AB33" s="89">
        <f t="shared" si="5"/>
      </c>
      <c r="AC33" s="60">
        <f>IF(B33="","",ROUNDUP((G33/VLOOKUP($B33,'2-2_算定表②(旧々・新制度)'!$B$8:$AJ$44,9,FALSE)*W33)+(I33/VLOOKUP($B33,'2-2_算定表②(旧々・新制度)'!$B$8:$AJ$44,9,FALSE)*X33)+(G33/VLOOKUP($B33,'2-2_算定表②(旧々・新制度)'!$B$8:$AJ$44,9,FALSE)*Y33)+(I33/VLOOKUP($B33,'2-2_算定表②(旧々・新制度)'!$B$8:$AJ$44,9,FALSE)*Z33),0))</f>
      </c>
      <c r="AD33" s="530">
        <f t="shared" si="6"/>
      </c>
      <c r="AE33" s="1079">
        <f>IF(B33="","",VLOOKUP($B33,'2-2_算定表②(旧々・新制度)'!$B$8:$AH$65536,33,FALSE))</f>
      </c>
      <c r="AF33" s="1080" t="s">
        <v>182</v>
      </c>
      <c r="AG33" s="1081" t="s">
        <v>182</v>
      </c>
      <c r="AI33" s="61">
        <f t="shared" si="9"/>
      </c>
      <c r="AJ33" s="61">
        <f t="shared" si="7"/>
      </c>
    </row>
    <row r="34" spans="1:36" s="53" customFormat="1" ht="18.75" customHeight="1">
      <c r="A34" s="27">
        <f t="shared" si="8"/>
      </c>
      <c r="B34" s="577"/>
      <c r="C34" s="306">
        <f>IF($B34="","",VLOOKUP($B34,'2-2_算定表②(旧々・新制度)'!$B$8:$U$65536,2,FALSE))</f>
      </c>
      <c r="D34" s="210">
        <f>IF($B34="","",VLOOKUP($B34,'2-2_算定表②(旧々・新制度)'!$B$8:$U$65536,3,FALSE))</f>
      </c>
      <c r="E34" s="565">
        <f>IF($B34="","",VLOOKUP($B34,'2-2_算定表②(旧々・新制度)'!$B$8:$U$65536,6,FALSE))</f>
      </c>
      <c r="F34" s="591">
        <f>IF(B34="","",VLOOKUP($B34,'2-2_算定表②(旧々・新制度)'!$B$8:$U$65536,14,FALSE))</f>
      </c>
      <c r="G34" s="59">
        <f>IF(B34="","",VLOOKUP($B34,'2-2_算定表②(旧々・新制度)'!$B$8:$U$65536,16,FALSE))</f>
      </c>
      <c r="H34" s="591">
        <f>IF(B34="","",VLOOKUP($B34,'2-2_算定表②(旧々・新制度)'!$B$8:$U$65536,17,FALSE))</f>
      </c>
      <c r="I34" s="59">
        <f>IF(B34="","",VLOOKUP($B34,'2-2_算定表②(旧々・新制度)'!$B$8:$U$65536,19,FALSE))</f>
      </c>
      <c r="J34" s="588">
        <f>IF(B34="","",VLOOKUP($B34,'2-2_算定表②(旧々・新制度)'!$B$8:$U$65536,20,FALSE))</f>
      </c>
      <c r="K34" s="524">
        <f>IF($B34="","",VLOOKUP($B34,'2-2_算定表②(旧々・新制度)'!$B$8:$U$65536,14,FALSE))</f>
      </c>
      <c r="L34" s="82">
        <f>IF($B34="","",VLOOKUP($B34,'2-2_算定表②(旧々・新制度)'!$B$8:$U$65536,14,FALSE))</f>
      </c>
      <c r="M34" s="525">
        <f>IF($B34="","",VLOOKUP($B34,'2-2_算定表②(旧々・新制度)'!$B$8:$U$65536,14,FALSE))</f>
      </c>
      <c r="N34" s="526">
        <f>IF($B34="","",VLOOKUP($B34,'2-2_算定表②(旧々・新制度)'!$B$8:$U$65536,17,FALSE))</f>
      </c>
      <c r="O34" s="82">
        <f>IF($B34="","",VLOOKUP($B34,'2-2_算定表②(旧々・新制度)'!$B$8:$U$65536,17,FALSE))</f>
      </c>
      <c r="P34" s="82">
        <f>IF($B34="","",VLOOKUP($B34,'2-2_算定表②(旧々・新制度)'!$B$8:$U$65536,17,FALSE))</f>
      </c>
      <c r="Q34" s="82">
        <f>IF($B34="","",VLOOKUP($B34,'2-2_算定表②(旧々・新制度)'!$B$8:$U$65536,17,FALSE))</f>
      </c>
      <c r="R34" s="82">
        <f>IF($B34="","",VLOOKUP($B34,'2-2_算定表②(旧々・新制度)'!$B$8:$U$65536,17,FALSE))</f>
      </c>
      <c r="S34" s="82">
        <f>IF($B34="","",VLOOKUP($B34,'2-2_算定表②(旧々・新制度)'!$B$8:$U$65536,17,FALSE))</f>
      </c>
      <c r="T34" s="82">
        <f>IF($B34="","",VLOOKUP($B34,'2-2_算定表②(旧々・新制度)'!$B$8:$U$65536,17,FALSE))</f>
      </c>
      <c r="U34" s="82">
        <f>IF($B34="","",VLOOKUP($B34,'2-2_算定表②(旧々・新制度)'!$B$8:$U$65536,17,FALSE))</f>
      </c>
      <c r="V34" s="527">
        <f>IF($B34="","",VLOOKUP($B34,'2-2_算定表②(旧々・新制度)'!$B$8:$U$65536,17,FALSE))</f>
      </c>
      <c r="W34" s="89">
        <f t="shared" si="0"/>
      </c>
      <c r="X34" s="86">
        <f t="shared" si="1"/>
      </c>
      <c r="Y34" s="83">
        <f t="shared" si="2"/>
      </c>
      <c r="Z34" s="95">
        <f t="shared" si="3"/>
      </c>
      <c r="AA34" s="92">
        <f t="shared" si="4"/>
      </c>
      <c r="AB34" s="89">
        <f t="shared" si="5"/>
      </c>
      <c r="AC34" s="60">
        <f>IF(B34="","",ROUNDUP((G34/VLOOKUP($B34,'2-2_算定表②(旧々・新制度)'!$B$8:$AJ$44,9,FALSE)*W34)+(I34/VLOOKUP($B34,'2-2_算定表②(旧々・新制度)'!$B$8:$AJ$44,9,FALSE)*X34)+(G34/VLOOKUP($B34,'2-2_算定表②(旧々・新制度)'!$B$8:$AJ$44,9,FALSE)*Y34)+(I34/VLOOKUP($B34,'2-2_算定表②(旧々・新制度)'!$B$8:$AJ$44,9,FALSE)*Z34),0))</f>
      </c>
      <c r="AD34" s="530">
        <f t="shared" si="6"/>
      </c>
      <c r="AE34" s="1079">
        <f>IF(B34="","",VLOOKUP($B34,'2-2_算定表②(旧々・新制度)'!$B$8:$AH$65536,33,FALSE))</f>
      </c>
      <c r="AF34" s="1080" t="s">
        <v>182</v>
      </c>
      <c r="AG34" s="1081" t="s">
        <v>182</v>
      </c>
      <c r="AI34" s="61">
        <f t="shared" si="9"/>
      </c>
      <c r="AJ34" s="61">
        <f t="shared" si="7"/>
      </c>
    </row>
    <row r="35" spans="1:36" s="53" customFormat="1" ht="18.75" customHeight="1">
      <c r="A35" s="27">
        <f t="shared" si="8"/>
      </c>
      <c r="B35" s="577"/>
      <c r="C35" s="306">
        <f>IF($B35="","",VLOOKUP($B35,'2-2_算定表②(旧々・新制度)'!$B$8:$U$65536,2,FALSE))</f>
      </c>
      <c r="D35" s="210">
        <f>IF($B35="","",VLOOKUP($B35,'2-2_算定表②(旧々・新制度)'!$B$8:$U$65536,3,FALSE))</f>
      </c>
      <c r="E35" s="565">
        <f>IF($B35="","",VLOOKUP($B35,'2-2_算定表②(旧々・新制度)'!$B$8:$U$65536,6,FALSE))</f>
      </c>
      <c r="F35" s="591">
        <f>IF(B35="","",VLOOKUP($B35,'2-2_算定表②(旧々・新制度)'!$B$8:$U$65536,14,FALSE))</f>
      </c>
      <c r="G35" s="59">
        <f>IF(B35="","",VLOOKUP($B35,'2-2_算定表②(旧々・新制度)'!$B$8:$U$65536,16,FALSE))</f>
      </c>
      <c r="H35" s="591">
        <f>IF(B35="","",VLOOKUP($B35,'2-2_算定表②(旧々・新制度)'!$B$8:$U$65536,17,FALSE))</f>
      </c>
      <c r="I35" s="59">
        <f>IF(B35="","",VLOOKUP($B35,'2-2_算定表②(旧々・新制度)'!$B$8:$U$65536,19,FALSE))</f>
      </c>
      <c r="J35" s="588">
        <f>IF(B35="","",VLOOKUP($B35,'2-2_算定表②(旧々・新制度)'!$B$8:$U$65536,20,FALSE))</f>
      </c>
      <c r="K35" s="524">
        <f>IF($B35="","",VLOOKUP($B35,'2-2_算定表②(旧々・新制度)'!$B$8:$U$65536,14,FALSE))</f>
      </c>
      <c r="L35" s="82">
        <f>IF($B35="","",VLOOKUP($B35,'2-2_算定表②(旧々・新制度)'!$B$8:$U$65536,14,FALSE))</f>
      </c>
      <c r="M35" s="525">
        <f>IF($B35="","",VLOOKUP($B35,'2-2_算定表②(旧々・新制度)'!$B$8:$U$65536,14,FALSE))</f>
      </c>
      <c r="N35" s="526">
        <f>IF($B35="","",VLOOKUP($B35,'2-2_算定表②(旧々・新制度)'!$B$8:$U$65536,17,FALSE))</f>
      </c>
      <c r="O35" s="82">
        <f>IF($B35="","",VLOOKUP($B35,'2-2_算定表②(旧々・新制度)'!$B$8:$U$65536,17,FALSE))</f>
      </c>
      <c r="P35" s="82">
        <f>IF($B35="","",VLOOKUP($B35,'2-2_算定表②(旧々・新制度)'!$B$8:$U$65536,17,FALSE))</f>
      </c>
      <c r="Q35" s="82">
        <f>IF($B35="","",VLOOKUP($B35,'2-2_算定表②(旧々・新制度)'!$B$8:$U$65536,17,FALSE))</f>
      </c>
      <c r="R35" s="82">
        <f>IF($B35="","",VLOOKUP($B35,'2-2_算定表②(旧々・新制度)'!$B$8:$U$65536,17,FALSE))</f>
      </c>
      <c r="S35" s="82">
        <f>IF($B35="","",VLOOKUP($B35,'2-2_算定表②(旧々・新制度)'!$B$8:$U$65536,17,FALSE))</f>
      </c>
      <c r="T35" s="82">
        <f>IF($B35="","",VLOOKUP($B35,'2-2_算定表②(旧々・新制度)'!$B$8:$U$65536,17,FALSE))</f>
      </c>
      <c r="U35" s="82">
        <f>IF($B35="","",VLOOKUP($B35,'2-2_算定表②(旧々・新制度)'!$B$8:$U$65536,17,FALSE))</f>
      </c>
      <c r="V35" s="527">
        <f>IF($B35="","",VLOOKUP($B35,'2-2_算定表②(旧々・新制度)'!$B$8:$U$65536,17,FALSE))</f>
      </c>
      <c r="W35" s="89">
        <f t="shared" si="0"/>
      </c>
      <c r="X35" s="86">
        <f t="shared" si="1"/>
      </c>
      <c r="Y35" s="83">
        <f t="shared" si="2"/>
      </c>
      <c r="Z35" s="95">
        <f t="shared" si="3"/>
      </c>
      <c r="AA35" s="92">
        <f t="shared" si="4"/>
      </c>
      <c r="AB35" s="89">
        <f t="shared" si="5"/>
      </c>
      <c r="AC35" s="60">
        <f>IF(B35="","",ROUNDUP((G35/VLOOKUP($B35,'2-2_算定表②(旧々・新制度)'!$B$8:$AJ$44,9,FALSE)*W35)+(I35/VLOOKUP($B35,'2-2_算定表②(旧々・新制度)'!$B$8:$AJ$44,9,FALSE)*X35)+(G35/VLOOKUP($B35,'2-2_算定表②(旧々・新制度)'!$B$8:$AJ$44,9,FALSE)*Y35)+(I35/VLOOKUP($B35,'2-2_算定表②(旧々・新制度)'!$B$8:$AJ$44,9,FALSE)*Z35),0))</f>
      </c>
      <c r="AD35" s="530">
        <f t="shared" si="6"/>
      </c>
      <c r="AE35" s="1079">
        <f>IF(B35="","",VLOOKUP($B35,'2-2_算定表②(旧々・新制度)'!$B$8:$AH$65536,33,FALSE))</f>
      </c>
      <c r="AF35" s="1080" t="s">
        <v>182</v>
      </c>
      <c r="AG35" s="1081" t="s">
        <v>182</v>
      </c>
      <c r="AI35" s="61">
        <f t="shared" si="9"/>
      </c>
      <c r="AJ35" s="61">
        <f t="shared" si="7"/>
      </c>
    </row>
    <row r="36" spans="1:36" s="53" customFormat="1" ht="18.75" customHeight="1">
      <c r="A36" s="27">
        <f t="shared" si="8"/>
      </c>
      <c r="B36" s="577"/>
      <c r="C36" s="306">
        <f>IF($B36="","",VLOOKUP($B36,'2-2_算定表②(旧々・新制度)'!$B$8:$U$65536,2,FALSE))</f>
      </c>
      <c r="D36" s="210">
        <f>IF($B36="","",VLOOKUP($B36,'2-2_算定表②(旧々・新制度)'!$B$8:$U$65536,3,FALSE))</f>
      </c>
      <c r="E36" s="565">
        <f>IF($B36="","",VLOOKUP($B36,'2-2_算定表②(旧々・新制度)'!$B$8:$U$65536,6,FALSE))</f>
      </c>
      <c r="F36" s="591">
        <f>IF(B36="","",VLOOKUP($B36,'2-2_算定表②(旧々・新制度)'!$B$8:$U$65536,14,FALSE))</f>
      </c>
      <c r="G36" s="59">
        <f>IF(B36="","",VLOOKUP($B36,'2-2_算定表②(旧々・新制度)'!$B$8:$U$65536,16,FALSE))</f>
      </c>
      <c r="H36" s="591">
        <f>IF(B36="","",VLOOKUP($B36,'2-2_算定表②(旧々・新制度)'!$B$8:$U$65536,17,FALSE))</f>
      </c>
      <c r="I36" s="59">
        <f>IF(B36="","",VLOOKUP($B36,'2-2_算定表②(旧々・新制度)'!$B$8:$U$65536,19,FALSE))</f>
      </c>
      <c r="J36" s="588">
        <f>IF(B36="","",VLOOKUP($B36,'2-2_算定表②(旧々・新制度)'!$B$8:$U$65536,20,FALSE))</f>
      </c>
      <c r="K36" s="524">
        <f>IF($B36="","",VLOOKUP($B36,'2-2_算定表②(旧々・新制度)'!$B$8:$U$65536,14,FALSE))</f>
      </c>
      <c r="L36" s="82">
        <f>IF($B36="","",VLOOKUP($B36,'2-2_算定表②(旧々・新制度)'!$B$8:$U$65536,14,FALSE))</f>
      </c>
      <c r="M36" s="525">
        <f>IF($B36="","",VLOOKUP($B36,'2-2_算定表②(旧々・新制度)'!$B$8:$U$65536,14,FALSE))</f>
      </c>
      <c r="N36" s="526">
        <f>IF($B36="","",VLOOKUP($B36,'2-2_算定表②(旧々・新制度)'!$B$8:$U$65536,17,FALSE))</f>
      </c>
      <c r="O36" s="82">
        <f>IF($B36="","",VLOOKUP($B36,'2-2_算定表②(旧々・新制度)'!$B$8:$U$65536,17,FALSE))</f>
      </c>
      <c r="P36" s="82">
        <f>IF($B36="","",VLOOKUP($B36,'2-2_算定表②(旧々・新制度)'!$B$8:$U$65536,17,FALSE))</f>
      </c>
      <c r="Q36" s="82">
        <f>IF($B36="","",VLOOKUP($B36,'2-2_算定表②(旧々・新制度)'!$B$8:$U$65536,17,FALSE))</f>
      </c>
      <c r="R36" s="82">
        <f>IF($B36="","",VLOOKUP($B36,'2-2_算定表②(旧々・新制度)'!$B$8:$U$65536,17,FALSE))</f>
      </c>
      <c r="S36" s="82">
        <f>IF($B36="","",VLOOKUP($B36,'2-2_算定表②(旧々・新制度)'!$B$8:$U$65536,17,FALSE))</f>
      </c>
      <c r="T36" s="82">
        <f>IF($B36="","",VLOOKUP($B36,'2-2_算定表②(旧々・新制度)'!$B$8:$U$65536,17,FALSE))</f>
      </c>
      <c r="U36" s="82">
        <f>IF($B36="","",VLOOKUP($B36,'2-2_算定表②(旧々・新制度)'!$B$8:$U$65536,17,FALSE))</f>
      </c>
      <c r="V36" s="527">
        <f>IF($B36="","",VLOOKUP($B36,'2-2_算定表②(旧々・新制度)'!$B$8:$U$65536,17,FALSE))</f>
      </c>
      <c r="W36" s="89">
        <f t="shared" si="0"/>
      </c>
      <c r="X36" s="86">
        <f t="shared" si="1"/>
      </c>
      <c r="Y36" s="83">
        <f t="shared" si="2"/>
      </c>
      <c r="Z36" s="95">
        <f t="shared" si="3"/>
      </c>
      <c r="AA36" s="92">
        <f t="shared" si="4"/>
      </c>
      <c r="AB36" s="89">
        <f t="shared" si="5"/>
      </c>
      <c r="AC36" s="60">
        <f>IF(B36="","",ROUNDUP((G36/VLOOKUP($B36,'2-2_算定表②(旧々・新制度)'!$B$8:$AJ$44,9,FALSE)*W36)+(I36/VLOOKUP($B36,'2-2_算定表②(旧々・新制度)'!$B$8:$AJ$44,9,FALSE)*X36)+(G36/VLOOKUP($B36,'2-2_算定表②(旧々・新制度)'!$B$8:$AJ$44,9,FALSE)*Y36)+(I36/VLOOKUP($B36,'2-2_算定表②(旧々・新制度)'!$B$8:$AJ$44,9,FALSE)*Z36),0))</f>
      </c>
      <c r="AD36" s="530">
        <f t="shared" si="6"/>
      </c>
      <c r="AE36" s="1079">
        <f>IF(B36="","",VLOOKUP($B36,'2-2_算定表②(旧々・新制度)'!$B$8:$AH$65536,33,FALSE))</f>
      </c>
      <c r="AF36" s="1080" t="s">
        <v>182</v>
      </c>
      <c r="AG36" s="1081" t="s">
        <v>182</v>
      </c>
      <c r="AI36" s="61">
        <f t="shared" si="9"/>
      </c>
      <c r="AJ36" s="61">
        <f t="shared" si="7"/>
      </c>
    </row>
    <row r="37" spans="1:36" s="53" customFormat="1" ht="18.75" customHeight="1">
      <c r="A37" s="27">
        <f t="shared" si="8"/>
      </c>
      <c r="B37" s="577"/>
      <c r="C37" s="306">
        <f>IF($B37="","",VLOOKUP($B37,'2-2_算定表②(旧々・新制度)'!$B$8:$U$65536,2,FALSE))</f>
      </c>
      <c r="D37" s="210">
        <f>IF($B37="","",VLOOKUP($B37,'2-2_算定表②(旧々・新制度)'!$B$8:$U$65536,3,FALSE))</f>
      </c>
      <c r="E37" s="565">
        <f>IF($B37="","",VLOOKUP($B37,'2-2_算定表②(旧々・新制度)'!$B$8:$U$65536,6,FALSE))</f>
      </c>
      <c r="F37" s="591">
        <f>IF(B37="","",VLOOKUP($B37,'2-2_算定表②(旧々・新制度)'!$B$8:$U$65536,14,FALSE))</f>
      </c>
      <c r="G37" s="59">
        <f>IF(B37="","",VLOOKUP($B37,'2-2_算定表②(旧々・新制度)'!$B$8:$U$65536,16,FALSE))</f>
      </c>
      <c r="H37" s="591">
        <f>IF(B37="","",VLOOKUP($B37,'2-2_算定表②(旧々・新制度)'!$B$8:$U$65536,17,FALSE))</f>
      </c>
      <c r="I37" s="59">
        <f>IF(B37="","",VLOOKUP($B37,'2-2_算定表②(旧々・新制度)'!$B$8:$U$65536,19,FALSE))</f>
      </c>
      <c r="J37" s="588">
        <f>IF(B37="","",VLOOKUP($B37,'2-2_算定表②(旧々・新制度)'!$B$8:$U$65536,20,FALSE))</f>
      </c>
      <c r="K37" s="524">
        <f>IF($B37="","",VLOOKUP($B37,'2-2_算定表②(旧々・新制度)'!$B$8:$U$65536,14,FALSE))</f>
      </c>
      <c r="L37" s="82">
        <f>IF($B37="","",VLOOKUP($B37,'2-2_算定表②(旧々・新制度)'!$B$8:$U$65536,14,FALSE))</f>
      </c>
      <c r="M37" s="525">
        <f>IF($B37="","",VLOOKUP($B37,'2-2_算定表②(旧々・新制度)'!$B$8:$U$65536,14,FALSE))</f>
      </c>
      <c r="N37" s="526">
        <f>IF($B37="","",VLOOKUP($B37,'2-2_算定表②(旧々・新制度)'!$B$8:$U$65536,17,FALSE))</f>
      </c>
      <c r="O37" s="82">
        <f>IF($B37="","",VLOOKUP($B37,'2-2_算定表②(旧々・新制度)'!$B$8:$U$65536,17,FALSE))</f>
      </c>
      <c r="P37" s="82">
        <f>IF($B37="","",VLOOKUP($B37,'2-2_算定表②(旧々・新制度)'!$B$8:$U$65536,17,FALSE))</f>
      </c>
      <c r="Q37" s="82">
        <f>IF($B37="","",VLOOKUP($B37,'2-2_算定表②(旧々・新制度)'!$B$8:$U$65536,17,FALSE))</f>
      </c>
      <c r="R37" s="82">
        <f>IF($B37="","",VLOOKUP($B37,'2-2_算定表②(旧々・新制度)'!$B$8:$U$65536,17,FALSE))</f>
      </c>
      <c r="S37" s="82">
        <f>IF($B37="","",VLOOKUP($B37,'2-2_算定表②(旧々・新制度)'!$B$8:$U$65536,17,FALSE))</f>
      </c>
      <c r="T37" s="82">
        <f>IF($B37="","",VLOOKUP($B37,'2-2_算定表②(旧々・新制度)'!$B$8:$U$65536,17,FALSE))</f>
      </c>
      <c r="U37" s="82">
        <f>IF($B37="","",VLOOKUP($B37,'2-2_算定表②(旧々・新制度)'!$B$8:$U$65536,17,FALSE))</f>
      </c>
      <c r="V37" s="527">
        <f>IF($B37="","",VLOOKUP($B37,'2-2_算定表②(旧々・新制度)'!$B$8:$U$65536,17,FALSE))</f>
      </c>
      <c r="W37" s="89">
        <f t="shared" si="0"/>
      </c>
      <c r="X37" s="86">
        <f t="shared" si="1"/>
      </c>
      <c r="Y37" s="83">
        <f t="shared" si="2"/>
      </c>
      <c r="Z37" s="95">
        <f t="shared" si="3"/>
      </c>
      <c r="AA37" s="92">
        <f t="shared" si="4"/>
      </c>
      <c r="AB37" s="89">
        <f t="shared" si="5"/>
      </c>
      <c r="AC37" s="60">
        <f>IF(B37="","",ROUNDUP((G37/VLOOKUP($B37,'2-2_算定表②(旧々・新制度)'!$B$8:$AJ$44,9,FALSE)*W37)+(I37/VLOOKUP($B37,'2-2_算定表②(旧々・新制度)'!$B$8:$AJ$44,9,FALSE)*X37)+(G37/VLOOKUP($B37,'2-2_算定表②(旧々・新制度)'!$B$8:$AJ$44,9,FALSE)*Y37)+(I37/VLOOKUP($B37,'2-2_算定表②(旧々・新制度)'!$B$8:$AJ$44,9,FALSE)*Z37),0))</f>
      </c>
      <c r="AD37" s="530">
        <f t="shared" si="6"/>
      </c>
      <c r="AE37" s="1079">
        <f>IF(B37="","",VLOOKUP($B37,'2-2_算定表②(旧々・新制度)'!$B$8:$AH$65536,33,FALSE))</f>
      </c>
      <c r="AF37" s="1080" t="s">
        <v>182</v>
      </c>
      <c r="AG37" s="1081" t="s">
        <v>182</v>
      </c>
      <c r="AI37" s="61">
        <f t="shared" si="9"/>
      </c>
      <c r="AJ37" s="61">
        <f t="shared" si="7"/>
      </c>
    </row>
    <row r="38" spans="1:36" s="53" customFormat="1" ht="18.75" customHeight="1" thickBot="1">
      <c r="A38" s="27">
        <f t="shared" si="8"/>
      </c>
      <c r="B38" s="577"/>
      <c r="C38" s="308">
        <f>IF($B38="","",VLOOKUP($B38,'2-2_算定表②(旧々・新制度)'!$B$8:$U$65536,2,FALSE))</f>
      </c>
      <c r="D38" s="220">
        <f>IF($B38="","",VLOOKUP($B38,'2-2_算定表②(旧々・新制度)'!$B$8:$U$65536,3,FALSE))</f>
      </c>
      <c r="E38" s="569">
        <f>IF($B38="","",VLOOKUP($B38,'2-2_算定表②(旧々・新制度)'!$B$8:$U$65536,6,FALSE))</f>
      </c>
      <c r="F38" s="592">
        <f>IF(B38="","",VLOOKUP($B38,'2-2_算定表②(旧々・新制度)'!$B$8:$U$65536,14,FALSE))</f>
      </c>
      <c r="G38" s="309">
        <f>IF(B38="","",VLOOKUP($B38,'2-2_算定表②(旧々・新制度)'!$B$8:$U$65536,16,FALSE))</f>
      </c>
      <c r="H38" s="592">
        <f>IF(B38="","",VLOOKUP($B38,'2-2_算定表②(旧々・新制度)'!$B$8:$U$65536,17,FALSE))</f>
      </c>
      <c r="I38" s="309">
        <f>IF(B38="","",VLOOKUP($B38,'2-2_算定表②(旧々・新制度)'!$B$8:$U$65536,19,FALSE))</f>
      </c>
      <c r="J38" s="589">
        <f>IF(B38="","",VLOOKUP($B38,'2-2_算定表②(旧々・新制度)'!$B$8:$U$65536,20,FALSE))</f>
      </c>
      <c r="K38" s="531">
        <f>IF($B38="","",VLOOKUP($B38,'2-2_算定表②(旧々・新制度)'!$B$8:$U$65536,14,FALSE))</f>
      </c>
      <c r="L38" s="311">
        <f>IF($B38="","",VLOOKUP($B38,'2-2_算定表②(旧々・新制度)'!$B$8:$U$65536,14,FALSE))</f>
      </c>
      <c r="M38" s="532">
        <f>IF($B38="","",VLOOKUP($B38,'2-2_算定表②(旧々・新制度)'!$B$8:$U$65536,14,FALSE))</f>
      </c>
      <c r="N38" s="533">
        <f>IF($B38="","",VLOOKUP($B38,'2-2_算定表②(旧々・新制度)'!$B$8:$U$65536,17,FALSE))</f>
      </c>
      <c r="O38" s="311">
        <f>IF($B38="","",VLOOKUP($B38,'2-2_算定表②(旧々・新制度)'!$B$8:$U$65536,17,FALSE))</f>
      </c>
      <c r="P38" s="311">
        <f>IF($B38="","",VLOOKUP($B38,'2-2_算定表②(旧々・新制度)'!$B$8:$U$65536,17,FALSE))</f>
      </c>
      <c r="Q38" s="311">
        <f>IF($B38="","",VLOOKUP($B38,'2-2_算定表②(旧々・新制度)'!$B$8:$U$65536,17,FALSE))</f>
      </c>
      <c r="R38" s="311">
        <f>IF($B38="","",VLOOKUP($B38,'2-2_算定表②(旧々・新制度)'!$B$8:$U$65536,17,FALSE))</f>
      </c>
      <c r="S38" s="311">
        <f>IF($B38="","",VLOOKUP($B38,'2-2_算定表②(旧々・新制度)'!$B$8:$U$65536,17,FALSE))</f>
      </c>
      <c r="T38" s="311">
        <f>IF($B38="","",VLOOKUP($B38,'2-2_算定表②(旧々・新制度)'!$B$8:$U$65536,17,FALSE))</f>
      </c>
      <c r="U38" s="311">
        <f>IF($B38="","",VLOOKUP($B38,'2-2_算定表②(旧々・新制度)'!$B$8:$U$65536,17,FALSE))</f>
      </c>
      <c r="V38" s="534">
        <f>IF($B38="","",VLOOKUP($B38,'2-2_算定表②(旧々・新制度)'!$B$8:$U$65536,17,FALSE))</f>
      </c>
      <c r="W38" s="89">
        <f t="shared" si="0"/>
      </c>
      <c r="X38" s="86">
        <f t="shared" si="1"/>
      </c>
      <c r="Y38" s="83">
        <f t="shared" si="2"/>
      </c>
      <c r="Z38" s="95">
        <f t="shared" si="3"/>
      </c>
      <c r="AA38" s="92">
        <f t="shared" si="4"/>
      </c>
      <c r="AB38" s="89">
        <f t="shared" si="5"/>
      </c>
      <c r="AC38" s="310">
        <f>IF(B38="","",ROUNDUP((G38/VLOOKUP($B38,'2-2_算定表②(旧々・新制度)'!$B$8:$AJ$44,9,FALSE)*W38)+(I38/VLOOKUP($B38,'2-2_算定表②(旧々・新制度)'!$B$8:$AJ$44,9,FALSE)*X38)+(G38/VLOOKUP($B38,'2-2_算定表②(旧々・新制度)'!$B$8:$AJ$44,9,FALSE)*Y38)+(I38/VLOOKUP($B38,'2-2_算定表②(旧々・新制度)'!$B$8:$AJ$44,9,FALSE)*Z38),0))</f>
      </c>
      <c r="AD38" s="530">
        <f t="shared" si="6"/>
      </c>
      <c r="AE38" s="1082">
        <f>IF(B38="","",VLOOKUP($B38,'2-2_算定表②(旧々・新制度)'!$B$8:$AH$65536,33,FALSE))</f>
      </c>
      <c r="AF38" s="1083" t="s">
        <v>182</v>
      </c>
      <c r="AG38" s="1084" t="s">
        <v>182</v>
      </c>
      <c r="AI38" s="61">
        <f t="shared" si="9"/>
      </c>
      <c r="AJ38" s="61">
        <f t="shared" si="7"/>
      </c>
    </row>
    <row r="39" spans="1:36" s="66" customFormat="1" ht="18.75" customHeight="1" thickBot="1">
      <c r="A39" s="948" t="s">
        <v>24</v>
      </c>
      <c r="B39" s="1022"/>
      <c r="C39" s="1023"/>
      <c r="D39" s="1023"/>
      <c r="E39" s="1023"/>
      <c r="F39" s="1023"/>
      <c r="G39" s="1023"/>
      <c r="H39" s="1023"/>
      <c r="I39" s="1023"/>
      <c r="J39" s="522">
        <f>SUM(J9:J38)</f>
        <v>0</v>
      </c>
      <c r="K39" s="536" t="s">
        <v>134</v>
      </c>
      <c r="L39" s="537" t="s">
        <v>280</v>
      </c>
      <c r="M39" s="538" t="s">
        <v>313</v>
      </c>
      <c r="N39" s="536" t="s">
        <v>313</v>
      </c>
      <c r="O39" s="537" t="s">
        <v>280</v>
      </c>
      <c r="P39" s="537" t="s">
        <v>280</v>
      </c>
      <c r="Q39" s="537" t="s">
        <v>281</v>
      </c>
      <c r="R39" s="537" t="s">
        <v>280</v>
      </c>
      <c r="S39" s="537" t="s">
        <v>280</v>
      </c>
      <c r="T39" s="537" t="s">
        <v>280</v>
      </c>
      <c r="U39" s="537" t="s">
        <v>314</v>
      </c>
      <c r="V39" s="538" t="s">
        <v>280</v>
      </c>
      <c r="W39" s="171" t="s">
        <v>281</v>
      </c>
      <c r="X39" s="173" t="s">
        <v>313</v>
      </c>
      <c r="Y39" s="171" t="s">
        <v>280</v>
      </c>
      <c r="Z39" s="174" t="s">
        <v>281</v>
      </c>
      <c r="AA39" s="175" t="s">
        <v>314</v>
      </c>
      <c r="AB39" s="176" t="s">
        <v>134</v>
      </c>
      <c r="AC39" s="539">
        <f>SUM(AC9:AC38)</f>
        <v>0</v>
      </c>
      <c r="AD39" s="65">
        <f>SUM(AD9:AD38)</f>
        <v>0</v>
      </c>
      <c r="AE39" s="1024"/>
      <c r="AF39" s="1025"/>
      <c r="AG39" s="1026"/>
      <c r="AI39" s="67"/>
      <c r="AJ39" s="67"/>
    </row>
    <row r="40" spans="1:36" s="68" customFormat="1" ht="16.5" customHeight="1">
      <c r="A40" s="68" t="s">
        <v>26</v>
      </c>
      <c r="AI40" s="69"/>
      <c r="AJ40" s="69"/>
    </row>
    <row r="41" ht="18.75" customHeight="1">
      <c r="A41" s="238" t="s">
        <v>282</v>
      </c>
    </row>
    <row r="42" ht="18.75" customHeight="1">
      <c r="A42" s="238" t="s">
        <v>64</v>
      </c>
    </row>
    <row r="43" ht="18.75" customHeight="1">
      <c r="A43" s="238" t="s">
        <v>156</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7:AG37"/>
    <mergeCell ref="AE38:AG38"/>
    <mergeCell ref="A39:I39"/>
    <mergeCell ref="AE39:AG39"/>
    <mergeCell ref="AE31:AG31"/>
    <mergeCell ref="AE32:AG32"/>
    <mergeCell ref="AE33:AG33"/>
    <mergeCell ref="AE34:AG34"/>
    <mergeCell ref="AE35:AG35"/>
    <mergeCell ref="AE36:AG36"/>
    <mergeCell ref="AE25:AG25"/>
    <mergeCell ref="AE26:AG26"/>
    <mergeCell ref="AE27:AG27"/>
    <mergeCell ref="AE28:AG28"/>
    <mergeCell ref="AE29:AG29"/>
    <mergeCell ref="AE30:AG30"/>
    <mergeCell ref="AE19:AG19"/>
    <mergeCell ref="AE20:AG20"/>
    <mergeCell ref="AE21:AG21"/>
    <mergeCell ref="AE22:AG22"/>
    <mergeCell ref="AE23:AG23"/>
    <mergeCell ref="AE24:AG24"/>
    <mergeCell ref="AE13:AG13"/>
    <mergeCell ref="AE14:AG14"/>
    <mergeCell ref="AE15:AG15"/>
    <mergeCell ref="AE16:AG16"/>
    <mergeCell ref="AE17:AG17"/>
    <mergeCell ref="AE18:AG18"/>
    <mergeCell ref="AI7:AI8"/>
    <mergeCell ref="AJ7:AJ8"/>
    <mergeCell ref="AE9:AG9"/>
    <mergeCell ref="AE10:AG10"/>
    <mergeCell ref="AE11:AG11"/>
    <mergeCell ref="AE12:AG12"/>
    <mergeCell ref="AA6:AA8"/>
    <mergeCell ref="AB6:AB8"/>
    <mergeCell ref="K7:K8"/>
    <mergeCell ref="L7:L8"/>
    <mergeCell ref="M7:M8"/>
    <mergeCell ref="N7:N8"/>
    <mergeCell ref="O7:O8"/>
    <mergeCell ref="P7:P8"/>
    <mergeCell ref="Q7:Q8"/>
    <mergeCell ref="R7:R8"/>
    <mergeCell ref="K6:M6"/>
    <mergeCell ref="N6:V6"/>
    <mergeCell ref="W6:W8"/>
    <mergeCell ref="X6:X8"/>
    <mergeCell ref="Y6:Y8"/>
    <mergeCell ref="Z6:Z8"/>
    <mergeCell ref="S7:S8"/>
    <mergeCell ref="T7:T8"/>
    <mergeCell ref="U7:U8"/>
    <mergeCell ref="V7:V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whole" allowBlank="1" showInputMessage="1" showErrorMessage="1" sqref="B14:B38">
      <formula1>1</formula1>
      <formula2>999999</formula2>
    </dataValidation>
    <dataValidation type="list" allowBlank="1" showInput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49" r:id="rId3"/>
  <legacyDrawing r:id="rId2"/>
</worksheet>
</file>

<file path=xl/worksheets/sheet9.xml><?xml version="1.0" encoding="utf-8"?>
<worksheet xmlns="http://schemas.openxmlformats.org/spreadsheetml/2006/main" xmlns:r="http://schemas.openxmlformats.org/officeDocument/2006/relationships">
  <sheetPr codeName="Sheet2">
    <tabColor rgb="FF00B050"/>
  </sheetPr>
  <dimension ref="A1:W37"/>
  <sheetViews>
    <sheetView tabSelected="1" view="pageBreakPreview" zoomScaleNormal="75" zoomScaleSheetLayoutView="100" zoomScalePageLayoutView="0" workbookViewId="0" topLeftCell="A1">
      <pane xSplit="1" ySplit="8" topLeftCell="H15" activePane="bottomRight" state="frozen"/>
      <selection pane="topLeft" activeCell="T27" sqref="T27"/>
      <selection pane="topRight" activeCell="T27" sqref="T27"/>
      <selection pane="bottomLeft" activeCell="T27" sqref="T27"/>
      <selection pane="bottomRight" activeCell="T27" sqref="T27"/>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86" customWidth="1"/>
    <col min="18" max="18" width="14.875" style="286" customWidth="1"/>
    <col min="19" max="19" width="3.125" style="40" customWidth="1"/>
    <col min="20" max="21" width="5.625" style="40" customWidth="1"/>
    <col min="22" max="22" width="8.25390625" style="40" customWidth="1"/>
    <col min="23" max="16384" width="9.625" style="40" customWidth="1"/>
  </cols>
  <sheetData>
    <row r="1" ht="18.75" customHeight="1" thickBot="1">
      <c r="A1" s="38" t="s">
        <v>215</v>
      </c>
    </row>
    <row r="2" spans="12:18" ht="24.75" customHeight="1" thickBot="1">
      <c r="L2" s="839" t="s">
        <v>22</v>
      </c>
      <c r="M2" s="840"/>
      <c r="N2" s="843">
        <f>'1_総括表'!E3</f>
        <v>0</v>
      </c>
      <c r="O2" s="844"/>
      <c r="P2" s="839" t="s">
        <v>23</v>
      </c>
      <c r="Q2" s="840"/>
      <c r="R2" s="157">
        <f>'1_総括表'!Z3</f>
        <v>0</v>
      </c>
    </row>
    <row r="3" spans="1:18" ht="24.75" customHeight="1" thickBot="1">
      <c r="A3" s="38"/>
      <c r="F3" s="107"/>
      <c r="G3" s="107"/>
      <c r="I3" s="107"/>
      <c r="L3" s="841" t="s">
        <v>20</v>
      </c>
      <c r="M3" s="842"/>
      <c r="N3" s="843">
        <f>'1_総括表'!E4</f>
        <v>0</v>
      </c>
      <c r="O3" s="844"/>
      <c r="P3" s="841" t="s">
        <v>21</v>
      </c>
      <c r="Q3" s="842"/>
      <c r="R3" s="341">
        <f>'1_総括表'!Z4</f>
        <v>0</v>
      </c>
    </row>
    <row r="4" spans="1:9" ht="18.75" customHeight="1" thickBot="1">
      <c r="A4" s="272" t="s">
        <v>196</v>
      </c>
      <c r="F4" s="108"/>
      <c r="G4" s="108"/>
      <c r="H4" s="108"/>
      <c r="I4" s="108"/>
    </row>
    <row r="5" spans="1:18" s="44" customFormat="1" ht="19.5" customHeight="1" thickBot="1">
      <c r="A5" s="109" t="s">
        <v>14</v>
      </c>
      <c r="B5" s="877" t="s">
        <v>104</v>
      </c>
      <c r="C5" s="276"/>
      <c r="D5" s="277"/>
      <c r="E5" s="878" t="s">
        <v>139</v>
      </c>
      <c r="F5" s="151"/>
      <c r="G5" s="152"/>
      <c r="H5" s="880" t="s">
        <v>126</v>
      </c>
      <c r="I5" s="882" t="s">
        <v>127</v>
      </c>
      <c r="J5" s="882" t="s">
        <v>128</v>
      </c>
      <c r="K5" s="872" t="s">
        <v>207</v>
      </c>
      <c r="L5" s="873"/>
      <c r="M5" s="873"/>
      <c r="N5" s="874"/>
      <c r="O5" s="875" t="s">
        <v>219</v>
      </c>
      <c r="P5" s="876"/>
      <c r="Q5" s="875" t="s">
        <v>208</v>
      </c>
      <c r="R5" s="876"/>
    </row>
    <row r="6" spans="1:20" s="44" customFormat="1" ht="38.25" customHeight="1" thickBot="1">
      <c r="A6" s="868" t="s">
        <v>98</v>
      </c>
      <c r="B6" s="878"/>
      <c r="C6" s="278" t="s">
        <v>188</v>
      </c>
      <c r="D6" s="278" t="s">
        <v>60</v>
      </c>
      <c r="E6" s="879"/>
      <c r="F6" s="110" t="s">
        <v>120</v>
      </c>
      <c r="G6" s="112" t="s">
        <v>103</v>
      </c>
      <c r="H6" s="881"/>
      <c r="I6" s="878"/>
      <c r="J6" s="883"/>
      <c r="K6" s="110" t="s">
        <v>18</v>
      </c>
      <c r="L6" s="111" t="s">
        <v>43</v>
      </c>
      <c r="M6" s="337" t="s">
        <v>42</v>
      </c>
      <c r="N6" s="338" t="s">
        <v>61</v>
      </c>
      <c r="O6" s="337" t="s">
        <v>42</v>
      </c>
      <c r="P6" s="339" t="s">
        <v>61</v>
      </c>
      <c r="Q6" s="331" t="s">
        <v>42</v>
      </c>
      <c r="R6" s="332" t="s">
        <v>61</v>
      </c>
      <c r="T6" s="114" t="s">
        <v>63</v>
      </c>
    </row>
    <row r="7" spans="1:20" s="44" customFormat="1" ht="20.25" customHeight="1" thickBot="1">
      <c r="A7" s="869"/>
      <c r="B7" s="48" t="s">
        <v>105</v>
      </c>
      <c r="C7" s="48" t="s">
        <v>106</v>
      </c>
      <c r="D7" s="48" t="s">
        <v>107</v>
      </c>
      <c r="E7" s="48" t="s">
        <v>123</v>
      </c>
      <c r="F7" s="115" t="s">
        <v>108</v>
      </c>
      <c r="G7" s="117" t="s">
        <v>109</v>
      </c>
      <c r="H7" s="147" t="s">
        <v>110</v>
      </c>
      <c r="I7" s="48" t="s">
        <v>111</v>
      </c>
      <c r="J7" s="47" t="s">
        <v>112</v>
      </c>
      <c r="K7" s="115"/>
      <c r="L7" s="116"/>
      <c r="M7" s="117"/>
      <c r="N7" s="323" t="s">
        <v>85</v>
      </c>
      <c r="O7" s="117"/>
      <c r="P7" s="118" t="s">
        <v>113</v>
      </c>
      <c r="Q7" s="333"/>
      <c r="R7" s="334"/>
      <c r="T7" s="119"/>
    </row>
    <row r="8" spans="1:18" s="126" customFormat="1" ht="20.25" customHeight="1" thickBot="1">
      <c r="A8" s="120"/>
      <c r="B8" s="121" t="s">
        <v>16</v>
      </c>
      <c r="C8" s="121" t="s">
        <v>16</v>
      </c>
      <c r="D8" s="121" t="s">
        <v>16</v>
      </c>
      <c r="E8" s="121" t="s">
        <v>124</v>
      </c>
      <c r="F8" s="122" t="s">
        <v>121</v>
      </c>
      <c r="G8" s="124" t="s">
        <v>122</v>
      </c>
      <c r="H8" s="148" t="s">
        <v>19</v>
      </c>
      <c r="I8" s="121" t="s">
        <v>19</v>
      </c>
      <c r="J8" s="121" t="s">
        <v>19</v>
      </c>
      <c r="K8" s="122"/>
      <c r="L8" s="123" t="s">
        <v>17</v>
      </c>
      <c r="M8" s="124" t="s">
        <v>16</v>
      </c>
      <c r="N8" s="325" t="s">
        <v>17</v>
      </c>
      <c r="O8" s="124" t="s">
        <v>16</v>
      </c>
      <c r="P8" s="125" t="s">
        <v>17</v>
      </c>
      <c r="Q8" s="335" t="s">
        <v>16</v>
      </c>
      <c r="R8" s="336" t="s">
        <v>17</v>
      </c>
    </row>
    <row r="9" spans="1:20" s="44" customFormat="1" ht="18" customHeight="1" thickBot="1">
      <c r="A9" s="865">
        <v>1</v>
      </c>
      <c r="B9" s="1089"/>
      <c r="C9" s="1089"/>
      <c r="D9" s="1089"/>
      <c r="E9" s="1097"/>
      <c r="F9" s="390"/>
      <c r="G9" s="391"/>
      <c r="H9" s="449">
        <f>IF(F9="","",IF(ISERROR(F9+ROUNDDOWN(G9*3/74,0)),"",F9+ROUNDDOWN(G9*3/74,0)))</f>
      </c>
      <c r="I9" s="450">
        <f>IF(H9="","",IF(H9&gt;10032,10032,H9))</f>
      </c>
      <c r="J9" s="451">
        <f>IF(H9="","",MIN(H9,I9))</f>
      </c>
      <c r="K9" s="129" t="s">
        <v>114</v>
      </c>
      <c r="L9" s="71">
        <v>1532</v>
      </c>
      <c r="M9" s="369"/>
      <c r="N9" s="370"/>
      <c r="O9" s="364">
        <f>SUMIF('2-2_算定表③(旧・旧制度)'!$AL:$AL,$T9,'2-2_算定表③(旧・旧制度)'!$AM:$AM)</f>
        <v>0</v>
      </c>
      <c r="P9" s="130">
        <f>SUMIF('2-2_算定表③(旧・旧制度)'!$AL:$AL,$T9,'2-2_算定表③(旧・旧制度)'!$AG:$AG)</f>
        <v>0</v>
      </c>
      <c r="Q9" s="354">
        <f>O9-M9</f>
        <v>0</v>
      </c>
      <c r="R9" s="355">
        <f>P9-N9</f>
        <v>0</v>
      </c>
      <c r="T9" s="131" t="str">
        <f>ASC($A$9&amp;$K9)</f>
        <v>1A</v>
      </c>
    </row>
    <row r="10" spans="1:22" s="44" customFormat="1" ht="18" customHeight="1" thickBot="1">
      <c r="A10" s="865"/>
      <c r="B10" s="1088"/>
      <c r="C10" s="1088"/>
      <c r="D10" s="1088"/>
      <c r="E10" s="1098"/>
      <c r="F10" s="390"/>
      <c r="G10" s="391"/>
      <c r="H10" s="449">
        <f>IF(F10="","",IF(ISERROR(F10+ROUNDDOWN(G10*3/74,0)),"",F10+ROUNDDOWN(G10*3/74,0)))</f>
      </c>
      <c r="I10" s="450">
        <f aca="true" t="shared" si="0" ref="I10:I18">IF(H10="","",IF(H10&gt;10032,10032,H10))</f>
      </c>
      <c r="J10" s="451">
        <f>IF(H10="","",MIN(H10,I10))</f>
      </c>
      <c r="K10" s="132" t="s">
        <v>115</v>
      </c>
      <c r="L10" s="230">
        <v>2814</v>
      </c>
      <c r="M10" s="371"/>
      <c r="N10" s="372"/>
      <c r="O10" s="354">
        <f>SUMIF('2-2_算定表③(旧・旧制度)'!$AL:$AL,$T10,'2-2_算定表③(旧・旧制度)'!$AM:$AM)</f>
        <v>0</v>
      </c>
      <c r="P10" s="130">
        <f>SUMIF('2-2_算定表③(旧・旧制度)'!$AL:$AL,$T10,'2-2_算定表③(旧・旧制度)'!$AG:$AG)</f>
        <v>0</v>
      </c>
      <c r="Q10" s="354">
        <f aca="true" t="shared" si="1" ref="Q10:R19">O10-M10</f>
        <v>0</v>
      </c>
      <c r="R10" s="355">
        <f t="shared" si="1"/>
        <v>0</v>
      </c>
      <c r="T10" s="135" t="str">
        <f>ASC($A$9&amp;$K10)</f>
        <v>1B</v>
      </c>
      <c r="V10" s="55" t="s">
        <v>5</v>
      </c>
    </row>
    <row r="11" spans="1:21" s="44" customFormat="1" ht="18" customHeight="1" thickBot="1">
      <c r="A11" s="865"/>
      <c r="B11" s="1088"/>
      <c r="C11" s="1088"/>
      <c r="D11" s="1088"/>
      <c r="E11" s="1098"/>
      <c r="F11" s="390"/>
      <c r="G11" s="391"/>
      <c r="H11" s="449">
        <f aca="true" t="shared" si="2" ref="H11:H18">IF(F11="","",IF(ISERROR(F11+ROUNDDOWN(G11*3/74,0)),"",F11+ROUNDDOWN(G11*3/74,0)))</f>
      </c>
      <c r="I11" s="450">
        <f t="shared" si="0"/>
      </c>
      <c r="J11" s="451">
        <f>IF(H11="","",MIN(H11,I11))</f>
      </c>
      <c r="K11" s="132" t="s">
        <v>116</v>
      </c>
      <c r="L11" s="231">
        <v>5220</v>
      </c>
      <c r="M11" s="371"/>
      <c r="N11" s="372"/>
      <c r="O11" s="354">
        <f>SUMIF('2-2_算定表③(旧・旧制度)'!$AL:$AL,$T11,'2-2_算定表③(旧・旧制度)'!$AM:$AM)</f>
        <v>0</v>
      </c>
      <c r="P11" s="130">
        <f>SUMIF('2-2_算定表③(旧・旧制度)'!$AL:$AL,$T11,'2-2_算定表③(旧・旧制度)'!$AG:$AG)</f>
        <v>0</v>
      </c>
      <c r="Q11" s="358">
        <f t="shared" si="1"/>
        <v>0</v>
      </c>
      <c r="R11" s="359">
        <f t="shared" si="1"/>
        <v>0</v>
      </c>
      <c r="T11" s="135" t="str">
        <f>ASC($A$9&amp;$K11)</f>
        <v>1C</v>
      </c>
      <c r="U11" s="253"/>
    </row>
    <row r="12" spans="1:20" s="44" customFormat="1" ht="18" customHeight="1" thickBot="1">
      <c r="A12" s="865"/>
      <c r="B12" s="1088"/>
      <c r="C12" s="1088"/>
      <c r="D12" s="1088"/>
      <c r="E12" s="1098"/>
      <c r="F12" s="390"/>
      <c r="G12" s="391"/>
      <c r="H12" s="449"/>
      <c r="I12" s="450"/>
      <c r="J12" s="451"/>
      <c r="K12" s="101" t="s">
        <v>152</v>
      </c>
      <c r="L12" s="232" t="s">
        <v>151</v>
      </c>
      <c r="M12" s="371"/>
      <c r="N12" s="372"/>
      <c r="O12" s="352">
        <f>SUMIF('2-2_算定表③(旧・旧制度)'!$AL:$AL,$T12,'2-2_算定表③(旧・旧制度)'!$AM:$AM)</f>
        <v>0</v>
      </c>
      <c r="P12" s="130">
        <f>SUMIF('2-2_算定表③(旧・旧制度)'!$AL:$AL,$T12,'2-2_算定表③(旧・旧制度)'!$AG:$AG)</f>
        <v>0</v>
      </c>
      <c r="Q12" s="358">
        <f>O12-M12</f>
        <v>0</v>
      </c>
      <c r="R12" s="359">
        <f>P12-N12</f>
        <v>0</v>
      </c>
      <c r="T12" s="135" t="str">
        <f>ASC($A$9&amp;$K12)</f>
        <v>1D</v>
      </c>
    </row>
    <row r="13" spans="1:18" s="44" customFormat="1" ht="18" customHeight="1" thickBot="1">
      <c r="A13" s="865"/>
      <c r="B13" s="1088"/>
      <c r="C13" s="1088"/>
      <c r="D13" s="1088"/>
      <c r="E13" s="1099"/>
      <c r="F13" s="392"/>
      <c r="G13" s="393"/>
      <c r="H13" s="452">
        <f t="shared" si="2"/>
      </c>
      <c r="I13" s="453">
        <f t="shared" si="0"/>
      </c>
      <c r="J13" s="454">
        <f>IF(H13="","",MIN(H13,I13))</f>
      </c>
      <c r="K13" s="848" t="s">
        <v>99</v>
      </c>
      <c r="L13" s="849"/>
      <c r="M13" s="360">
        <f aca="true" t="shared" si="3" ref="M13:R13">SUM(M9:M12)</f>
        <v>0</v>
      </c>
      <c r="N13" s="361">
        <f t="shared" si="3"/>
        <v>0</v>
      </c>
      <c r="O13" s="360">
        <f t="shared" si="3"/>
        <v>0</v>
      </c>
      <c r="P13" s="138">
        <f t="shared" si="3"/>
        <v>0</v>
      </c>
      <c r="Q13" s="362">
        <f t="shared" si="3"/>
        <v>0</v>
      </c>
      <c r="R13" s="363">
        <f t="shared" si="3"/>
        <v>0</v>
      </c>
    </row>
    <row r="14" spans="1:23" s="44" customFormat="1" ht="18" customHeight="1" thickBot="1" thickTop="1">
      <c r="A14" s="866">
        <v>2</v>
      </c>
      <c r="B14" s="1088"/>
      <c r="C14" s="1088"/>
      <c r="D14" s="1088"/>
      <c r="E14" s="1090"/>
      <c r="F14" s="455"/>
      <c r="G14" s="456"/>
      <c r="H14" s="449">
        <f t="shared" si="2"/>
      </c>
      <c r="I14" s="450">
        <f t="shared" si="0"/>
      </c>
      <c r="J14" s="451">
        <f>IF(H14="","",MIN(H14,I14))</f>
      </c>
      <c r="K14" s="129" t="s">
        <v>74</v>
      </c>
      <c r="L14" s="71">
        <v>1532</v>
      </c>
      <c r="M14" s="369"/>
      <c r="N14" s="370"/>
      <c r="O14" s="552">
        <f>SUMIF('2-2_算定表③(旧・旧制度)'!$AL:$AL,$T14,'2-2_算定表③(旧・旧制度)'!$AM:$AM)</f>
        <v>0</v>
      </c>
      <c r="P14" s="130">
        <f>SUMIF('2-2_算定表③(旧・旧制度)'!$AL:$AL,$T14,'2-2_算定表③(旧・旧制度)'!$AG:$AG)</f>
        <v>0</v>
      </c>
      <c r="Q14" s="364">
        <f t="shared" si="1"/>
        <v>0</v>
      </c>
      <c r="R14" s="365">
        <f t="shared" si="1"/>
        <v>0</v>
      </c>
      <c r="T14" s="131" t="str">
        <f>ASC($A$14&amp;$K14)</f>
        <v>2A</v>
      </c>
      <c r="V14" s="139" t="s">
        <v>6</v>
      </c>
      <c r="W14" s="62" t="str">
        <f>IF(D9&gt;=O13,"OK","ERR")</f>
        <v>OK</v>
      </c>
    </row>
    <row r="15" spans="1:23" s="44" customFormat="1" ht="18" customHeight="1" thickBot="1" thickTop="1">
      <c r="A15" s="865"/>
      <c r="B15" s="1088"/>
      <c r="C15" s="1088"/>
      <c r="D15" s="1088"/>
      <c r="E15" s="1091"/>
      <c r="F15" s="455"/>
      <c r="G15" s="456"/>
      <c r="H15" s="449">
        <f t="shared" si="2"/>
      </c>
      <c r="I15" s="450">
        <f t="shared" si="0"/>
      </c>
      <c r="J15" s="451">
        <f>IF(H15="","",MIN(H15,I15))</f>
      </c>
      <c r="K15" s="132" t="s">
        <v>80</v>
      </c>
      <c r="L15" s="230">
        <v>2814</v>
      </c>
      <c r="M15" s="371"/>
      <c r="N15" s="372"/>
      <c r="O15" s="354">
        <f>SUMIF('2-2_算定表③(旧・旧制度)'!$AL:$AL,$T15,'2-2_算定表③(旧・旧制度)'!$AM:$AM)</f>
        <v>0</v>
      </c>
      <c r="P15" s="130">
        <f>SUMIF('2-2_算定表③(旧・旧制度)'!$AL:$AL,$T15,'2-2_算定表③(旧・旧制度)'!$AG:$AG)</f>
        <v>0</v>
      </c>
      <c r="Q15" s="358">
        <f t="shared" si="1"/>
        <v>0</v>
      </c>
      <c r="R15" s="359">
        <f t="shared" si="1"/>
        <v>0</v>
      </c>
      <c r="T15" s="761" t="str">
        <f>ASC($A$14&amp;$K15)</f>
        <v>2B</v>
      </c>
      <c r="U15" s="762"/>
      <c r="V15" s="139" t="s">
        <v>7</v>
      </c>
      <c r="W15" s="62" t="str">
        <f>IF(D14&gt;=O18,"OK","ERR")</f>
        <v>OK</v>
      </c>
    </row>
    <row r="16" spans="1:23" s="44" customFormat="1" ht="18" customHeight="1" thickBot="1" thickTop="1">
      <c r="A16" s="865"/>
      <c r="B16" s="1088"/>
      <c r="C16" s="1088"/>
      <c r="D16" s="1088"/>
      <c r="E16" s="1091"/>
      <c r="F16" s="455"/>
      <c r="G16" s="456"/>
      <c r="H16" s="449">
        <f t="shared" si="2"/>
      </c>
      <c r="I16" s="450">
        <f t="shared" si="0"/>
      </c>
      <c r="J16" s="451">
        <f>IF(H16="","",MIN(H16,I16))</f>
      </c>
      <c r="K16" s="132" t="s">
        <v>81</v>
      </c>
      <c r="L16" s="231">
        <v>5220</v>
      </c>
      <c r="M16" s="371"/>
      <c r="N16" s="372"/>
      <c r="O16" s="354">
        <f>SUMIF('2-2_算定表③(旧・旧制度)'!$AL:$AL,$T16,'2-2_算定表③(旧・旧制度)'!$AM:$AM)</f>
        <v>0</v>
      </c>
      <c r="P16" s="130">
        <f>SUMIF('2-2_算定表③(旧・旧制度)'!$AL:$AL,$T16,'2-2_算定表③(旧・旧制度)'!$AG:$AG)</f>
        <v>0</v>
      </c>
      <c r="Q16" s="358">
        <f>O16-M16</f>
        <v>0</v>
      </c>
      <c r="R16" s="359">
        <f>P16-N16</f>
        <v>0</v>
      </c>
      <c r="T16" s="135" t="str">
        <f>ASC($A$14&amp;$K16)</f>
        <v>2C</v>
      </c>
      <c r="U16" s="253"/>
      <c r="V16" s="139" t="s">
        <v>8</v>
      </c>
      <c r="W16" s="62" t="str">
        <f>IF(D19&gt;=O23,"OK","ERR")</f>
        <v>OK</v>
      </c>
    </row>
    <row r="17" spans="1:20" s="44" customFormat="1" ht="18" customHeight="1" thickBot="1">
      <c r="A17" s="865"/>
      <c r="B17" s="1088"/>
      <c r="C17" s="1088"/>
      <c r="D17" s="1088"/>
      <c r="E17" s="1091"/>
      <c r="F17" s="455"/>
      <c r="G17" s="456"/>
      <c r="H17" s="449"/>
      <c r="I17" s="450"/>
      <c r="J17" s="451"/>
      <c r="K17" s="101" t="s">
        <v>152</v>
      </c>
      <c r="L17" s="232" t="s">
        <v>134</v>
      </c>
      <c r="M17" s="369"/>
      <c r="N17" s="380"/>
      <c r="O17" s="352">
        <f>SUMIF('2-2_算定表③(旧・旧制度)'!$AL:$AL,$T17,'2-2_算定表③(旧・旧制度)'!$AM:$AM)</f>
        <v>0</v>
      </c>
      <c r="P17" s="130">
        <f>SUMIF('2-2_算定表③(旧・旧制度)'!$AL:$AL,$T17,'2-2_算定表③(旧・旧制度)'!$AG:$AG)</f>
        <v>0</v>
      </c>
      <c r="Q17" s="358">
        <f>O17-M17</f>
        <v>0</v>
      </c>
      <c r="R17" s="359">
        <f>P17-N17</f>
        <v>0</v>
      </c>
      <c r="T17" s="135" t="str">
        <f>ASC($A$14&amp;$K17)</f>
        <v>2D</v>
      </c>
    </row>
    <row r="18" spans="1:22" s="44" customFormat="1" ht="18" customHeight="1" thickBot="1">
      <c r="A18" s="867"/>
      <c r="B18" s="1088"/>
      <c r="C18" s="1088"/>
      <c r="D18" s="1088"/>
      <c r="E18" s="1092"/>
      <c r="F18" s="457"/>
      <c r="G18" s="458"/>
      <c r="H18" s="452">
        <f t="shared" si="2"/>
      </c>
      <c r="I18" s="453">
        <f t="shared" si="0"/>
      </c>
      <c r="J18" s="454">
        <f>IF(H18="","",MIN(H18,I18))</f>
      </c>
      <c r="K18" s="848" t="s">
        <v>100</v>
      </c>
      <c r="L18" s="849"/>
      <c r="M18" s="360">
        <f aca="true" t="shared" si="4" ref="M18:R18">SUM(M14:M17)</f>
        <v>0</v>
      </c>
      <c r="N18" s="361">
        <f t="shared" si="4"/>
        <v>0</v>
      </c>
      <c r="O18" s="360">
        <f t="shared" si="4"/>
        <v>0</v>
      </c>
      <c r="P18" s="138">
        <f t="shared" si="4"/>
        <v>0</v>
      </c>
      <c r="Q18" s="362">
        <f t="shared" si="4"/>
        <v>0</v>
      </c>
      <c r="R18" s="363">
        <f t="shared" si="4"/>
        <v>0</v>
      </c>
      <c r="V18" s="55"/>
    </row>
    <row r="19" spans="1:22" s="44" customFormat="1" ht="18" customHeight="1" thickBot="1">
      <c r="A19" s="866">
        <v>3</v>
      </c>
      <c r="B19" s="1088"/>
      <c r="C19" s="1088"/>
      <c r="D19" s="1088"/>
      <c r="E19" s="1090"/>
      <c r="F19" s="455"/>
      <c r="G19" s="456"/>
      <c r="H19" s="449">
        <f>IF(F19="","",IF(ISERROR(F19+ROUNDDOWN(G19*3/74,0)),"",F19+ROUNDDOWN(G19*3/74,0)))</f>
      </c>
      <c r="I19" s="450">
        <f>IF(H19="","",IF(H19&gt;10032,10032,H19))</f>
      </c>
      <c r="J19" s="451">
        <f>IF(H19="","",MIN(H19,I19))</f>
      </c>
      <c r="K19" s="129" t="s">
        <v>74</v>
      </c>
      <c r="L19" s="71">
        <v>1532</v>
      </c>
      <c r="M19" s="369"/>
      <c r="N19" s="370"/>
      <c r="O19" s="552">
        <f>SUMIF('2-2_算定表③(旧・旧制度)'!$AL:$AL,$T19,'2-2_算定表③(旧・旧制度)'!$AM:$AM)</f>
        <v>0</v>
      </c>
      <c r="P19" s="130">
        <f>SUMIF('2-2_算定表③(旧・旧制度)'!$AL:$AL,$T19,'2-2_算定表③(旧・旧制度)'!$AG:$AG)</f>
        <v>0</v>
      </c>
      <c r="Q19" s="381">
        <f t="shared" si="1"/>
        <v>0</v>
      </c>
      <c r="R19" s="382">
        <f t="shared" si="1"/>
        <v>0</v>
      </c>
      <c r="T19" s="131" t="str">
        <f>ASC($A$19&amp;$K19)</f>
        <v>3A</v>
      </c>
      <c r="V19" s="55" t="s">
        <v>10</v>
      </c>
    </row>
    <row r="20" spans="1:23" s="44" customFormat="1" ht="18" customHeight="1" thickBot="1" thickTop="1">
      <c r="A20" s="865"/>
      <c r="B20" s="1088"/>
      <c r="C20" s="1088"/>
      <c r="D20" s="1088"/>
      <c r="E20" s="1091"/>
      <c r="F20" s="455"/>
      <c r="G20" s="456"/>
      <c r="H20" s="449">
        <f>IF(F20="","",IF(ISERROR(F20+ROUNDDOWN(G20*3/74,0)),"",F20+ROUNDDOWN(G20*3/74,0)))</f>
      </c>
      <c r="I20" s="450">
        <f>IF(H20="","",IF(H20&gt;10032,10032,H20))</f>
      </c>
      <c r="J20" s="451">
        <f>IF(H20="","",MIN(H20,I20))</f>
      </c>
      <c r="K20" s="132" t="s">
        <v>80</v>
      </c>
      <c r="L20" s="230">
        <v>2814</v>
      </c>
      <c r="M20" s="371"/>
      <c r="N20" s="372"/>
      <c r="O20" s="354">
        <f>SUMIF('2-2_算定表③(旧・旧制度)'!$AL:$AL,$T20,'2-2_算定表③(旧・旧制度)'!$AM:$AM)</f>
        <v>0</v>
      </c>
      <c r="P20" s="130">
        <f>SUMIF('2-2_算定表③(旧・旧制度)'!$AL:$AL,$T20,'2-2_算定表③(旧・旧制度)'!$AG:$AG)</f>
        <v>0</v>
      </c>
      <c r="Q20" s="358">
        <f aca="true" t="shared" si="5" ref="Q20:R22">O20-M20</f>
        <v>0</v>
      </c>
      <c r="R20" s="359">
        <f t="shared" si="5"/>
        <v>0</v>
      </c>
      <c r="T20" s="135" t="str">
        <f>ASC($A$19&amp;$K20)</f>
        <v>3B</v>
      </c>
      <c r="V20" s="55" t="s">
        <v>42</v>
      </c>
      <c r="W20" s="62" t="str">
        <f>IF(O28=SUM('2-2_算定表③(旧・旧制度)'!AM8:AM44),"OK","ERR")</f>
        <v>OK</v>
      </c>
    </row>
    <row r="21" spans="1:23" s="44" customFormat="1" ht="18" customHeight="1" thickBot="1" thickTop="1">
      <c r="A21" s="865"/>
      <c r="B21" s="1088"/>
      <c r="C21" s="1088"/>
      <c r="D21" s="1088"/>
      <c r="E21" s="1091"/>
      <c r="F21" s="455"/>
      <c r="G21" s="456"/>
      <c r="H21" s="449">
        <f>IF(F21="","",IF(ISERROR(F21+ROUNDDOWN(G21*3/74,0)),"",F21+ROUNDDOWN(G21*3/74,0)))</f>
      </c>
      <c r="I21" s="450">
        <f>IF(H21="","",IF(H21&gt;10032,10032,H21))</f>
      </c>
      <c r="J21" s="451">
        <f>IF(H21="","",MIN(H21,I21))</f>
      </c>
      <c r="K21" s="132" t="s">
        <v>81</v>
      </c>
      <c r="L21" s="231">
        <v>5220</v>
      </c>
      <c r="M21" s="371"/>
      <c r="N21" s="372"/>
      <c r="O21" s="354">
        <f>SUMIF('2-2_算定表③(旧・旧制度)'!$AL:$AL,$T21,'2-2_算定表③(旧・旧制度)'!$AM:$AM)</f>
        <v>0</v>
      </c>
      <c r="P21" s="130">
        <f>SUMIF('2-2_算定表③(旧・旧制度)'!$AL:$AL,$T21,'2-2_算定表③(旧・旧制度)'!$AG:$AG)</f>
        <v>0</v>
      </c>
      <c r="Q21" s="358">
        <f t="shared" si="5"/>
        <v>0</v>
      </c>
      <c r="R21" s="359">
        <f t="shared" si="5"/>
        <v>0</v>
      </c>
      <c r="T21" s="135" t="str">
        <f>ASC($A$19&amp;$K21)</f>
        <v>3C</v>
      </c>
      <c r="U21" s="253"/>
      <c r="V21" s="55" t="s">
        <v>9</v>
      </c>
      <c r="W21" s="62" t="str">
        <f>IF(P28='2-2_算定表③(旧・旧制度)'!AG45,"OK","ERR")</f>
        <v>OK</v>
      </c>
    </row>
    <row r="22" spans="1:20" s="44" customFormat="1" ht="18" customHeight="1" thickBot="1">
      <c r="A22" s="865"/>
      <c r="B22" s="1088"/>
      <c r="C22" s="1088"/>
      <c r="D22" s="1088"/>
      <c r="E22" s="1091"/>
      <c r="F22" s="455"/>
      <c r="G22" s="456"/>
      <c r="H22" s="449"/>
      <c r="I22" s="450"/>
      <c r="J22" s="451"/>
      <c r="K22" s="101" t="s">
        <v>152</v>
      </c>
      <c r="L22" s="232" t="s">
        <v>134</v>
      </c>
      <c r="M22" s="369"/>
      <c r="N22" s="380"/>
      <c r="O22" s="352">
        <f>SUMIF('2-2_算定表③(旧・旧制度)'!$AL:$AL,$T22,'2-2_算定表③(旧・旧制度)'!$AM:$AM)</f>
        <v>0</v>
      </c>
      <c r="P22" s="130">
        <f>SUMIF('2-2_算定表③(旧・旧制度)'!$AL:$AL,$T22,'2-2_算定表③(旧・旧制度)'!$AG:$AG)</f>
        <v>0</v>
      </c>
      <c r="Q22" s="358">
        <f t="shared" si="5"/>
        <v>0</v>
      </c>
      <c r="R22" s="359">
        <f t="shared" si="5"/>
        <v>0</v>
      </c>
      <c r="T22" s="135" t="str">
        <f>ASC($A$19&amp;$K22)</f>
        <v>3D</v>
      </c>
    </row>
    <row r="23" spans="1:22" s="44" customFormat="1" ht="18" customHeight="1" thickBot="1">
      <c r="A23" s="867"/>
      <c r="B23" s="1088"/>
      <c r="C23" s="1088"/>
      <c r="D23" s="1088"/>
      <c r="E23" s="1092"/>
      <c r="F23" s="457"/>
      <c r="G23" s="458"/>
      <c r="H23" s="452">
        <f>IF(F23="","",IF(ISERROR(F23+ROUNDDOWN(G23*3/74,0)),"",F23+ROUNDDOWN(G23*3/74,0)))</f>
      </c>
      <c r="I23" s="453">
        <f>IF(H23="","",IF(H23&gt;10032,10032,H23))</f>
      </c>
      <c r="J23" s="454">
        <f>IF(H23="","",MIN(H23,I23))</f>
      </c>
      <c r="K23" s="848" t="s">
        <v>101</v>
      </c>
      <c r="L23" s="849"/>
      <c r="M23" s="360">
        <f aca="true" t="shared" si="6" ref="M23:R23">SUM(M19:M22)</f>
        <v>0</v>
      </c>
      <c r="N23" s="361">
        <f t="shared" si="6"/>
        <v>0</v>
      </c>
      <c r="O23" s="360">
        <f t="shared" si="6"/>
        <v>0</v>
      </c>
      <c r="P23" s="138">
        <f t="shared" si="6"/>
        <v>0</v>
      </c>
      <c r="Q23" s="362">
        <f t="shared" si="6"/>
        <v>0</v>
      </c>
      <c r="R23" s="363">
        <f t="shared" si="6"/>
        <v>0</v>
      </c>
      <c r="V23" s="55"/>
    </row>
    <row r="24" spans="1:18" s="44" customFormat="1" ht="18" customHeight="1" thickBot="1">
      <c r="A24" s="850" t="s">
        <v>24</v>
      </c>
      <c r="B24" s="1087">
        <f>SUM(B9:B23)</f>
        <v>0</v>
      </c>
      <c r="C24" s="1087">
        <f>SUM(C9:C23)</f>
        <v>0</v>
      </c>
      <c r="D24" s="1094">
        <f>SUM(D9:D23)</f>
        <v>0</v>
      </c>
      <c r="E24" s="1094">
        <f>SUM(E9:E23)</f>
        <v>0</v>
      </c>
      <c r="F24" s="1085"/>
      <c r="G24" s="1086"/>
      <c r="H24" s="1100"/>
      <c r="I24" s="1093"/>
      <c r="J24" s="1093"/>
      <c r="K24" s="252" t="s">
        <v>117</v>
      </c>
      <c r="L24" s="71">
        <v>1532</v>
      </c>
      <c r="M24" s="367">
        <f aca="true" t="shared" si="7" ref="M24:N27">SUM(M9,M14,M19)</f>
        <v>0</v>
      </c>
      <c r="N24" s="353">
        <f t="shared" si="7"/>
        <v>0</v>
      </c>
      <c r="O24" s="367">
        <f aca="true" t="shared" si="8" ref="O24:R27">SUM(O9,O14,O19)</f>
        <v>0</v>
      </c>
      <c r="P24" s="130">
        <f t="shared" si="8"/>
        <v>0</v>
      </c>
      <c r="Q24" s="383">
        <f t="shared" si="8"/>
        <v>0</v>
      </c>
      <c r="R24" s="384">
        <f t="shared" si="8"/>
        <v>0</v>
      </c>
    </row>
    <row r="25" spans="1:22" s="44" customFormat="1" ht="18" customHeight="1" thickBot="1">
      <c r="A25" s="851"/>
      <c r="B25" s="1087"/>
      <c r="C25" s="1087"/>
      <c r="D25" s="1095"/>
      <c r="E25" s="1095"/>
      <c r="F25" s="1085"/>
      <c r="G25" s="1086"/>
      <c r="H25" s="1100"/>
      <c r="I25" s="1093"/>
      <c r="J25" s="1093"/>
      <c r="K25" s="132" t="s">
        <v>118</v>
      </c>
      <c r="L25" s="133">
        <v>2814</v>
      </c>
      <c r="M25" s="368">
        <f t="shared" si="7"/>
        <v>0</v>
      </c>
      <c r="N25" s="357">
        <f t="shared" si="7"/>
        <v>0</v>
      </c>
      <c r="O25" s="368">
        <f t="shared" si="8"/>
        <v>0</v>
      </c>
      <c r="P25" s="134">
        <f t="shared" si="8"/>
        <v>0</v>
      </c>
      <c r="Q25" s="354">
        <f t="shared" si="8"/>
        <v>0</v>
      </c>
      <c r="R25" s="355">
        <f t="shared" si="8"/>
        <v>0</v>
      </c>
      <c r="V25" s="55"/>
    </row>
    <row r="26" spans="1:18" s="44" customFormat="1" ht="18" customHeight="1" thickBot="1">
      <c r="A26" s="851"/>
      <c r="B26" s="1087"/>
      <c r="C26" s="1087"/>
      <c r="D26" s="1095"/>
      <c r="E26" s="1095"/>
      <c r="F26" s="1085"/>
      <c r="G26" s="1086"/>
      <c r="H26" s="1100"/>
      <c r="I26" s="1093"/>
      <c r="J26" s="1093"/>
      <c r="K26" s="132" t="s">
        <v>119</v>
      </c>
      <c r="L26" s="229">
        <v>5220</v>
      </c>
      <c r="M26" s="368">
        <f t="shared" si="7"/>
        <v>0</v>
      </c>
      <c r="N26" s="357">
        <f t="shared" si="7"/>
        <v>0</v>
      </c>
      <c r="O26" s="368">
        <f t="shared" si="8"/>
        <v>0</v>
      </c>
      <c r="P26" s="134">
        <f t="shared" si="8"/>
        <v>0</v>
      </c>
      <c r="Q26" s="354">
        <f t="shared" si="8"/>
        <v>0</v>
      </c>
      <c r="R26" s="355">
        <f t="shared" si="8"/>
        <v>0</v>
      </c>
    </row>
    <row r="27" spans="1:18" s="44" customFormat="1" ht="18" customHeight="1" thickBot="1">
      <c r="A27" s="851"/>
      <c r="B27" s="1087"/>
      <c r="C27" s="1087"/>
      <c r="D27" s="1095"/>
      <c r="E27" s="1095"/>
      <c r="F27" s="1085"/>
      <c r="G27" s="1086"/>
      <c r="H27" s="1100"/>
      <c r="I27" s="1093"/>
      <c r="J27" s="1093"/>
      <c r="K27" s="101" t="s">
        <v>152</v>
      </c>
      <c r="L27" s="232" t="s">
        <v>134</v>
      </c>
      <c r="M27" s="367">
        <f t="shared" si="7"/>
        <v>0</v>
      </c>
      <c r="N27" s="385">
        <f t="shared" si="7"/>
        <v>0</v>
      </c>
      <c r="O27" s="367">
        <f t="shared" si="8"/>
        <v>0</v>
      </c>
      <c r="P27" s="239">
        <f t="shared" si="8"/>
        <v>0</v>
      </c>
      <c r="Q27" s="358">
        <f t="shared" si="8"/>
        <v>0</v>
      </c>
      <c r="R27" s="359">
        <f t="shared" si="8"/>
        <v>0</v>
      </c>
    </row>
    <row r="28" spans="1:19" s="44" customFormat="1" ht="18" customHeight="1" thickBot="1">
      <c r="A28" s="852"/>
      <c r="B28" s="1087"/>
      <c r="C28" s="1087"/>
      <c r="D28" s="1096"/>
      <c r="E28" s="1096"/>
      <c r="F28" s="1085"/>
      <c r="G28" s="1086"/>
      <c r="H28" s="1100"/>
      <c r="I28" s="1093"/>
      <c r="J28" s="1093"/>
      <c r="K28" s="848" t="s">
        <v>135</v>
      </c>
      <c r="L28" s="849"/>
      <c r="M28" s="360">
        <f aca="true" t="shared" si="9" ref="M28:R28">SUM(M24:M27)</f>
        <v>0</v>
      </c>
      <c r="N28" s="361">
        <f t="shared" si="9"/>
        <v>0</v>
      </c>
      <c r="O28" s="360">
        <f t="shared" si="9"/>
        <v>0</v>
      </c>
      <c r="P28" s="138">
        <f t="shared" si="9"/>
        <v>0</v>
      </c>
      <c r="Q28" s="362">
        <f t="shared" si="9"/>
        <v>0</v>
      </c>
      <c r="R28" s="363">
        <f t="shared" si="9"/>
        <v>0</v>
      </c>
      <c r="S28" s="146"/>
    </row>
    <row r="29" spans="1:18" s="284" customFormat="1" ht="11.25" customHeight="1">
      <c r="A29" s="279" t="s">
        <v>26</v>
      </c>
      <c r="B29" s="280"/>
      <c r="C29" s="280"/>
      <c r="D29" s="280"/>
      <c r="E29" s="280"/>
      <c r="F29" s="281"/>
      <c r="G29" s="281"/>
      <c r="H29" s="281"/>
      <c r="I29" s="281"/>
      <c r="J29" s="281"/>
      <c r="K29" s="282"/>
      <c r="L29" s="282"/>
      <c r="M29" s="280"/>
      <c r="N29" s="283"/>
      <c r="O29" s="280"/>
      <c r="P29" s="283"/>
      <c r="Q29" s="283"/>
      <c r="R29" s="283"/>
    </row>
    <row r="30" s="284" customFormat="1" ht="11.25" customHeight="1">
      <c r="A30" s="285" t="s">
        <v>129</v>
      </c>
    </row>
    <row r="31" s="286" customFormat="1" ht="11.25" customHeight="1">
      <c r="A31" s="285" t="s">
        <v>200</v>
      </c>
    </row>
    <row r="32" s="284" customFormat="1" ht="11.25" customHeight="1">
      <c r="A32" s="285" t="s">
        <v>201</v>
      </c>
    </row>
    <row r="33" s="286" customFormat="1" ht="11.25" customHeight="1">
      <c r="A33" s="285" t="s">
        <v>2</v>
      </c>
    </row>
    <row r="34" s="286" customFormat="1" ht="11.25" customHeight="1">
      <c r="A34" s="279" t="s">
        <v>130</v>
      </c>
    </row>
    <row r="35" spans="1:9" s="286" customFormat="1" ht="11.25" customHeight="1">
      <c r="A35" s="279" t="s">
        <v>131</v>
      </c>
      <c r="E35" s="291"/>
      <c r="F35" s="291"/>
      <c r="G35" s="291"/>
      <c r="H35" s="291"/>
      <c r="I35" s="291"/>
    </row>
    <row r="36" s="286" customFormat="1" ht="11.25" customHeight="1">
      <c r="A36" s="285" t="s">
        <v>3</v>
      </c>
    </row>
    <row r="37" s="286" customFormat="1" ht="11.25" customHeight="1">
      <c r="A37" s="279" t="s">
        <v>187</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J24:J28"/>
    <mergeCell ref="E9:E13"/>
    <mergeCell ref="J5:J6"/>
    <mergeCell ref="K28:L28"/>
    <mergeCell ref="H24:H28"/>
    <mergeCell ref="A6:A7"/>
    <mergeCell ref="B9:B13"/>
    <mergeCell ref="H5:H6"/>
    <mergeCell ref="D9:D13"/>
    <mergeCell ref="E14:E18"/>
    <mergeCell ref="E5:E6"/>
    <mergeCell ref="B14:B18"/>
    <mergeCell ref="I24:I28"/>
    <mergeCell ref="I5:I6"/>
    <mergeCell ref="B5:B6"/>
    <mergeCell ref="E24:E28"/>
    <mergeCell ref="D19:D23"/>
    <mergeCell ref="C19:C23"/>
    <mergeCell ref="C24:C28"/>
    <mergeCell ref="D24:D28"/>
    <mergeCell ref="C9:C13"/>
    <mergeCell ref="E19:E23"/>
    <mergeCell ref="A9:A13"/>
    <mergeCell ref="C14:C18"/>
    <mergeCell ref="D14:D18"/>
    <mergeCell ref="K23:L23"/>
    <mergeCell ref="K13:L13"/>
    <mergeCell ref="K18:L18"/>
    <mergeCell ref="A14:A18"/>
    <mergeCell ref="A24:A28"/>
    <mergeCell ref="F24:F28"/>
    <mergeCell ref="G24:G28"/>
    <mergeCell ref="B24:B28"/>
    <mergeCell ref="A19:A23"/>
    <mergeCell ref="B19:B23"/>
    <mergeCell ref="Q5:R5"/>
    <mergeCell ref="K5:N5"/>
    <mergeCell ref="O5:P5"/>
    <mergeCell ref="L2:M2"/>
    <mergeCell ref="N2:O2"/>
    <mergeCell ref="P2:Q2"/>
    <mergeCell ref="L3:M3"/>
    <mergeCell ref="N3:O3"/>
    <mergeCell ref="P3:Q3"/>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2019-03-26T13:10:57Z</cp:lastPrinted>
  <dcterms:created xsi:type="dcterms:W3CDTF">2010-06-30T04:01:38Z</dcterms:created>
  <dcterms:modified xsi:type="dcterms:W3CDTF">2019-03-26T13:11:07Z</dcterms:modified>
  <cp:category/>
  <cp:version/>
  <cp:contentType/>
  <cp:contentStatus/>
</cp:coreProperties>
</file>