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 ref="L10"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<sst xmlns="http://schemas.openxmlformats.org/spreadsheetml/2006/main" count="883" uniqueCount="344">
  <si>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</si>
  <si>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</si>
  <si>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</si>
  <si>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</si>
  <si>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</si>
  <si>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</si>
  <si>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</si>
  <si>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</si>
  <si>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</si>
  <si>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</si>
  <si>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</si>
  <si>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</si>
  <si>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</si>
  <si>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</si>
  <si>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</si>
  <si>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</si>
  <si>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</si>
  <si>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</si>
  <si>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</si>
  <si>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</si>
  <si>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</si>
  <si>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</si>
  <si>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</si>
  <si>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</si>
  <si>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</si>
  <si>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</si>
  <si>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</si>
  <si>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</si>
  <si>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</si>
  <si>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</si>
  <si>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</si>
  <si>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</si>
  <si>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</si>
  <si>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</si>
  <si>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</si>
  <si>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</si>
  <si>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</si>
  <si>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</si>
  <si>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</si>
  <si>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</si>
  <si>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</si>
  <si>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</si>
  <si>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</si>
  <si>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</si>
  <si>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</si>
  <si>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</si>
  <si>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</si>
  <si>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</si>
  <si>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</si>
  <si>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</si>
  <si>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</si>
  <si>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</si>
  <si>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</si>
  <si>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</si>
  <si>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</si>
  <si>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</si>
  <si>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</si>
  <si>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</si>
  <si>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</si>
  <si>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</si>
  <si>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</si>
  <si>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</si>
  <si>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</si>
  <si>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</si>
  <si>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</si>
  <si>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</si>
  <si>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</si>
  <si>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</si>
  <si>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</si>
  <si>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</si>
  <si>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</si>
  <si>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</si>
  <si>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</si>
  <si>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</si>
  <si>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</si>
  <si>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</si>
  <si>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</si>
  <si>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</si>
  <si>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</si>
  <si>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</si>
  <si>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</si>
  <si>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</si>
  <si>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</si>
  <si>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</si>
  <si>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</si>
  <si>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</si>
  <si>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</si>
  <si>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</si>
  <si>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</si>
  <si>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</si>
  <si>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</si>
  <si>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</si>
  <si>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</si>
  <si>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</si>
  <si>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</si>
  <si>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</si>
  <si>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</si>
  <si>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</si>
  <si>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</si>
  <si>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</si>
  <si>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</si>
  <si>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</si>
  <si>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</si>
  <si>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</si>
  <si>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</si>
  <si>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</si>
  <si>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</si>
  <si>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</si>
  <si>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</si>
  <si>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</si>
  <si>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</si>
  <si>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</si>
  <si>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</si>
  <si>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</si>
  <si>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</si>
  <si>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</si>
  <si>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</si>
  <si>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</si>
  <si>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</si>
  <si>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</si>
  <si>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</si>
  <si>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</si>
  <si>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</si>
  <si>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</si>
  <si>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</si>
  <si>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</si>
  <si>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</si>
  <si>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</si>
  <si>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</si>
  <si>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</si>
  <si>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</si>
  <si>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</si>
  <si>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</si>
  <si>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</si>
  <si>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</si>
  <si>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</si>
  <si>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</si>
  <si>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</si>
  <si>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</si>
  <si>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</si>
  <si>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</si>
  <si>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</si>
  <si>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</si>
  <si>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</si>
  <si>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</si>
  <si>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</si>
  <si>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</si>
  <si>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</si>
  <si>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</si>
  <si>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</si>
  <si>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</si>
  <si>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</si>
  <si>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</si>
  <si>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</si>
  <si>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</si>
  <si>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</si>
  <si>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</si>
  <si>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</si>
  <si>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</si>
  <si>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</si>
  <si>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</si>
  <si>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</si>
  <si>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</si>
  <si>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</si>
  <si>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</si>
  <si>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</si>
  <si>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</si>
  <si>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</si>
  <si>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</si>
  <si>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</si>
  <si>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</si>
  <si>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</si>
  <si>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</si>
  <si>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</si>
  <si>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</si>
  <si>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</si>
  <si>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</si>
  <si>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</si>
  <si>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</si>
  <si>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</si>
  <si>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</si>
  <si>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</si>
  <si>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</si>
  <si>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</si>
  <si>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</si>
  <si>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</si>
  <si>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</si>
  <si>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</si>
  <si>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</si>
  <si>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</si>
  <si>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</si>
  <si>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</si>
  <si>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</si>
  <si>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</si>
  <si>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</si>
  <si>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</si>
  <si>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</si>
  <si>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</si>
  <si>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</si>
  <si>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</si>
  <si>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</si>
  <si>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</si>
  <si>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</si>
  <si>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</si>
  <si>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</si>
  <si>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</si>
  <si>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</si>
  <si>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</si>
  <si>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</si>
  <si>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</si>
  <si>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</si>
  <si>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</si>
  <si>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</si>
  <si>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</si>
  <si>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</si>
  <si>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</si>
  <si>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</si>
  <si>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</si>
  <si>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</si>
  <si>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</si>
  <si>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</si>
  <si>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</si>
  <si>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</si>
  <si>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</si>
  <si>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</si>
  <si>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</si>
  <si>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</si>
  <si>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</si>
  <si>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</si>
  <si>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</si>
  <si>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</si>
  <si>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</si>
  <si>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</si>
  <si>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</si>
  <si>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</si>
  <si>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</si>
  <si>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</si>
  <si>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</si>
  <si>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</si>
  <si>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</si>
  <si>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</si>
  <si>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</si>
  <si>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</si>
  <si>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</si>
  <si>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</si>
  <si>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</si>
  <si>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</si>
  <si>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</si>
  <si>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</si>
  <si>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</si>
  <si>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</si>
  <si>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</si>
  <si>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</si>
  <si>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</si>
  <si>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</si>
  <si>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</si>
  <si>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</si>
  <si>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</si>
  <si>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</si>
  <si>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</si>
  <si>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</si>
  <si>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</si>
  <si>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</si>
  <si>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</si>
  <si>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</si>
  <si>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</si>
  <si>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</si>
  <si>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</si>
  <si>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</si>
  <si>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</si>
  <si>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</si>
  <si>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（学校番号：Ｓ０５）</t>
  </si>
  <si>
    <t>（財務会計コード番号：１１０３８）</t>
  </si>
  <si>
    <t>府立だいせん聴覚高等支援学校　</t>
  </si>
  <si>
    <t>　校長　藤原　彰子　</t>
  </si>
  <si>
    <t>　だい聴高　第1-2号　</t>
  </si>
  <si>
    <t>◎</t>
  </si>
  <si>
    <t>全国特別支援学校長研究大会参加費</t>
  </si>
  <si>
    <t>大阪府産業教育フェア学校分担金</t>
  </si>
  <si>
    <t>全国聾学校長会研究協議会参加費</t>
  </si>
  <si>
    <t>全日本聾教育研究大会参加費</t>
  </si>
  <si>
    <t>近畿教育オーディオロジー研究協議会会費</t>
  </si>
  <si>
    <t>　 だい聴高 第 1-1号　</t>
  </si>
  <si>
    <t>１－（４）－ケ</t>
  </si>
  <si>
    <t>１－（３）－キ</t>
  </si>
  <si>
    <t>進路・就職指導の充実</t>
  </si>
  <si>
    <t>グローバル人材の育成</t>
  </si>
  <si>
    <t>「先輩の体験を聞く会」謝礼</t>
  </si>
  <si>
    <t>インターネット通信料</t>
  </si>
  <si>
    <t>１－（２）－エ</t>
  </si>
  <si>
    <t>情報保障の充実</t>
  </si>
  <si>
    <t>iPad及び関連用品</t>
  </si>
  <si>
    <t>３－（１）－イ</t>
  </si>
  <si>
    <t>授業改善</t>
  </si>
  <si>
    <t>パソコン及び関連用品</t>
  </si>
  <si>
    <t>外部講師謝礼</t>
  </si>
  <si>
    <t>講師旅費</t>
  </si>
  <si>
    <t>３－（１）－ア</t>
  </si>
  <si>
    <t>授業充実</t>
  </si>
  <si>
    <t>手話通訳及び要約筆記</t>
  </si>
  <si>
    <t>多文化共生教育の推進</t>
  </si>
  <si>
    <t>ボランティア学生旅費</t>
  </si>
  <si>
    <t>ＡＳＬ授業の実施</t>
  </si>
  <si>
    <t>ＡＳＬ（アメリカ手話）講習会謝礼</t>
  </si>
  <si>
    <t>プレーヤー及び関連用品</t>
  </si>
  <si>
    <t>学校ＰＲ用品作成</t>
  </si>
  <si>
    <t>情報発信力の向上</t>
  </si>
  <si>
    <t>１－（３）－ク</t>
  </si>
  <si>
    <t>２－（２）－オ</t>
  </si>
  <si>
    <t>２－（１）－イ</t>
  </si>
  <si>
    <t>３－（１）－ア</t>
  </si>
  <si>
    <t>３－（１）－ア</t>
  </si>
  <si>
    <t>　 だい聴高 第 1-3号　</t>
  </si>
  <si>
    <t>　だい聴高 第1-4号　</t>
  </si>
  <si>
    <t>１－（３）－キ</t>
  </si>
  <si>
    <t>３－（１）－イ</t>
  </si>
  <si>
    <t>３－（１）－ア</t>
  </si>
  <si>
    <t>ＤＶＤ等関連用品</t>
  </si>
  <si>
    <t>２－（１）－イ</t>
  </si>
  <si>
    <t>外部講師旅費</t>
  </si>
  <si>
    <t>上半期ＮＯ.２再掲</t>
  </si>
  <si>
    <t>作品製作費</t>
  </si>
  <si>
    <t>１－（３）－ク</t>
  </si>
  <si>
    <t>ＡＳＬ（アメリカ手話）講習謝礼</t>
  </si>
  <si>
    <t>２－（２）－オ</t>
  </si>
  <si>
    <t>学校ＰＲ用品作成費</t>
  </si>
  <si>
    <t>１－（４）－ケ</t>
  </si>
  <si>
    <t>「先輩の体験を聞く会」講師謝金</t>
  </si>
  <si>
    <t>１－（３）－キ</t>
  </si>
  <si>
    <t>スカイプ用インターネット通信料</t>
  </si>
  <si>
    <t>１－（２）－エ</t>
  </si>
  <si>
    <t>３－（１）－イ</t>
  </si>
  <si>
    <t>３－（１）－ア</t>
  </si>
  <si>
    <t>DVD等関連用品</t>
  </si>
  <si>
    <t>２－（１）－イ</t>
  </si>
  <si>
    <t>外部講師謝礼及びボランティア学生旅費</t>
  </si>
  <si>
    <t>１－（３）－ク</t>
  </si>
  <si>
    <t>ASL授業の実施</t>
  </si>
  <si>
    <t>アメリカ手話講習謝礼及び旅費</t>
  </si>
  <si>
    <t>２－（２）－オ</t>
  </si>
  <si>
    <t>学校PR用品作成費</t>
  </si>
  <si>
    <t>○</t>
  </si>
  <si>
    <t>　標記につきまして、平成29年度の執行状況及び実施内容を、下記のとおり報告します。</t>
  </si>
  <si>
    <t>　 だい聴高 第１－５号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</si>
</sst>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1">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8"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59"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8"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0" xfId="0" applyFont="1" applyFill="1" applyAlignment="1" applyProtection="1">
      <alignment vertical="center"/>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8" fillId="0" borderId="63"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50"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8" fillId="0" borderId="50"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4">
      <selection activeCell="H5" sqref="H5:K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8"/>
      <c r="H1" s="504" t="s">
        <v>271</v>
      </c>
      <c r="I1" s="504"/>
      <c r="J1" s="504"/>
      <c r="K1" s="504"/>
    </row>
    <row r="2" spans="2:11" s="1" customFormat="1" ht="18" customHeight="1">
      <c r="B2" s="148"/>
      <c r="H2" s="504" t="s">
        <v>272</v>
      </c>
      <c r="I2" s="504"/>
      <c r="J2" s="504"/>
      <c r="K2" s="504"/>
    </row>
    <row r="3" spans="2:11" s="1" customFormat="1" ht="18" customHeight="1">
      <c r="B3" s="148"/>
      <c r="K3" s="2"/>
    </row>
    <row r="4" spans="2:11" s="1" customFormat="1" ht="18" customHeight="1">
      <c r="B4" s="148"/>
      <c r="H4" s="505" t="s">
        <v>343</v>
      </c>
      <c r="I4" s="505"/>
      <c r="J4" s="505"/>
      <c r="K4" s="505"/>
    </row>
    <row r="5" spans="2:11" s="1" customFormat="1" ht="18" customHeight="1">
      <c r="B5" s="148"/>
      <c r="H5" s="506">
        <v>43187</v>
      </c>
      <c r="I5" s="505"/>
      <c r="J5" s="505"/>
      <c r="K5" s="505"/>
    </row>
    <row r="6" spans="1:11" s="1" customFormat="1" ht="18" customHeight="1">
      <c r="A6" s="3" t="s">
        <v>2</v>
      </c>
      <c r="B6" s="148"/>
      <c r="H6" s="4"/>
      <c r="K6" s="11"/>
    </row>
    <row r="7" spans="1:11" s="1" customFormat="1" ht="18" customHeight="1">
      <c r="A7" s="4"/>
      <c r="B7" s="148"/>
      <c r="H7" s="505" t="s">
        <v>273</v>
      </c>
      <c r="I7" s="505"/>
      <c r="J7" s="505"/>
      <c r="K7" s="505"/>
    </row>
    <row r="8" spans="1:11" s="1" customFormat="1" ht="18" customHeight="1">
      <c r="A8" s="4"/>
      <c r="B8" s="148"/>
      <c r="H8" s="505" t="s">
        <v>274</v>
      </c>
      <c r="I8" s="505"/>
      <c r="J8" s="505"/>
      <c r="K8" s="505"/>
    </row>
    <row r="9" spans="1:11" s="1" customFormat="1" ht="42" customHeight="1">
      <c r="A9" s="4"/>
      <c r="B9" s="148"/>
      <c r="H9" s="2"/>
      <c r="K9" s="46"/>
    </row>
    <row r="10" spans="1:11" s="5" customFormat="1" ht="24" customHeight="1">
      <c r="A10" s="493" t="s">
        <v>262</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342</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495" t="s">
        <v>222</v>
      </c>
      <c r="B14" s="496"/>
      <c r="C14" s="497"/>
      <c r="D14" s="498">
        <f>'1-1'!D14:F14</f>
        <v>1190000</v>
      </c>
      <c r="E14" s="499"/>
      <c r="F14" s="500"/>
      <c r="G14" s="507" t="s">
        <v>1</v>
      </c>
      <c r="H14" s="508"/>
      <c r="I14" s="509">
        <v>43187</v>
      </c>
      <c r="J14" s="510"/>
      <c r="K14" s="511"/>
    </row>
    <row r="15" spans="1:11" s="5" customFormat="1" ht="39" customHeight="1" thickBot="1">
      <c r="A15" s="19"/>
      <c r="B15" s="18" t="s">
        <v>8</v>
      </c>
      <c r="C15" s="17" t="s">
        <v>9</v>
      </c>
      <c r="D15" s="16" t="s">
        <v>124</v>
      </c>
      <c r="E15" s="16" t="s">
        <v>123</v>
      </c>
      <c r="F15" s="17" t="s">
        <v>10</v>
      </c>
      <c r="G15" s="17" t="s">
        <v>11</v>
      </c>
      <c r="H15" s="452" t="s">
        <v>248</v>
      </c>
      <c r="I15" s="16" t="s">
        <v>12</v>
      </c>
      <c r="J15" s="451" t="s">
        <v>252</v>
      </c>
      <c r="K15" s="23" t="s">
        <v>15</v>
      </c>
    </row>
    <row r="16" spans="1:11" s="5" customFormat="1" ht="58.5" customHeight="1" thickBot="1" thickTop="1">
      <c r="A16" s="22" t="s">
        <v>119</v>
      </c>
      <c r="B16" s="221">
        <f>'3-2'!K34</f>
        <v>169000</v>
      </c>
      <c r="C16" s="222">
        <f>'3-2'!K35</f>
        <v>14460</v>
      </c>
      <c r="D16" s="222">
        <f>'3-2'!K36</f>
        <v>711717</v>
      </c>
      <c r="E16" s="222">
        <f>'3-2'!K37</f>
        <v>0</v>
      </c>
      <c r="F16" s="222">
        <f>'3-2'!K38</f>
        <v>171424</v>
      </c>
      <c r="G16" s="222">
        <f>'3-2'!K39</f>
        <v>0</v>
      </c>
      <c r="H16" s="222">
        <f>'3-2'!K40</f>
        <v>0</v>
      </c>
      <c r="I16" s="222">
        <f>'3-2'!K41</f>
        <v>0</v>
      </c>
      <c r="J16" s="223">
        <f>'3-2'!K42</f>
        <v>105825</v>
      </c>
      <c r="K16" s="224">
        <f>SUM(B16:J16)</f>
        <v>1172426</v>
      </c>
    </row>
    <row r="17" spans="6:7" ht="24" customHeight="1" thickBot="1">
      <c r="F17" s="12"/>
      <c r="G17" s="12"/>
    </row>
    <row r="18" spans="1:11" ht="24" customHeight="1" thickBot="1">
      <c r="A18" s="146" t="s">
        <v>140</v>
      </c>
      <c r="B18" s="512" t="s">
        <v>141</v>
      </c>
      <c r="C18" s="513"/>
      <c r="D18" s="512" t="s">
        <v>223</v>
      </c>
      <c r="E18" s="514"/>
      <c r="F18" s="513" t="s">
        <v>218</v>
      </c>
      <c r="G18" s="513"/>
      <c r="H18" s="513"/>
      <c r="I18" s="513"/>
      <c r="J18" s="514"/>
      <c r="K18" s="147" t="s">
        <v>139</v>
      </c>
    </row>
    <row r="19" spans="1:11" ht="48" customHeight="1">
      <c r="A19" s="151">
        <v>1</v>
      </c>
      <c r="B19" s="515" t="s">
        <v>326</v>
      </c>
      <c r="C19" s="516"/>
      <c r="D19" s="518" t="s">
        <v>285</v>
      </c>
      <c r="E19" s="519"/>
      <c r="F19" s="520" t="s">
        <v>327</v>
      </c>
      <c r="G19" s="520"/>
      <c r="H19" s="520"/>
      <c r="I19" s="520"/>
      <c r="J19" s="519"/>
      <c r="K19" s="477" t="s">
        <v>276</v>
      </c>
    </row>
    <row r="20" spans="1:11" ht="48" customHeight="1">
      <c r="A20" s="152">
        <v>2</v>
      </c>
      <c r="B20" s="491" t="s">
        <v>328</v>
      </c>
      <c r="C20" s="517"/>
      <c r="D20" s="488" t="s">
        <v>286</v>
      </c>
      <c r="E20" s="489"/>
      <c r="F20" s="490" t="s">
        <v>329</v>
      </c>
      <c r="G20" s="490"/>
      <c r="H20" s="490"/>
      <c r="I20" s="490"/>
      <c r="J20" s="489"/>
      <c r="K20" s="477" t="s">
        <v>276</v>
      </c>
    </row>
    <row r="21" spans="1:11" ht="48" customHeight="1">
      <c r="A21" s="152">
        <v>3</v>
      </c>
      <c r="B21" s="491" t="s">
        <v>330</v>
      </c>
      <c r="C21" s="517"/>
      <c r="D21" s="488" t="s">
        <v>290</v>
      </c>
      <c r="E21" s="489"/>
      <c r="F21" s="490" t="s">
        <v>291</v>
      </c>
      <c r="G21" s="490"/>
      <c r="H21" s="490"/>
      <c r="I21" s="490"/>
      <c r="J21" s="489"/>
      <c r="K21" s="477" t="s">
        <v>341</v>
      </c>
    </row>
    <row r="22" spans="1:11" ht="48" customHeight="1">
      <c r="A22" s="152">
        <v>4</v>
      </c>
      <c r="B22" s="491" t="s">
        <v>331</v>
      </c>
      <c r="C22" s="517"/>
      <c r="D22" s="488" t="s">
        <v>293</v>
      </c>
      <c r="E22" s="489"/>
      <c r="F22" s="490" t="s">
        <v>295</v>
      </c>
      <c r="G22" s="490"/>
      <c r="H22" s="490"/>
      <c r="I22" s="490"/>
      <c r="J22" s="489"/>
      <c r="K22" s="477" t="s">
        <v>276</v>
      </c>
    </row>
    <row r="23" spans="1:11" ht="48" customHeight="1">
      <c r="A23" s="152">
        <v>5</v>
      </c>
      <c r="B23" s="491" t="s">
        <v>332</v>
      </c>
      <c r="C23" s="517"/>
      <c r="D23" s="488" t="s">
        <v>298</v>
      </c>
      <c r="E23" s="489"/>
      <c r="F23" s="490" t="s">
        <v>333</v>
      </c>
      <c r="G23" s="490"/>
      <c r="H23" s="490"/>
      <c r="I23" s="490"/>
      <c r="J23" s="489"/>
      <c r="K23" s="477" t="s">
        <v>341</v>
      </c>
    </row>
    <row r="24" spans="1:11" ht="48" customHeight="1">
      <c r="A24" s="152">
        <v>6</v>
      </c>
      <c r="B24" s="491" t="s">
        <v>334</v>
      </c>
      <c r="C24" s="517"/>
      <c r="D24" s="488" t="s">
        <v>300</v>
      </c>
      <c r="E24" s="489"/>
      <c r="F24" s="490" t="s">
        <v>335</v>
      </c>
      <c r="G24" s="490"/>
      <c r="H24" s="490"/>
      <c r="I24" s="490"/>
      <c r="J24" s="489"/>
      <c r="K24" s="477" t="s">
        <v>276</v>
      </c>
    </row>
    <row r="25" spans="1:11" ht="48" customHeight="1">
      <c r="A25" s="152">
        <v>7</v>
      </c>
      <c r="B25" s="491" t="s">
        <v>336</v>
      </c>
      <c r="C25" s="492"/>
      <c r="D25" s="488" t="s">
        <v>337</v>
      </c>
      <c r="E25" s="489"/>
      <c r="F25" s="490" t="s">
        <v>338</v>
      </c>
      <c r="G25" s="490"/>
      <c r="H25" s="490"/>
      <c r="I25" s="490"/>
      <c r="J25" s="489"/>
      <c r="K25" s="477" t="s">
        <v>341</v>
      </c>
    </row>
    <row r="26" spans="1:11" ht="48" customHeight="1">
      <c r="A26" s="152">
        <v>8</v>
      </c>
      <c r="B26" s="491" t="s">
        <v>339</v>
      </c>
      <c r="C26" s="492"/>
      <c r="D26" s="488" t="s">
        <v>306</v>
      </c>
      <c r="E26" s="489"/>
      <c r="F26" s="490" t="s">
        <v>340</v>
      </c>
      <c r="G26" s="490"/>
      <c r="H26" s="490"/>
      <c r="I26" s="490"/>
      <c r="J26" s="489"/>
      <c r="K26" s="477" t="s">
        <v>276</v>
      </c>
    </row>
    <row r="27" spans="1:11" ht="48" customHeight="1">
      <c r="A27" s="152"/>
      <c r="B27" s="491"/>
      <c r="C27" s="517"/>
      <c r="D27" s="488"/>
      <c r="E27" s="489"/>
      <c r="F27" s="490"/>
      <c r="G27" s="490"/>
      <c r="H27" s="490"/>
      <c r="I27" s="490"/>
      <c r="J27" s="489"/>
      <c r="K27" s="477"/>
    </row>
    <row r="28" spans="1:11" ht="48" customHeight="1">
      <c r="A28" s="152"/>
      <c r="B28" s="491"/>
      <c r="C28" s="517"/>
      <c r="D28" s="488"/>
      <c r="E28" s="489"/>
      <c r="F28" s="490"/>
      <c r="G28" s="490"/>
      <c r="H28" s="490"/>
      <c r="I28" s="490"/>
      <c r="J28" s="489"/>
      <c r="K28" s="477"/>
    </row>
    <row r="29" spans="1:11" ht="48" customHeight="1">
      <c r="A29" s="152"/>
      <c r="B29" s="491"/>
      <c r="C29" s="517"/>
      <c r="D29" s="488"/>
      <c r="E29" s="489"/>
      <c r="F29" s="490"/>
      <c r="G29" s="490"/>
      <c r="H29" s="490"/>
      <c r="I29" s="490"/>
      <c r="J29" s="489"/>
      <c r="K29" s="477"/>
    </row>
    <row r="30" spans="1:11" ht="48" customHeight="1">
      <c r="A30" s="159"/>
      <c r="B30" s="491"/>
      <c r="C30" s="492"/>
      <c r="D30" s="488"/>
      <c r="E30" s="489"/>
      <c r="F30" s="490"/>
      <c r="G30" s="490"/>
      <c r="H30" s="490"/>
      <c r="I30" s="490"/>
      <c r="J30" s="489"/>
      <c r="K30" s="477"/>
    </row>
    <row r="31" spans="1:11" ht="48" customHeight="1">
      <c r="A31" s="159"/>
      <c r="B31" s="491"/>
      <c r="C31" s="492"/>
      <c r="D31" s="488"/>
      <c r="E31" s="489"/>
      <c r="F31" s="490"/>
      <c r="G31" s="490"/>
      <c r="H31" s="490"/>
      <c r="I31" s="490"/>
      <c r="J31" s="489"/>
      <c r="K31" s="477"/>
    </row>
    <row r="32" spans="1:11" ht="48" customHeight="1">
      <c r="A32" s="159"/>
      <c r="B32" s="491"/>
      <c r="C32" s="492"/>
      <c r="D32" s="488"/>
      <c r="E32" s="489"/>
      <c r="F32" s="490"/>
      <c r="G32" s="490"/>
      <c r="H32" s="490"/>
      <c r="I32" s="490"/>
      <c r="J32" s="489"/>
      <c r="K32" s="477"/>
    </row>
    <row r="33" spans="1:11" ht="48" customHeight="1">
      <c r="A33" s="159"/>
      <c r="B33" s="491"/>
      <c r="C33" s="492"/>
      <c r="D33" s="488"/>
      <c r="E33" s="489"/>
      <c r="F33" s="490"/>
      <c r="G33" s="490"/>
      <c r="H33" s="490"/>
      <c r="I33" s="490"/>
      <c r="J33" s="489"/>
      <c r="K33" s="477"/>
    </row>
    <row r="34" spans="1:11" ht="48" customHeight="1">
      <c r="A34" s="159"/>
      <c r="B34" s="491"/>
      <c r="C34" s="492"/>
      <c r="D34" s="488"/>
      <c r="E34" s="489"/>
      <c r="F34" s="490"/>
      <c r="G34" s="490"/>
      <c r="H34" s="490"/>
      <c r="I34" s="490"/>
      <c r="J34" s="489"/>
      <c r="K34" s="477"/>
    </row>
    <row r="35" spans="1:11" ht="48" customHeight="1" thickBot="1">
      <c r="A35" s="153"/>
      <c r="B35" s="521"/>
      <c r="C35" s="522"/>
      <c r="D35" s="501"/>
      <c r="E35" s="502"/>
      <c r="F35" s="503"/>
      <c r="G35" s="503"/>
      <c r="H35" s="503"/>
      <c r="I35" s="503"/>
      <c r="J35" s="502"/>
      <c r="K35" s="47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79" activePane="bottomRight" state="frozen"/>
      <selection pane="topLeft" activeCell="E23" sqref="E23"/>
      <selection pane="topRight" activeCell="E23" sqref="E23"/>
      <selection pane="bottomLeft" activeCell="E23" sqref="E23"/>
      <selection pane="bottomRight" activeCell="I14" sqref="I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6" t="s">
        <v>140</v>
      </c>
      <c r="B3" s="301" t="s">
        <v>141</v>
      </c>
      <c r="C3" s="59" t="s">
        <v>143</v>
      </c>
      <c r="D3" s="96" t="s">
        <v>145</v>
      </c>
      <c r="E3" s="96" t="s">
        <v>0</v>
      </c>
      <c r="F3" s="96" t="s">
        <v>196</v>
      </c>
      <c r="G3" s="96" t="s">
        <v>91</v>
      </c>
      <c r="H3" s="478" t="s">
        <v>245</v>
      </c>
      <c r="I3" s="96" t="s">
        <v>92</v>
      </c>
      <c r="J3" s="96" t="s">
        <v>93</v>
      </c>
      <c r="K3" s="229" t="s">
        <v>111</v>
      </c>
      <c r="L3" s="297" t="s">
        <v>94</v>
      </c>
      <c r="M3" s="29" t="s">
        <v>99</v>
      </c>
    </row>
    <row r="4" spans="1:13" ht="13.5" customHeight="1">
      <c r="A4" s="362"/>
      <c r="B4" s="363"/>
      <c r="C4" s="244"/>
      <c r="D4" s="245">
        <v>301</v>
      </c>
      <c r="E4" s="246" t="s">
        <v>137</v>
      </c>
      <c r="F4" s="247" t="s">
        <v>224</v>
      </c>
      <c r="G4" s="248">
        <v>57935</v>
      </c>
      <c r="H4" s="249">
        <v>1</v>
      </c>
      <c r="I4" s="249">
        <v>1</v>
      </c>
      <c r="J4" s="250">
        <f>G4*H4*I4</f>
        <v>57935</v>
      </c>
      <c r="K4" s="251"/>
      <c r="L4" s="252" t="s">
        <v>226</v>
      </c>
      <c r="M4" s="29">
        <f aca="true" t="shared" si="0" ref="M4:M67">IF(K4="◎",J4,"")</f>
      </c>
    </row>
    <row r="5" spans="1:13" ht="14.25">
      <c r="A5" s="253">
        <v>2</v>
      </c>
      <c r="B5" s="254" t="s">
        <v>314</v>
      </c>
      <c r="C5" s="255" t="s">
        <v>286</v>
      </c>
      <c r="D5" s="256">
        <v>302</v>
      </c>
      <c r="E5" s="257" t="s">
        <v>87</v>
      </c>
      <c r="F5" s="258" t="s">
        <v>288</v>
      </c>
      <c r="G5" s="259">
        <v>8000</v>
      </c>
      <c r="H5" s="260">
        <v>1</v>
      </c>
      <c r="I5" s="260">
        <v>3</v>
      </c>
      <c r="J5" s="261">
        <f>G5*H5*I5</f>
        <v>24000</v>
      </c>
      <c r="K5" s="262"/>
      <c r="L5" s="263"/>
      <c r="M5" s="29">
        <f t="shared" si="0"/>
      </c>
    </row>
    <row r="6" spans="1:13" ht="14.25">
      <c r="A6" s="253">
        <v>4</v>
      </c>
      <c r="B6" s="254" t="s">
        <v>315</v>
      </c>
      <c r="C6" s="255" t="s">
        <v>293</v>
      </c>
      <c r="D6" s="256">
        <v>303</v>
      </c>
      <c r="E6" s="257" t="s">
        <v>85</v>
      </c>
      <c r="F6" s="258" t="s">
        <v>295</v>
      </c>
      <c r="G6" s="259">
        <v>20000</v>
      </c>
      <c r="H6" s="260">
        <v>1</v>
      </c>
      <c r="I6" s="260">
        <v>1</v>
      </c>
      <c r="J6" s="261">
        <f aca="true" t="shared" si="1" ref="J6:J69">G6*H6*I6</f>
        <v>20000</v>
      </c>
      <c r="K6" s="262"/>
      <c r="L6" s="263"/>
      <c r="M6" s="29">
        <f t="shared" si="0"/>
      </c>
    </row>
    <row r="7" spans="1:13" ht="14.25">
      <c r="A7" s="253">
        <v>5</v>
      </c>
      <c r="B7" s="254" t="s">
        <v>316</v>
      </c>
      <c r="C7" s="255" t="s">
        <v>298</v>
      </c>
      <c r="D7" s="256">
        <v>304</v>
      </c>
      <c r="E7" s="257" t="s">
        <v>125</v>
      </c>
      <c r="F7" s="258" t="s">
        <v>317</v>
      </c>
      <c r="G7" s="259">
        <v>20000</v>
      </c>
      <c r="H7" s="260">
        <v>1</v>
      </c>
      <c r="I7" s="260">
        <v>1</v>
      </c>
      <c r="J7" s="261">
        <f t="shared" si="1"/>
        <v>20000</v>
      </c>
      <c r="K7" s="262"/>
      <c r="L7" s="263"/>
      <c r="M7" s="29">
        <f t="shared" si="0"/>
      </c>
    </row>
    <row r="8" spans="1:13" ht="14.25">
      <c r="A8" s="253">
        <v>6</v>
      </c>
      <c r="B8" s="254" t="s">
        <v>318</v>
      </c>
      <c r="C8" s="255" t="s">
        <v>300</v>
      </c>
      <c r="D8" s="256">
        <v>305</v>
      </c>
      <c r="E8" s="257" t="s">
        <v>86</v>
      </c>
      <c r="F8" s="258" t="s">
        <v>319</v>
      </c>
      <c r="G8" s="259">
        <v>4000</v>
      </c>
      <c r="H8" s="260">
        <v>1</v>
      </c>
      <c r="I8" s="260">
        <v>1</v>
      </c>
      <c r="J8" s="261">
        <f t="shared" si="1"/>
        <v>4000</v>
      </c>
      <c r="K8" s="262"/>
      <c r="L8" s="263"/>
      <c r="M8" s="29">
        <f t="shared" si="0"/>
      </c>
    </row>
    <row r="9" spans="1:13" ht="14.25">
      <c r="A9" s="253">
        <v>6</v>
      </c>
      <c r="B9" s="254" t="s">
        <v>318</v>
      </c>
      <c r="C9" s="255" t="s">
        <v>300</v>
      </c>
      <c r="D9" s="256">
        <v>306</v>
      </c>
      <c r="E9" s="257" t="s">
        <v>85</v>
      </c>
      <c r="F9" s="258" t="s">
        <v>295</v>
      </c>
      <c r="G9" s="259">
        <v>5000</v>
      </c>
      <c r="H9" s="260">
        <v>2</v>
      </c>
      <c r="I9" s="260">
        <v>2</v>
      </c>
      <c r="J9" s="261">
        <f t="shared" si="1"/>
        <v>20000</v>
      </c>
      <c r="K9" s="262"/>
      <c r="L9" s="263" t="s">
        <v>320</v>
      </c>
      <c r="M9" s="29">
        <f t="shared" si="0"/>
      </c>
    </row>
    <row r="10" spans="1:13" ht="14.25">
      <c r="A10" s="253">
        <v>6</v>
      </c>
      <c r="B10" s="254" t="s">
        <v>318</v>
      </c>
      <c r="C10" s="255" t="s">
        <v>300</v>
      </c>
      <c r="D10" s="256">
        <v>307</v>
      </c>
      <c r="E10" s="258" t="s">
        <v>86</v>
      </c>
      <c r="F10" s="258" t="s">
        <v>301</v>
      </c>
      <c r="G10" s="259">
        <v>1000</v>
      </c>
      <c r="H10" s="260">
        <v>5</v>
      </c>
      <c r="I10" s="260">
        <v>2</v>
      </c>
      <c r="J10" s="261">
        <f t="shared" si="1"/>
        <v>10000</v>
      </c>
      <c r="K10" s="262"/>
      <c r="L10" s="263" t="s">
        <v>320</v>
      </c>
      <c r="M10" s="29">
        <f t="shared" si="0"/>
      </c>
    </row>
    <row r="11" spans="1:13" ht="13.5" customHeight="1">
      <c r="A11" s="253">
        <v>6</v>
      </c>
      <c r="B11" s="254" t="s">
        <v>318</v>
      </c>
      <c r="C11" s="255" t="s">
        <v>300</v>
      </c>
      <c r="D11" s="256">
        <v>308</v>
      </c>
      <c r="E11" s="266" t="s">
        <v>125</v>
      </c>
      <c r="F11" s="266" t="s">
        <v>321</v>
      </c>
      <c r="G11" s="267">
        <v>10000</v>
      </c>
      <c r="H11" s="268">
        <v>1</v>
      </c>
      <c r="I11" s="268">
        <v>1</v>
      </c>
      <c r="J11" s="261">
        <f t="shared" si="1"/>
        <v>10000</v>
      </c>
      <c r="K11" s="269"/>
      <c r="L11" s="270"/>
      <c r="M11" s="29">
        <f t="shared" si="0"/>
      </c>
    </row>
    <row r="12" spans="1:13" ht="14.25">
      <c r="A12" s="253">
        <v>7</v>
      </c>
      <c r="B12" s="254" t="s">
        <v>322</v>
      </c>
      <c r="C12" s="255" t="s">
        <v>302</v>
      </c>
      <c r="D12" s="256">
        <v>309</v>
      </c>
      <c r="E12" s="257" t="s">
        <v>85</v>
      </c>
      <c r="F12" s="257" t="s">
        <v>323</v>
      </c>
      <c r="G12" s="271">
        <v>10000</v>
      </c>
      <c r="H12" s="272">
        <v>1</v>
      </c>
      <c r="I12" s="272">
        <v>3</v>
      </c>
      <c r="J12" s="261">
        <f t="shared" si="1"/>
        <v>30000</v>
      </c>
      <c r="K12" s="273"/>
      <c r="L12" s="274"/>
      <c r="M12" s="29">
        <f t="shared" si="0"/>
      </c>
    </row>
    <row r="13" spans="1:13" ht="14.25">
      <c r="A13" s="253">
        <v>7</v>
      </c>
      <c r="B13" s="254" t="s">
        <v>322</v>
      </c>
      <c r="C13" s="255" t="s">
        <v>302</v>
      </c>
      <c r="D13" s="256">
        <v>310</v>
      </c>
      <c r="E13" s="257" t="s">
        <v>86</v>
      </c>
      <c r="F13" s="257" t="s">
        <v>296</v>
      </c>
      <c r="G13" s="271">
        <v>900</v>
      </c>
      <c r="H13" s="272">
        <v>1</v>
      </c>
      <c r="I13" s="272">
        <v>3</v>
      </c>
      <c r="J13" s="261">
        <f t="shared" si="1"/>
        <v>2700</v>
      </c>
      <c r="K13" s="262"/>
      <c r="L13" s="263"/>
      <c r="M13" s="29">
        <f t="shared" si="0"/>
      </c>
    </row>
    <row r="14" spans="1:13" ht="13.5" customHeight="1">
      <c r="A14" s="253">
        <v>8</v>
      </c>
      <c r="B14" s="254" t="s">
        <v>324</v>
      </c>
      <c r="C14" s="255" t="s">
        <v>306</v>
      </c>
      <c r="D14" s="256">
        <v>311</v>
      </c>
      <c r="E14" s="258" t="s">
        <v>125</v>
      </c>
      <c r="F14" s="258" t="s">
        <v>325</v>
      </c>
      <c r="G14" s="259">
        <v>160000</v>
      </c>
      <c r="H14" s="260">
        <v>1</v>
      </c>
      <c r="I14" s="260">
        <v>1</v>
      </c>
      <c r="J14" s="261">
        <f t="shared" si="1"/>
        <v>160000</v>
      </c>
      <c r="K14" s="276"/>
      <c r="L14" s="263"/>
      <c r="M14" s="29">
        <f t="shared" si="0"/>
      </c>
    </row>
    <row r="15" spans="1:13" ht="14.25">
      <c r="A15" s="253"/>
      <c r="B15" s="254"/>
      <c r="C15" s="255"/>
      <c r="D15" s="256">
        <v>312</v>
      </c>
      <c r="E15" s="277"/>
      <c r="F15" s="277"/>
      <c r="G15" s="278"/>
      <c r="H15" s="279"/>
      <c r="I15" s="279"/>
      <c r="J15" s="261">
        <f t="shared" si="1"/>
        <v>0</v>
      </c>
      <c r="K15" s="280"/>
      <c r="L15" s="281"/>
      <c r="M15" s="29">
        <f t="shared" si="0"/>
      </c>
    </row>
    <row r="16" spans="1:13" ht="13.5">
      <c r="A16" s="253"/>
      <c r="B16" s="254"/>
      <c r="C16" s="255"/>
      <c r="D16" s="256">
        <v>313</v>
      </c>
      <c r="E16" s="258"/>
      <c r="F16" s="258"/>
      <c r="G16" s="259"/>
      <c r="H16" s="260"/>
      <c r="I16" s="260"/>
      <c r="J16" s="261">
        <f t="shared" si="1"/>
        <v>0</v>
      </c>
      <c r="K16" s="262"/>
      <c r="L16" s="263"/>
      <c r="M16" s="29">
        <f t="shared" si="0"/>
      </c>
    </row>
    <row r="17" spans="1:13" ht="13.5">
      <c r="A17" s="253"/>
      <c r="B17" s="254"/>
      <c r="C17" s="255"/>
      <c r="D17" s="256">
        <v>314</v>
      </c>
      <c r="E17" s="258"/>
      <c r="F17" s="258"/>
      <c r="G17" s="259"/>
      <c r="H17" s="260"/>
      <c r="I17" s="260"/>
      <c r="J17" s="261">
        <f t="shared" si="1"/>
        <v>0</v>
      </c>
      <c r="K17" s="262"/>
      <c r="L17" s="263"/>
      <c r="M17" s="29">
        <f t="shared" si="0"/>
      </c>
    </row>
    <row r="18" spans="1:13" ht="13.5">
      <c r="A18" s="253"/>
      <c r="B18" s="254"/>
      <c r="C18" s="255"/>
      <c r="D18" s="256">
        <v>315</v>
      </c>
      <c r="E18" s="258"/>
      <c r="F18" s="258"/>
      <c r="G18" s="259"/>
      <c r="H18" s="260"/>
      <c r="I18" s="260"/>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254"/>
      <c r="C20" s="255"/>
      <c r="D20" s="256">
        <v>317</v>
      </c>
      <c r="E20" s="258"/>
      <c r="F20" s="258"/>
      <c r="G20" s="259"/>
      <c r="H20" s="260"/>
      <c r="I20" s="260"/>
      <c r="J20" s="261">
        <f t="shared" si="1"/>
        <v>0</v>
      </c>
      <c r="K20" s="262"/>
      <c r="L20" s="263"/>
      <c r="M20" s="29">
        <f t="shared" si="0"/>
      </c>
    </row>
    <row r="21" spans="1:13" ht="13.5">
      <c r="A21" s="253"/>
      <c r="B21" s="254"/>
      <c r="C21" s="255"/>
      <c r="D21" s="256">
        <v>318</v>
      </c>
      <c r="E21" s="258"/>
      <c r="F21" s="258"/>
      <c r="G21" s="259"/>
      <c r="H21" s="260"/>
      <c r="I21" s="260"/>
      <c r="J21" s="261">
        <f t="shared" si="1"/>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6"/>
      <c r="D54" s="256">
        <v>351</v>
      </c>
      <c r="E54" s="258"/>
      <c r="F54" s="258"/>
      <c r="G54" s="259"/>
      <c r="H54" s="260"/>
      <c r="I54" s="260"/>
      <c r="J54" s="261">
        <f t="shared" si="1"/>
        <v>0</v>
      </c>
      <c r="K54" s="262"/>
      <c r="L54" s="263"/>
      <c r="M54" s="29">
        <f t="shared" si="0"/>
      </c>
    </row>
    <row r="55" spans="1:13" ht="13.5">
      <c r="A55" s="283"/>
      <c r="B55" s="284"/>
      <c r="C55" s="486"/>
      <c r="D55" s="256">
        <v>352</v>
      </c>
      <c r="E55" s="258"/>
      <c r="F55" s="258"/>
      <c r="G55" s="259"/>
      <c r="H55" s="260"/>
      <c r="I55" s="260"/>
      <c r="J55" s="261">
        <f t="shared" si="1"/>
        <v>0</v>
      </c>
      <c r="K55" s="262"/>
      <c r="L55" s="263"/>
      <c r="M55" s="29">
        <f t="shared" si="0"/>
      </c>
    </row>
    <row r="56" spans="1:13" ht="13.5">
      <c r="A56" s="283"/>
      <c r="B56" s="284"/>
      <c r="C56" s="486"/>
      <c r="D56" s="256">
        <v>353</v>
      </c>
      <c r="E56" s="258"/>
      <c r="F56" s="258"/>
      <c r="G56" s="259"/>
      <c r="H56" s="260"/>
      <c r="I56" s="260"/>
      <c r="J56" s="261">
        <f t="shared" si="1"/>
        <v>0</v>
      </c>
      <c r="K56" s="262"/>
      <c r="L56" s="263"/>
      <c r="M56" s="29">
        <f t="shared" si="0"/>
      </c>
    </row>
    <row r="57" spans="1:13" ht="13.5">
      <c r="A57" s="283"/>
      <c r="B57" s="284"/>
      <c r="C57" s="486"/>
      <c r="D57" s="256">
        <v>354</v>
      </c>
      <c r="E57" s="258"/>
      <c r="F57" s="258"/>
      <c r="G57" s="259"/>
      <c r="H57" s="260"/>
      <c r="I57" s="260"/>
      <c r="J57" s="261">
        <f t="shared" si="1"/>
        <v>0</v>
      </c>
      <c r="K57" s="262"/>
      <c r="L57" s="263"/>
      <c r="M57" s="29">
        <f t="shared" si="0"/>
      </c>
    </row>
    <row r="58" spans="1:13" ht="13.5">
      <c r="A58" s="283"/>
      <c r="B58" s="284"/>
      <c r="C58" s="486"/>
      <c r="D58" s="256">
        <v>355</v>
      </c>
      <c r="E58" s="258"/>
      <c r="F58" s="258"/>
      <c r="G58" s="259"/>
      <c r="H58" s="260"/>
      <c r="I58" s="260"/>
      <c r="J58" s="261">
        <f t="shared" si="1"/>
        <v>0</v>
      </c>
      <c r="K58" s="262"/>
      <c r="L58" s="263"/>
      <c r="M58" s="29">
        <f t="shared" si="0"/>
      </c>
    </row>
    <row r="59" spans="1:13" ht="13.5">
      <c r="A59" s="283"/>
      <c r="B59" s="284"/>
      <c r="C59" s="486"/>
      <c r="D59" s="256">
        <v>356</v>
      </c>
      <c r="E59" s="258"/>
      <c r="F59" s="258"/>
      <c r="G59" s="259"/>
      <c r="H59" s="260"/>
      <c r="I59" s="260"/>
      <c r="J59" s="261">
        <f t="shared" si="1"/>
        <v>0</v>
      </c>
      <c r="K59" s="262"/>
      <c r="L59" s="263"/>
      <c r="M59" s="29">
        <f t="shared" si="0"/>
      </c>
    </row>
    <row r="60" spans="1:13" ht="13.5">
      <c r="A60" s="283"/>
      <c r="B60" s="284"/>
      <c r="C60" s="486"/>
      <c r="D60" s="256">
        <v>357</v>
      </c>
      <c r="E60" s="258"/>
      <c r="F60" s="258"/>
      <c r="G60" s="259"/>
      <c r="H60" s="260"/>
      <c r="I60" s="260"/>
      <c r="J60" s="261">
        <f t="shared" si="1"/>
        <v>0</v>
      </c>
      <c r="K60" s="262"/>
      <c r="L60" s="263"/>
      <c r="M60" s="29">
        <f t="shared" si="0"/>
      </c>
    </row>
    <row r="61" spans="1:13" ht="13.5">
      <c r="A61" s="283"/>
      <c r="B61" s="284"/>
      <c r="C61" s="486"/>
      <c r="D61" s="256">
        <v>358</v>
      </c>
      <c r="E61" s="258"/>
      <c r="F61" s="258"/>
      <c r="G61" s="259"/>
      <c r="H61" s="260"/>
      <c r="I61" s="260"/>
      <c r="J61" s="261">
        <f t="shared" si="1"/>
        <v>0</v>
      </c>
      <c r="K61" s="262"/>
      <c r="L61" s="263"/>
      <c r="M61" s="29">
        <f t="shared" si="0"/>
      </c>
    </row>
    <row r="62" spans="1:13" ht="13.5">
      <c r="A62" s="283"/>
      <c r="B62" s="284"/>
      <c r="C62" s="486"/>
      <c r="D62" s="256">
        <v>359</v>
      </c>
      <c r="E62" s="258"/>
      <c r="F62" s="258"/>
      <c r="G62" s="259"/>
      <c r="H62" s="260"/>
      <c r="I62" s="260"/>
      <c r="J62" s="261">
        <f t="shared" si="1"/>
        <v>0</v>
      </c>
      <c r="K62" s="262"/>
      <c r="L62" s="263"/>
      <c r="M62" s="29">
        <f t="shared" si="0"/>
      </c>
    </row>
    <row r="63" spans="1:13" ht="13.5">
      <c r="A63" s="283"/>
      <c r="B63" s="284"/>
      <c r="C63" s="486"/>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81"/>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90"/>
      <c r="F105" s="28" t="s">
        <v>15</v>
      </c>
      <c r="G105" s="28"/>
    </row>
    <row r="106" spans="4:11" ht="24" customHeight="1" thickBot="1">
      <c r="D106" s="391"/>
      <c r="F106" s="436" t="s">
        <v>96</v>
      </c>
      <c r="G106" s="231" t="s">
        <v>97</v>
      </c>
      <c r="H106" s="576" t="s">
        <v>175</v>
      </c>
      <c r="I106" s="576"/>
      <c r="J106" s="576" t="s">
        <v>98</v>
      </c>
      <c r="K106" s="577"/>
    </row>
    <row r="107" spans="4:11" ht="14.25" thickTop="1">
      <c r="D107" s="232"/>
      <c r="F107" s="298" t="s">
        <v>85</v>
      </c>
      <c r="G107" s="360">
        <f>SUMIF($E$4:$E$103,F107,$J$4:$J$103)</f>
        <v>70000</v>
      </c>
      <c r="H107" s="550">
        <f>SUMIF($E$4:$E$103,F107,$M$4:$M$103)</f>
        <v>0</v>
      </c>
      <c r="I107" s="550"/>
      <c r="J107" s="550">
        <f aca="true" t="shared" si="4" ref="J107:J115">G107-H107</f>
        <v>70000</v>
      </c>
      <c r="K107" s="614"/>
    </row>
    <row r="108" spans="4:11" ht="13.5">
      <c r="D108" s="232"/>
      <c r="F108" s="299" t="s">
        <v>86</v>
      </c>
      <c r="G108" s="359">
        <f aca="true" t="shared" si="5" ref="G108:G115">SUMIF($E$4:$E$103,F108,$J$4:$J$103)</f>
        <v>16700</v>
      </c>
      <c r="H108" s="529">
        <f aca="true" t="shared" si="6" ref="H108:H114">SUMIF($E$4:$E$103,F108,$M$4:$M$103)</f>
        <v>0</v>
      </c>
      <c r="I108" s="529"/>
      <c r="J108" s="529">
        <f t="shared" si="4"/>
        <v>16700</v>
      </c>
      <c r="K108" s="532"/>
    </row>
    <row r="109" spans="4:11" ht="13.5">
      <c r="D109" s="232"/>
      <c r="F109" s="299" t="s">
        <v>125</v>
      </c>
      <c r="G109" s="359">
        <f t="shared" si="5"/>
        <v>190000</v>
      </c>
      <c r="H109" s="529">
        <f t="shared" si="6"/>
        <v>0</v>
      </c>
      <c r="I109" s="529"/>
      <c r="J109" s="529">
        <f t="shared" si="4"/>
        <v>190000</v>
      </c>
      <c r="K109" s="532"/>
    </row>
    <row r="110" spans="4:11" ht="13.5">
      <c r="D110" s="232"/>
      <c r="F110" s="299" t="s">
        <v>126</v>
      </c>
      <c r="G110" s="359">
        <f t="shared" si="5"/>
        <v>0</v>
      </c>
      <c r="H110" s="529">
        <f t="shared" si="6"/>
        <v>0</v>
      </c>
      <c r="I110" s="529"/>
      <c r="J110" s="529">
        <f t="shared" si="4"/>
        <v>0</v>
      </c>
      <c r="K110" s="532"/>
    </row>
    <row r="111" spans="4:11" ht="13.5">
      <c r="D111" s="232"/>
      <c r="F111" s="299" t="s">
        <v>87</v>
      </c>
      <c r="G111" s="359">
        <f t="shared" si="5"/>
        <v>24000</v>
      </c>
      <c r="H111" s="529">
        <f t="shared" si="6"/>
        <v>0</v>
      </c>
      <c r="I111" s="529"/>
      <c r="J111" s="529">
        <f t="shared" si="4"/>
        <v>24000</v>
      </c>
      <c r="K111" s="532"/>
    </row>
    <row r="112" spans="4:11" ht="13.5">
      <c r="D112" s="232"/>
      <c r="F112" s="299" t="s">
        <v>88</v>
      </c>
      <c r="G112" s="359">
        <f t="shared" si="5"/>
        <v>0</v>
      </c>
      <c r="H112" s="529">
        <f t="shared" si="6"/>
        <v>0</v>
      </c>
      <c r="I112" s="529"/>
      <c r="J112" s="529">
        <f t="shared" si="4"/>
        <v>0</v>
      </c>
      <c r="K112" s="532"/>
    </row>
    <row r="113" spans="4:11" ht="13.5">
      <c r="D113" s="232"/>
      <c r="F113" s="299" t="s">
        <v>89</v>
      </c>
      <c r="G113" s="359">
        <f t="shared" si="5"/>
        <v>0</v>
      </c>
      <c r="H113" s="529">
        <f t="shared" si="6"/>
        <v>0</v>
      </c>
      <c r="I113" s="529"/>
      <c r="J113" s="529">
        <f t="shared" si="4"/>
        <v>0</v>
      </c>
      <c r="K113" s="532"/>
    </row>
    <row r="114" spans="4:11" ht="13.5">
      <c r="D114" s="232"/>
      <c r="F114" s="299" t="s">
        <v>90</v>
      </c>
      <c r="G114" s="359">
        <f t="shared" si="5"/>
        <v>0</v>
      </c>
      <c r="H114" s="529">
        <f t="shared" si="6"/>
        <v>0</v>
      </c>
      <c r="I114" s="529"/>
      <c r="J114" s="529">
        <f t="shared" si="4"/>
        <v>0</v>
      </c>
      <c r="K114" s="532"/>
    </row>
    <row r="115" spans="4:11" ht="14.25" thickBot="1">
      <c r="D115" s="232"/>
      <c r="F115" s="298" t="s">
        <v>137</v>
      </c>
      <c r="G115" s="359">
        <f t="shared" si="5"/>
        <v>57935</v>
      </c>
      <c r="H115" s="603">
        <f>SUMIF($E$4:$E$103,F115,$M$4:$M$103)+'2-3'!I122</f>
        <v>0</v>
      </c>
      <c r="I115" s="603"/>
      <c r="J115" s="603">
        <f t="shared" si="4"/>
        <v>57935</v>
      </c>
      <c r="K115" s="604"/>
    </row>
    <row r="116" spans="4:11" ht="15" thickBot="1" thickTop="1">
      <c r="D116" s="391"/>
      <c r="F116" s="300" t="s">
        <v>15</v>
      </c>
      <c r="G116" s="361">
        <f>SUM(G107:G115)</f>
        <v>358635</v>
      </c>
      <c r="H116" s="600">
        <f>SUM(H107:I115)</f>
        <v>0</v>
      </c>
      <c r="I116" s="600"/>
      <c r="J116" s="600">
        <f>SUM(J107:K115)</f>
        <v>358635</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282</v>
      </c>
      <c r="I4" s="505"/>
      <c r="J4" s="505"/>
      <c r="K4" s="505"/>
    </row>
    <row r="5" spans="8:11" s="1" customFormat="1" ht="18" customHeight="1">
      <c r="H5" s="506">
        <v>42824</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3" t="s">
        <v>265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52" t="s">
        <v>248</v>
      </c>
      <c r="I14" s="16" t="s">
        <v>12</v>
      </c>
      <c r="J14" s="451" t="s">
        <v>252</v>
      </c>
      <c r="K14" s="23" t="s">
        <v>15</v>
      </c>
    </row>
    <row r="15" spans="1:11" ht="58.5" customHeight="1" thickTop="1">
      <c r="A15" s="30" t="s">
        <v>100</v>
      </c>
      <c r="B15" s="458">
        <f>'随時①-2'!G27</f>
        <v>9000</v>
      </c>
      <c r="C15" s="459">
        <f>'随時①-2'!G28</f>
        <v>0</v>
      </c>
      <c r="D15" s="459">
        <f>'随時①-2'!G29</f>
        <v>0</v>
      </c>
      <c r="E15" s="459">
        <f>'随時①-2'!G30</f>
        <v>0</v>
      </c>
      <c r="F15" s="459">
        <f>'随時①-2'!G31</f>
        <v>24000</v>
      </c>
      <c r="G15" s="459">
        <f>'随時①-2'!G32</f>
        <v>0</v>
      </c>
      <c r="H15" s="459">
        <f>'随時①-2'!G33</f>
        <v>0</v>
      </c>
      <c r="I15" s="459">
        <f>'随時①-2'!G34</f>
        <v>0</v>
      </c>
      <c r="J15" s="460">
        <f>'随時①-2'!G35</f>
        <v>0</v>
      </c>
      <c r="K15" s="461">
        <f>SUM(B15:J15)</f>
        <v>33000</v>
      </c>
    </row>
    <row r="16" spans="1:11" ht="58.5" customHeight="1">
      <c r="A16" s="21" t="s">
        <v>177</v>
      </c>
      <c r="B16" s="462">
        <f>'随時①-2'!H27</f>
        <v>0</v>
      </c>
      <c r="C16" s="386">
        <f>'随時①-2'!H28</f>
        <v>0</v>
      </c>
      <c r="D16" s="386">
        <f>'随時①-2'!H29</f>
        <v>0</v>
      </c>
      <c r="E16" s="386">
        <f>'随時①-2'!H30</f>
        <v>0</v>
      </c>
      <c r="F16" s="386">
        <f>'随時①-2'!H31</f>
        <v>0</v>
      </c>
      <c r="G16" s="386">
        <f>'随時①-2'!H32</f>
        <v>0</v>
      </c>
      <c r="H16" s="386">
        <f>'随時①-2'!H33</f>
        <v>0</v>
      </c>
      <c r="I16" s="386">
        <f>'随時①-2'!H34</f>
        <v>0</v>
      </c>
      <c r="J16" s="463">
        <f>'随時①-2'!H35</f>
        <v>0</v>
      </c>
      <c r="K16" s="464">
        <f>SUM(B16:J16)</f>
        <v>0</v>
      </c>
    </row>
    <row r="17" spans="1:11" ht="58.5" customHeight="1" thickBot="1">
      <c r="A17" s="21" t="s">
        <v>101</v>
      </c>
      <c r="B17" s="465">
        <f>B15-B16</f>
        <v>9000</v>
      </c>
      <c r="C17" s="466">
        <f>C15-C16</f>
        <v>0</v>
      </c>
      <c r="D17" s="466">
        <f aca="true" t="shared" si="0" ref="D17:J17">D15-D16</f>
        <v>0</v>
      </c>
      <c r="E17" s="466">
        <f t="shared" si="0"/>
        <v>0</v>
      </c>
      <c r="F17" s="466">
        <f t="shared" si="0"/>
        <v>24000</v>
      </c>
      <c r="G17" s="466">
        <f t="shared" si="0"/>
        <v>0</v>
      </c>
      <c r="H17" s="466">
        <f t="shared" si="0"/>
        <v>0</v>
      </c>
      <c r="I17" s="466">
        <f t="shared" si="0"/>
        <v>0</v>
      </c>
      <c r="J17" s="466">
        <f t="shared" si="0"/>
        <v>0</v>
      </c>
      <c r="K17" s="467">
        <f>K15-K16</f>
        <v>33000</v>
      </c>
    </row>
    <row r="18" spans="1:11" ht="39" customHeight="1" thickBot="1">
      <c r="A18" s="32" t="s">
        <v>104</v>
      </c>
      <c r="B18" s="616">
        <v>42824</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I10" sqref="I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6" t="s">
        <v>140</v>
      </c>
      <c r="B3" s="301" t="s">
        <v>141</v>
      </c>
      <c r="C3" s="59" t="s">
        <v>143</v>
      </c>
      <c r="D3" s="392" t="s">
        <v>146</v>
      </c>
      <c r="E3" s="96" t="s">
        <v>0</v>
      </c>
      <c r="F3" s="96" t="s">
        <v>196</v>
      </c>
      <c r="G3" s="96" t="s">
        <v>91</v>
      </c>
      <c r="H3" s="478" t="s">
        <v>245</v>
      </c>
      <c r="I3" s="96" t="s">
        <v>92</v>
      </c>
      <c r="J3" s="96" t="s">
        <v>93</v>
      </c>
      <c r="K3" s="229" t="s">
        <v>111</v>
      </c>
      <c r="L3" s="297" t="s">
        <v>107</v>
      </c>
      <c r="M3" s="29" t="s">
        <v>99</v>
      </c>
    </row>
    <row r="4" spans="1:13" ht="13.5" customHeight="1">
      <c r="A4" s="362">
        <v>1</v>
      </c>
      <c r="B4" s="393" t="s">
        <v>283</v>
      </c>
      <c r="C4" s="394" t="s">
        <v>285</v>
      </c>
      <c r="D4" s="245">
        <v>101</v>
      </c>
      <c r="E4" s="246" t="s">
        <v>85</v>
      </c>
      <c r="F4" s="247" t="s">
        <v>287</v>
      </c>
      <c r="G4" s="248">
        <v>3000</v>
      </c>
      <c r="H4" s="249">
        <v>3</v>
      </c>
      <c r="I4" s="249">
        <v>1</v>
      </c>
      <c r="J4" s="250">
        <f>G4*H4*I4</f>
        <v>9000</v>
      </c>
      <c r="K4" s="251"/>
      <c r="L4" s="252"/>
      <c r="M4" s="29">
        <f aca="true" t="shared" si="0" ref="M4:M23">IF(K4="◎",J4,"")</f>
      </c>
    </row>
    <row r="5" spans="1:13" ht="13.5" customHeight="1">
      <c r="A5" s="253">
        <v>2</v>
      </c>
      <c r="B5" s="395" t="s">
        <v>284</v>
      </c>
      <c r="C5" s="396" t="s">
        <v>286</v>
      </c>
      <c r="D5" s="256">
        <v>102</v>
      </c>
      <c r="E5" s="257" t="s">
        <v>87</v>
      </c>
      <c r="F5" s="258" t="s">
        <v>288</v>
      </c>
      <c r="G5" s="259">
        <v>8000</v>
      </c>
      <c r="H5" s="260">
        <v>1</v>
      </c>
      <c r="I5" s="260">
        <v>3</v>
      </c>
      <c r="J5" s="261">
        <f>G5*H5*I5</f>
        <v>24000</v>
      </c>
      <c r="K5" s="262"/>
      <c r="L5" s="263"/>
      <c r="M5" s="29">
        <f t="shared" si="0"/>
      </c>
    </row>
    <row r="6" spans="1:13" ht="13.5" customHeight="1">
      <c r="A6" s="253"/>
      <c r="B6" s="397"/>
      <c r="C6" s="396"/>
      <c r="D6" s="256">
        <v>103</v>
      </c>
      <c r="E6" s="257"/>
      <c r="F6" s="258"/>
      <c r="G6" s="259"/>
      <c r="H6" s="260"/>
      <c r="I6" s="260"/>
      <c r="J6" s="261">
        <f aca="true" t="shared" si="1" ref="J6:J23">G6*H6*I6</f>
        <v>0</v>
      </c>
      <c r="K6" s="262"/>
      <c r="L6" s="263"/>
      <c r="M6" s="29">
        <f t="shared" si="0"/>
      </c>
    </row>
    <row r="7" spans="1:13" ht="13.5" customHeight="1">
      <c r="A7" s="253"/>
      <c r="B7" s="397"/>
      <c r="C7" s="396"/>
      <c r="D7" s="256">
        <v>104</v>
      </c>
      <c r="E7" s="257"/>
      <c r="F7" s="258"/>
      <c r="G7" s="259"/>
      <c r="H7" s="260"/>
      <c r="I7" s="260"/>
      <c r="J7" s="261">
        <f t="shared" si="1"/>
        <v>0</v>
      </c>
      <c r="K7" s="262"/>
      <c r="L7" s="263"/>
      <c r="M7" s="29">
        <f t="shared" si="0"/>
      </c>
    </row>
    <row r="8" spans="1:13" ht="13.5" customHeight="1">
      <c r="A8" s="253"/>
      <c r="B8" s="397"/>
      <c r="C8" s="396"/>
      <c r="D8" s="256">
        <v>105</v>
      </c>
      <c r="E8" s="257"/>
      <c r="F8" s="258"/>
      <c r="G8" s="259"/>
      <c r="H8" s="260"/>
      <c r="I8" s="260"/>
      <c r="J8" s="261">
        <f t="shared" si="1"/>
        <v>0</v>
      </c>
      <c r="K8" s="262"/>
      <c r="L8" s="263"/>
      <c r="M8" s="29">
        <f t="shared" si="0"/>
      </c>
    </row>
    <row r="9" spans="1:13" ht="13.5" customHeight="1">
      <c r="A9" s="253"/>
      <c r="B9" s="397"/>
      <c r="C9" s="396"/>
      <c r="D9" s="256">
        <v>106</v>
      </c>
      <c r="E9" s="257"/>
      <c r="F9" s="258"/>
      <c r="G9" s="259"/>
      <c r="H9" s="260"/>
      <c r="I9" s="260"/>
      <c r="J9" s="261">
        <f t="shared" si="1"/>
        <v>0</v>
      </c>
      <c r="K9" s="262"/>
      <c r="L9" s="263"/>
      <c r="M9" s="29">
        <f t="shared" si="0"/>
      </c>
    </row>
    <row r="10" spans="1:13" ht="13.5" customHeight="1">
      <c r="A10" s="253"/>
      <c r="B10" s="397"/>
      <c r="C10" s="396"/>
      <c r="D10" s="256">
        <v>107</v>
      </c>
      <c r="E10" s="258"/>
      <c r="F10" s="258"/>
      <c r="G10" s="259"/>
      <c r="H10" s="260"/>
      <c r="I10" s="260"/>
      <c r="J10" s="261">
        <f t="shared" si="1"/>
        <v>0</v>
      </c>
      <c r="K10" s="262"/>
      <c r="L10" s="263"/>
      <c r="M10" s="29">
        <f t="shared" si="0"/>
      </c>
    </row>
    <row r="11" spans="1:13" ht="13.5" customHeight="1">
      <c r="A11" s="253"/>
      <c r="B11" s="397"/>
      <c r="C11" s="398"/>
      <c r="D11" s="256">
        <v>108</v>
      </c>
      <c r="E11" s="258"/>
      <c r="F11" s="266"/>
      <c r="G11" s="259"/>
      <c r="H11" s="260"/>
      <c r="I11" s="260"/>
      <c r="J11" s="261">
        <f t="shared" si="1"/>
        <v>0</v>
      </c>
      <c r="K11" s="269"/>
      <c r="L11" s="270"/>
      <c r="M11" s="29">
        <f t="shared" si="0"/>
      </c>
    </row>
    <row r="12" spans="1:13" ht="13.5" customHeight="1">
      <c r="A12" s="253"/>
      <c r="B12" s="397"/>
      <c r="C12" s="396"/>
      <c r="D12" s="256">
        <v>109</v>
      </c>
      <c r="E12" s="258"/>
      <c r="F12" s="257"/>
      <c r="G12" s="259"/>
      <c r="H12" s="260"/>
      <c r="I12" s="260"/>
      <c r="J12" s="261">
        <f t="shared" si="1"/>
        <v>0</v>
      </c>
      <c r="K12" s="273"/>
      <c r="L12" s="274"/>
      <c r="M12" s="29">
        <f t="shared" si="0"/>
      </c>
    </row>
    <row r="13" spans="1:13" ht="13.5" customHeight="1">
      <c r="A13" s="253"/>
      <c r="B13" s="397"/>
      <c r="C13" s="396"/>
      <c r="D13" s="256">
        <v>110</v>
      </c>
      <c r="E13" s="258"/>
      <c r="F13" s="257"/>
      <c r="G13" s="259"/>
      <c r="H13" s="260"/>
      <c r="I13" s="260"/>
      <c r="J13" s="261">
        <f t="shared" si="1"/>
        <v>0</v>
      </c>
      <c r="K13" s="262"/>
      <c r="L13" s="263"/>
      <c r="M13" s="29">
        <f t="shared" si="0"/>
      </c>
    </row>
    <row r="14" spans="1:13" ht="13.5" customHeight="1">
      <c r="A14" s="253"/>
      <c r="B14" s="397"/>
      <c r="C14" s="396"/>
      <c r="D14" s="256">
        <v>111</v>
      </c>
      <c r="E14" s="257"/>
      <c r="F14" s="258"/>
      <c r="G14" s="259"/>
      <c r="H14" s="260"/>
      <c r="I14" s="260"/>
      <c r="J14" s="261">
        <f t="shared" si="1"/>
        <v>0</v>
      </c>
      <c r="K14" s="262"/>
      <c r="L14" s="263"/>
      <c r="M14" s="29">
        <f t="shared" si="0"/>
      </c>
    </row>
    <row r="15" spans="1:13" ht="13.5" customHeight="1">
      <c r="A15" s="253"/>
      <c r="B15" s="397"/>
      <c r="C15" s="396"/>
      <c r="D15" s="256">
        <v>112</v>
      </c>
      <c r="E15" s="257"/>
      <c r="F15" s="258"/>
      <c r="G15" s="259"/>
      <c r="H15" s="260"/>
      <c r="I15" s="260"/>
      <c r="J15" s="261">
        <f t="shared" si="1"/>
        <v>0</v>
      </c>
      <c r="K15" s="262"/>
      <c r="L15" s="263"/>
      <c r="M15" s="29">
        <f t="shared" si="0"/>
      </c>
    </row>
    <row r="16" spans="1:13" ht="13.5" customHeight="1">
      <c r="A16" s="253"/>
      <c r="B16" s="397"/>
      <c r="C16" s="396"/>
      <c r="D16" s="256">
        <v>113</v>
      </c>
      <c r="E16" s="257"/>
      <c r="F16" s="258"/>
      <c r="G16" s="259"/>
      <c r="H16" s="260"/>
      <c r="I16" s="260"/>
      <c r="J16" s="261">
        <f t="shared" si="1"/>
        <v>0</v>
      </c>
      <c r="K16" s="262"/>
      <c r="L16" s="263"/>
      <c r="M16" s="29">
        <f t="shared" si="0"/>
      </c>
    </row>
    <row r="17" spans="1:13" ht="13.5" customHeight="1">
      <c r="A17" s="253"/>
      <c r="B17" s="397"/>
      <c r="C17" s="396"/>
      <c r="D17" s="256">
        <v>114</v>
      </c>
      <c r="E17" s="257"/>
      <c r="F17" s="258"/>
      <c r="G17" s="259"/>
      <c r="H17" s="260"/>
      <c r="I17" s="260"/>
      <c r="J17" s="261">
        <f t="shared" si="1"/>
        <v>0</v>
      </c>
      <c r="K17" s="262"/>
      <c r="L17" s="263"/>
      <c r="M17" s="29">
        <f t="shared" si="0"/>
      </c>
    </row>
    <row r="18" spans="1:13" ht="13.5" customHeight="1">
      <c r="A18" s="253"/>
      <c r="B18" s="397"/>
      <c r="C18" s="396"/>
      <c r="D18" s="256">
        <v>115</v>
      </c>
      <c r="E18" s="257"/>
      <c r="F18" s="258"/>
      <c r="G18" s="259"/>
      <c r="H18" s="260"/>
      <c r="I18" s="260"/>
      <c r="J18" s="261">
        <f t="shared" si="1"/>
        <v>0</v>
      </c>
      <c r="K18" s="262"/>
      <c r="L18" s="263"/>
      <c r="M18" s="29">
        <f t="shared" si="0"/>
      </c>
    </row>
    <row r="19" spans="1:13" ht="13.5" customHeight="1">
      <c r="A19" s="253"/>
      <c r="B19" s="397"/>
      <c r="C19" s="396"/>
      <c r="D19" s="256">
        <v>116</v>
      </c>
      <c r="E19" s="258"/>
      <c r="F19" s="258"/>
      <c r="G19" s="259"/>
      <c r="H19" s="260"/>
      <c r="I19" s="260"/>
      <c r="J19" s="261">
        <f t="shared" si="1"/>
        <v>0</v>
      </c>
      <c r="K19" s="262"/>
      <c r="L19" s="263"/>
      <c r="M19" s="29">
        <f t="shared" si="0"/>
      </c>
    </row>
    <row r="20" spans="1:13" ht="13.5" customHeight="1">
      <c r="A20" s="253"/>
      <c r="B20" s="397"/>
      <c r="C20" s="396"/>
      <c r="D20" s="256">
        <v>117</v>
      </c>
      <c r="E20" s="266"/>
      <c r="F20" s="258"/>
      <c r="G20" s="267"/>
      <c r="H20" s="268"/>
      <c r="I20" s="268"/>
      <c r="J20" s="261">
        <f t="shared" si="1"/>
        <v>0</v>
      </c>
      <c r="K20" s="262"/>
      <c r="L20" s="263"/>
      <c r="M20" s="29">
        <f t="shared" si="0"/>
      </c>
    </row>
    <row r="21" spans="1:13" ht="13.5" customHeight="1">
      <c r="A21" s="253"/>
      <c r="B21" s="397"/>
      <c r="C21" s="396"/>
      <c r="D21" s="256">
        <v>118</v>
      </c>
      <c r="E21" s="257"/>
      <c r="F21" s="258"/>
      <c r="G21" s="259"/>
      <c r="H21" s="260"/>
      <c r="I21" s="260"/>
      <c r="J21" s="261">
        <f t="shared" si="1"/>
        <v>0</v>
      </c>
      <c r="K21" s="262"/>
      <c r="L21" s="263"/>
      <c r="M21" s="29">
        <f t="shared" si="0"/>
      </c>
    </row>
    <row r="22" spans="1:13" ht="13.5" customHeight="1">
      <c r="A22" s="253"/>
      <c r="B22" s="397"/>
      <c r="C22" s="396"/>
      <c r="D22" s="256">
        <v>119</v>
      </c>
      <c r="E22" s="258"/>
      <c r="F22" s="258"/>
      <c r="G22" s="259"/>
      <c r="H22" s="260"/>
      <c r="I22" s="260"/>
      <c r="J22" s="261">
        <f t="shared" si="1"/>
        <v>0</v>
      </c>
      <c r="K22" s="262"/>
      <c r="L22" s="263"/>
      <c r="M22" s="29">
        <f t="shared" si="0"/>
      </c>
    </row>
    <row r="23" spans="1:13" ht="13.5" customHeight="1" thickBot="1">
      <c r="A23" s="399"/>
      <c r="B23" s="400"/>
      <c r="C23" s="401"/>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6" t="s">
        <v>175</v>
      </c>
      <c r="I26" s="576"/>
      <c r="J26" s="576" t="s">
        <v>172</v>
      </c>
      <c r="K26" s="577"/>
    </row>
    <row r="27" spans="2:11" ht="13.5" customHeight="1" thickTop="1">
      <c r="B27" s="53"/>
      <c r="C27" s="53"/>
      <c r="D27" s="67"/>
      <c r="F27" s="298" t="s">
        <v>85</v>
      </c>
      <c r="G27" s="349">
        <f>SUMIF($E$4:$E$23,F27,$J$4:$J$23)</f>
        <v>9000</v>
      </c>
      <c r="H27" s="550">
        <f>SUMIF($E$4:$E$23,F27,$M$4:$M$23)</f>
        <v>0</v>
      </c>
      <c r="I27" s="550"/>
      <c r="J27" s="550">
        <f aca="true" t="shared" si="2" ref="J27:J35">G27-H27</f>
        <v>9000</v>
      </c>
      <c r="K27" s="614"/>
    </row>
    <row r="28" spans="2:11" ht="13.5" customHeight="1">
      <c r="B28" s="53"/>
      <c r="C28" s="53"/>
      <c r="D28" s="67"/>
      <c r="F28" s="299" t="s">
        <v>86</v>
      </c>
      <c r="G28" s="349">
        <f aca="true" t="shared" si="3" ref="G28:G35">SUMIF($E$4:$E$23,F28,$J$4:$J$23)</f>
        <v>0</v>
      </c>
      <c r="H28" s="529">
        <f aca="true" t="shared" si="4" ref="H28:H35">SUMIF($E$4:$E$23,F28,$M$4:$M$23)</f>
        <v>0</v>
      </c>
      <c r="I28" s="529"/>
      <c r="J28" s="529">
        <f t="shared" si="2"/>
        <v>0</v>
      </c>
      <c r="K28" s="532"/>
    </row>
    <row r="29" spans="2:11" ht="13.5" customHeight="1">
      <c r="B29" s="53"/>
      <c r="C29" s="53"/>
      <c r="D29" s="67"/>
      <c r="F29" s="299" t="s">
        <v>125</v>
      </c>
      <c r="G29" s="349">
        <f t="shared" si="3"/>
        <v>0</v>
      </c>
      <c r="H29" s="529">
        <f t="shared" si="4"/>
        <v>0</v>
      </c>
      <c r="I29" s="529"/>
      <c r="J29" s="529">
        <f t="shared" si="2"/>
        <v>0</v>
      </c>
      <c r="K29" s="532"/>
    </row>
    <row r="30" spans="2:11" ht="13.5" customHeight="1">
      <c r="B30" s="53"/>
      <c r="C30" s="53"/>
      <c r="D30" s="67"/>
      <c r="F30" s="299" t="s">
        <v>126</v>
      </c>
      <c r="G30" s="349">
        <f t="shared" si="3"/>
        <v>0</v>
      </c>
      <c r="H30" s="529">
        <f t="shared" si="4"/>
        <v>0</v>
      </c>
      <c r="I30" s="529"/>
      <c r="J30" s="529">
        <f t="shared" si="2"/>
        <v>0</v>
      </c>
      <c r="K30" s="532"/>
    </row>
    <row r="31" spans="2:11" ht="13.5" customHeight="1">
      <c r="B31" s="53"/>
      <c r="C31" s="53"/>
      <c r="D31" s="67"/>
      <c r="F31" s="299" t="s">
        <v>87</v>
      </c>
      <c r="G31" s="349">
        <f t="shared" si="3"/>
        <v>24000</v>
      </c>
      <c r="H31" s="529">
        <f t="shared" si="4"/>
        <v>0</v>
      </c>
      <c r="I31" s="529"/>
      <c r="J31" s="529">
        <f t="shared" si="2"/>
        <v>24000</v>
      </c>
      <c r="K31" s="532"/>
    </row>
    <row r="32" spans="2:11" ht="13.5" customHeight="1">
      <c r="B32" s="53"/>
      <c r="C32" s="53"/>
      <c r="D32" s="67"/>
      <c r="F32" s="299" t="s">
        <v>88</v>
      </c>
      <c r="G32" s="349">
        <f t="shared" si="3"/>
        <v>0</v>
      </c>
      <c r="H32" s="529">
        <f t="shared" si="4"/>
        <v>0</v>
      </c>
      <c r="I32" s="529"/>
      <c r="J32" s="529">
        <f t="shared" si="2"/>
        <v>0</v>
      </c>
      <c r="K32" s="532"/>
    </row>
    <row r="33" spans="2:11" ht="13.5" customHeight="1">
      <c r="B33" s="53"/>
      <c r="C33" s="53"/>
      <c r="D33" s="67"/>
      <c r="F33" s="299" t="s">
        <v>89</v>
      </c>
      <c r="G33" s="349">
        <f t="shared" si="3"/>
        <v>0</v>
      </c>
      <c r="H33" s="529">
        <f t="shared" si="4"/>
        <v>0</v>
      </c>
      <c r="I33" s="529"/>
      <c r="J33" s="529">
        <f t="shared" si="2"/>
        <v>0</v>
      </c>
      <c r="K33" s="532"/>
    </row>
    <row r="34" spans="2:11" ht="13.5" customHeight="1">
      <c r="B34" s="53"/>
      <c r="C34" s="53"/>
      <c r="D34" s="67"/>
      <c r="F34" s="299" t="s">
        <v>90</v>
      </c>
      <c r="G34" s="349">
        <f t="shared" si="3"/>
        <v>0</v>
      </c>
      <c r="H34" s="529">
        <f t="shared" si="4"/>
        <v>0</v>
      </c>
      <c r="I34" s="529"/>
      <c r="J34" s="529">
        <f t="shared" si="2"/>
        <v>0</v>
      </c>
      <c r="K34" s="532"/>
    </row>
    <row r="35" spans="2:11" ht="13.5" customHeight="1" thickBot="1">
      <c r="B35" s="53"/>
      <c r="C35" s="53"/>
      <c r="D35" s="67"/>
      <c r="F35" s="432" t="s">
        <v>137</v>
      </c>
      <c r="G35" s="434">
        <f t="shared" si="3"/>
        <v>0</v>
      </c>
      <c r="H35" s="603">
        <f t="shared" si="4"/>
        <v>0</v>
      </c>
      <c r="I35" s="603"/>
      <c r="J35" s="603">
        <f t="shared" si="2"/>
        <v>0</v>
      </c>
      <c r="K35" s="604"/>
    </row>
    <row r="36" spans="2:11" ht="13.5" customHeight="1" thickBot="1" thickTop="1">
      <c r="B36" s="53"/>
      <c r="C36" s="53"/>
      <c r="D36" s="47"/>
      <c r="F36" s="430" t="s">
        <v>15</v>
      </c>
      <c r="G36" s="358">
        <f>SUM(G27:G35)</f>
        <v>33000</v>
      </c>
      <c r="H36" s="600">
        <f>SUM(H27:H35)</f>
        <v>0</v>
      </c>
      <c r="I36" s="600"/>
      <c r="J36" s="600">
        <f>SUM(J27:J35)</f>
        <v>33000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312</v>
      </c>
      <c r="I4" s="505"/>
      <c r="J4" s="505"/>
      <c r="K4" s="505"/>
    </row>
    <row r="5" spans="8:11" s="1" customFormat="1" ht="18" customHeight="1">
      <c r="H5" s="506">
        <v>42957</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3" t="s">
        <v>267</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3"/>
      <c r="H14" s="584"/>
      <c r="I14" s="584"/>
      <c r="J14" s="584"/>
      <c r="K14" s="97">
        <f>'1-1'!K14</f>
        <v>0</v>
      </c>
    </row>
    <row r="15" spans="1:11" ht="39" customHeight="1" thickBot="1">
      <c r="A15" s="19"/>
      <c r="B15" s="18" t="s">
        <v>8</v>
      </c>
      <c r="C15" s="17" t="s">
        <v>9</v>
      </c>
      <c r="D15" s="16" t="s">
        <v>124</v>
      </c>
      <c r="E15" s="16" t="s">
        <v>123</v>
      </c>
      <c r="F15" s="17" t="s">
        <v>10</v>
      </c>
      <c r="G15" s="17" t="s">
        <v>11</v>
      </c>
      <c r="H15" s="452" t="s">
        <v>248</v>
      </c>
      <c r="I15" s="16" t="s">
        <v>12</v>
      </c>
      <c r="J15" s="451" t="s">
        <v>254</v>
      </c>
      <c r="K15" s="23" t="s">
        <v>15</v>
      </c>
    </row>
    <row r="16" spans="1:11" ht="39" customHeight="1" thickTop="1">
      <c r="A16" s="21" t="s">
        <v>102</v>
      </c>
      <c r="B16" s="438">
        <f>'1-1'!B21</f>
        <v>119000</v>
      </c>
      <c r="C16" s="323">
        <f>'1-1'!C21</f>
        <v>20000</v>
      </c>
      <c r="D16" s="323">
        <f>'1-1'!D21</f>
        <v>610000</v>
      </c>
      <c r="E16" s="323">
        <f>'1-1'!E21</f>
        <v>0</v>
      </c>
      <c r="F16" s="323">
        <f>'1-1'!F21</f>
        <v>113000</v>
      </c>
      <c r="G16" s="323">
        <f>'1-1'!G21</f>
        <v>0</v>
      </c>
      <c r="H16" s="323">
        <f>'1-1'!H21</f>
        <v>0</v>
      </c>
      <c r="I16" s="323">
        <f>'1-1'!I21</f>
        <v>0</v>
      </c>
      <c r="J16" s="439">
        <f>'1-1'!J21</f>
        <v>107825</v>
      </c>
      <c r="K16" s="440">
        <f aca="true" t="shared" si="0" ref="K16:K22">SUM(B16:J16)</f>
        <v>969825</v>
      </c>
    </row>
    <row r="17" spans="1:11" ht="39" customHeight="1">
      <c r="A17" s="21" t="s">
        <v>16</v>
      </c>
      <c r="B17" s="438">
        <f>'随時②-2'!G38</f>
        <v>0</v>
      </c>
      <c r="C17" s="323">
        <f>'随時②-2'!G39</f>
        <v>0</v>
      </c>
      <c r="D17" s="323">
        <f>'随時②-2'!G40</f>
        <v>0</v>
      </c>
      <c r="E17" s="323">
        <f>'随時②-2'!G41</f>
        <v>0</v>
      </c>
      <c r="F17" s="323">
        <f>'随時②-2'!G42</f>
        <v>41000</v>
      </c>
      <c r="G17" s="323">
        <f>'随時②-2'!G43</f>
        <v>0</v>
      </c>
      <c r="H17" s="323">
        <f>'随時②-2'!G44</f>
        <v>0</v>
      </c>
      <c r="I17" s="323">
        <f>'随時②-2'!G45</f>
        <v>0</v>
      </c>
      <c r="J17" s="439">
        <f>'随時②-2'!G46</f>
        <v>0</v>
      </c>
      <c r="K17" s="440">
        <f t="shared" si="0"/>
        <v>41000</v>
      </c>
    </row>
    <row r="18" spans="1:11" ht="39" customHeight="1" thickBot="1">
      <c r="A18" s="34" t="s">
        <v>177</v>
      </c>
      <c r="B18" s="441">
        <f>'随時②-2'!H38</f>
        <v>0</v>
      </c>
      <c r="C18" s="442">
        <f>'随時②-2'!H39</f>
        <v>0</v>
      </c>
      <c r="D18" s="442">
        <f>'随時②-2'!H40</f>
        <v>0</v>
      </c>
      <c r="E18" s="442">
        <f>'随時②-2'!H41</f>
        <v>0</v>
      </c>
      <c r="F18" s="442">
        <f>'随時②-2'!H42</f>
        <v>0</v>
      </c>
      <c r="G18" s="442">
        <f>'随時②-2'!H43</f>
        <v>0</v>
      </c>
      <c r="H18" s="442">
        <f>'随時②-2'!H44</f>
        <v>0</v>
      </c>
      <c r="I18" s="442">
        <f>'随時②-2'!H45</f>
        <v>0</v>
      </c>
      <c r="J18" s="443">
        <f>'随時②-2'!H46</f>
        <v>0</v>
      </c>
      <c r="K18" s="444">
        <f t="shared" si="0"/>
        <v>0</v>
      </c>
    </row>
    <row r="19" spans="1:11" ht="39" customHeight="1" thickBot="1" thickTop="1">
      <c r="A19" s="35" t="s">
        <v>110</v>
      </c>
      <c r="B19" s="455">
        <f>B17-B18</f>
        <v>0</v>
      </c>
      <c r="C19" s="455">
        <f aca="true" t="shared" si="1" ref="C19:J19">C17-C18</f>
        <v>0</v>
      </c>
      <c r="D19" s="455">
        <f t="shared" si="1"/>
        <v>0</v>
      </c>
      <c r="E19" s="455">
        <f t="shared" si="1"/>
        <v>0</v>
      </c>
      <c r="F19" s="455">
        <f t="shared" si="1"/>
        <v>41000</v>
      </c>
      <c r="G19" s="455">
        <f t="shared" si="1"/>
        <v>0</v>
      </c>
      <c r="H19" s="455">
        <f t="shared" si="1"/>
        <v>0</v>
      </c>
      <c r="I19" s="455">
        <f t="shared" si="1"/>
        <v>0</v>
      </c>
      <c r="J19" s="455">
        <f t="shared" si="1"/>
        <v>0</v>
      </c>
      <c r="K19" s="456">
        <f t="shared" si="0"/>
        <v>41000</v>
      </c>
    </row>
    <row r="20" spans="1:11" ht="39" customHeight="1" thickTop="1">
      <c r="A20" s="30" t="s">
        <v>164</v>
      </c>
      <c r="B20" s="225">
        <f>SUM(B16:B17)</f>
        <v>119000</v>
      </c>
      <c r="C20" s="225">
        <f aca="true" t="shared" si="2" ref="C20:J20">SUM(C16:C17)</f>
        <v>20000</v>
      </c>
      <c r="D20" s="225">
        <f t="shared" si="2"/>
        <v>610000</v>
      </c>
      <c r="E20" s="225">
        <f t="shared" si="2"/>
        <v>0</v>
      </c>
      <c r="F20" s="225">
        <f t="shared" si="2"/>
        <v>154000</v>
      </c>
      <c r="G20" s="225">
        <f t="shared" si="2"/>
        <v>0</v>
      </c>
      <c r="H20" s="225">
        <f t="shared" si="2"/>
        <v>0</v>
      </c>
      <c r="I20" s="225">
        <f t="shared" si="2"/>
        <v>0</v>
      </c>
      <c r="J20" s="225">
        <f t="shared" si="2"/>
        <v>107825</v>
      </c>
      <c r="K20" s="437">
        <f t="shared" si="0"/>
        <v>1010825</v>
      </c>
    </row>
    <row r="21" spans="1:11" ht="39" customHeight="1">
      <c r="A21" s="21" t="s">
        <v>165</v>
      </c>
      <c r="B21" s="457">
        <f>'1-1'!B22</f>
        <v>50000</v>
      </c>
      <c r="C21" s="457">
        <f>'1-1'!C22</f>
        <v>3000</v>
      </c>
      <c r="D21" s="457">
        <f>'1-1'!D22</f>
        <v>102000</v>
      </c>
      <c r="E21" s="457">
        <f>'1-1'!E22</f>
        <v>0</v>
      </c>
      <c r="F21" s="457">
        <f>'1-1'!F22</f>
        <v>24000</v>
      </c>
      <c r="G21" s="457">
        <f>'1-1'!G22</f>
        <v>0</v>
      </c>
      <c r="H21" s="457">
        <f>'1-1'!H22</f>
        <v>0</v>
      </c>
      <c r="I21" s="457">
        <f>'1-1'!I22</f>
        <v>0</v>
      </c>
      <c r="J21" s="457">
        <f>'1-1'!J22</f>
        <v>0</v>
      </c>
      <c r="K21" s="440">
        <f t="shared" si="0"/>
        <v>179000</v>
      </c>
    </row>
    <row r="22" spans="1:11" ht="39" customHeight="1" thickBot="1">
      <c r="A22" s="22" t="s">
        <v>163</v>
      </c>
      <c r="B22" s="221">
        <f>SUM(B20:B21)</f>
        <v>169000</v>
      </c>
      <c r="C22" s="221">
        <f aca="true" t="shared" si="3" ref="C22:J22">SUM(C20:C21)</f>
        <v>23000</v>
      </c>
      <c r="D22" s="221">
        <f t="shared" si="3"/>
        <v>712000</v>
      </c>
      <c r="E22" s="221">
        <f t="shared" si="3"/>
        <v>0</v>
      </c>
      <c r="F22" s="221">
        <f t="shared" si="3"/>
        <v>178000</v>
      </c>
      <c r="G22" s="221">
        <f t="shared" si="3"/>
        <v>0</v>
      </c>
      <c r="H22" s="221">
        <f t="shared" si="3"/>
        <v>0</v>
      </c>
      <c r="I22" s="221">
        <f t="shared" si="3"/>
        <v>0</v>
      </c>
      <c r="J22" s="221">
        <f t="shared" si="3"/>
        <v>107825</v>
      </c>
      <c r="K22" s="224">
        <f t="shared" si="0"/>
        <v>1189825</v>
      </c>
    </row>
    <row r="23" spans="1:11" ht="39" customHeight="1" thickBot="1">
      <c r="A23" s="32" t="s">
        <v>104</v>
      </c>
      <c r="B23" s="616">
        <v>42957</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2">
      <selection activeCell="I21" sqref="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1" t="s">
        <v>145</v>
      </c>
      <c r="E3" s="96" t="s">
        <v>0</v>
      </c>
      <c r="F3" s="96" t="s">
        <v>196</v>
      </c>
      <c r="G3" s="96" t="s">
        <v>91</v>
      </c>
      <c r="H3" s="478" t="s">
        <v>245</v>
      </c>
      <c r="I3" s="96" t="s">
        <v>92</v>
      </c>
      <c r="J3" s="96" t="s">
        <v>93</v>
      </c>
      <c r="K3" s="229" t="s">
        <v>111</v>
      </c>
      <c r="L3" s="412" t="s">
        <v>107</v>
      </c>
    </row>
    <row r="4" spans="1:13" ht="13.5" customHeight="1">
      <c r="A4" s="91"/>
      <c r="B4" s="67"/>
      <c r="C4" s="67"/>
      <c r="D4" s="413"/>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4">
        <f>IF($D4="","",IF($D4&lt;=100,VLOOKUP($D4,'1-2'!$D$4:$L$103,8),VLOOKUP($D4,'随時①-2'!$D$4:$L$23,8)))</f>
      </c>
      <c r="L4" s="415">
        <f>IF($D4="","",IF($D4&lt;=100,VLOOKUP($D4,'1-2'!$D$4:$L$103,9),VLOOKUP($D4,'随時①-2'!$D$4:$L$23,9)))</f>
      </c>
      <c r="M4" s="5">
        <f aca="true" t="shared" si="0" ref="M4:M17">IF(K4="◎",J4,"")</f>
      </c>
    </row>
    <row r="5" spans="1:13" ht="14.25">
      <c r="A5" s="91"/>
      <c r="B5" s="67"/>
      <c r="C5" s="67"/>
      <c r="D5" s="416"/>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4">
        <f>IF($D5="","",IF($D5&lt;=100,VLOOKUP($D5,'1-2'!$D$4:$L$103,8),VLOOKUP($D5,'随時①-2'!$D$4:$L$23,8)))</f>
      </c>
      <c r="L5" s="415">
        <f>IF($D5="","",IF($D5&lt;=100,VLOOKUP($D5,'1-2'!$D$4:$L$103,9),VLOOKUP($D5,'随時①-2'!$D$4:$L$23,9)))</f>
      </c>
      <c r="M5" s="5">
        <f t="shared" si="0"/>
      </c>
    </row>
    <row r="6" spans="1:13" ht="14.25">
      <c r="A6" s="91"/>
      <c r="B6" s="67"/>
      <c r="C6" s="67"/>
      <c r="D6" s="416"/>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4">
        <f>IF($D6="","",IF($D6&lt;=100,VLOOKUP($D6,'1-2'!$D$4:$L$103,8),VLOOKUP($D6,'随時①-2'!$D$4:$L$23,8)))</f>
      </c>
      <c r="L6" s="415">
        <f>IF($D6="","",IF($D6&lt;=100,VLOOKUP($D6,'1-2'!$D$4:$L$103,9),VLOOKUP($D6,'随時①-2'!$D$4:$L$23,9)))</f>
      </c>
      <c r="M6" s="5">
        <f t="shared" si="0"/>
      </c>
    </row>
    <row r="7" spans="1:13" ht="14.25">
      <c r="A7" s="91"/>
      <c r="B7" s="67"/>
      <c r="C7" s="67"/>
      <c r="D7" s="416"/>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4">
        <f>IF($D7="","",IF($D7&lt;=100,VLOOKUP($D7,'1-2'!$D$4:$L$103,8),VLOOKUP($D7,'随時①-2'!$D$4:$L$23,8)))</f>
      </c>
      <c r="L7" s="415">
        <f>IF($D7="","",IF($D7&lt;=100,VLOOKUP($D7,'1-2'!$D$4:$L$103,9),VLOOKUP($D7,'随時①-2'!$D$4:$L$23,9)))</f>
      </c>
      <c r="M7" s="5">
        <f t="shared" si="0"/>
      </c>
    </row>
    <row r="8" spans="1:13" ht="14.25">
      <c r="A8" s="91"/>
      <c r="B8" s="67"/>
      <c r="C8" s="67"/>
      <c r="D8" s="416"/>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4">
        <f>IF($D8="","",IF($D8&lt;=100,VLOOKUP($D8,'1-2'!$D$4:$L$103,8),VLOOKUP($D8,'随時①-2'!$D$4:$L$23,8)))</f>
      </c>
      <c r="L8" s="415">
        <f>IF($D8="","",IF($D8&lt;=100,VLOOKUP($D8,'1-2'!$D$4:$L$103,9),VLOOKUP($D8,'随時①-2'!$D$4:$L$23,9)))</f>
      </c>
      <c r="M8" s="5">
        <f t="shared" si="0"/>
      </c>
    </row>
    <row r="9" spans="1:13" ht="14.25">
      <c r="A9" s="91"/>
      <c r="B9" s="67"/>
      <c r="C9" s="67"/>
      <c r="D9" s="416"/>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4">
        <f>IF($D9="","",IF($D9&lt;=100,VLOOKUP($D9,'1-2'!$D$4:$L$103,8),VLOOKUP($D9,'随時①-2'!$D$4:$L$23,8)))</f>
      </c>
      <c r="L9" s="415">
        <f>IF($D9="","",IF($D9&lt;=100,VLOOKUP($D9,'1-2'!$D$4:$L$103,9),VLOOKUP($D9,'随時①-2'!$D$4:$L$23,9)))</f>
      </c>
      <c r="M9" s="5">
        <f t="shared" si="0"/>
      </c>
    </row>
    <row r="10" spans="1:13" ht="14.25">
      <c r="A10" s="91"/>
      <c r="B10" s="67"/>
      <c r="C10" s="67"/>
      <c r="D10" s="416"/>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4">
        <f>IF($D10="","",IF($D10&lt;=100,VLOOKUP($D10,'1-2'!$D$4:$L$103,8),VLOOKUP($D10,'随時①-2'!$D$4:$L$23,8)))</f>
      </c>
      <c r="L10" s="415">
        <f>IF($D10="","",IF($D10&lt;=100,VLOOKUP($D10,'1-2'!$D$4:$L$103,9),VLOOKUP($D10,'随時①-2'!$D$4:$L$23,9)))</f>
      </c>
      <c r="M10" s="5">
        <f t="shared" si="0"/>
      </c>
    </row>
    <row r="11" spans="1:13" ht="13.5" customHeight="1">
      <c r="A11" s="91"/>
      <c r="B11" s="67"/>
      <c r="C11" s="67"/>
      <c r="D11" s="413"/>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4">
        <f>IF($D11="","",IF($D11&lt;=100,VLOOKUP($D11,'1-2'!$D$4:$L$103,8),VLOOKUP($D11,'随時①-2'!$D$4:$L$23,8)))</f>
      </c>
      <c r="L11" s="415">
        <f>IF($D11="","",IF($D11&lt;=100,VLOOKUP($D11,'1-2'!$D$4:$L$103,9),VLOOKUP($D11,'随時①-2'!$D$4:$L$23,9)))</f>
      </c>
      <c r="M11" s="5">
        <f t="shared" si="0"/>
      </c>
    </row>
    <row r="12" spans="1:13" ht="14.25">
      <c r="A12" s="91"/>
      <c r="B12" s="67"/>
      <c r="C12" s="67"/>
      <c r="D12" s="416"/>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4">
        <f>IF($D12="","",IF($D12&lt;=100,VLOOKUP($D12,'1-2'!$D$4:$L$103,8),VLOOKUP($D12,'随時①-2'!$D$4:$L$23,8)))</f>
      </c>
      <c r="L12" s="415">
        <f>IF($D12="","",IF($D12&lt;=100,VLOOKUP($D12,'1-2'!$D$4:$L$103,9),VLOOKUP($D12,'随時①-2'!$D$4:$L$23,9)))</f>
      </c>
      <c r="M12" s="5">
        <f t="shared" si="0"/>
      </c>
    </row>
    <row r="13" spans="1:13" ht="14.25">
      <c r="A13" s="91"/>
      <c r="B13" s="67"/>
      <c r="C13" s="67"/>
      <c r="D13" s="416"/>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4">
        <f>IF($D13="","",IF($D13&lt;=100,VLOOKUP($D13,'1-2'!$D$4:$L$103,8),VLOOKUP($D13,'随時①-2'!$D$4:$L$23,8)))</f>
      </c>
      <c r="L13" s="415">
        <f>IF($D13="","",IF($D13&lt;=100,VLOOKUP($D13,'1-2'!$D$4:$L$103,9),VLOOKUP($D13,'随時①-2'!$D$4:$L$23,9)))</f>
      </c>
      <c r="M13" s="5">
        <f t="shared" si="0"/>
      </c>
    </row>
    <row r="14" spans="1:13" ht="14.25">
      <c r="A14" s="91"/>
      <c r="B14" s="67"/>
      <c r="C14" s="67"/>
      <c r="D14" s="416"/>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4">
        <f>IF($D14="","",IF($D14&lt;=100,VLOOKUP($D14,'1-2'!$D$4:$L$103,8),VLOOKUP($D14,'随時①-2'!$D$4:$L$23,8)))</f>
      </c>
      <c r="L14" s="415">
        <f>IF($D14="","",IF($D14&lt;=100,VLOOKUP($D14,'1-2'!$D$4:$L$103,9),VLOOKUP($D14,'随時①-2'!$D$4:$L$23,9)))</f>
      </c>
      <c r="M14" s="5">
        <f t="shared" si="0"/>
      </c>
    </row>
    <row r="15" spans="1:13" ht="14.25">
      <c r="A15" s="91"/>
      <c r="B15" s="67"/>
      <c r="C15" s="67"/>
      <c r="D15" s="416"/>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4">
        <f>IF($D15="","",IF($D15&lt;=100,VLOOKUP($D15,'1-2'!$D$4:$L$103,8),VLOOKUP($D15,'随時①-2'!$D$4:$L$23,8)))</f>
      </c>
      <c r="L15" s="415">
        <f>IF($D15="","",IF($D15&lt;=100,VLOOKUP($D15,'1-2'!$D$4:$L$103,9),VLOOKUP($D15,'随時①-2'!$D$4:$L$23,9)))</f>
      </c>
      <c r="M15" s="5">
        <f t="shared" si="0"/>
      </c>
    </row>
    <row r="16" spans="1:13" ht="14.25">
      <c r="A16" s="91"/>
      <c r="B16" s="67"/>
      <c r="C16" s="67"/>
      <c r="D16" s="416"/>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4">
        <f>IF($D16="","",IF($D16&lt;=100,VLOOKUP($D16,'1-2'!$D$4:$L$103,8),VLOOKUP($D16,'随時①-2'!$D$4:$L$23,8)))</f>
      </c>
      <c r="L16" s="415">
        <f>IF($D16="","",IF($D16&lt;=100,VLOOKUP($D16,'1-2'!$D$4:$L$103,9),VLOOKUP($D16,'随時①-2'!$D$4:$L$23,9)))</f>
      </c>
      <c r="M16" s="5">
        <f t="shared" si="0"/>
      </c>
    </row>
    <row r="17" spans="1:13" ht="14.25">
      <c r="A17" s="91"/>
      <c r="B17" s="67"/>
      <c r="C17" s="67"/>
      <c r="D17" s="416"/>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4">
        <f>IF($D17="","",IF($D17&lt;=100,VLOOKUP($D17,'1-2'!$D$4:$L$103,8),VLOOKUP($D17,'随時①-2'!$D$4:$L$23,8)))</f>
      </c>
      <c r="L17" s="415">
        <f>IF($D17="","",IF($D17&lt;=100,VLOOKUP($D17,'1-2'!$D$4:$L$103,9),VLOOKUP($D17,'随時①-2'!$D$4:$L$23,9)))</f>
      </c>
      <c r="M17" s="5">
        <f t="shared" si="0"/>
      </c>
    </row>
    <row r="18" spans="1:13" ht="15" thickBot="1">
      <c r="A18" s="91"/>
      <c r="B18" s="67"/>
      <c r="C18" s="67"/>
      <c r="D18" s="417"/>
      <c r="E18" s="347">
        <f>IF($D18="","",IF($D18&lt;=100,VLOOKUP($D18,'1-2'!$D$4:$L$103,2),VLOOKUP($D18,'随時①-2'!$D$4:$L$23,2)))</f>
      </c>
      <c r="F18" s="347">
        <f>IF($D18="","",IF($D18&lt;=100,VLOOKUP($D18,'1-2'!$D$4:$L$103,3),VLOOKUP($D18,'随時①-2'!$D$4:$L$23,3)))</f>
      </c>
      <c r="G18" s="418">
        <f>IF($D18="","",IF($D18&lt;=100,VLOOKUP($D18,'1-2'!$D$4:$L$103,4),VLOOKUP($D18,'随時①-2'!$D$4:$L$23,4)))</f>
      </c>
      <c r="H18" s="419">
        <f>IF($D18="","",IF($D18&lt;=100,VLOOKUP($D18,'1-2'!$D$4:$L$103,5),VLOOKUP($D18,'随時①-2'!$D$4:$L$23,5)))</f>
      </c>
      <c r="I18" s="419">
        <f>IF($D18="","",IF($D18&lt;=100,VLOOKUP($D18,'1-2'!$D$4:$L$103,6),VLOOKUP($D18,'随時①-2'!$D$4:$L$23,6)))</f>
      </c>
      <c r="J18" s="418">
        <f>IF($D18="","",IF($D18&lt;=100,VLOOKUP($D18,'1-2'!$D$4:$L$103,7),VLOOKUP($D18,'随時①-2'!$D$4:$L$23,7)))</f>
      </c>
      <c r="K18" s="420">
        <f>IF($D18="","",IF($D18&lt;=100,VLOOKUP($D18,'1-2'!$D$4:$L$103,8),VLOOKUP($D18,'随時①-2'!$D$4:$L$23,8)))</f>
      </c>
      <c r="L18" s="421">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8" t="s">
        <v>140</v>
      </c>
      <c r="B20" s="411" t="s">
        <v>141</v>
      </c>
      <c r="C20" s="94" t="s">
        <v>143</v>
      </c>
      <c r="D20" s="94" t="s">
        <v>146</v>
      </c>
      <c r="E20" s="96" t="s">
        <v>0</v>
      </c>
      <c r="F20" s="96" t="s">
        <v>196</v>
      </c>
      <c r="G20" s="96" t="s">
        <v>91</v>
      </c>
      <c r="H20" s="478" t="s">
        <v>245</v>
      </c>
      <c r="I20" s="96" t="s">
        <v>92</v>
      </c>
      <c r="J20" s="96" t="s">
        <v>93</v>
      </c>
      <c r="K20" s="229" t="s">
        <v>111</v>
      </c>
      <c r="L20" s="412" t="s">
        <v>107</v>
      </c>
    </row>
    <row r="21" spans="1:13" ht="14.25">
      <c r="A21" s="362">
        <v>5</v>
      </c>
      <c r="B21" s="243" t="s">
        <v>311</v>
      </c>
      <c r="C21" s="264" t="s">
        <v>298</v>
      </c>
      <c r="D21" s="404">
        <v>201</v>
      </c>
      <c r="E21" s="277" t="s">
        <v>87</v>
      </c>
      <c r="F21" s="277" t="s">
        <v>299</v>
      </c>
      <c r="G21" s="278">
        <v>41000</v>
      </c>
      <c r="H21" s="279">
        <v>1</v>
      </c>
      <c r="I21" s="279">
        <v>1</v>
      </c>
      <c r="J21" s="405">
        <f>G21*H21*I21</f>
        <v>41000</v>
      </c>
      <c r="K21" s="280"/>
      <c r="L21" s="281"/>
      <c r="M21" s="5">
        <f aca="true" t="shared" si="1" ref="M21:M35">IF(K21="◎",J21,"")</f>
      </c>
    </row>
    <row r="22" spans="1:13" ht="14.25">
      <c r="A22" s="253"/>
      <c r="B22" s="254"/>
      <c r="C22" s="255"/>
      <c r="D22" s="406">
        <v>202</v>
      </c>
      <c r="E22" s="277"/>
      <c r="F22" s="258"/>
      <c r="G22" s="259"/>
      <c r="H22" s="260"/>
      <c r="I22" s="260"/>
      <c r="J22" s="261">
        <f>G22*H22*I22</f>
        <v>0</v>
      </c>
      <c r="K22" s="262"/>
      <c r="L22" s="263"/>
      <c r="M22" s="5">
        <f t="shared" si="1"/>
      </c>
    </row>
    <row r="23" spans="1:13" ht="14.25">
      <c r="A23" s="253"/>
      <c r="B23" s="254"/>
      <c r="C23" s="255"/>
      <c r="D23" s="406">
        <v>203</v>
      </c>
      <c r="E23" s="277"/>
      <c r="F23" s="258"/>
      <c r="G23" s="259"/>
      <c r="H23" s="260"/>
      <c r="I23" s="260"/>
      <c r="J23" s="261">
        <f aca="true" t="shared" si="2" ref="J23:J35">G23*H23*I23</f>
        <v>0</v>
      </c>
      <c r="K23" s="262"/>
      <c r="L23" s="263"/>
      <c r="M23" s="5">
        <f t="shared" si="1"/>
      </c>
    </row>
    <row r="24" spans="1:13" ht="14.25">
      <c r="A24" s="253"/>
      <c r="B24" s="254"/>
      <c r="C24" s="255"/>
      <c r="D24" s="406">
        <v>204</v>
      </c>
      <c r="E24" s="277"/>
      <c r="F24" s="258"/>
      <c r="G24" s="259"/>
      <c r="H24" s="260"/>
      <c r="I24" s="260"/>
      <c r="J24" s="261">
        <f t="shared" si="2"/>
        <v>0</v>
      </c>
      <c r="K24" s="262"/>
      <c r="L24" s="263"/>
      <c r="M24" s="5">
        <f t="shared" si="1"/>
      </c>
    </row>
    <row r="25" spans="1:13" ht="14.25">
      <c r="A25" s="253"/>
      <c r="B25" s="254"/>
      <c r="C25" s="255"/>
      <c r="D25" s="406">
        <v>205</v>
      </c>
      <c r="E25" s="277"/>
      <c r="F25" s="258"/>
      <c r="G25" s="259"/>
      <c r="H25" s="260"/>
      <c r="I25" s="260"/>
      <c r="J25" s="261">
        <f t="shared" si="2"/>
        <v>0</v>
      </c>
      <c r="K25" s="262"/>
      <c r="L25" s="263"/>
      <c r="M25" s="5">
        <f t="shared" si="1"/>
      </c>
    </row>
    <row r="26" spans="1:13" ht="14.25">
      <c r="A26" s="253"/>
      <c r="B26" s="254"/>
      <c r="C26" s="255"/>
      <c r="D26" s="406">
        <v>206</v>
      </c>
      <c r="E26" s="277"/>
      <c r="F26" s="258"/>
      <c r="G26" s="259"/>
      <c r="H26" s="260"/>
      <c r="I26" s="260"/>
      <c r="J26" s="261">
        <f t="shared" si="2"/>
        <v>0</v>
      </c>
      <c r="K26" s="262"/>
      <c r="L26" s="263"/>
      <c r="M26" s="5">
        <f t="shared" si="1"/>
      </c>
    </row>
    <row r="27" spans="1:13" ht="14.25">
      <c r="A27" s="253"/>
      <c r="B27" s="254"/>
      <c r="C27" s="255"/>
      <c r="D27" s="406">
        <v>207</v>
      </c>
      <c r="E27" s="277"/>
      <c r="F27" s="258"/>
      <c r="G27" s="259"/>
      <c r="H27" s="260"/>
      <c r="I27" s="260"/>
      <c r="J27" s="261">
        <f t="shared" si="2"/>
        <v>0</v>
      </c>
      <c r="K27" s="262"/>
      <c r="L27" s="263"/>
      <c r="M27" s="5">
        <f t="shared" si="1"/>
      </c>
    </row>
    <row r="28" spans="1:13" ht="14.25">
      <c r="A28" s="253"/>
      <c r="B28" s="254"/>
      <c r="C28" s="255"/>
      <c r="D28" s="406">
        <v>208</v>
      </c>
      <c r="E28" s="277"/>
      <c r="F28" s="258"/>
      <c r="G28" s="259"/>
      <c r="H28" s="260"/>
      <c r="I28" s="260"/>
      <c r="J28" s="261">
        <f t="shared" si="2"/>
        <v>0</v>
      </c>
      <c r="K28" s="262"/>
      <c r="L28" s="263"/>
      <c r="M28" s="5">
        <f t="shared" si="1"/>
      </c>
    </row>
    <row r="29" spans="1:13" ht="14.25">
      <c r="A29" s="253"/>
      <c r="B29" s="254"/>
      <c r="C29" s="255"/>
      <c r="D29" s="406">
        <v>209</v>
      </c>
      <c r="E29" s="277"/>
      <c r="F29" s="258"/>
      <c r="G29" s="259"/>
      <c r="H29" s="260"/>
      <c r="I29" s="260"/>
      <c r="J29" s="261">
        <f t="shared" si="2"/>
        <v>0</v>
      </c>
      <c r="K29" s="262"/>
      <c r="L29" s="263"/>
      <c r="M29" s="5">
        <f t="shared" si="1"/>
      </c>
    </row>
    <row r="30" spans="1:13" ht="13.5">
      <c r="A30" s="253"/>
      <c r="B30" s="254"/>
      <c r="C30" s="255"/>
      <c r="D30" s="406">
        <v>210</v>
      </c>
      <c r="E30" s="277"/>
      <c r="F30" s="258"/>
      <c r="G30" s="259"/>
      <c r="H30" s="260"/>
      <c r="I30" s="260"/>
      <c r="J30" s="261">
        <f t="shared" si="2"/>
        <v>0</v>
      </c>
      <c r="K30" s="262"/>
      <c r="L30" s="263"/>
      <c r="M30" s="5">
        <f t="shared" si="1"/>
      </c>
    </row>
    <row r="31" spans="1:13" ht="13.5">
      <c r="A31" s="253"/>
      <c r="B31" s="254"/>
      <c r="C31" s="255"/>
      <c r="D31" s="406">
        <v>211</v>
      </c>
      <c r="E31" s="277"/>
      <c r="F31" s="258"/>
      <c r="G31" s="259"/>
      <c r="H31" s="260"/>
      <c r="I31" s="260"/>
      <c r="J31" s="261">
        <f t="shared" si="2"/>
        <v>0</v>
      </c>
      <c r="K31" s="262"/>
      <c r="L31" s="263"/>
      <c r="M31" s="5">
        <f t="shared" si="1"/>
      </c>
    </row>
    <row r="32" spans="1:13" ht="13.5">
      <c r="A32" s="253"/>
      <c r="B32" s="254"/>
      <c r="C32" s="255"/>
      <c r="D32" s="406">
        <v>212</v>
      </c>
      <c r="E32" s="277"/>
      <c r="F32" s="258"/>
      <c r="G32" s="259"/>
      <c r="H32" s="260"/>
      <c r="I32" s="260"/>
      <c r="J32" s="261">
        <f t="shared" si="2"/>
        <v>0</v>
      </c>
      <c r="K32" s="262"/>
      <c r="L32" s="263"/>
      <c r="M32" s="5">
        <f t="shared" si="1"/>
      </c>
    </row>
    <row r="33" spans="1:13" ht="13.5">
      <c r="A33" s="253"/>
      <c r="B33" s="254"/>
      <c r="C33" s="255"/>
      <c r="D33" s="406">
        <v>213</v>
      </c>
      <c r="E33" s="277"/>
      <c r="F33" s="258"/>
      <c r="G33" s="259"/>
      <c r="H33" s="260"/>
      <c r="I33" s="260"/>
      <c r="J33" s="261">
        <f t="shared" si="2"/>
        <v>0</v>
      </c>
      <c r="K33" s="262"/>
      <c r="L33" s="263"/>
      <c r="M33" s="5">
        <f t="shared" si="1"/>
      </c>
    </row>
    <row r="34" spans="1:13" ht="13.5">
      <c r="A34" s="253"/>
      <c r="B34" s="254"/>
      <c r="C34" s="255"/>
      <c r="D34" s="406">
        <v>214</v>
      </c>
      <c r="E34" s="277"/>
      <c r="F34" s="258"/>
      <c r="G34" s="259"/>
      <c r="H34" s="260"/>
      <c r="I34" s="260"/>
      <c r="J34" s="261">
        <f t="shared" si="2"/>
        <v>0</v>
      </c>
      <c r="K34" s="262"/>
      <c r="L34" s="263"/>
      <c r="M34" s="5">
        <f t="shared" si="1"/>
      </c>
    </row>
    <row r="35" spans="1:13" ht="14.25" thickBot="1">
      <c r="A35" s="399"/>
      <c r="B35" s="407"/>
      <c r="C35" s="408"/>
      <c r="D35" s="409">
        <v>215</v>
      </c>
      <c r="E35" s="290"/>
      <c r="F35" s="290"/>
      <c r="G35" s="291"/>
      <c r="H35" s="292"/>
      <c r="I35" s="292"/>
      <c r="J35" s="293">
        <f t="shared" si="2"/>
        <v>0</v>
      </c>
      <c r="K35" s="410"/>
      <c r="L35" s="295"/>
      <c r="M35" s="5">
        <f t="shared" si="1"/>
      </c>
    </row>
    <row r="36" spans="1:7" ht="24" customHeight="1" thickBot="1">
      <c r="A36" s="53"/>
      <c r="B36" s="53"/>
      <c r="C36" s="53"/>
      <c r="D36" s="53"/>
      <c r="E36" s="28" t="s">
        <v>247</v>
      </c>
      <c r="F36" s="622"/>
      <c r="G36" s="622"/>
    </row>
    <row r="37" spans="1:12" ht="24" customHeight="1" thickBot="1">
      <c r="A37" s="53"/>
      <c r="B37" s="53"/>
      <c r="C37" s="53"/>
      <c r="D37" s="53"/>
      <c r="E37" s="241" t="s">
        <v>96</v>
      </c>
      <c r="F37" s="231" t="s">
        <v>109</v>
      </c>
      <c r="G37" s="158" t="s">
        <v>16</v>
      </c>
      <c r="H37" s="623" t="s">
        <v>244</v>
      </c>
      <c r="I37" s="624"/>
      <c r="J37" s="231" t="s">
        <v>108</v>
      </c>
      <c r="K37" s="541" t="s">
        <v>192</v>
      </c>
      <c r="L37" s="589"/>
    </row>
    <row r="38" spans="1:12" ht="14.25" thickTop="1">
      <c r="A38" s="53"/>
      <c r="B38" s="53"/>
      <c r="C38" s="53"/>
      <c r="D38" s="53"/>
      <c r="E38" s="298" t="s">
        <v>85</v>
      </c>
      <c r="F38" s="349">
        <f>'1-1'!B21</f>
        <v>119000</v>
      </c>
      <c r="G38" s="351">
        <f aca="true" t="shared" si="3" ref="G38:G46">-SUMIF($E$4:$E$18,$E38,$J$4:$J$18)+SUMIF($E$21:$E$35,$E38,$J$21:$J$35)</f>
        <v>0</v>
      </c>
      <c r="H38" s="550">
        <f aca="true" t="shared" si="4" ref="H38:H46">-SUMIF($E$4:$E$18,$E38,$M$4:$M$18)+SUMIF($E$21:$E$35,$E38,$M$21:$M$35)</f>
        <v>0</v>
      </c>
      <c r="I38" s="550"/>
      <c r="J38" s="350">
        <f aca="true" t="shared" si="5" ref="J38:J46">G38-H38</f>
        <v>0</v>
      </c>
      <c r="K38" s="550">
        <f aca="true" t="shared" si="6" ref="K38:K46">F38+G38</f>
        <v>119000</v>
      </c>
      <c r="L38" s="614"/>
    </row>
    <row r="39" spans="1:12" ht="13.5">
      <c r="A39" s="53"/>
      <c r="B39" s="53"/>
      <c r="C39" s="53"/>
      <c r="D39" s="53"/>
      <c r="E39" s="299" t="s">
        <v>86</v>
      </c>
      <c r="F39" s="353">
        <f>'1-1'!C21</f>
        <v>20000</v>
      </c>
      <c r="G39" s="351">
        <f t="shared" si="3"/>
        <v>0</v>
      </c>
      <c r="H39" s="529">
        <f t="shared" si="4"/>
        <v>0</v>
      </c>
      <c r="I39" s="529"/>
      <c r="J39" s="353">
        <f t="shared" si="5"/>
        <v>0</v>
      </c>
      <c r="K39" s="529">
        <f t="shared" si="6"/>
        <v>20000</v>
      </c>
      <c r="L39" s="532"/>
    </row>
    <row r="40" spans="1:12" ht="13.5">
      <c r="A40" s="53"/>
      <c r="B40" s="53"/>
      <c r="C40" s="53"/>
      <c r="D40" s="53"/>
      <c r="E40" s="299" t="s">
        <v>125</v>
      </c>
      <c r="F40" s="353">
        <f>'1-1'!D21</f>
        <v>610000</v>
      </c>
      <c r="G40" s="351">
        <f t="shared" si="3"/>
        <v>0</v>
      </c>
      <c r="H40" s="529">
        <f t="shared" si="4"/>
        <v>0</v>
      </c>
      <c r="I40" s="529"/>
      <c r="J40" s="353">
        <f t="shared" si="5"/>
        <v>0</v>
      </c>
      <c r="K40" s="529">
        <f t="shared" si="6"/>
        <v>610000</v>
      </c>
      <c r="L40" s="532"/>
    </row>
    <row r="41" spans="1:12" ht="13.5">
      <c r="A41" s="53"/>
      <c r="B41" s="53"/>
      <c r="C41" s="53"/>
      <c r="D41" s="53"/>
      <c r="E41" s="299" t="s">
        <v>126</v>
      </c>
      <c r="F41" s="353">
        <f>'1-1'!E21</f>
        <v>0</v>
      </c>
      <c r="G41" s="351">
        <f t="shared" si="3"/>
        <v>0</v>
      </c>
      <c r="H41" s="529">
        <f t="shared" si="4"/>
        <v>0</v>
      </c>
      <c r="I41" s="529"/>
      <c r="J41" s="353">
        <f t="shared" si="5"/>
        <v>0</v>
      </c>
      <c r="K41" s="529">
        <f t="shared" si="6"/>
        <v>0</v>
      </c>
      <c r="L41" s="532"/>
    </row>
    <row r="42" spans="1:12" ht="13.5">
      <c r="A42" s="53"/>
      <c r="B42" s="53"/>
      <c r="C42" s="53"/>
      <c r="D42" s="53"/>
      <c r="E42" s="299" t="s">
        <v>87</v>
      </c>
      <c r="F42" s="353">
        <f>'1-1'!F21</f>
        <v>113000</v>
      </c>
      <c r="G42" s="351">
        <f t="shared" si="3"/>
        <v>41000</v>
      </c>
      <c r="H42" s="529">
        <f t="shared" si="4"/>
        <v>0</v>
      </c>
      <c r="I42" s="529"/>
      <c r="J42" s="353">
        <f t="shared" si="5"/>
        <v>41000</v>
      </c>
      <c r="K42" s="529">
        <f t="shared" si="6"/>
        <v>154000</v>
      </c>
      <c r="L42" s="532"/>
    </row>
    <row r="43" spans="1:12" ht="13.5">
      <c r="A43" s="53"/>
      <c r="B43" s="53"/>
      <c r="C43" s="53"/>
      <c r="D43" s="53"/>
      <c r="E43" s="299" t="s">
        <v>88</v>
      </c>
      <c r="F43" s="353">
        <f>'1-1'!G21</f>
        <v>0</v>
      </c>
      <c r="G43" s="351">
        <f t="shared" si="3"/>
        <v>0</v>
      </c>
      <c r="H43" s="529">
        <f t="shared" si="4"/>
        <v>0</v>
      </c>
      <c r="I43" s="529"/>
      <c r="J43" s="353">
        <f t="shared" si="5"/>
        <v>0</v>
      </c>
      <c r="K43" s="529">
        <f t="shared" si="6"/>
        <v>0</v>
      </c>
      <c r="L43" s="532"/>
    </row>
    <row r="44" spans="1:12" ht="13.5">
      <c r="A44" s="53"/>
      <c r="B44" s="53"/>
      <c r="C44" s="53"/>
      <c r="D44" s="53"/>
      <c r="E44" s="299" t="s">
        <v>89</v>
      </c>
      <c r="F44" s="353">
        <f>'1-1'!H21</f>
        <v>0</v>
      </c>
      <c r="G44" s="351">
        <f t="shared" si="3"/>
        <v>0</v>
      </c>
      <c r="H44" s="529">
        <f t="shared" si="4"/>
        <v>0</v>
      </c>
      <c r="I44" s="529"/>
      <c r="J44" s="353">
        <f t="shared" si="5"/>
        <v>0</v>
      </c>
      <c r="K44" s="529">
        <f t="shared" si="6"/>
        <v>0</v>
      </c>
      <c r="L44" s="532"/>
    </row>
    <row r="45" spans="1:12" ht="13.5">
      <c r="A45" s="53"/>
      <c r="B45" s="53"/>
      <c r="C45" s="53"/>
      <c r="D45" s="53"/>
      <c r="E45" s="299" t="s">
        <v>90</v>
      </c>
      <c r="F45" s="353">
        <f>'1-1'!I21</f>
        <v>0</v>
      </c>
      <c r="G45" s="351">
        <f t="shared" si="3"/>
        <v>0</v>
      </c>
      <c r="H45" s="529">
        <f t="shared" si="4"/>
        <v>0</v>
      </c>
      <c r="I45" s="529"/>
      <c r="J45" s="353">
        <f t="shared" si="5"/>
        <v>0</v>
      </c>
      <c r="K45" s="529">
        <f t="shared" si="6"/>
        <v>0</v>
      </c>
      <c r="L45" s="532"/>
    </row>
    <row r="46" spans="1:12" ht="14.25" thickBot="1">
      <c r="A46" s="53"/>
      <c r="B46" s="53"/>
      <c r="C46" s="53"/>
      <c r="D46" s="53"/>
      <c r="E46" s="299" t="s">
        <v>137</v>
      </c>
      <c r="F46" s="402">
        <f>'1-1'!J21</f>
        <v>107825</v>
      </c>
      <c r="G46" s="351">
        <f t="shared" si="3"/>
        <v>0</v>
      </c>
      <c r="H46" s="603">
        <f t="shared" si="4"/>
        <v>0</v>
      </c>
      <c r="I46" s="603"/>
      <c r="J46" s="354">
        <f t="shared" si="5"/>
        <v>0</v>
      </c>
      <c r="K46" s="603">
        <f t="shared" si="6"/>
        <v>107825</v>
      </c>
      <c r="L46" s="604"/>
    </row>
    <row r="47" spans="1:12" ht="15" thickBot="1" thickTop="1">
      <c r="A47" s="53"/>
      <c r="B47" s="53"/>
      <c r="C47" s="53"/>
      <c r="D47" s="53"/>
      <c r="E47" s="403" t="s">
        <v>15</v>
      </c>
      <c r="F47" s="356">
        <f>SUM(F38:F46)</f>
        <v>969825</v>
      </c>
      <c r="G47" s="357">
        <f>SUM(G38:G46)</f>
        <v>41000</v>
      </c>
      <c r="H47" s="619">
        <f>SUM(H38:I46)</f>
        <v>0</v>
      </c>
      <c r="I47" s="621"/>
      <c r="J47" s="358">
        <f>SUM(J38:J46)</f>
        <v>41000</v>
      </c>
      <c r="K47" s="619">
        <f>SUM(K38:L46)</f>
        <v>1010825</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269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3"/>
      <c r="H14" s="584"/>
      <c r="I14" s="584"/>
      <c r="J14" s="584"/>
      <c r="K14" s="97">
        <f>'1-1'!K14</f>
        <v>0</v>
      </c>
    </row>
    <row r="15" spans="1:11" ht="39" customHeight="1" thickBot="1">
      <c r="A15" s="19"/>
      <c r="B15" s="18" t="s">
        <v>8</v>
      </c>
      <c r="C15" s="17" t="s">
        <v>9</v>
      </c>
      <c r="D15" s="16" t="s">
        <v>124</v>
      </c>
      <c r="E15" s="16" t="s">
        <v>123</v>
      </c>
      <c r="F15" s="17" t="s">
        <v>10</v>
      </c>
      <c r="G15" s="17" t="s">
        <v>11</v>
      </c>
      <c r="H15" s="452" t="s">
        <v>248</v>
      </c>
      <c r="I15" s="16" t="s">
        <v>12</v>
      </c>
      <c r="J15" s="451" t="s">
        <v>252</v>
      </c>
      <c r="K15" s="23" t="s">
        <v>15</v>
      </c>
    </row>
    <row r="16" spans="1:11" ht="39" customHeight="1" thickTop="1">
      <c r="A16" s="21" t="s">
        <v>167</v>
      </c>
      <c r="B16" s="438">
        <f>'2-1'!B23</f>
        <v>70000</v>
      </c>
      <c r="C16" s="438">
        <f>'2-1'!C23</f>
        <v>16700</v>
      </c>
      <c r="D16" s="438">
        <f>'2-1'!D23</f>
        <v>190000</v>
      </c>
      <c r="E16" s="438">
        <f>'2-1'!E23</f>
        <v>0</v>
      </c>
      <c r="F16" s="438">
        <f>'2-1'!F23</f>
        <v>24000</v>
      </c>
      <c r="G16" s="438">
        <f>'2-1'!G23</f>
        <v>0</v>
      </c>
      <c r="H16" s="438">
        <f>'2-1'!H23</f>
        <v>0</v>
      </c>
      <c r="I16" s="438">
        <f>'2-1'!I23</f>
        <v>0</v>
      </c>
      <c r="J16" s="438">
        <f>'2-1'!J23</f>
        <v>57935</v>
      </c>
      <c r="K16" s="440">
        <f aca="true" t="shared" si="0" ref="K16:K23">SUM(B16:J16)</f>
        <v>358635</v>
      </c>
    </row>
    <row r="17" spans="1:11" ht="39" customHeight="1">
      <c r="A17" s="21" t="s">
        <v>177</v>
      </c>
      <c r="B17" s="438">
        <f>'2-1'!B24</f>
        <v>0</v>
      </c>
      <c r="C17" s="438">
        <f>'2-1'!C24</f>
        <v>0</v>
      </c>
      <c r="D17" s="438">
        <f>'2-1'!D24</f>
        <v>0</v>
      </c>
      <c r="E17" s="438">
        <f>'2-1'!E24</f>
        <v>0</v>
      </c>
      <c r="F17" s="438">
        <f>'2-1'!F24</f>
        <v>0</v>
      </c>
      <c r="G17" s="438">
        <f>'2-1'!G24</f>
        <v>0</v>
      </c>
      <c r="H17" s="438">
        <f>'2-1'!H24</f>
        <v>0</v>
      </c>
      <c r="I17" s="438">
        <f>'2-1'!I24</f>
        <v>0</v>
      </c>
      <c r="J17" s="438">
        <f>'2-1'!J24</f>
        <v>0</v>
      </c>
      <c r="K17" s="440">
        <f t="shared" si="0"/>
        <v>0</v>
      </c>
    </row>
    <row r="18" spans="1:11" ht="39" customHeight="1">
      <c r="A18" s="34" t="s">
        <v>170</v>
      </c>
      <c r="B18" s="441">
        <f>B16-B17</f>
        <v>70000</v>
      </c>
      <c r="C18" s="441">
        <f aca="true" t="shared" si="1" ref="C18:J18">C16-C17</f>
        <v>16700</v>
      </c>
      <c r="D18" s="441">
        <f t="shared" si="1"/>
        <v>190000</v>
      </c>
      <c r="E18" s="441">
        <f t="shared" si="1"/>
        <v>0</v>
      </c>
      <c r="F18" s="441">
        <f t="shared" si="1"/>
        <v>24000</v>
      </c>
      <c r="G18" s="441">
        <f t="shared" si="1"/>
        <v>0</v>
      </c>
      <c r="H18" s="441">
        <f t="shared" si="1"/>
        <v>0</v>
      </c>
      <c r="I18" s="441">
        <f t="shared" si="1"/>
        <v>0</v>
      </c>
      <c r="J18" s="441">
        <f t="shared" si="1"/>
        <v>57935</v>
      </c>
      <c r="K18" s="444">
        <f t="shared" si="0"/>
        <v>358635</v>
      </c>
    </row>
    <row r="19" spans="1:11" ht="39" customHeight="1">
      <c r="A19" s="21" t="s">
        <v>16</v>
      </c>
      <c r="B19" s="438">
        <f>'随時③-2'!G38</f>
        <v>0</v>
      </c>
      <c r="C19" s="323">
        <f>'随時③-2'!G39</f>
        <v>0</v>
      </c>
      <c r="D19" s="323">
        <f>'随時③-2'!G40</f>
        <v>0</v>
      </c>
      <c r="E19" s="323">
        <f>'随時③-2'!G41</f>
        <v>0</v>
      </c>
      <c r="F19" s="323">
        <f>'随時③-2'!G42</f>
        <v>0</v>
      </c>
      <c r="G19" s="323">
        <f>'随時③-2'!G43</f>
        <v>0</v>
      </c>
      <c r="H19" s="323">
        <f>'随時③-2'!G44</f>
        <v>0</v>
      </c>
      <c r="I19" s="323">
        <f>'随時③-2'!G45</f>
        <v>0</v>
      </c>
      <c r="J19" s="439">
        <f>'随時③-2'!G46</f>
        <v>0</v>
      </c>
      <c r="K19" s="440">
        <f t="shared" si="0"/>
        <v>0</v>
      </c>
    </row>
    <row r="20" spans="1:11" ht="39" customHeight="1" thickBot="1">
      <c r="A20" s="43" t="s">
        <v>177</v>
      </c>
      <c r="B20" s="453">
        <f>'随時③-2'!H38</f>
        <v>0</v>
      </c>
      <c r="C20" s="453">
        <f>'随時③-2'!H39</f>
        <v>0</v>
      </c>
      <c r="D20" s="453">
        <f>'随時③-2'!H40</f>
        <v>0</v>
      </c>
      <c r="E20" s="453">
        <f>'随時③-2'!H41</f>
        <v>0</v>
      </c>
      <c r="F20" s="453">
        <f>'随時③-2'!H42</f>
        <v>0</v>
      </c>
      <c r="G20" s="453">
        <f>'随時③-2'!H43</f>
        <v>0</v>
      </c>
      <c r="H20" s="453">
        <f>'随時③-2'!H44</f>
        <v>0</v>
      </c>
      <c r="I20" s="453">
        <f>'随時③-2'!H45</f>
        <v>0</v>
      </c>
      <c r="J20" s="453">
        <f>'随時③-2'!H46</f>
        <v>0</v>
      </c>
      <c r="K20" s="454">
        <f t="shared" si="0"/>
        <v>0</v>
      </c>
    </row>
    <row r="21" spans="1:11" ht="39" customHeight="1" thickBot="1">
      <c r="A21" s="32" t="s">
        <v>110</v>
      </c>
      <c r="B21" s="445">
        <f>B19-B20</f>
        <v>0</v>
      </c>
      <c r="C21" s="445">
        <f aca="true" t="shared" si="2" ref="C21:J21">C19-C20</f>
        <v>0</v>
      </c>
      <c r="D21" s="445">
        <f t="shared" si="2"/>
        <v>0</v>
      </c>
      <c r="E21" s="445">
        <f t="shared" si="2"/>
        <v>0</v>
      </c>
      <c r="F21" s="445">
        <f t="shared" si="2"/>
        <v>0</v>
      </c>
      <c r="G21" s="445">
        <f t="shared" si="2"/>
        <v>0</v>
      </c>
      <c r="H21" s="445">
        <f t="shared" si="2"/>
        <v>0</v>
      </c>
      <c r="I21" s="445">
        <f t="shared" si="2"/>
        <v>0</v>
      </c>
      <c r="J21" s="445">
        <f t="shared" si="2"/>
        <v>0</v>
      </c>
      <c r="K21" s="447">
        <f t="shared" si="0"/>
        <v>0</v>
      </c>
    </row>
    <row r="22" spans="1:11" ht="39" customHeight="1">
      <c r="A22" s="30" t="s">
        <v>168</v>
      </c>
      <c r="B22" s="225">
        <f>B16+B19</f>
        <v>70000</v>
      </c>
      <c r="C22" s="225">
        <f aca="true" t="shared" si="3" ref="C22:J22">C16+C19</f>
        <v>16700</v>
      </c>
      <c r="D22" s="225">
        <f t="shared" si="3"/>
        <v>190000</v>
      </c>
      <c r="E22" s="225">
        <f t="shared" si="3"/>
        <v>0</v>
      </c>
      <c r="F22" s="225">
        <f t="shared" si="3"/>
        <v>24000</v>
      </c>
      <c r="G22" s="225">
        <f t="shared" si="3"/>
        <v>0</v>
      </c>
      <c r="H22" s="225">
        <f t="shared" si="3"/>
        <v>0</v>
      </c>
      <c r="I22" s="225">
        <f t="shared" si="3"/>
        <v>0</v>
      </c>
      <c r="J22" s="225">
        <f t="shared" si="3"/>
        <v>57935</v>
      </c>
      <c r="K22" s="437">
        <f t="shared" si="0"/>
        <v>358635</v>
      </c>
    </row>
    <row r="23" spans="1:11" ht="39" customHeight="1" thickBot="1">
      <c r="A23" s="22" t="s">
        <v>169</v>
      </c>
      <c r="B23" s="221">
        <f>'2-1'!B19+'随時③-1'!B22</f>
        <v>169000</v>
      </c>
      <c r="C23" s="221">
        <f>'2-1'!C19+'随時③-1'!C22</f>
        <v>23000</v>
      </c>
      <c r="D23" s="221">
        <f>'2-1'!D19+'随時③-1'!D22</f>
        <v>711798</v>
      </c>
      <c r="E23" s="221">
        <f>'2-1'!E19+'随時③-1'!E22</f>
        <v>0</v>
      </c>
      <c r="F23" s="221">
        <f>'2-1'!F19+'随時③-1'!F22</f>
        <v>173068</v>
      </c>
      <c r="G23" s="221">
        <f>'2-1'!G19+'随時③-1'!G22</f>
        <v>0</v>
      </c>
      <c r="H23" s="221">
        <f>'2-1'!H19+'随時③-1'!H22</f>
        <v>0</v>
      </c>
      <c r="I23" s="221">
        <f>'2-1'!I19+'随時③-1'!I22</f>
        <v>0</v>
      </c>
      <c r="J23" s="221">
        <f>'2-1'!J19+'随時③-1'!J22</f>
        <v>105825</v>
      </c>
      <c r="K23" s="224">
        <f t="shared" si="0"/>
        <v>1182691</v>
      </c>
    </row>
    <row r="24" spans="1:11" ht="39" customHeight="1" thickBot="1">
      <c r="A24" s="32" t="s">
        <v>104</v>
      </c>
      <c r="B24" s="625" t="s">
        <v>122</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5" t="s">
        <v>145</v>
      </c>
      <c r="E3" s="96" t="s">
        <v>0</v>
      </c>
      <c r="F3" s="96" t="s">
        <v>196</v>
      </c>
      <c r="G3" s="96" t="s">
        <v>91</v>
      </c>
      <c r="H3" s="478" t="s">
        <v>245</v>
      </c>
      <c r="I3" s="96" t="s">
        <v>92</v>
      </c>
      <c r="J3" s="96" t="s">
        <v>93</v>
      </c>
      <c r="K3" s="229" t="s">
        <v>111</v>
      </c>
      <c r="L3" s="297" t="s">
        <v>107</v>
      </c>
    </row>
    <row r="4" spans="1:13" ht="14.25">
      <c r="A4" s="91"/>
      <c r="B4" s="67"/>
      <c r="C4" s="67"/>
      <c r="D4" s="413"/>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2">
        <f>IF($D4="","",IF($D4&lt;=100,VLOOKUP($D4,'1-2'!$D$4:$L$103,9),IF($D4&lt;=200,VLOOKUP($D4,'随時①-2'!$D$4:$L$23,9),IF($D4&lt;=300,VLOOKUP($D4,'随時②-2'!$D$21:$L$35,9),VLOOKUP($D4,'2-4'!$D$4:$L$103,9)))))</f>
      </c>
      <c r="M4" s="5">
        <f aca="true" t="shared" si="0" ref="M4:M18">IF(K4="◎",J4,"")</f>
      </c>
    </row>
    <row r="5" spans="1:13" ht="14.25">
      <c r="A5" s="91"/>
      <c r="B5" s="67"/>
      <c r="C5" s="67"/>
      <c r="D5" s="416"/>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2">
        <f>IF($D5="","",IF($D5&lt;=100,VLOOKUP($D5,'1-2'!$D$4:$L$103,9),IF($D5&lt;=200,VLOOKUP($D5,'随時①-2'!$D$4:$L$23,9),IF($D5&lt;=300,VLOOKUP($D5,'随時②-2'!$D$21:$L$35,9),VLOOKUP($D5,'2-4'!$D$4:$L$103,9)))))</f>
      </c>
      <c r="M5" s="5">
        <f t="shared" si="0"/>
      </c>
    </row>
    <row r="6" spans="1:13" ht="14.25">
      <c r="A6" s="91"/>
      <c r="B6" s="67"/>
      <c r="C6" s="67"/>
      <c r="D6" s="416"/>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2">
        <f>IF($D6="","",IF($D6&lt;=100,VLOOKUP($D6,'1-2'!$D$4:$L$103,9),IF($D6&lt;=200,VLOOKUP($D6,'随時①-2'!$D$4:$L$23,9),IF($D6&lt;=300,VLOOKUP($D6,'随時②-2'!$D$21:$L$35,9),VLOOKUP($D6,'2-4'!$D$4:$L$103,9)))))</f>
      </c>
      <c r="M6" s="5">
        <f t="shared" si="0"/>
      </c>
    </row>
    <row r="7" spans="1:13" ht="14.25">
      <c r="A7" s="91"/>
      <c r="B7" s="67"/>
      <c r="C7" s="67"/>
      <c r="D7" s="416"/>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2">
        <f>IF($D7="","",IF($D7&lt;=100,VLOOKUP($D7,'1-2'!$D$4:$L$103,9),IF($D7&lt;=200,VLOOKUP($D7,'随時①-2'!$D$4:$L$23,9),IF($D7&lt;=300,VLOOKUP($D7,'随時②-2'!$D$21:$L$35,9),VLOOKUP($D7,'2-4'!$D$4:$L$103,9)))))</f>
      </c>
      <c r="M7" s="5">
        <f t="shared" si="0"/>
      </c>
    </row>
    <row r="8" spans="1:13" ht="14.25">
      <c r="A8" s="91"/>
      <c r="B8" s="67"/>
      <c r="C8" s="67"/>
      <c r="D8" s="416"/>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2">
        <f>IF($D8="","",IF($D8&lt;=100,VLOOKUP($D8,'1-2'!$D$4:$L$103,9),IF($D8&lt;=200,VLOOKUP($D8,'随時①-2'!$D$4:$L$23,9),IF($D8&lt;=300,VLOOKUP($D8,'随時②-2'!$D$21:$L$35,9),VLOOKUP($D8,'2-4'!$D$4:$L$103,9)))))</f>
      </c>
      <c r="M8" s="5">
        <f t="shared" si="0"/>
      </c>
    </row>
    <row r="9" spans="1:13" ht="14.25">
      <c r="A9" s="91"/>
      <c r="B9" s="67"/>
      <c r="C9" s="67"/>
      <c r="D9" s="416"/>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2">
        <f>IF($D9="","",IF($D9&lt;=100,VLOOKUP($D9,'1-2'!$D$4:$L$103,9),IF($D9&lt;=200,VLOOKUP($D9,'随時①-2'!$D$4:$L$23,9),IF($D9&lt;=300,VLOOKUP($D9,'随時②-2'!$D$21:$L$35,9),VLOOKUP($D9,'2-4'!$D$4:$L$103,9)))))</f>
      </c>
      <c r="M9" s="5">
        <f t="shared" si="0"/>
      </c>
    </row>
    <row r="10" spans="1:13" ht="14.25">
      <c r="A10" s="91"/>
      <c r="B10" s="67"/>
      <c r="C10" s="67"/>
      <c r="D10" s="416"/>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2">
        <f>IF($D10="","",IF($D10&lt;=100,VLOOKUP($D10,'1-2'!$D$4:$L$103,9),IF($D10&lt;=200,VLOOKUP($D10,'随時①-2'!$D$4:$L$23,9),IF($D10&lt;=300,VLOOKUP($D10,'随時②-2'!$D$21:$L$35,9),VLOOKUP($D10,'2-4'!$D$4:$L$103,9)))))</f>
      </c>
      <c r="M10" s="5">
        <f t="shared" si="0"/>
      </c>
    </row>
    <row r="11" spans="1:13" ht="14.25">
      <c r="A11" s="91"/>
      <c r="B11" s="67"/>
      <c r="C11" s="67"/>
      <c r="D11" s="416"/>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2">
        <f>IF($D11="","",IF($D11&lt;=100,VLOOKUP($D11,'1-2'!$D$4:$L$103,9),IF($D11&lt;=200,VLOOKUP($D11,'随時①-2'!$D$4:$L$23,9),IF($D11&lt;=300,VLOOKUP($D11,'随時②-2'!$D$21:$L$35,9),VLOOKUP($D11,'2-4'!$D$4:$L$103,9)))))</f>
      </c>
      <c r="M11" s="5">
        <f t="shared" si="0"/>
      </c>
    </row>
    <row r="12" spans="1:13" ht="14.25">
      <c r="A12" s="91"/>
      <c r="B12" s="67"/>
      <c r="C12" s="67"/>
      <c r="D12" s="416"/>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4">
        <f>IF($D12="","",IF($D12&lt;=100,VLOOKUP($D12,'1-2'!$D$4:$L$103,8),IF($D12&lt;=200,VLOOKUP($D12,'随時①-2'!$D$4:$L$23,8),IF($D12&lt;=300,VLOOKUP($D12,'随時②-2'!$D$21:$L$35,8),VLOOKUP($D12,'2-4'!$D$4:$L$103,8)))))</f>
      </c>
      <c r="L12" s="422">
        <f>IF($D12="","",IF($D12&lt;=100,VLOOKUP($D12,'1-2'!$D$4:$L$103,9),IF($D12&lt;=200,VLOOKUP($D12,'随時①-2'!$D$4:$L$23,9),IF($D12&lt;=300,VLOOKUP($D12,'随時②-2'!$D$21:$L$35,9),VLOOKUP($D12,'2-4'!$D$4:$L$103,9)))))</f>
      </c>
      <c r="M12" s="5">
        <f t="shared" si="0"/>
      </c>
    </row>
    <row r="13" spans="1:13" ht="14.25">
      <c r="A13" s="91"/>
      <c r="B13" s="67"/>
      <c r="C13" s="67"/>
      <c r="D13" s="416"/>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2">
        <f>IF($D13="","",IF($D13&lt;=100,VLOOKUP($D13,'1-2'!$D$4:$L$103,9),IF($D13&lt;=200,VLOOKUP($D13,'随時①-2'!$D$4:$L$23,9),IF($D13&lt;=300,VLOOKUP($D13,'随時②-2'!$D$21:$L$35,9),VLOOKUP($D13,'2-4'!$D$4:$L$103,9)))))</f>
      </c>
      <c r="M13" s="5">
        <f t="shared" si="0"/>
      </c>
    </row>
    <row r="14" spans="1:13" ht="14.25">
      <c r="A14" s="91"/>
      <c r="B14" s="67"/>
      <c r="C14" s="67"/>
      <c r="D14" s="416"/>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2">
        <f>IF($D14="","",IF($D14&lt;=100,VLOOKUP($D14,'1-2'!$D$4:$L$103,9),IF($D14&lt;=200,VLOOKUP($D14,'随時①-2'!$D$4:$L$23,9),IF($D14&lt;=300,VLOOKUP($D14,'随時②-2'!$D$21:$L$35,9),VLOOKUP($D14,'2-4'!$D$4:$L$103,9)))))</f>
      </c>
      <c r="M14" s="5">
        <f t="shared" si="0"/>
      </c>
    </row>
    <row r="15" spans="1:13" ht="14.25">
      <c r="A15" s="91"/>
      <c r="B15" s="67"/>
      <c r="C15" s="67"/>
      <c r="D15" s="416"/>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2">
        <f>IF($D15="","",IF($D15&lt;=100,VLOOKUP($D15,'1-2'!$D$4:$L$103,9),IF($D15&lt;=200,VLOOKUP($D15,'随時①-2'!$D$4:$L$23,9),IF($D15&lt;=300,VLOOKUP($D15,'随時②-2'!$D$21:$L$35,9),VLOOKUP($D15,'2-4'!$D$4:$L$103,9)))))</f>
      </c>
      <c r="M15" s="5">
        <f t="shared" si="0"/>
      </c>
    </row>
    <row r="16" spans="1:13" ht="14.25">
      <c r="A16" s="91"/>
      <c r="B16" s="67"/>
      <c r="C16" s="67"/>
      <c r="D16" s="416"/>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2">
        <f>IF($D16="","",IF($D16&lt;=100,VLOOKUP($D16,'1-2'!$D$4:$L$103,9),IF($D16&lt;=200,VLOOKUP($D16,'随時①-2'!$D$4:$L$23,9),IF($D16&lt;=300,VLOOKUP($D16,'随時②-2'!$D$21:$L$35,9),VLOOKUP($D16,'2-4'!$D$4:$L$103,9)))))</f>
      </c>
      <c r="M16" s="5">
        <f t="shared" si="0"/>
      </c>
    </row>
    <row r="17" spans="1:13" ht="14.25">
      <c r="A17" s="91"/>
      <c r="B17" s="67"/>
      <c r="C17" s="67"/>
      <c r="D17" s="416"/>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2">
        <f>IF($D17="","",IF($D17&lt;=100,VLOOKUP($D17,'1-2'!$D$4:$L$103,9),IF($D17&lt;=200,VLOOKUP($D17,'随時①-2'!$D$4:$L$23,9),IF($D17&lt;=300,VLOOKUP($D17,'随時②-2'!$D$21:$L$35,9),VLOOKUP($D17,'2-4'!$D$4:$L$103,9)))))</f>
      </c>
      <c r="M17" s="5">
        <f t="shared" si="0"/>
      </c>
    </row>
    <row r="18" spans="1:13" ht="15" thickBot="1">
      <c r="A18" s="91"/>
      <c r="B18" s="67"/>
      <c r="C18" s="67"/>
      <c r="D18" s="417"/>
      <c r="E18" s="347">
        <f>IF($D18="","",IF($D18&lt;=100,VLOOKUP($D18,'1-2'!$D$4:$L$103,2),IF($D18&lt;=200,VLOOKUP($D18,'随時①-2'!$D$4:$L$23,2),IF($D18&lt;=300,VLOOKUP($D18,'随時②-2'!$D$21:$L$35,2),VLOOKUP($D18,'2-4'!$D$4:$L$103,2)))))</f>
      </c>
      <c r="F18" s="423">
        <f>IF($D18="","",IF($D18&lt;=100,VLOOKUP($D18,'1-2'!$D$4:$L$103,3),IF($D18&lt;=200,VLOOKUP($D18,'随時①-2'!$D$4:$L$23,3),IF($D18&lt;=300,VLOOKUP($D18,'随時②-2'!$D$21:$L$35,3),VLOOKUP($D18,'2-4'!$D$4:$L$103,3)))))</f>
      </c>
      <c r="G18" s="418">
        <f>IF($D18="","",IF($D18&lt;=100,VLOOKUP($D18,'1-2'!$D$4:$L$103,4),IF($D18&lt;=200,VLOOKUP($D18,'随時①-2'!$D$4:$L$23,4),IF($D18&lt;=300,VLOOKUP($D18,'随時②-2'!$D$21:$L$35,4),VLOOKUP($D18,'2-4'!$D$4:$L$103,4)))))</f>
      </c>
      <c r="H18" s="419">
        <f>IF($D18="","",IF($D18&lt;=100,VLOOKUP($D18,'1-2'!$D$4:$L$103,5),IF($D18&lt;=200,VLOOKUP($D18,'随時①-2'!$D$4:$L$23,5),IF($D18&lt;=300,VLOOKUP($D18,'随時②-2'!$D$21:$L$35,5),VLOOKUP($D18,'2-4'!$D$4:$L$103,5)))))</f>
      </c>
      <c r="I18" s="419">
        <f>IF($D18="","",IF($D18&lt;=100,VLOOKUP($D18,'1-2'!$D$4:$L$103,6),IF($D18&lt;=200,VLOOKUP($D18,'随時①-2'!$D$4:$L$23,6),IF($D18&lt;=300,VLOOKUP($D18,'随時②-2'!$D$21:$L$35,6),VLOOKUP($D18,'2-4'!$D$4:$L$103,6)))))</f>
      </c>
      <c r="J18" s="418">
        <f>IF($D18="","",IF($D18&lt;=100,VLOOKUP($D18,'1-2'!$D$4:$L$103,7),IF($D18&lt;=200,VLOOKUP($D18,'随時①-2'!$D$4:$L$23,7),IF($D18&lt;=300,VLOOKUP($D18,'随時②-2'!$D$21:$L$35,7),VLOOKUP($D18,'2-4'!$D$4:$L$103,7)))))</f>
      </c>
      <c r="K18" s="423">
        <f>IF($D18="","",IF($D18&lt;=100,VLOOKUP($D18,'1-2'!$D$4:$L$103,8),IF($D18&lt;=200,VLOOKUP($D18,'随時①-2'!$D$4:$L$23,8),IF($D18&lt;=300,VLOOKUP($D18,'随時②-2'!$D$21:$L$35,8),VLOOKUP($D18,'2-4'!$D$4:$L$103,8)))))</f>
      </c>
      <c r="L18" s="424">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9" t="s">
        <v>140</v>
      </c>
      <c r="B20" s="411" t="s">
        <v>141</v>
      </c>
      <c r="C20" s="96" t="s">
        <v>143</v>
      </c>
      <c r="D20" s="94" t="s">
        <v>145</v>
      </c>
      <c r="E20" s="96" t="s">
        <v>0</v>
      </c>
      <c r="F20" s="96" t="s">
        <v>196</v>
      </c>
      <c r="G20" s="96" t="s">
        <v>91</v>
      </c>
      <c r="H20" s="478" t="s">
        <v>245</v>
      </c>
      <c r="I20" s="96" t="s">
        <v>92</v>
      </c>
      <c r="J20" s="96" t="s">
        <v>93</v>
      </c>
      <c r="K20" s="229" t="s">
        <v>111</v>
      </c>
      <c r="L20" s="412" t="s">
        <v>107</v>
      </c>
    </row>
    <row r="21" spans="1:13" s="470" customFormat="1" ht="13.5" customHeight="1">
      <c r="A21" s="362"/>
      <c r="B21" s="243"/>
      <c r="C21" s="264"/>
      <c r="D21" s="469">
        <v>401</v>
      </c>
      <c r="E21" s="277"/>
      <c r="F21" s="277"/>
      <c r="G21" s="342"/>
      <c r="H21" s="343"/>
      <c r="I21" s="343"/>
      <c r="J21" s="385">
        <f>G21*H21*I21</f>
        <v>0</v>
      </c>
      <c r="K21" s="280"/>
      <c r="L21" s="281"/>
      <c r="M21" s="470">
        <f aca="true" t="shared" si="1" ref="M21:M35">IF(K21="◎",J21,"")</f>
      </c>
    </row>
    <row r="22" spans="1:13" s="470" customFormat="1" ht="13.5" customHeight="1">
      <c r="A22" s="253"/>
      <c r="B22" s="254"/>
      <c r="C22" s="255"/>
      <c r="D22" s="471">
        <v>402</v>
      </c>
      <c r="E22" s="277"/>
      <c r="F22" s="258"/>
      <c r="G22" s="321"/>
      <c r="H22" s="322"/>
      <c r="I22" s="322"/>
      <c r="J22" s="385">
        <f aca="true" t="shared" si="2" ref="J22:J35">G22*H22*I22</f>
        <v>0</v>
      </c>
      <c r="K22" s="262"/>
      <c r="L22" s="263"/>
      <c r="M22" s="470">
        <f t="shared" si="1"/>
      </c>
    </row>
    <row r="23" spans="1:13" s="470" customFormat="1" ht="13.5" customHeight="1">
      <c r="A23" s="253"/>
      <c r="B23" s="254"/>
      <c r="C23" s="255"/>
      <c r="D23" s="471">
        <v>403</v>
      </c>
      <c r="E23" s="277"/>
      <c r="F23" s="258"/>
      <c r="G23" s="321"/>
      <c r="H23" s="322"/>
      <c r="I23" s="322"/>
      <c r="J23" s="385">
        <f t="shared" si="2"/>
        <v>0</v>
      </c>
      <c r="K23" s="262"/>
      <c r="L23" s="263"/>
      <c r="M23" s="470">
        <f t="shared" si="1"/>
      </c>
    </row>
    <row r="24" spans="1:13" s="470" customFormat="1" ht="13.5" customHeight="1">
      <c r="A24" s="253"/>
      <c r="B24" s="254"/>
      <c r="C24" s="255"/>
      <c r="D24" s="471">
        <v>404</v>
      </c>
      <c r="E24" s="277"/>
      <c r="F24" s="258"/>
      <c r="G24" s="321"/>
      <c r="H24" s="322"/>
      <c r="I24" s="322"/>
      <c r="J24" s="385">
        <f t="shared" si="2"/>
        <v>0</v>
      </c>
      <c r="K24" s="262"/>
      <c r="L24" s="263"/>
      <c r="M24" s="470">
        <f t="shared" si="1"/>
      </c>
    </row>
    <row r="25" spans="1:13" s="470" customFormat="1" ht="13.5" customHeight="1">
      <c r="A25" s="253"/>
      <c r="B25" s="254"/>
      <c r="C25" s="255"/>
      <c r="D25" s="471">
        <v>405</v>
      </c>
      <c r="E25" s="277"/>
      <c r="F25" s="258"/>
      <c r="G25" s="321"/>
      <c r="H25" s="322"/>
      <c r="I25" s="322"/>
      <c r="J25" s="385">
        <f t="shared" si="2"/>
        <v>0</v>
      </c>
      <c r="K25" s="262"/>
      <c r="L25" s="263"/>
      <c r="M25" s="470">
        <f t="shared" si="1"/>
      </c>
    </row>
    <row r="26" spans="1:13" s="470" customFormat="1" ht="13.5" customHeight="1">
      <c r="A26" s="253"/>
      <c r="B26" s="254"/>
      <c r="C26" s="255"/>
      <c r="D26" s="471">
        <v>406</v>
      </c>
      <c r="E26" s="277"/>
      <c r="F26" s="258"/>
      <c r="G26" s="321"/>
      <c r="H26" s="322"/>
      <c r="I26" s="322"/>
      <c r="J26" s="385">
        <f t="shared" si="2"/>
        <v>0</v>
      </c>
      <c r="K26" s="262"/>
      <c r="L26" s="263"/>
      <c r="M26" s="470">
        <f t="shared" si="1"/>
      </c>
    </row>
    <row r="27" spans="1:13" s="470" customFormat="1" ht="13.5" customHeight="1">
      <c r="A27" s="253"/>
      <c r="B27" s="254"/>
      <c r="C27" s="255"/>
      <c r="D27" s="471">
        <v>407</v>
      </c>
      <c r="E27" s="277"/>
      <c r="F27" s="258"/>
      <c r="G27" s="321"/>
      <c r="H27" s="322"/>
      <c r="I27" s="322"/>
      <c r="J27" s="385">
        <f t="shared" si="2"/>
        <v>0</v>
      </c>
      <c r="K27" s="262"/>
      <c r="L27" s="263"/>
      <c r="M27" s="470">
        <f t="shared" si="1"/>
      </c>
    </row>
    <row r="28" spans="1:13" s="470" customFormat="1" ht="13.5" customHeight="1">
      <c r="A28" s="253"/>
      <c r="B28" s="254"/>
      <c r="C28" s="255"/>
      <c r="D28" s="471">
        <v>408</v>
      </c>
      <c r="E28" s="277"/>
      <c r="F28" s="258"/>
      <c r="G28" s="321"/>
      <c r="H28" s="322"/>
      <c r="I28" s="322"/>
      <c r="J28" s="385">
        <f t="shared" si="2"/>
        <v>0</v>
      </c>
      <c r="K28" s="262"/>
      <c r="L28" s="263"/>
      <c r="M28" s="470">
        <f t="shared" si="1"/>
      </c>
    </row>
    <row r="29" spans="1:13" s="470" customFormat="1" ht="13.5" customHeight="1">
      <c r="A29" s="253"/>
      <c r="B29" s="254"/>
      <c r="C29" s="255"/>
      <c r="D29" s="471">
        <v>409</v>
      </c>
      <c r="E29" s="277"/>
      <c r="F29" s="277"/>
      <c r="G29" s="321"/>
      <c r="H29" s="322"/>
      <c r="I29" s="322"/>
      <c r="J29" s="385">
        <f t="shared" si="2"/>
        <v>0</v>
      </c>
      <c r="K29" s="262"/>
      <c r="L29" s="263"/>
      <c r="M29" s="470">
        <f t="shared" si="1"/>
      </c>
    </row>
    <row r="30" spans="1:13" s="470" customFormat="1" ht="13.5" customHeight="1">
      <c r="A30" s="253"/>
      <c r="B30" s="254"/>
      <c r="C30" s="255"/>
      <c r="D30" s="471">
        <v>410</v>
      </c>
      <c r="E30" s="277"/>
      <c r="F30" s="258"/>
      <c r="G30" s="321"/>
      <c r="H30" s="322"/>
      <c r="I30" s="322"/>
      <c r="J30" s="385">
        <f t="shared" si="2"/>
        <v>0</v>
      </c>
      <c r="K30" s="262"/>
      <c r="L30" s="263"/>
      <c r="M30" s="470">
        <f t="shared" si="1"/>
      </c>
    </row>
    <row r="31" spans="1:13" s="470" customFormat="1" ht="13.5" customHeight="1">
      <c r="A31" s="253"/>
      <c r="B31" s="254"/>
      <c r="C31" s="255"/>
      <c r="D31" s="471">
        <v>411</v>
      </c>
      <c r="E31" s="277"/>
      <c r="F31" s="258"/>
      <c r="G31" s="321"/>
      <c r="H31" s="322"/>
      <c r="I31" s="322"/>
      <c r="J31" s="385">
        <f t="shared" si="2"/>
        <v>0</v>
      </c>
      <c r="K31" s="262"/>
      <c r="L31" s="263"/>
      <c r="M31" s="470">
        <f t="shared" si="1"/>
      </c>
    </row>
    <row r="32" spans="1:13" s="470" customFormat="1" ht="13.5" customHeight="1">
      <c r="A32" s="253"/>
      <c r="B32" s="254"/>
      <c r="C32" s="255"/>
      <c r="D32" s="471">
        <v>412</v>
      </c>
      <c r="E32" s="277"/>
      <c r="F32" s="258"/>
      <c r="G32" s="321"/>
      <c r="H32" s="322"/>
      <c r="I32" s="322"/>
      <c r="J32" s="385">
        <f t="shared" si="2"/>
        <v>0</v>
      </c>
      <c r="K32" s="262"/>
      <c r="L32" s="263"/>
      <c r="M32" s="470">
        <f t="shared" si="1"/>
      </c>
    </row>
    <row r="33" spans="1:13" s="470" customFormat="1" ht="13.5" customHeight="1">
      <c r="A33" s="253"/>
      <c r="B33" s="254"/>
      <c r="C33" s="255"/>
      <c r="D33" s="471">
        <v>413</v>
      </c>
      <c r="E33" s="277"/>
      <c r="F33" s="258"/>
      <c r="G33" s="321"/>
      <c r="H33" s="322"/>
      <c r="I33" s="322"/>
      <c r="J33" s="385">
        <f t="shared" si="2"/>
        <v>0</v>
      </c>
      <c r="K33" s="262"/>
      <c r="L33" s="263"/>
      <c r="M33" s="470">
        <f t="shared" si="1"/>
      </c>
    </row>
    <row r="34" spans="1:13" s="470" customFormat="1" ht="13.5" customHeight="1">
      <c r="A34" s="253"/>
      <c r="B34" s="254"/>
      <c r="C34" s="255"/>
      <c r="D34" s="471">
        <v>414</v>
      </c>
      <c r="E34" s="277"/>
      <c r="F34" s="258"/>
      <c r="G34" s="321"/>
      <c r="H34" s="322"/>
      <c r="I34" s="322"/>
      <c r="J34" s="385">
        <f t="shared" si="2"/>
        <v>0</v>
      </c>
      <c r="K34" s="262"/>
      <c r="L34" s="263"/>
      <c r="M34" s="470">
        <f t="shared" si="1"/>
      </c>
    </row>
    <row r="35" spans="1:13" s="470" customFormat="1" ht="13.5" customHeight="1" thickBot="1">
      <c r="A35" s="399"/>
      <c r="B35" s="407"/>
      <c r="C35" s="408"/>
      <c r="D35" s="472">
        <v>415</v>
      </c>
      <c r="E35" s="290"/>
      <c r="F35" s="290"/>
      <c r="G35" s="473"/>
      <c r="H35" s="474"/>
      <c r="I35" s="474"/>
      <c r="J35" s="466">
        <f t="shared" si="2"/>
        <v>0</v>
      </c>
      <c r="K35" s="475"/>
      <c r="L35" s="476"/>
      <c r="M35" s="470">
        <f t="shared" si="1"/>
      </c>
    </row>
    <row r="36" spans="1:7" ht="24" customHeight="1" thickBot="1">
      <c r="A36" s="53"/>
      <c r="B36" s="53"/>
      <c r="C36" s="53"/>
      <c r="E36" s="435" t="s">
        <v>246</v>
      </c>
      <c r="F36" s="622"/>
      <c r="G36" s="622"/>
    </row>
    <row r="37" spans="1:12" ht="24" customHeight="1" thickBot="1">
      <c r="A37" s="53"/>
      <c r="B37" s="53"/>
      <c r="C37" s="53"/>
      <c r="E37" s="241" t="s">
        <v>96</v>
      </c>
      <c r="F37" s="231" t="s">
        <v>171</v>
      </c>
      <c r="G37" s="231" t="s">
        <v>16</v>
      </c>
      <c r="H37" s="623" t="s">
        <v>244</v>
      </c>
      <c r="I37" s="624"/>
      <c r="J37" s="158" t="s">
        <v>108</v>
      </c>
      <c r="K37" s="605" t="s">
        <v>193</v>
      </c>
      <c r="L37" s="606"/>
    </row>
    <row r="38" spans="1:12" ht="14.25" thickTop="1">
      <c r="A38" s="53"/>
      <c r="B38" s="53"/>
      <c r="C38" s="53"/>
      <c r="E38" s="299" t="s">
        <v>85</v>
      </c>
      <c r="F38" s="349">
        <f>'2-1'!B23</f>
        <v>70000</v>
      </c>
      <c r="G38" s="349">
        <f aca="true" t="shared" si="3" ref="G38:G46">-SUMIF($E$4:$E$18,$E38,$J$4:$J$18)+SUMIF($E$21:$E$35,$E38,$J$21:$J$35)</f>
        <v>0</v>
      </c>
      <c r="H38" s="551">
        <f aca="true" t="shared" si="4" ref="H38:H46">-SUMIF($E$4:$E$18,$E38,$M$4:$M$18)+SUMIF($E$21:$E$35,$E38,$M$21:$M$35)</f>
        <v>0</v>
      </c>
      <c r="I38" s="596"/>
      <c r="J38" s="351">
        <f aca="true" t="shared" si="5" ref="J38:J46">G38-H38</f>
        <v>0</v>
      </c>
      <c r="K38" s="533">
        <f aca="true" t="shared" si="6" ref="K38:K46">F38+G38</f>
        <v>70000</v>
      </c>
      <c r="L38" s="607"/>
    </row>
    <row r="39" spans="1:12" ht="13.5">
      <c r="A39" s="53"/>
      <c r="B39" s="53"/>
      <c r="C39" s="53"/>
      <c r="E39" s="299" t="s">
        <v>86</v>
      </c>
      <c r="F39" s="353">
        <f>'2-1'!C23</f>
        <v>16700</v>
      </c>
      <c r="G39" s="349">
        <f t="shared" si="3"/>
        <v>0</v>
      </c>
      <c r="H39" s="530">
        <f t="shared" si="4"/>
        <v>0</v>
      </c>
      <c r="I39" s="585"/>
      <c r="J39" s="351">
        <f t="shared" si="5"/>
        <v>0</v>
      </c>
      <c r="K39" s="533">
        <f t="shared" si="6"/>
        <v>16700</v>
      </c>
      <c r="L39" s="607"/>
    </row>
    <row r="40" spans="1:12" ht="13.5">
      <c r="A40" s="53"/>
      <c r="B40" s="53"/>
      <c r="C40" s="53"/>
      <c r="E40" s="299" t="s">
        <v>125</v>
      </c>
      <c r="F40" s="353">
        <f>'2-1'!D23</f>
        <v>190000</v>
      </c>
      <c r="G40" s="349">
        <f t="shared" si="3"/>
        <v>0</v>
      </c>
      <c r="H40" s="530">
        <f t="shared" si="4"/>
        <v>0</v>
      </c>
      <c r="I40" s="585"/>
      <c r="J40" s="351">
        <f t="shared" si="5"/>
        <v>0</v>
      </c>
      <c r="K40" s="533">
        <f t="shared" si="6"/>
        <v>190000</v>
      </c>
      <c r="L40" s="607"/>
    </row>
    <row r="41" spans="1:12" ht="13.5">
      <c r="A41" s="53"/>
      <c r="B41" s="53"/>
      <c r="C41" s="53"/>
      <c r="E41" s="299" t="s">
        <v>126</v>
      </c>
      <c r="F41" s="353">
        <f>'2-1'!E23</f>
        <v>0</v>
      </c>
      <c r="G41" s="349">
        <f t="shared" si="3"/>
        <v>0</v>
      </c>
      <c r="H41" s="530">
        <f t="shared" si="4"/>
        <v>0</v>
      </c>
      <c r="I41" s="585"/>
      <c r="J41" s="351">
        <f t="shared" si="5"/>
        <v>0</v>
      </c>
      <c r="K41" s="533">
        <f t="shared" si="6"/>
        <v>0</v>
      </c>
      <c r="L41" s="607"/>
    </row>
    <row r="42" spans="1:12" ht="13.5">
      <c r="A42" s="53"/>
      <c r="B42" s="53"/>
      <c r="C42" s="53"/>
      <c r="E42" s="299" t="s">
        <v>87</v>
      </c>
      <c r="F42" s="353">
        <f>'2-1'!F23</f>
        <v>24000</v>
      </c>
      <c r="G42" s="349">
        <f t="shared" si="3"/>
        <v>0</v>
      </c>
      <c r="H42" s="530">
        <f t="shared" si="4"/>
        <v>0</v>
      </c>
      <c r="I42" s="585"/>
      <c r="J42" s="351">
        <f t="shared" si="5"/>
        <v>0</v>
      </c>
      <c r="K42" s="533">
        <f t="shared" si="6"/>
        <v>24000</v>
      </c>
      <c r="L42" s="607"/>
    </row>
    <row r="43" spans="1:12" ht="13.5">
      <c r="A43" s="53"/>
      <c r="B43" s="53"/>
      <c r="C43" s="53"/>
      <c r="E43" s="299" t="s">
        <v>88</v>
      </c>
      <c r="F43" s="353">
        <f>'2-1'!G23</f>
        <v>0</v>
      </c>
      <c r="G43" s="349">
        <f t="shared" si="3"/>
        <v>0</v>
      </c>
      <c r="H43" s="530">
        <f t="shared" si="4"/>
        <v>0</v>
      </c>
      <c r="I43" s="585"/>
      <c r="J43" s="351">
        <f t="shared" si="5"/>
        <v>0</v>
      </c>
      <c r="K43" s="533">
        <f t="shared" si="6"/>
        <v>0</v>
      </c>
      <c r="L43" s="607"/>
    </row>
    <row r="44" spans="1:12" ht="13.5">
      <c r="A44" s="53"/>
      <c r="B44" s="53"/>
      <c r="C44" s="53"/>
      <c r="E44" s="299" t="s">
        <v>89</v>
      </c>
      <c r="F44" s="353">
        <f>'2-1'!H23</f>
        <v>0</v>
      </c>
      <c r="G44" s="349">
        <f t="shared" si="3"/>
        <v>0</v>
      </c>
      <c r="H44" s="530">
        <f t="shared" si="4"/>
        <v>0</v>
      </c>
      <c r="I44" s="585"/>
      <c r="J44" s="351">
        <f t="shared" si="5"/>
        <v>0</v>
      </c>
      <c r="K44" s="533">
        <f t="shared" si="6"/>
        <v>0</v>
      </c>
      <c r="L44" s="607"/>
    </row>
    <row r="45" spans="1:12" ht="13.5">
      <c r="A45" s="53"/>
      <c r="B45" s="53"/>
      <c r="C45" s="53"/>
      <c r="E45" s="299" t="s">
        <v>90</v>
      </c>
      <c r="F45" s="353">
        <f>'2-1'!I23</f>
        <v>0</v>
      </c>
      <c r="G45" s="349">
        <f t="shared" si="3"/>
        <v>0</v>
      </c>
      <c r="H45" s="530">
        <f t="shared" si="4"/>
        <v>0</v>
      </c>
      <c r="I45" s="585"/>
      <c r="J45" s="351">
        <f t="shared" si="5"/>
        <v>0</v>
      </c>
      <c r="K45" s="533">
        <f t="shared" si="6"/>
        <v>0</v>
      </c>
      <c r="L45" s="607"/>
    </row>
    <row r="46" spans="1:12" ht="14.25" thickBot="1">
      <c r="A46" s="53"/>
      <c r="B46" s="53"/>
      <c r="C46" s="53"/>
      <c r="E46" s="299" t="s">
        <v>137</v>
      </c>
      <c r="F46" s="402">
        <f>'2-1'!J23</f>
        <v>57935</v>
      </c>
      <c r="G46" s="349">
        <f t="shared" si="3"/>
        <v>0</v>
      </c>
      <c r="H46" s="627">
        <f t="shared" si="4"/>
        <v>0</v>
      </c>
      <c r="I46" s="628"/>
      <c r="J46" s="351">
        <f t="shared" si="5"/>
        <v>0</v>
      </c>
      <c r="K46" s="603">
        <f t="shared" si="6"/>
        <v>57935</v>
      </c>
      <c r="L46" s="604"/>
    </row>
    <row r="47" spans="1:12" ht="15" thickBot="1" thickTop="1">
      <c r="A47" s="53"/>
      <c r="B47" s="53"/>
      <c r="C47" s="53"/>
      <c r="E47" s="403" t="s">
        <v>15</v>
      </c>
      <c r="F47" s="356">
        <f>SUM(F38:F46)</f>
        <v>358635</v>
      </c>
      <c r="G47" s="356">
        <f>SUM(G38:G46)</f>
        <v>0</v>
      </c>
      <c r="H47" s="626">
        <f>SUM(H38:I46)</f>
        <v>0</v>
      </c>
      <c r="I47" s="621"/>
      <c r="J47" s="357">
        <f>SUM(J38:J46)</f>
        <v>0</v>
      </c>
      <c r="K47" s="600">
        <f>SUM(K38:L46)</f>
        <v>358635</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D10" sqref="D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8" t="s">
        <v>142</v>
      </c>
      <c r="G2" s="546"/>
      <c r="H2" s="546"/>
      <c r="I2" s="546"/>
      <c r="J2" s="549"/>
      <c r="K2" s="545" t="s">
        <v>115</v>
      </c>
      <c r="L2" s="546"/>
      <c r="M2" s="546"/>
      <c r="N2" s="546"/>
      <c r="O2" s="547"/>
      <c r="P2" s="13"/>
    </row>
    <row r="3" spans="1:21" ht="24" customHeight="1">
      <c r="A3" s="426" t="s">
        <v>140</v>
      </c>
      <c r="B3" s="296" t="s">
        <v>141</v>
      </c>
      <c r="C3" s="60" t="s">
        <v>143</v>
      </c>
      <c r="D3" s="96" t="s">
        <v>160</v>
      </c>
      <c r="E3" s="96" t="s">
        <v>0</v>
      </c>
      <c r="F3" s="96" t="s">
        <v>196</v>
      </c>
      <c r="G3" s="96" t="s">
        <v>91</v>
      </c>
      <c r="H3" s="478" t="s">
        <v>245</v>
      </c>
      <c r="I3" s="96" t="s">
        <v>92</v>
      </c>
      <c r="J3" s="96" t="s">
        <v>93</v>
      </c>
      <c r="K3" s="387" t="s">
        <v>198</v>
      </c>
      <c r="L3" s="388" t="s">
        <v>91</v>
      </c>
      <c r="M3" s="478" t="s">
        <v>245</v>
      </c>
      <c r="N3" s="388" t="s">
        <v>92</v>
      </c>
      <c r="O3" s="389" t="s">
        <v>93</v>
      </c>
      <c r="P3" s="229" t="s">
        <v>111</v>
      </c>
      <c r="Q3" s="297" t="s">
        <v>107</v>
      </c>
      <c r="R3" s="62" t="s">
        <v>147</v>
      </c>
      <c r="S3" s="61" t="s">
        <v>148</v>
      </c>
      <c r="T3" s="61" t="s">
        <v>149</v>
      </c>
      <c r="U3" s="61" t="s">
        <v>150</v>
      </c>
    </row>
    <row r="4" spans="1:21" ht="30" customHeight="1">
      <c r="A4" s="364">
        <f>'1-2'!A4</f>
        <v>0</v>
      </c>
      <c r="B4" s="365">
        <f>'1-2'!B4</f>
        <v>0</v>
      </c>
      <c r="C4" s="366">
        <f>'1-2'!C4</f>
        <v>0</v>
      </c>
      <c r="D4" s="245">
        <v>1</v>
      </c>
      <c r="E4" s="304" t="str">
        <f>'2-2'!E4</f>
        <v>負担金、補助及び交付金</v>
      </c>
      <c r="F4" s="304" t="str">
        <f>'2-2'!F4</f>
        <v>各種団体負担金（会費）</v>
      </c>
      <c r="G4" s="305">
        <f>'2-2'!G4</f>
        <v>107825</v>
      </c>
      <c r="H4" s="306">
        <f>'2-2'!H4</f>
        <v>1</v>
      </c>
      <c r="I4" s="306">
        <f>'2-2'!I4</f>
        <v>1</v>
      </c>
      <c r="J4" s="367">
        <f>'2-2'!J4</f>
        <v>107825</v>
      </c>
      <c r="K4" s="368" t="str">
        <f>'2-2'!K4</f>
        <v>各種団体負担金（会費）</v>
      </c>
      <c r="L4" s="305">
        <f>'2-2'!L4</f>
        <v>47890</v>
      </c>
      <c r="M4" s="306">
        <f>'2-2'!M4</f>
        <v>1</v>
      </c>
      <c r="N4" s="306">
        <f>'2-2'!N4</f>
        <v>1</v>
      </c>
      <c r="O4" s="369">
        <f>L4*M4*N4</f>
        <v>47890</v>
      </c>
      <c r="P4" s="370">
        <f>'2-2'!P4</f>
        <v>0</v>
      </c>
      <c r="Q4" s="371"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72">
        <f>'1-2'!A5</f>
        <v>2</v>
      </c>
      <c r="B5" s="373" t="str">
        <f>'1-2'!B5</f>
        <v>１－（３）－キ</v>
      </c>
      <c r="C5" s="374" t="str">
        <f>'1-2'!C5</f>
        <v>グローバル人材の育成</v>
      </c>
      <c r="D5" s="256">
        <v>2</v>
      </c>
      <c r="E5" s="316" t="str">
        <f>'2-2'!E5</f>
        <v>役務費</v>
      </c>
      <c r="F5" s="317" t="str">
        <f>'2-2'!F5</f>
        <v>インターネット通信料</v>
      </c>
      <c r="G5" s="226">
        <f>'2-2'!G5</f>
        <v>8000</v>
      </c>
      <c r="H5" s="318">
        <f>'2-2'!H5</f>
        <v>1</v>
      </c>
      <c r="I5" s="318">
        <f>'2-2'!I5</f>
        <v>6</v>
      </c>
      <c r="J5" s="375">
        <f>'2-2'!J5</f>
        <v>48000</v>
      </c>
      <c r="K5" s="376" t="str">
        <f>'2-2'!K5</f>
        <v>インターネット通信料</v>
      </c>
      <c r="L5" s="226">
        <f>'2-2'!L5</f>
        <v>7452</v>
      </c>
      <c r="M5" s="318">
        <f>'2-2'!M5</f>
        <v>1</v>
      </c>
      <c r="N5" s="318">
        <f>'2-2'!N5</f>
        <v>6</v>
      </c>
      <c r="O5" s="344">
        <f>L5*M5*N5</f>
        <v>44712</v>
      </c>
      <c r="P5" s="377">
        <f>'2-2'!P5</f>
        <v>0</v>
      </c>
      <c r="Q5" s="378">
        <f>'2-2'!Q5</f>
        <v>0</v>
      </c>
      <c r="R5" s="25">
        <f>IF(AND(ISNA(MATCH($D5,'随時②-2'!$D$4:$D$18,0)),ISNA(MATCH($D5,'随時③-2'!$D$4:$D$18,0))),0,1)</f>
        <v>0</v>
      </c>
      <c r="S5" s="63">
        <f t="shared" si="0"/>
      </c>
      <c r="T5" s="63">
        <f t="shared" si="1"/>
      </c>
      <c r="U5" s="5">
        <f aca="true" t="shared" si="2" ref="U5:U17">IF($E5=0,"",VLOOKUP($E5,$V$5:$X$13,2))</f>
        <v>5</v>
      </c>
      <c r="V5" s="5" t="s">
        <v>151</v>
      </c>
      <c r="W5" s="5">
        <v>6</v>
      </c>
    </row>
    <row r="6" spans="1:23" ht="30" customHeight="1">
      <c r="A6" s="372">
        <f>'1-2'!A6</f>
        <v>3</v>
      </c>
      <c r="B6" s="373" t="str">
        <f>'1-2'!B6</f>
        <v>１－（２）－エ</v>
      </c>
      <c r="C6" s="374" t="str">
        <f>'1-2'!C6</f>
        <v>情報保障の充実</v>
      </c>
      <c r="D6" s="256">
        <v>3</v>
      </c>
      <c r="E6" s="316" t="str">
        <f>'2-2'!E6</f>
        <v>消耗需用費</v>
      </c>
      <c r="F6" s="317" t="str">
        <f>'2-2'!F6</f>
        <v>iPad及び関連用品</v>
      </c>
      <c r="G6" s="226">
        <f>'2-2'!G6</f>
        <v>44000</v>
      </c>
      <c r="H6" s="318">
        <f>'2-2'!H6</f>
        <v>6</v>
      </c>
      <c r="I6" s="318">
        <f>'2-2'!I6</f>
        <v>1</v>
      </c>
      <c r="J6" s="375">
        <f>'2-2'!J6</f>
        <v>264000</v>
      </c>
      <c r="K6" s="376" t="str">
        <f>'2-2'!K6</f>
        <v>iPad及び関連用品</v>
      </c>
      <c r="L6" s="226">
        <f>'2-2'!L6</f>
        <v>41029</v>
      </c>
      <c r="M6" s="318">
        <f>'2-2'!M6</f>
        <v>6</v>
      </c>
      <c r="N6" s="318">
        <f>'2-2'!N6</f>
        <v>1</v>
      </c>
      <c r="O6" s="344">
        <f aca="true" t="shared" si="3" ref="O6:O17">L6*M6*N6</f>
        <v>246174</v>
      </c>
      <c r="P6" s="377">
        <f>'2-2'!P6</f>
        <v>0</v>
      </c>
      <c r="Q6" s="378">
        <f>'2-2'!Q6</f>
        <v>0</v>
      </c>
      <c r="R6" s="25">
        <f>IF(AND(ISNA(MATCH($D6,'随時②-2'!$D$4:$D$18,0)),ISNA(MATCH($D6,'随時③-2'!$D$4:$D$18,0))),0,1)</f>
        <v>0</v>
      </c>
      <c r="S6" s="63">
        <f t="shared" si="0"/>
      </c>
      <c r="T6" s="63">
        <f t="shared" si="1"/>
      </c>
      <c r="U6" s="5">
        <f t="shared" si="2"/>
        <v>7</v>
      </c>
      <c r="V6" s="5" t="s">
        <v>152</v>
      </c>
      <c r="W6" s="5">
        <v>4</v>
      </c>
    </row>
    <row r="7" spans="1:23" ht="30" customHeight="1">
      <c r="A7" s="372">
        <f>'1-2'!A7</f>
        <v>4</v>
      </c>
      <c r="B7" s="373" t="str">
        <f>'1-2'!B7</f>
        <v>３－（１）－イ</v>
      </c>
      <c r="C7" s="374" t="str">
        <f>'1-2'!C7</f>
        <v>授業改善</v>
      </c>
      <c r="D7" s="256">
        <v>4</v>
      </c>
      <c r="E7" s="316" t="str">
        <f>'2-2'!E7</f>
        <v>消耗需用費</v>
      </c>
      <c r="F7" s="317" t="str">
        <f>'2-2'!F7</f>
        <v>パソコン及び関連用品</v>
      </c>
      <c r="G7" s="226">
        <f>'2-2'!G7</f>
        <v>100000</v>
      </c>
      <c r="H7" s="318">
        <f>'2-2'!H7</f>
        <v>1</v>
      </c>
      <c r="I7" s="318">
        <f>'2-2'!I7</f>
        <v>1</v>
      </c>
      <c r="J7" s="375">
        <f>'2-2'!J7</f>
        <v>100000</v>
      </c>
      <c r="K7" s="376" t="str">
        <f>'2-2'!K7</f>
        <v>パソコン及び関連用品</v>
      </c>
      <c r="L7" s="226">
        <f>'2-2'!L7</f>
        <v>79272</v>
      </c>
      <c r="M7" s="318">
        <f>'2-2'!M7</f>
        <v>1</v>
      </c>
      <c r="N7" s="318">
        <f>'2-2'!N7</f>
        <v>1</v>
      </c>
      <c r="O7" s="344">
        <f t="shared" si="3"/>
        <v>79272</v>
      </c>
      <c r="P7" s="377">
        <f>'2-2'!P7</f>
        <v>0</v>
      </c>
      <c r="Q7" s="378">
        <f>'2-2'!Q7</f>
        <v>0</v>
      </c>
      <c r="R7" s="25">
        <f>IF(AND(ISNA(MATCH($D7,'随時②-2'!$D$4:$D$18,0)),ISNA(MATCH($D7,'随時③-2'!$D$4:$D$18,0))),0,1)</f>
        <v>0</v>
      </c>
      <c r="S7" s="63">
        <f t="shared" si="0"/>
      </c>
      <c r="T7" s="63">
        <f t="shared" si="1"/>
      </c>
      <c r="U7" s="5">
        <f t="shared" si="2"/>
        <v>7</v>
      </c>
      <c r="V7" s="5" t="s">
        <v>153</v>
      </c>
      <c r="W7" s="5">
        <v>7</v>
      </c>
    </row>
    <row r="8" spans="1:23" ht="30" customHeight="1">
      <c r="A8" s="372">
        <f>'1-2'!A8</f>
        <v>4</v>
      </c>
      <c r="B8" s="373" t="str">
        <f>'1-2'!B8</f>
        <v>３－（１）－イ</v>
      </c>
      <c r="C8" s="374" t="str">
        <f>'1-2'!C8</f>
        <v>授業改善</v>
      </c>
      <c r="D8" s="265">
        <v>5</v>
      </c>
      <c r="E8" s="316" t="str">
        <f>'2-2'!E8</f>
        <v>報償費</v>
      </c>
      <c r="F8" s="317" t="str">
        <f>'2-2'!F8</f>
        <v>外部講師謝礼</v>
      </c>
      <c r="G8" s="226">
        <f>'2-2'!G8</f>
        <v>20000</v>
      </c>
      <c r="H8" s="318">
        <f>'2-2'!H8</f>
        <v>1</v>
      </c>
      <c r="I8" s="318">
        <f>'2-2'!I8</f>
        <v>1</v>
      </c>
      <c r="J8" s="375">
        <f>'2-2'!J8</f>
        <v>20000</v>
      </c>
      <c r="K8" s="376" t="str">
        <f>'2-2'!K8</f>
        <v>外部講師謝礼</v>
      </c>
      <c r="L8" s="226">
        <f>'2-2'!L8</f>
        <v>20000</v>
      </c>
      <c r="M8" s="318">
        <f>'2-2'!M8</f>
        <v>1</v>
      </c>
      <c r="N8" s="318">
        <f>'2-2'!N8</f>
        <v>1</v>
      </c>
      <c r="O8" s="344">
        <f t="shared" si="3"/>
        <v>20000</v>
      </c>
      <c r="P8" s="377">
        <f>'2-2'!P8</f>
        <v>0</v>
      </c>
      <c r="Q8" s="378">
        <f>'2-2'!Q8</f>
        <v>0</v>
      </c>
      <c r="R8" s="25">
        <f>IF(AND(ISNA(MATCH($D8,'随時②-2'!$D$4:$D$18,0)),ISNA(MATCH($D8,'随時③-2'!$D$4:$D$18,0))),0,1)</f>
        <v>0</v>
      </c>
      <c r="S8" s="63">
        <f t="shared" si="0"/>
      </c>
      <c r="T8" s="63">
        <f t="shared" si="1"/>
      </c>
      <c r="U8" s="5">
        <f t="shared" si="2"/>
        <v>1</v>
      </c>
      <c r="V8" s="5" t="s">
        <v>154</v>
      </c>
      <c r="W8" s="5">
        <v>3</v>
      </c>
    </row>
    <row r="9" spans="1:23" ht="30" customHeight="1">
      <c r="A9" s="372">
        <f>'1-2'!A9</f>
        <v>4</v>
      </c>
      <c r="B9" s="373" t="str">
        <f>'1-2'!B9</f>
        <v>３－（１）－イ</v>
      </c>
      <c r="C9" s="374" t="str">
        <f>'1-2'!C9</f>
        <v>授業改善</v>
      </c>
      <c r="D9" s="256">
        <v>6</v>
      </c>
      <c r="E9" s="316" t="str">
        <f>'2-2'!E9</f>
        <v>旅費</v>
      </c>
      <c r="F9" s="317" t="str">
        <f>'2-2'!F9</f>
        <v>講師旅費</v>
      </c>
      <c r="G9" s="226">
        <f>'2-2'!G9</f>
        <v>3000</v>
      </c>
      <c r="H9" s="318">
        <f>'2-2'!H9</f>
        <v>1</v>
      </c>
      <c r="I9" s="318">
        <f>'2-2'!I9</f>
        <v>1</v>
      </c>
      <c r="J9" s="375">
        <f>'2-2'!J9</f>
        <v>3000</v>
      </c>
      <c r="K9" s="376" t="str">
        <f>'2-2'!K9</f>
        <v>講師旅費</v>
      </c>
      <c r="L9" s="226">
        <f>'2-2'!L9</f>
        <v>3000</v>
      </c>
      <c r="M9" s="318">
        <f>'2-2'!M9</f>
        <v>1</v>
      </c>
      <c r="N9" s="318">
        <f>'2-2'!N9</f>
        <v>0</v>
      </c>
      <c r="O9" s="344">
        <f t="shared" si="3"/>
        <v>0</v>
      </c>
      <c r="P9" s="377">
        <f>'2-2'!P9</f>
        <v>0</v>
      </c>
      <c r="Q9" s="378">
        <f>'2-2'!Q9</f>
        <v>0</v>
      </c>
      <c r="R9" s="25">
        <f>IF(AND(ISNA(MATCH($D9,'随時②-2'!$D$4:$D$18,0)),ISNA(MATCH($D9,'随時③-2'!$D$4:$D$18,0))),0,1)</f>
        <v>0</v>
      </c>
      <c r="S9" s="63">
        <f t="shared" si="0"/>
      </c>
      <c r="T9" s="63">
        <f t="shared" si="1"/>
      </c>
      <c r="U9" s="5">
        <f t="shared" si="2"/>
        <v>2</v>
      </c>
      <c r="V9" s="5" t="s">
        <v>155</v>
      </c>
      <c r="W9" s="5">
        <v>8</v>
      </c>
    </row>
    <row r="10" spans="1:23" ht="30" customHeight="1">
      <c r="A10" s="372">
        <f>'1-2'!A10</f>
        <v>5</v>
      </c>
      <c r="B10" s="373" t="str">
        <f>'1-2'!B10</f>
        <v>３－（１）－ア</v>
      </c>
      <c r="C10" s="374" t="str">
        <f>'1-2'!C10</f>
        <v>授業充実</v>
      </c>
      <c r="D10" s="256">
        <v>7</v>
      </c>
      <c r="E10" s="316" t="str">
        <f>'2-2'!E10</f>
        <v>消耗需用費</v>
      </c>
      <c r="F10" s="317" t="str">
        <f>'2-2'!F10</f>
        <v>パソコン及び関連用品</v>
      </c>
      <c r="G10" s="226">
        <f>'2-2'!G10</f>
        <v>100000</v>
      </c>
      <c r="H10" s="318">
        <f>'2-2'!H10</f>
        <v>2</v>
      </c>
      <c r="I10" s="318">
        <f>'2-2'!I10</f>
        <v>1</v>
      </c>
      <c r="J10" s="375">
        <f>'2-2'!J10</f>
        <v>200000</v>
      </c>
      <c r="K10" s="376" t="str">
        <f>'2-2'!K10</f>
        <v>パソコン及び関連用品</v>
      </c>
      <c r="L10" s="226">
        <f>'2-2'!L10</f>
        <v>76831</v>
      </c>
      <c r="M10" s="318">
        <f>'2-2'!M10</f>
        <v>2</v>
      </c>
      <c r="N10" s="318">
        <f>'2-2'!N10</f>
        <v>1</v>
      </c>
      <c r="O10" s="344">
        <f t="shared" si="3"/>
        <v>153662</v>
      </c>
      <c r="P10" s="377">
        <f>'2-2'!P10</f>
        <v>0</v>
      </c>
      <c r="Q10" s="378">
        <f>'2-2'!Q10</f>
        <v>0</v>
      </c>
      <c r="R10" s="25">
        <f>IF(AND(ISNA(MATCH($D10,'随時②-2'!$D$4:$D$18,0)),ISNA(MATCH($D10,'随時③-2'!$D$4:$D$18,0))),0,1)</f>
        <v>0</v>
      </c>
      <c r="S10" s="63">
        <f t="shared" si="0"/>
      </c>
      <c r="T10" s="63">
        <f t="shared" si="1"/>
      </c>
      <c r="U10" s="5">
        <f t="shared" si="2"/>
        <v>7</v>
      </c>
      <c r="V10" s="5" t="s">
        <v>159</v>
      </c>
      <c r="W10" s="5">
        <v>9</v>
      </c>
    </row>
    <row r="11" spans="1:23" ht="30" customHeight="1">
      <c r="A11" s="372">
        <f>'1-2'!A11</f>
        <v>5</v>
      </c>
      <c r="B11" s="373" t="str">
        <f>'1-2'!B11</f>
        <v>３－（１）－ア</v>
      </c>
      <c r="C11" s="374" t="str">
        <f>'1-2'!C11</f>
        <v>授業充実</v>
      </c>
      <c r="D11" s="265">
        <v>8</v>
      </c>
      <c r="E11" s="316" t="str">
        <f>'2-2'!E11</f>
        <v>消耗需用費</v>
      </c>
      <c r="F11" s="317" t="str">
        <f>'2-2'!F11</f>
        <v>プレーヤー及び関連用品</v>
      </c>
      <c r="G11" s="226">
        <f>'2-2'!G11</f>
        <v>26000</v>
      </c>
      <c r="H11" s="318">
        <f>'2-2'!H11</f>
        <v>1</v>
      </c>
      <c r="I11" s="318">
        <f>'2-2'!I11</f>
        <v>1</v>
      </c>
      <c r="J11" s="375">
        <f>'2-2'!J11</f>
        <v>26000</v>
      </c>
      <c r="K11" s="376" t="str">
        <f>'2-2'!K11</f>
        <v>プレーヤー及び関連用品</v>
      </c>
      <c r="L11" s="226">
        <f>'2-2'!L11</f>
        <v>19785</v>
      </c>
      <c r="M11" s="318">
        <f>'2-2'!M11</f>
        <v>1</v>
      </c>
      <c r="N11" s="318">
        <f>'2-2'!N11</f>
        <v>1</v>
      </c>
      <c r="O11" s="344">
        <f t="shared" si="3"/>
        <v>19785</v>
      </c>
      <c r="P11" s="377">
        <f>'2-2'!P11</f>
        <v>0</v>
      </c>
      <c r="Q11" s="378">
        <f>'2-2'!Q11</f>
        <v>0</v>
      </c>
      <c r="R11" s="25">
        <f>IF(AND(ISNA(MATCH($D11,'随時②-2'!$D$4:$D$18,0)),ISNA(MATCH($D11,'随時③-2'!$D$4:$D$18,0))),0,1)</f>
        <v>0</v>
      </c>
      <c r="S11" s="63">
        <f t="shared" si="0"/>
      </c>
      <c r="T11" s="63">
        <f t="shared" si="1"/>
      </c>
      <c r="U11" s="5">
        <f t="shared" si="2"/>
        <v>7</v>
      </c>
      <c r="V11" s="5" t="s">
        <v>156</v>
      </c>
      <c r="W11" s="5">
        <v>1</v>
      </c>
    </row>
    <row r="12" spans="1:23" ht="30" customHeight="1">
      <c r="A12" s="372">
        <f>'1-2'!A12</f>
        <v>5</v>
      </c>
      <c r="B12" s="373" t="str">
        <f>'1-2'!B12</f>
        <v>３－（１）－ア</v>
      </c>
      <c r="C12" s="374" t="str">
        <f>'1-2'!C12</f>
        <v>授業充実</v>
      </c>
      <c r="D12" s="265">
        <v>9</v>
      </c>
      <c r="E12" s="316" t="str">
        <f>'2-2'!E12</f>
        <v>役務費</v>
      </c>
      <c r="F12" s="317" t="str">
        <f>'2-2'!F12</f>
        <v>手話通訳及び要約筆記</v>
      </c>
      <c r="G12" s="226">
        <f>'2-2'!G12</f>
        <v>41000</v>
      </c>
      <c r="H12" s="318">
        <f>'2-2'!H12</f>
        <v>1</v>
      </c>
      <c r="I12" s="318">
        <f>'2-2'!I12</f>
        <v>1</v>
      </c>
      <c r="J12" s="375">
        <f>'2-2'!J12</f>
        <v>41000</v>
      </c>
      <c r="K12" s="376" t="str">
        <f>'2-2'!K12</f>
        <v>手話通訳及び要約筆記</v>
      </c>
      <c r="L12" s="226">
        <f>'2-2'!L12</f>
        <v>41000</v>
      </c>
      <c r="M12" s="318">
        <f>'2-2'!M12</f>
        <v>1</v>
      </c>
      <c r="N12" s="318">
        <f>'2-2'!N12</f>
        <v>1</v>
      </c>
      <c r="O12" s="344">
        <f t="shared" si="3"/>
        <v>41000</v>
      </c>
      <c r="P12" s="377">
        <f>'2-2'!P12</f>
        <v>0</v>
      </c>
      <c r="Q12" s="378">
        <f>'2-2'!Q12</f>
        <v>0</v>
      </c>
      <c r="R12" s="25">
        <f>IF(AND(ISNA(MATCH($D12,'随時②-2'!$D$4:$D$18,0)),ISNA(MATCH($D12,'随時③-2'!$D$4:$D$18,0))),0,1)</f>
        <v>0</v>
      </c>
      <c r="S12" s="63">
        <f t="shared" si="0"/>
      </c>
      <c r="T12" s="63">
        <f t="shared" si="1"/>
      </c>
      <c r="U12" s="5">
        <f t="shared" si="2"/>
        <v>5</v>
      </c>
      <c r="V12" s="5" t="s">
        <v>157</v>
      </c>
      <c r="W12" s="5">
        <v>5</v>
      </c>
    </row>
    <row r="13" spans="1:23" ht="30" customHeight="1">
      <c r="A13" s="372">
        <f>'1-2'!A13</f>
        <v>6</v>
      </c>
      <c r="B13" s="373" t="str">
        <f>'1-2'!B13</f>
        <v>２－（１）－イ</v>
      </c>
      <c r="C13" s="374" t="str">
        <f>'1-2'!C13</f>
        <v>多文化共生教育の推進</v>
      </c>
      <c r="D13" s="275">
        <v>10</v>
      </c>
      <c r="E13" s="316" t="str">
        <f>'2-2'!E13</f>
        <v>報償費</v>
      </c>
      <c r="F13" s="317" t="str">
        <f>'2-2'!F13</f>
        <v>外部講師謝礼</v>
      </c>
      <c r="G13" s="226">
        <f>'2-2'!G13</f>
        <v>5000</v>
      </c>
      <c r="H13" s="318">
        <f>'2-2'!H13</f>
        <v>2</v>
      </c>
      <c r="I13" s="318">
        <f>'2-2'!I13</f>
        <v>2</v>
      </c>
      <c r="J13" s="375">
        <f>'2-2'!J13</f>
        <v>20000</v>
      </c>
      <c r="K13" s="376" t="str">
        <f>'2-2'!K13</f>
        <v>外部講師謝礼</v>
      </c>
      <c r="L13" s="226">
        <f>'2-2'!L13</f>
        <v>5000</v>
      </c>
      <c r="M13" s="318">
        <f>'2-2'!M13</f>
        <v>2</v>
      </c>
      <c r="N13" s="318">
        <f>'2-2'!N13</f>
        <v>0</v>
      </c>
      <c r="O13" s="344">
        <f t="shared" si="3"/>
        <v>0</v>
      </c>
      <c r="P13" s="377">
        <f>'2-2'!P13</f>
        <v>0</v>
      </c>
      <c r="Q13" s="378">
        <f>'2-2'!Q13</f>
        <v>0</v>
      </c>
      <c r="R13" s="25">
        <f>IF(AND(ISNA(MATCH($D13,'随時②-2'!$D$4:$D$18,0)),ISNA(MATCH($D13,'随時③-2'!$D$4:$D$18,0))),0,1)</f>
        <v>0</v>
      </c>
      <c r="S13" s="63">
        <f t="shared" si="0"/>
      </c>
      <c r="T13" s="63">
        <f t="shared" si="1"/>
      </c>
      <c r="U13" s="5">
        <f t="shared" si="2"/>
        <v>1</v>
      </c>
      <c r="V13" s="5" t="s">
        <v>158</v>
      </c>
      <c r="W13" s="5">
        <v>2</v>
      </c>
    </row>
    <row r="14" spans="1:21" ht="30" customHeight="1">
      <c r="A14" s="372">
        <f>'1-2'!A14</f>
        <v>6</v>
      </c>
      <c r="B14" s="373" t="str">
        <f>'1-2'!B14</f>
        <v>２－（１）－イ</v>
      </c>
      <c r="C14" s="374" t="str">
        <f>'1-2'!C14</f>
        <v>多文化共生教育の推進</v>
      </c>
      <c r="D14" s="256">
        <v>11</v>
      </c>
      <c r="E14" s="316" t="str">
        <f>'2-2'!E14</f>
        <v>旅費</v>
      </c>
      <c r="F14" s="317" t="str">
        <f>'2-2'!F14</f>
        <v>ボランティア学生旅費</v>
      </c>
      <c r="G14" s="226">
        <f>'2-2'!G14</f>
        <v>1000</v>
      </c>
      <c r="H14" s="318">
        <f>'2-2'!H14</f>
        <v>5</v>
      </c>
      <c r="I14" s="318">
        <f>'2-2'!I14</f>
        <v>2</v>
      </c>
      <c r="J14" s="375">
        <f>'2-2'!J14</f>
        <v>10000</v>
      </c>
      <c r="K14" s="376" t="str">
        <f>'2-2'!K14</f>
        <v>ボランティア学生旅費</v>
      </c>
      <c r="L14" s="226">
        <f>'2-2'!L14</f>
        <v>1000</v>
      </c>
      <c r="M14" s="318">
        <f>'2-2'!M14</f>
        <v>5</v>
      </c>
      <c r="N14" s="318">
        <f>'2-2'!N14</f>
        <v>0</v>
      </c>
      <c r="O14" s="344">
        <f t="shared" si="3"/>
        <v>0</v>
      </c>
      <c r="P14" s="377">
        <f>'2-2'!P14</f>
        <v>0</v>
      </c>
      <c r="Q14" s="378">
        <f>'2-2'!Q14</f>
        <v>0</v>
      </c>
      <c r="R14" s="25">
        <f>IF(AND(ISNA(MATCH($D14,'随時②-2'!$D$4:$D$18,0)),ISNA(MATCH($D14,'随時③-2'!$D$4:$D$18,0))),0,1)</f>
        <v>0</v>
      </c>
      <c r="S14" s="63">
        <f t="shared" si="0"/>
      </c>
      <c r="T14" s="63">
        <f t="shared" si="1"/>
      </c>
      <c r="U14" s="5">
        <f t="shared" si="2"/>
        <v>2</v>
      </c>
    </row>
    <row r="15" spans="1:21" ht="30" customHeight="1">
      <c r="A15" s="372">
        <f>'1-2'!A15</f>
        <v>8</v>
      </c>
      <c r="B15" s="373" t="str">
        <f>'1-2'!B15</f>
        <v>２－（２）－オ</v>
      </c>
      <c r="C15" s="374" t="str">
        <f>'1-2'!C15</f>
        <v>情報発信力の向上</v>
      </c>
      <c r="D15" s="256">
        <v>12</v>
      </c>
      <c r="E15" s="316" t="str">
        <f>'2-2'!E15</f>
        <v>消耗需用費</v>
      </c>
      <c r="F15" s="317" t="str">
        <f>'2-2'!F15</f>
        <v>学校ＰＲ用品作成</v>
      </c>
      <c r="G15" s="226">
        <f>'2-2'!G15</f>
        <v>20000</v>
      </c>
      <c r="H15" s="318">
        <f>'2-2'!H15</f>
        <v>1</v>
      </c>
      <c r="I15" s="318">
        <f>'2-2'!I15</f>
        <v>1</v>
      </c>
      <c r="J15" s="375">
        <f>'2-2'!J15</f>
        <v>20000</v>
      </c>
      <c r="K15" s="376" t="str">
        <f>'2-2'!K15</f>
        <v>学校ＰＲ用品作成</v>
      </c>
      <c r="L15" s="226">
        <f>'2-2'!L15</f>
        <v>22905</v>
      </c>
      <c r="M15" s="318">
        <f>'2-2'!M15</f>
        <v>1</v>
      </c>
      <c r="N15" s="318">
        <f>'2-2'!N15</f>
        <v>1</v>
      </c>
      <c r="O15" s="344">
        <f t="shared" si="3"/>
        <v>22905</v>
      </c>
      <c r="P15" s="377">
        <f>'2-2'!P15</f>
        <v>0</v>
      </c>
      <c r="Q15" s="378">
        <f>'2-2'!Q15</f>
        <v>0</v>
      </c>
      <c r="R15" s="25">
        <f>IF(AND(ISNA(MATCH($D15,'随時②-2'!$D$4:$D$18,0)),ISNA(MATCH($D15,'随時③-2'!$D$4:$D$18,0))),0,1)</f>
        <v>0</v>
      </c>
      <c r="S15" s="63">
        <f t="shared" si="0"/>
      </c>
      <c r="T15" s="63">
        <f t="shared" si="1"/>
      </c>
      <c r="U15" s="5">
        <f t="shared" si="2"/>
        <v>7</v>
      </c>
    </row>
    <row r="16" spans="1:21" ht="30" customHeight="1">
      <c r="A16" s="372">
        <f>'1-2'!A16</f>
        <v>7</v>
      </c>
      <c r="B16" s="373" t="str">
        <f>'1-2'!B16</f>
        <v>１－（３）－ク</v>
      </c>
      <c r="C16" s="374" t="str">
        <f>'1-2'!C16</f>
        <v>ＡＳＬ授業の実施</v>
      </c>
      <c r="D16" s="256">
        <v>13</v>
      </c>
      <c r="E16" s="316" t="str">
        <f>'2-2'!E16</f>
        <v>報償費</v>
      </c>
      <c r="F16" s="317" t="str">
        <f>'2-2'!F16</f>
        <v>ＡＳＬ（アメリカ手話）講習会謝礼</v>
      </c>
      <c r="G16" s="226">
        <f>'2-2'!G16</f>
        <v>10000</v>
      </c>
      <c r="H16" s="318">
        <f>'2-2'!H16</f>
        <v>1</v>
      </c>
      <c r="I16" s="318">
        <f>'2-2'!I16</f>
        <v>7</v>
      </c>
      <c r="J16" s="375">
        <f>'2-2'!J16</f>
        <v>70000</v>
      </c>
      <c r="K16" s="376" t="str">
        <f>'2-2'!K16</f>
        <v>ＡＳＬ（アメリカ手話）講習会謝礼</v>
      </c>
      <c r="L16" s="226">
        <f>'2-2'!L16</f>
        <v>10000</v>
      </c>
      <c r="M16" s="318">
        <f>'2-2'!M16</f>
        <v>1</v>
      </c>
      <c r="N16" s="318">
        <f>'2-2'!N16</f>
        <v>7</v>
      </c>
      <c r="O16" s="344">
        <f t="shared" si="3"/>
        <v>70000</v>
      </c>
      <c r="P16" s="377">
        <f>'2-2'!P16</f>
        <v>0</v>
      </c>
      <c r="Q16" s="378">
        <f>'2-2'!Q16</f>
        <v>0</v>
      </c>
      <c r="R16" s="25">
        <f>IF(AND(ISNA(MATCH($D16,'随時②-2'!$D$4:$D$18,0)),ISNA(MATCH($D16,'随時③-2'!$D$4:$D$18,0))),0,1)</f>
        <v>0</v>
      </c>
      <c r="S16" s="63">
        <f t="shared" si="0"/>
      </c>
      <c r="T16" s="63">
        <f t="shared" si="1"/>
      </c>
      <c r="U16" s="5">
        <f t="shared" si="2"/>
        <v>1</v>
      </c>
    </row>
    <row r="17" spans="1:21" ht="30" customHeight="1">
      <c r="A17" s="372">
        <f>'1-2'!A17</f>
        <v>7</v>
      </c>
      <c r="B17" s="373" t="str">
        <f>'1-2'!B17</f>
        <v>１－（３）－ク</v>
      </c>
      <c r="C17" s="374" t="str">
        <f>'1-2'!C17</f>
        <v>ＡＳＬ授業の実施</v>
      </c>
      <c r="D17" s="256">
        <v>14</v>
      </c>
      <c r="E17" s="316" t="str">
        <f>'2-2'!E17</f>
        <v>旅費</v>
      </c>
      <c r="F17" s="317" t="str">
        <f>'2-2'!F17</f>
        <v>講師旅費</v>
      </c>
      <c r="G17" s="226">
        <f>'2-2'!G17</f>
        <v>1000</v>
      </c>
      <c r="H17" s="318">
        <f>'2-2'!H17</f>
        <v>1</v>
      </c>
      <c r="I17" s="318">
        <f>'2-2'!I17</f>
        <v>7</v>
      </c>
      <c r="J17" s="375">
        <f>'2-2'!J17</f>
        <v>7000</v>
      </c>
      <c r="K17" s="376" t="str">
        <f>'2-2'!K17</f>
        <v>講師旅費</v>
      </c>
      <c r="L17" s="226">
        <f>'2-2'!L17</f>
        <v>900</v>
      </c>
      <c r="M17" s="318">
        <f>'2-2'!M17</f>
        <v>1</v>
      </c>
      <c r="N17" s="318">
        <f>'2-2'!N17</f>
        <v>7</v>
      </c>
      <c r="O17" s="344">
        <f t="shared" si="3"/>
        <v>6300</v>
      </c>
      <c r="P17" s="377">
        <f>'2-2'!P17</f>
        <v>0</v>
      </c>
      <c r="Q17" s="378">
        <f>'2-2'!Q17</f>
        <v>0</v>
      </c>
      <c r="R17" s="25">
        <f>IF(AND(ISNA(MATCH($D17,'随時②-2'!$D$4:$D$18,0)),ISNA(MATCH($D17,'随時③-2'!$D$4:$D$18,0))),0,1)</f>
        <v>0</v>
      </c>
      <c r="S17" s="63">
        <f t="shared" si="0"/>
      </c>
      <c r="T17" s="63">
        <f t="shared" si="1"/>
      </c>
      <c r="U17" s="5">
        <f t="shared" si="2"/>
        <v>2</v>
      </c>
    </row>
    <row r="18" spans="1:21" ht="30" customHeight="1">
      <c r="A18" s="372">
        <f>'随時①-2'!A4</f>
        <v>1</v>
      </c>
      <c r="B18" s="373" t="str">
        <f>'随時①-2'!B4</f>
        <v>１－（４）－ケ</v>
      </c>
      <c r="C18" s="374" t="str">
        <f>'随時①-2'!C4</f>
        <v>進路・就職指導の充実</v>
      </c>
      <c r="D18" s="265">
        <v>101</v>
      </c>
      <c r="E18" s="317" t="str">
        <f>'2-2'!E104</f>
        <v>報償費</v>
      </c>
      <c r="F18" s="317" t="str">
        <f>'2-2'!F104</f>
        <v>「先輩の体験を聞く会」謝礼</v>
      </c>
      <c r="G18" s="226">
        <f>'2-2'!G104</f>
        <v>3000</v>
      </c>
      <c r="H18" s="318">
        <f>'2-2'!H104</f>
        <v>3</v>
      </c>
      <c r="I18" s="318">
        <f>'2-2'!I104</f>
        <v>1</v>
      </c>
      <c r="J18" s="375">
        <f>'2-2'!J104</f>
        <v>9000</v>
      </c>
      <c r="K18" s="376" t="str">
        <f>'2-2'!K104</f>
        <v>「先輩の体験を聞く会」謝礼</v>
      </c>
      <c r="L18" s="226">
        <f>'2-2'!L104</f>
        <v>3000</v>
      </c>
      <c r="M18" s="318">
        <f>'2-2'!M104</f>
        <v>3</v>
      </c>
      <c r="N18" s="318">
        <f>'2-2'!N104</f>
        <v>1</v>
      </c>
      <c r="O18" s="344">
        <f>L18*M18*N18</f>
        <v>9000</v>
      </c>
      <c r="P18" s="377">
        <f>'2-2'!P104</f>
        <v>0</v>
      </c>
      <c r="Q18" s="378">
        <f>'2-2'!Q104</f>
        <v>0</v>
      </c>
      <c r="R18" s="25">
        <f>IF(AND(ISNA(MATCH($D18,'随時②-2'!$D$4:$D$18,0)),ISNA(MATCH($D18,'随時③-2'!$D$4:$D$18,0))),0,1)</f>
        <v>0</v>
      </c>
      <c r="S18" s="63">
        <f>IF(P18="◎",J18,"")</f>
      </c>
      <c r="T18" s="63">
        <f>IF(P18="◎",O18,"")</f>
      </c>
      <c r="U18" s="5">
        <f>IF($E18=0,"",VLOOKUP($E18,$V$5:$X$13,2))</f>
        <v>1</v>
      </c>
    </row>
    <row r="19" spans="1:21" ht="30" customHeight="1">
      <c r="A19" s="372">
        <f>'随時①-2'!A5</f>
        <v>2</v>
      </c>
      <c r="B19" s="373" t="str">
        <f>'随時①-2'!B5</f>
        <v>１－（３）－キ</v>
      </c>
      <c r="C19" s="374" t="str">
        <f>'随時①-2'!C5</f>
        <v>グローバル人材の育成</v>
      </c>
      <c r="D19" s="256">
        <v>102</v>
      </c>
      <c r="E19" s="316" t="str">
        <f>'2-2'!E105</f>
        <v>役務費</v>
      </c>
      <c r="F19" s="316" t="str">
        <f>'2-2'!F105</f>
        <v>インターネット通信料</v>
      </c>
      <c r="G19" s="323">
        <f>'2-2'!G105</f>
        <v>8000</v>
      </c>
      <c r="H19" s="324">
        <f>'2-2'!H105</f>
        <v>1</v>
      </c>
      <c r="I19" s="324">
        <f>'2-2'!I105</f>
        <v>3</v>
      </c>
      <c r="J19" s="382">
        <f>'2-2'!J105</f>
        <v>24000</v>
      </c>
      <c r="K19" s="376" t="str">
        <f>'2-2'!K105</f>
        <v>インターネット通信料</v>
      </c>
      <c r="L19" s="226">
        <f>'2-2'!L105</f>
        <v>7452</v>
      </c>
      <c r="M19" s="318">
        <f>'2-2'!M105</f>
        <v>1</v>
      </c>
      <c r="N19" s="318">
        <f>'2-2'!N105</f>
        <v>3</v>
      </c>
      <c r="O19" s="311">
        <f>L19*M19*N19</f>
        <v>22356</v>
      </c>
      <c r="P19" s="377">
        <f>'2-2'!P105</f>
        <v>0</v>
      </c>
      <c r="Q19" s="378">
        <f>'2-2'!Q105</f>
        <v>0</v>
      </c>
      <c r="R19" s="25">
        <f>IF(AND(ISNA(MATCH($D19,'随時②-2'!$D$4:$D$18,0)),ISNA(MATCH($D19,'随時③-2'!$D$4:$D$18,0))),0,1)</f>
        <v>0</v>
      </c>
      <c r="S19" s="63">
        <f>IF(P19="◎",J19,"")</f>
      </c>
      <c r="T19" s="63">
        <f>IF(P19="◎",O19,"")</f>
      </c>
      <c r="U19" s="5">
        <f>IF($E19=0,"",VLOOKUP($E19,$V$5:$X$13,2))</f>
        <v>5</v>
      </c>
    </row>
    <row r="20" spans="1:21" ht="30" customHeight="1">
      <c r="A20" s="372">
        <f>'随時②-2'!A21</f>
        <v>5</v>
      </c>
      <c r="B20" s="373" t="str">
        <f>'随時②-2'!B21</f>
        <v>３－（１）－ア</v>
      </c>
      <c r="C20" s="374" t="str">
        <f>'随時②-2'!C21</f>
        <v>授業充実</v>
      </c>
      <c r="D20" s="265">
        <v>201</v>
      </c>
      <c r="E20" s="317" t="str">
        <f>'2-2'!E124</f>
        <v>役務費</v>
      </c>
      <c r="F20" s="317" t="str">
        <f>'2-2'!F124</f>
        <v>手話通訳及び要約筆記</v>
      </c>
      <c r="G20" s="226">
        <f>'2-2'!G124</f>
        <v>41000</v>
      </c>
      <c r="H20" s="318">
        <f>'2-2'!H124</f>
        <v>1</v>
      </c>
      <c r="I20" s="318">
        <f>'2-2'!I124</f>
        <v>1</v>
      </c>
      <c r="J20" s="367">
        <f>'2-2'!J124</f>
        <v>41000</v>
      </c>
      <c r="K20" s="383" t="str">
        <f>'2-2'!K124</f>
        <v>手話通訳及び要約筆記</v>
      </c>
      <c r="L20" s="305">
        <f>'2-2'!L124</f>
        <v>41000</v>
      </c>
      <c r="M20" s="306">
        <f>'2-2'!M124</f>
        <v>1</v>
      </c>
      <c r="N20" s="306">
        <f>'2-2'!N124</f>
        <v>1</v>
      </c>
      <c r="O20" s="369">
        <f>L20*M20*N20</f>
        <v>41000</v>
      </c>
      <c r="P20" s="370">
        <f>'2-2'!P124</f>
        <v>0</v>
      </c>
      <c r="Q20" s="371">
        <f>'2-2'!Q124</f>
        <v>0</v>
      </c>
      <c r="R20" s="25">
        <f>IF(AND(ISNA(MATCH($D20,'随時②-2'!$D$4:$D$18,0)),ISNA(MATCH($D20,'随時③-2'!$D$4:$D$18,0))),0,1)</f>
        <v>0</v>
      </c>
      <c r="S20" s="63">
        <f>IF(P20="◎",J20,"")</f>
      </c>
      <c r="T20" s="63">
        <f>IF(P20="◎",O20,"")</f>
      </c>
      <c r="U20" s="5">
        <f>IF($E20=0,"",VLOOKUP($E20,$V$5:$X$13,2))</f>
        <v>5</v>
      </c>
    </row>
    <row r="21" spans="1:20" ht="30" customHeight="1">
      <c r="A21" s="372">
        <f>'2-4'!A4</f>
        <v>0</v>
      </c>
      <c r="B21" s="373">
        <f>'2-4'!B4</f>
        <v>0</v>
      </c>
      <c r="C21" s="374">
        <f>'2-4'!C4</f>
        <v>0</v>
      </c>
      <c r="D21" s="265">
        <v>301</v>
      </c>
      <c r="E21" s="317" t="str">
        <f>IF($R21=1,"",VLOOKUP($D21,'2-4'!$D$4:$L$103,2))</f>
        <v>負担金、補助及び交付金</v>
      </c>
      <c r="F21" s="317" t="str">
        <f>IF($R21=1,"取消し",VLOOKUP($D21,'2-4'!$D$4:$L$103,3))</f>
        <v>各種団体負担金（会費）</v>
      </c>
      <c r="G21" s="226">
        <f>IF($R21=1,,VLOOKUP($D21,'2-4'!$D$4:$L$103,4))</f>
        <v>57935</v>
      </c>
      <c r="H21" s="318">
        <f>IF($R21=1,,VLOOKUP($D21,'2-4'!$D$4:$L$103,5))</f>
        <v>1</v>
      </c>
      <c r="I21" s="318">
        <f>IF($R21=1,,VLOOKUP($D21,'2-4'!$D$4:$L$103,6))</f>
        <v>1</v>
      </c>
      <c r="J21" s="226">
        <f>IF($R21=1,,VLOOKUP($D21,'2-4'!$D$4:$L$103,7))</f>
        <v>57935</v>
      </c>
      <c r="K21" s="341" t="str">
        <f aca="true" t="shared" si="4" ref="K21:K31">F21</f>
        <v>各種団体負担金（会費）</v>
      </c>
      <c r="L21" s="342">
        <f aca="true" t="shared" si="5" ref="L21:L30">G21</f>
        <v>57935</v>
      </c>
      <c r="M21" s="343">
        <f aca="true" t="shared" si="6" ref="M21:M31">H21</f>
        <v>1</v>
      </c>
      <c r="N21" s="343">
        <f aca="true" t="shared" si="7" ref="N21:N31">I21</f>
        <v>1</v>
      </c>
      <c r="O21" s="344">
        <f>L21*M21*N21</f>
        <v>57935</v>
      </c>
      <c r="P21" s="384">
        <f>IF($R21=1,"",VLOOKUP($D21,'2-4'!$D$4:$L$103,8))</f>
        <v>0</v>
      </c>
      <c r="Q21" s="281" t="s">
        <v>253</v>
      </c>
      <c r="R21" s="25">
        <f>IF(AND(ISNA(MATCH($D21,'随時②-2'!$D$4:$D$18,0)),ISNA(MATCH($D21,'随時③-2'!$D$4:$D$18,0))),0,1)</f>
        <v>0</v>
      </c>
      <c r="S21" s="63">
        <f aca="true" t="shared" si="8" ref="S21:S31">IF(P21="◎",J21,"")</f>
      </c>
      <c r="T21" s="63">
        <f aca="true" t="shared" si="9" ref="T21:T31">IF(P21="◎",O21,"")</f>
      </c>
    </row>
    <row r="22" spans="1:20" ht="30" customHeight="1">
      <c r="A22" s="379">
        <f>'2-4'!A5</f>
        <v>2</v>
      </c>
      <c r="B22" s="380" t="str">
        <f>'2-4'!B5</f>
        <v>１－（３）－キ</v>
      </c>
      <c r="C22" s="381" t="str">
        <f>'2-4'!C5</f>
        <v>グローバル人材の育成</v>
      </c>
      <c r="D22" s="256">
        <v>302</v>
      </c>
      <c r="E22" s="317" t="str">
        <f>IF($R22=1,"",VLOOKUP($D22,'2-4'!$D$4:$L$103,2))</f>
        <v>役務費</v>
      </c>
      <c r="F22" s="317" t="str">
        <f>IF($R22=1,"取消し",VLOOKUP($D22,'2-4'!$D$4:$L$103,3))</f>
        <v>インターネット通信料</v>
      </c>
      <c r="G22" s="226">
        <f>IF($R22=1,,VLOOKUP($D22,'2-4'!$D$4:$L$103,4))</f>
        <v>8000</v>
      </c>
      <c r="H22" s="318">
        <f>IF($R22=1,,VLOOKUP($D22,'2-4'!$D$4:$L$103,5))</f>
        <v>1</v>
      </c>
      <c r="I22" s="318">
        <f>IF($R22=1,,VLOOKUP($D22,'2-4'!$D$4:$L$103,6))</f>
        <v>3</v>
      </c>
      <c r="J22" s="226">
        <f>IF($R22=1,,VLOOKUP($D22,'2-4'!$D$4:$L$103,7))</f>
        <v>24000</v>
      </c>
      <c r="K22" s="320" t="str">
        <f t="shared" si="4"/>
        <v>インターネット通信料</v>
      </c>
      <c r="L22" s="321">
        <v>7452</v>
      </c>
      <c r="M22" s="322">
        <f t="shared" si="6"/>
        <v>1</v>
      </c>
      <c r="N22" s="322">
        <v>3</v>
      </c>
      <c r="O22" s="311">
        <f aca="true" t="shared" si="10" ref="O22:O31">L22*M22*N22</f>
        <v>22356</v>
      </c>
      <c r="P22" s="384">
        <f>IF($R22=1,"",VLOOKUP($D22,'2-4'!$D$4:$L$103,8))</f>
        <v>0</v>
      </c>
      <c r="Q22" s="281">
        <f>IF($R22=1,"",VLOOKUP($D22,'2-4'!$D$4:$L$103,9))</f>
        <v>0</v>
      </c>
      <c r="R22" s="25">
        <f>IF(AND(ISNA(MATCH($D22,'随時②-2'!$D$4:$D$18,0)),ISNA(MATCH($D22,'随時③-2'!$D$4:$D$18,0))),0,1)</f>
        <v>0</v>
      </c>
      <c r="S22" s="63">
        <f t="shared" si="8"/>
      </c>
      <c r="T22" s="63">
        <f t="shared" si="9"/>
      </c>
    </row>
    <row r="23" spans="1:20" ht="30" customHeight="1">
      <c r="A23" s="379">
        <f>'2-4'!A6</f>
        <v>4</v>
      </c>
      <c r="B23" s="380" t="str">
        <f>'2-4'!B6</f>
        <v>３－（１）－イ</v>
      </c>
      <c r="C23" s="381" t="str">
        <f>'2-4'!C6</f>
        <v>授業改善</v>
      </c>
      <c r="D23" s="256">
        <v>303</v>
      </c>
      <c r="E23" s="317" t="str">
        <f>IF($R23=1,"",VLOOKUP($D23,'2-4'!$D$4:$L$103,2))</f>
        <v>報償費</v>
      </c>
      <c r="F23" s="317" t="str">
        <f>IF($R23=1,"取消し",VLOOKUP($D23,'2-4'!$D$4:$L$103,3))</f>
        <v>外部講師謝礼</v>
      </c>
      <c r="G23" s="226">
        <f>IF($R23=1,,VLOOKUP($D23,'2-4'!$D$4:$L$103,4))</f>
        <v>20000</v>
      </c>
      <c r="H23" s="318">
        <f>IF($R23=1,,VLOOKUP($D23,'2-4'!$D$4:$L$103,5))</f>
        <v>1</v>
      </c>
      <c r="I23" s="318">
        <f>IF($R23=1,,VLOOKUP($D23,'2-4'!$D$4:$L$103,6))</f>
        <v>1</v>
      </c>
      <c r="J23" s="226">
        <f>IF($R23=1,,VLOOKUP($D23,'2-4'!$D$4:$L$103,7))</f>
        <v>20000</v>
      </c>
      <c r="K23" s="320" t="str">
        <f t="shared" si="4"/>
        <v>外部講師謝礼</v>
      </c>
      <c r="L23" s="321">
        <f>G23</f>
        <v>20000</v>
      </c>
      <c r="M23" s="322">
        <f t="shared" si="6"/>
        <v>1</v>
      </c>
      <c r="N23" s="322">
        <f t="shared" si="7"/>
        <v>1</v>
      </c>
      <c r="O23" s="311">
        <f t="shared" si="10"/>
        <v>20000</v>
      </c>
      <c r="P23" s="384">
        <f>IF($R23=1,"",VLOOKUP($D23,'2-4'!$D$4:$L$103,8))</f>
        <v>0</v>
      </c>
      <c r="Q23" s="281">
        <f>IF($R23=1,"",VLOOKUP($D23,'2-4'!$D$4:$L$103,9))</f>
        <v>0</v>
      </c>
      <c r="R23" s="25">
        <f>IF(AND(ISNA(MATCH($D23,'随時②-2'!$D$4:$D$18,0)),ISNA(MATCH($D23,'随時③-2'!$D$4:$D$18,0))),0,1)</f>
        <v>0</v>
      </c>
      <c r="S23" s="63">
        <f t="shared" si="8"/>
      </c>
      <c r="T23" s="63">
        <f t="shared" si="9"/>
      </c>
    </row>
    <row r="24" spans="1:20" ht="30" customHeight="1">
      <c r="A24" s="379">
        <f>'2-4'!A7</f>
        <v>5</v>
      </c>
      <c r="B24" s="380" t="str">
        <f>'2-4'!B7</f>
        <v>３－（１）－ア</v>
      </c>
      <c r="C24" s="381" t="str">
        <f>'2-4'!C7</f>
        <v>授業充実</v>
      </c>
      <c r="D24" s="256">
        <v>304</v>
      </c>
      <c r="E24" s="317" t="str">
        <f>IF($R24=1,"",VLOOKUP($D24,'2-4'!$D$4:$L$103,2))</f>
        <v>消耗需用費</v>
      </c>
      <c r="F24" s="317" t="str">
        <f>IF($R24=1,"取消し",VLOOKUP($D24,'2-4'!$D$4:$L$103,3))</f>
        <v>ＤＶＤ等関連用品</v>
      </c>
      <c r="G24" s="226">
        <f>IF($R24=1,,VLOOKUP($D24,'2-4'!$D$4:$L$103,4))</f>
        <v>20000</v>
      </c>
      <c r="H24" s="318">
        <f>IF($R24=1,,VLOOKUP($D24,'2-4'!$D$4:$L$103,5))</f>
        <v>1</v>
      </c>
      <c r="I24" s="318">
        <f>IF($R24=1,,VLOOKUP($D24,'2-4'!$D$4:$L$103,6))</f>
        <v>1</v>
      </c>
      <c r="J24" s="226">
        <f>IF($R24=1,,VLOOKUP($D24,'2-4'!$D$4:$L$103,7))</f>
        <v>20000</v>
      </c>
      <c r="K24" s="320" t="str">
        <f t="shared" si="4"/>
        <v>ＤＶＤ等関連用品</v>
      </c>
      <c r="L24" s="321">
        <f t="shared" si="5"/>
        <v>20000</v>
      </c>
      <c r="M24" s="322">
        <f t="shared" si="6"/>
        <v>1</v>
      </c>
      <c r="N24" s="322">
        <f t="shared" si="7"/>
        <v>1</v>
      </c>
      <c r="O24" s="311">
        <f t="shared" si="10"/>
        <v>20000</v>
      </c>
      <c r="P24" s="384">
        <f>IF($R24=1,"",VLOOKUP($D24,'2-4'!$D$4:$L$103,8))</f>
        <v>0</v>
      </c>
      <c r="Q24" s="281">
        <f>IF($R24=1,"",VLOOKUP($D24,'2-4'!$D$4:$L$103,9))</f>
        <v>0</v>
      </c>
      <c r="R24" s="25">
        <f>IF(AND(ISNA(MATCH($D24,'随時②-2'!$D$4:$D$18,0)),ISNA(MATCH($D24,'随時③-2'!$D$4:$D$18,0))),0,1)</f>
        <v>0</v>
      </c>
      <c r="S24" s="63">
        <f t="shared" si="8"/>
      </c>
      <c r="T24" s="63">
        <f t="shared" si="9"/>
      </c>
    </row>
    <row r="25" spans="1:20" ht="30" customHeight="1">
      <c r="A25" s="379">
        <f>'2-4'!A8</f>
        <v>6</v>
      </c>
      <c r="B25" s="380" t="str">
        <f>'2-4'!B8</f>
        <v>２－（１）－イ</v>
      </c>
      <c r="C25" s="381" t="str">
        <f>'2-4'!C8</f>
        <v>多文化共生教育の推進</v>
      </c>
      <c r="D25" s="256">
        <v>305</v>
      </c>
      <c r="E25" s="317" t="str">
        <f>IF($R25=1,"",VLOOKUP($D25,'2-4'!$D$4:$L$103,2))</f>
        <v>旅費</v>
      </c>
      <c r="F25" s="317" t="str">
        <f>IF($R25=1,"取消し",VLOOKUP($D25,'2-4'!$D$4:$L$103,3))</f>
        <v>外部講師旅費</v>
      </c>
      <c r="G25" s="226">
        <f>IF($R25=1,,VLOOKUP($D25,'2-4'!$D$4:$L$103,4))</f>
        <v>4000</v>
      </c>
      <c r="H25" s="318">
        <f>IF($R25=1,,VLOOKUP($D25,'2-4'!$D$4:$L$103,5))</f>
        <v>1</v>
      </c>
      <c r="I25" s="318">
        <f>IF($R25=1,,VLOOKUP($D25,'2-4'!$D$4:$L$103,6))</f>
        <v>1</v>
      </c>
      <c r="J25" s="226">
        <f>IF($R25=1,,VLOOKUP($D25,'2-4'!$D$4:$L$103,7))</f>
        <v>4000</v>
      </c>
      <c r="K25" s="320" t="str">
        <f t="shared" si="4"/>
        <v>外部講師旅費</v>
      </c>
      <c r="L25" s="321">
        <v>3000</v>
      </c>
      <c r="M25" s="322">
        <f t="shared" si="6"/>
        <v>1</v>
      </c>
      <c r="N25" s="322">
        <f t="shared" si="7"/>
        <v>1</v>
      </c>
      <c r="O25" s="311">
        <f t="shared" si="10"/>
        <v>3000</v>
      </c>
      <c r="P25" s="384">
        <f>IF($R25=1,"",VLOOKUP($D25,'2-4'!$D$4:$L$103,8))</f>
        <v>0</v>
      </c>
      <c r="Q25" s="281">
        <f>IF($R25=1,"",VLOOKUP($D25,'2-4'!$D$4:$L$103,9))</f>
        <v>0</v>
      </c>
      <c r="R25" s="25">
        <f>IF(AND(ISNA(MATCH($D25,'随時②-2'!$D$4:$D$18,0)),ISNA(MATCH($D25,'随時③-2'!$D$4:$D$18,0))),0,1)</f>
        <v>0</v>
      </c>
      <c r="S25" s="63">
        <f t="shared" si="8"/>
      </c>
      <c r="T25" s="63">
        <f t="shared" si="9"/>
      </c>
    </row>
    <row r="26" spans="1:20" ht="30" customHeight="1">
      <c r="A26" s="379">
        <f>'2-4'!A9</f>
        <v>6</v>
      </c>
      <c r="B26" s="380" t="str">
        <f>'2-4'!B9</f>
        <v>２－（１）－イ</v>
      </c>
      <c r="C26" s="381" t="str">
        <f>'2-4'!C9</f>
        <v>多文化共生教育の推進</v>
      </c>
      <c r="D26" s="256">
        <v>306</v>
      </c>
      <c r="E26" s="317" t="str">
        <f>IF($R26=1,"",VLOOKUP($D26,'2-4'!$D$4:$L$103,2))</f>
        <v>報償費</v>
      </c>
      <c r="F26" s="317" t="str">
        <f>IF($R26=1,"取消し",VLOOKUP($D26,'2-4'!$D$4:$L$103,3))</f>
        <v>外部講師謝礼</v>
      </c>
      <c r="G26" s="226">
        <f>IF($R26=1,,VLOOKUP($D26,'2-4'!$D$4:$L$103,4))</f>
        <v>5000</v>
      </c>
      <c r="H26" s="318">
        <f>IF($R26=1,,VLOOKUP($D26,'2-4'!$D$4:$L$103,5))</f>
        <v>2</v>
      </c>
      <c r="I26" s="318">
        <f>IF($R26=1,,VLOOKUP($D26,'2-4'!$D$4:$L$103,6))</f>
        <v>2</v>
      </c>
      <c r="J26" s="226">
        <f>IF($R26=1,,VLOOKUP($D26,'2-4'!$D$4:$L$103,7))</f>
        <v>20000</v>
      </c>
      <c r="K26" s="320" t="str">
        <f t="shared" si="4"/>
        <v>外部講師謝礼</v>
      </c>
      <c r="L26" s="321">
        <f t="shared" si="5"/>
        <v>5000</v>
      </c>
      <c r="M26" s="322">
        <f t="shared" si="6"/>
        <v>2</v>
      </c>
      <c r="N26" s="322">
        <f t="shared" si="7"/>
        <v>2</v>
      </c>
      <c r="O26" s="311">
        <f t="shared" si="10"/>
        <v>20000</v>
      </c>
      <c r="P26" s="384">
        <f>IF($R26=1,"",VLOOKUP($D26,'2-4'!$D$4:$L$103,8))</f>
        <v>0</v>
      </c>
      <c r="Q26" s="281" t="str">
        <f>IF($R26=1,"",VLOOKUP($D26,'2-4'!$D$4:$L$103,9))</f>
        <v>上半期ＮＯ.２再掲</v>
      </c>
      <c r="R26" s="25">
        <f>IF(AND(ISNA(MATCH($D26,'随時②-2'!$D$4:$D$18,0)),ISNA(MATCH($D26,'随時③-2'!$D$4:$D$18,0))),0,1)</f>
        <v>0</v>
      </c>
      <c r="S26" s="63">
        <f t="shared" si="8"/>
      </c>
      <c r="T26" s="63">
        <f t="shared" si="9"/>
      </c>
    </row>
    <row r="27" spans="1:20" ht="30" customHeight="1">
      <c r="A27" s="379">
        <f>'2-4'!A10</f>
        <v>6</v>
      </c>
      <c r="B27" s="380" t="str">
        <f>'2-4'!B10</f>
        <v>２－（１）－イ</v>
      </c>
      <c r="C27" s="381" t="str">
        <f>'2-4'!C10</f>
        <v>多文化共生教育の推進</v>
      </c>
      <c r="D27" s="256">
        <v>307</v>
      </c>
      <c r="E27" s="317" t="str">
        <f>IF($R27=1,"",VLOOKUP($D27,'2-4'!$D$4:$L$103,2))</f>
        <v>旅費</v>
      </c>
      <c r="F27" s="317" t="str">
        <f>IF($R27=1,"取消し",VLOOKUP($D27,'2-4'!$D$4:$L$103,3))</f>
        <v>ボランティア学生旅費</v>
      </c>
      <c r="G27" s="226">
        <f>IF($R27=1,,VLOOKUP($D27,'2-4'!$D$4:$L$103,4))</f>
        <v>1000</v>
      </c>
      <c r="H27" s="318">
        <f>IF($R27=1,,VLOOKUP($D27,'2-4'!$D$4:$L$103,5))</f>
        <v>5</v>
      </c>
      <c r="I27" s="318">
        <f>IF($R27=1,,VLOOKUP($D27,'2-4'!$D$4:$L$103,6))</f>
        <v>2</v>
      </c>
      <c r="J27" s="226">
        <f>IF($R27=1,,VLOOKUP($D27,'2-4'!$D$4:$L$103,7))</f>
        <v>10000</v>
      </c>
      <c r="K27" s="320" t="str">
        <f t="shared" si="4"/>
        <v>ボランティア学生旅費</v>
      </c>
      <c r="L27" s="321">
        <v>1230</v>
      </c>
      <c r="M27" s="322">
        <v>1</v>
      </c>
      <c r="N27" s="322">
        <v>2</v>
      </c>
      <c r="O27" s="311">
        <f t="shared" si="10"/>
        <v>2460</v>
      </c>
      <c r="P27" s="384">
        <f>IF($R27=1,"",VLOOKUP($D27,'2-4'!$D$4:$L$103,8))</f>
        <v>0</v>
      </c>
      <c r="Q27" s="281" t="str">
        <f>IF($R27=1,"",VLOOKUP($D27,'2-4'!$D$4:$L$103,9))</f>
        <v>上半期ＮＯ.２再掲</v>
      </c>
      <c r="R27" s="25">
        <f>IF(AND(ISNA(MATCH($D27,'随時②-2'!$D$4:$D$18,0)),ISNA(MATCH($D27,'随時③-2'!$D$4:$D$18,0))),0,1)</f>
        <v>0</v>
      </c>
      <c r="S27" s="63">
        <f t="shared" si="8"/>
      </c>
      <c r="T27" s="63">
        <f t="shared" si="9"/>
      </c>
    </row>
    <row r="28" spans="1:20" ht="30" customHeight="1">
      <c r="A28" s="379">
        <f>'2-4'!A11</f>
        <v>6</v>
      </c>
      <c r="B28" s="380" t="str">
        <f>'2-4'!B11</f>
        <v>２－（１）－イ</v>
      </c>
      <c r="C28" s="381" t="str">
        <f>'2-4'!C11</f>
        <v>多文化共生教育の推進</v>
      </c>
      <c r="D28" s="256">
        <v>308</v>
      </c>
      <c r="E28" s="317" t="str">
        <f>IF($R28=1,"",VLOOKUP($D28,'2-4'!$D$4:$L$103,2))</f>
        <v>消耗需用費</v>
      </c>
      <c r="F28" s="317" t="str">
        <f>IF($R28=1,"取消し",VLOOKUP($D28,'2-4'!$D$4:$L$103,3))</f>
        <v>作品製作費</v>
      </c>
      <c r="G28" s="226">
        <f>IF($R28=1,,VLOOKUP($D28,'2-4'!$D$4:$L$103,4))</f>
        <v>10000</v>
      </c>
      <c r="H28" s="318">
        <f>IF($R28=1,,VLOOKUP($D28,'2-4'!$D$4:$L$103,5))</f>
        <v>1</v>
      </c>
      <c r="I28" s="318">
        <f>IF($R28=1,,VLOOKUP($D28,'2-4'!$D$4:$L$103,6))</f>
        <v>1</v>
      </c>
      <c r="J28" s="226">
        <f>IF($R28=1,,VLOOKUP($D28,'2-4'!$D$4:$L$103,7))</f>
        <v>10000</v>
      </c>
      <c r="K28" s="320" t="str">
        <f t="shared" si="4"/>
        <v>作品製作費</v>
      </c>
      <c r="L28" s="321">
        <f t="shared" si="5"/>
        <v>10000</v>
      </c>
      <c r="M28" s="322">
        <f t="shared" si="6"/>
        <v>1</v>
      </c>
      <c r="N28" s="322">
        <f t="shared" si="7"/>
        <v>1</v>
      </c>
      <c r="O28" s="311">
        <f t="shared" si="10"/>
        <v>10000</v>
      </c>
      <c r="P28" s="384">
        <f>IF($R28=1,"",VLOOKUP($D28,'2-4'!$D$4:$L$103,8))</f>
        <v>0</v>
      </c>
      <c r="Q28" s="281">
        <f>IF($R28=1,"",VLOOKUP($D28,'2-4'!$D$4:$L$103,9))</f>
        <v>0</v>
      </c>
      <c r="R28" s="25">
        <f>IF(AND(ISNA(MATCH($D28,'随時②-2'!$D$4:$D$18,0)),ISNA(MATCH($D28,'随時③-2'!$D$4:$D$18,0))),0,1)</f>
        <v>0</v>
      </c>
      <c r="S28" s="63">
        <f t="shared" si="8"/>
      </c>
      <c r="T28" s="63">
        <f t="shared" si="9"/>
      </c>
    </row>
    <row r="29" spans="1:20" ht="30" customHeight="1">
      <c r="A29" s="379">
        <f>'2-4'!A12</f>
        <v>7</v>
      </c>
      <c r="B29" s="380" t="str">
        <f>'2-4'!B12</f>
        <v>１－（３）－ク</v>
      </c>
      <c r="C29" s="381" t="str">
        <f>'2-4'!C12</f>
        <v>ＡＳＬ授業の実施</v>
      </c>
      <c r="D29" s="256">
        <v>309</v>
      </c>
      <c r="E29" s="317" t="str">
        <f>IF($R29=1,"",VLOOKUP($D29,'2-4'!$D$4:$L$103,2))</f>
        <v>報償費</v>
      </c>
      <c r="F29" s="317" t="str">
        <f>IF($R29=1,"取消し",VLOOKUP($D29,'2-4'!$D$4:$L$103,3))</f>
        <v>ＡＳＬ（アメリカ手話）講習謝礼</v>
      </c>
      <c r="G29" s="226">
        <f>IF($R29=1,,VLOOKUP($D29,'2-4'!$D$4:$L$103,4))</f>
        <v>10000</v>
      </c>
      <c r="H29" s="318">
        <f>IF($R29=1,,VLOOKUP($D29,'2-4'!$D$4:$L$103,5))</f>
        <v>1</v>
      </c>
      <c r="I29" s="318">
        <f>IF($R29=1,,VLOOKUP($D29,'2-4'!$D$4:$L$103,6))</f>
        <v>3</v>
      </c>
      <c r="J29" s="226">
        <f>IF($R29=1,,VLOOKUP($D29,'2-4'!$D$4:$L$103,7))</f>
        <v>30000</v>
      </c>
      <c r="K29" s="320" t="str">
        <f t="shared" si="4"/>
        <v>ＡＳＬ（アメリカ手話）講習謝礼</v>
      </c>
      <c r="L29" s="321">
        <f t="shared" si="5"/>
        <v>10000</v>
      </c>
      <c r="M29" s="322">
        <f t="shared" si="6"/>
        <v>1</v>
      </c>
      <c r="N29" s="322">
        <f t="shared" si="7"/>
        <v>3</v>
      </c>
      <c r="O29" s="311">
        <f t="shared" si="10"/>
        <v>30000</v>
      </c>
      <c r="P29" s="384">
        <f>IF($R29=1,"",VLOOKUP($D29,'2-4'!$D$4:$L$103,8))</f>
        <v>0</v>
      </c>
      <c r="Q29" s="281">
        <f>IF($R29=1,"",VLOOKUP($D29,'2-4'!$D$4:$L$103,9))</f>
        <v>0</v>
      </c>
      <c r="R29" s="25">
        <f>IF(AND(ISNA(MATCH($D29,'随時②-2'!$D$4:$D$18,0)),ISNA(MATCH($D29,'随時③-2'!$D$4:$D$18,0))),0,1)</f>
        <v>0</v>
      </c>
      <c r="S29" s="63">
        <f t="shared" si="8"/>
      </c>
      <c r="T29" s="63">
        <f t="shared" si="9"/>
      </c>
    </row>
    <row r="30" spans="1:20" ht="30" customHeight="1">
      <c r="A30" s="379">
        <f>'2-4'!A13</f>
        <v>7</v>
      </c>
      <c r="B30" s="380" t="str">
        <f>'2-4'!B13</f>
        <v>１－（３）－ク</v>
      </c>
      <c r="C30" s="381" t="str">
        <f>'2-4'!C13</f>
        <v>ＡＳＬ授業の実施</v>
      </c>
      <c r="D30" s="256">
        <v>310</v>
      </c>
      <c r="E30" s="317" t="str">
        <f>IF($R30=1,"",VLOOKUP($D30,'2-4'!$D$4:$L$103,2))</f>
        <v>旅費</v>
      </c>
      <c r="F30" s="317" t="str">
        <f>IF($R30=1,"取消し",VLOOKUP($D30,'2-4'!$D$4:$L$103,3))</f>
        <v>講師旅費</v>
      </c>
      <c r="G30" s="226">
        <f>IF($R30=1,,VLOOKUP($D30,'2-4'!$D$4:$L$103,4))</f>
        <v>900</v>
      </c>
      <c r="H30" s="318">
        <f>IF($R30=1,,VLOOKUP($D30,'2-4'!$D$4:$L$103,5))</f>
        <v>1</v>
      </c>
      <c r="I30" s="318">
        <f>IF($R30=1,,VLOOKUP($D30,'2-4'!$D$4:$L$103,6))</f>
        <v>3</v>
      </c>
      <c r="J30" s="226">
        <f>IF($R30=1,,VLOOKUP($D30,'2-4'!$D$4:$L$103,7))</f>
        <v>2700</v>
      </c>
      <c r="K30" s="320" t="str">
        <f t="shared" si="4"/>
        <v>講師旅費</v>
      </c>
      <c r="L30" s="321">
        <f t="shared" si="5"/>
        <v>900</v>
      </c>
      <c r="M30" s="322">
        <f t="shared" si="6"/>
        <v>1</v>
      </c>
      <c r="N30" s="322">
        <f t="shared" si="7"/>
        <v>3</v>
      </c>
      <c r="O30" s="311">
        <f t="shared" si="10"/>
        <v>2700</v>
      </c>
      <c r="P30" s="384">
        <f>IF($R30=1,"",VLOOKUP($D30,'2-4'!$D$4:$L$103,8))</f>
        <v>0</v>
      </c>
      <c r="Q30" s="281">
        <f>IF($R30=1,"",VLOOKUP($D30,'2-4'!$D$4:$L$103,9))</f>
        <v>0</v>
      </c>
      <c r="R30" s="25">
        <f>IF(AND(ISNA(MATCH($D30,'随時②-2'!$D$4:$D$18,0)),ISNA(MATCH($D30,'随時③-2'!$D$4:$D$18,0))),0,1)</f>
        <v>0</v>
      </c>
      <c r="S30" s="63">
        <f t="shared" si="8"/>
      </c>
      <c r="T30" s="63">
        <f t="shared" si="9"/>
      </c>
    </row>
    <row r="31" spans="1:20" ht="30" customHeight="1" thickBot="1">
      <c r="A31" s="379">
        <f>'2-4'!A14</f>
        <v>8</v>
      </c>
      <c r="B31" s="380" t="str">
        <f>'2-4'!B14</f>
        <v>２－（２）－オ</v>
      </c>
      <c r="C31" s="381" t="str">
        <f>'2-4'!C14</f>
        <v>情報発信力の向上</v>
      </c>
      <c r="D31" s="256">
        <v>311</v>
      </c>
      <c r="E31" s="317" t="str">
        <f>IF($R31=1,"",VLOOKUP($D31,'2-4'!$D$4:$L$103,2))</f>
        <v>消耗需用費</v>
      </c>
      <c r="F31" s="317" t="str">
        <f>IF($R31=1,"取消し",VLOOKUP($D31,'2-4'!$D$4:$L$103,3))</f>
        <v>学校ＰＲ用品作成費</v>
      </c>
      <c r="G31" s="226">
        <f>IF($R31=1,,VLOOKUP($D31,'2-4'!$D$4:$L$103,4))</f>
        <v>160000</v>
      </c>
      <c r="H31" s="318">
        <f>IF($R31=1,,VLOOKUP($D31,'2-4'!$D$4:$L$103,5))</f>
        <v>1</v>
      </c>
      <c r="I31" s="318">
        <f>IF($R31=1,,VLOOKUP($D31,'2-4'!$D$4:$L$103,6))</f>
        <v>1</v>
      </c>
      <c r="J31" s="226">
        <f>IF($R31=1,,VLOOKUP($D31,'2-4'!$D$4:$L$103,7))</f>
        <v>160000</v>
      </c>
      <c r="K31" s="320" t="str">
        <f t="shared" si="4"/>
        <v>学校ＰＲ用品作成費</v>
      </c>
      <c r="L31" s="321">
        <v>159919</v>
      </c>
      <c r="M31" s="322">
        <f t="shared" si="6"/>
        <v>1</v>
      </c>
      <c r="N31" s="322">
        <f t="shared" si="7"/>
        <v>1</v>
      </c>
      <c r="O31" s="311">
        <f t="shared" si="10"/>
        <v>159919</v>
      </c>
      <c r="P31" s="384">
        <f>IF($R31=1,"",VLOOKUP($D31,'2-4'!$D$4:$L$103,8))</f>
        <v>0</v>
      </c>
      <c r="Q31" s="281">
        <f>IF($R31=1,"",VLOOKUP($D31,'2-4'!$D$4:$L$103,9))</f>
        <v>0</v>
      </c>
      <c r="R31" s="25">
        <f>IF(AND(ISNA(MATCH($D31,'随時②-2'!$D$4:$D$18,0)),ISNA(MATCH($D31,'随時③-2'!$D$4:$D$18,0))),0,1)</f>
        <v>0</v>
      </c>
      <c r="S31" s="63">
        <f t="shared" si="8"/>
      </c>
      <c r="T31" s="63">
        <f t="shared" si="9"/>
      </c>
    </row>
    <row r="32" spans="1:17" ht="14.25" thickBot="1">
      <c r="A32" s="51"/>
      <c r="B32" s="51"/>
      <c r="C32" s="51"/>
      <c r="D32" s="73"/>
      <c r="E32" s="64"/>
      <c r="F32" s="64"/>
      <c r="G32" s="49"/>
      <c r="H32" s="65"/>
      <c r="I32" s="65"/>
      <c r="J32" s="52">
        <f>G32*H32*I32</f>
        <v>0</v>
      </c>
      <c r="K32" s="64"/>
      <c r="L32" s="36"/>
      <c r="M32" s="68"/>
      <c r="N32" s="68"/>
      <c r="O32" s="36"/>
      <c r="P32" s="37"/>
      <c r="Q32" s="69"/>
    </row>
    <row r="33" spans="4:15" ht="24" customHeight="1" thickBot="1">
      <c r="D33" s="5"/>
      <c r="F33" s="24"/>
      <c r="G33" s="24"/>
      <c r="I33" s="554" t="s">
        <v>96</v>
      </c>
      <c r="J33" s="555"/>
      <c r="K33" s="38" t="s">
        <v>190</v>
      </c>
      <c r="L33" s="541" t="s">
        <v>175</v>
      </c>
      <c r="M33" s="542"/>
      <c r="N33" s="543" t="s">
        <v>191</v>
      </c>
      <c r="O33" s="544"/>
    </row>
    <row r="34" spans="4:15" ht="14.25" thickTop="1">
      <c r="D34" s="5"/>
      <c r="I34" s="556" t="s">
        <v>85</v>
      </c>
      <c r="J34" s="557"/>
      <c r="K34" s="350">
        <f aca="true" t="shared" si="11" ref="K34:K42">SUMIF($E$4:$E$31,$I34,$O$4:$O$31)</f>
        <v>169000</v>
      </c>
      <c r="L34" s="550">
        <f aca="true" t="shared" si="12" ref="L34:L41">SUMIF($E$4:$E$31,$I34,$T$4:$T$31)</f>
        <v>0</v>
      </c>
      <c r="M34" s="551">
        <f aca="true" t="shared" si="13" ref="M34:M42">SUMIF($E$4:$E$31,$I34,$O$4:$O$31)</f>
        <v>169000</v>
      </c>
      <c r="N34" s="552">
        <f>K34-L34</f>
        <v>169000</v>
      </c>
      <c r="O34" s="553"/>
    </row>
    <row r="35" spans="4:15" ht="13.5">
      <c r="D35" s="5"/>
      <c r="I35" s="523" t="s">
        <v>86</v>
      </c>
      <c r="J35" s="524"/>
      <c r="K35" s="353">
        <f t="shared" si="11"/>
        <v>14460</v>
      </c>
      <c r="L35" s="529">
        <f t="shared" si="12"/>
        <v>0</v>
      </c>
      <c r="M35" s="530">
        <f t="shared" si="13"/>
        <v>14460</v>
      </c>
      <c r="N35" s="531">
        <f aca="true" t="shared" si="14" ref="N35:N42">K35-L35</f>
        <v>14460</v>
      </c>
      <c r="O35" s="532"/>
    </row>
    <row r="36" spans="4:15" ht="13.5">
      <c r="D36" s="5"/>
      <c r="I36" s="523" t="s">
        <v>125</v>
      </c>
      <c r="J36" s="524"/>
      <c r="K36" s="349">
        <f t="shared" si="11"/>
        <v>711717</v>
      </c>
      <c r="L36" s="529">
        <f t="shared" si="12"/>
        <v>0</v>
      </c>
      <c r="M36" s="530">
        <f t="shared" si="13"/>
        <v>711717</v>
      </c>
      <c r="N36" s="531">
        <f t="shared" si="14"/>
        <v>711717</v>
      </c>
      <c r="O36" s="532"/>
    </row>
    <row r="37" spans="4:15" ht="13.5">
      <c r="D37" s="5"/>
      <c r="I37" s="523" t="s">
        <v>126</v>
      </c>
      <c r="J37" s="524"/>
      <c r="K37" s="349">
        <f t="shared" si="11"/>
        <v>0</v>
      </c>
      <c r="L37" s="529">
        <f t="shared" si="12"/>
        <v>0</v>
      </c>
      <c r="M37" s="530">
        <f t="shared" si="13"/>
        <v>0</v>
      </c>
      <c r="N37" s="531">
        <f t="shared" si="14"/>
        <v>0</v>
      </c>
      <c r="O37" s="532"/>
    </row>
    <row r="38" spans="4:15" ht="13.5">
      <c r="D38" s="5"/>
      <c r="I38" s="523" t="s">
        <v>87</v>
      </c>
      <c r="J38" s="524"/>
      <c r="K38" s="349">
        <f t="shared" si="11"/>
        <v>171424</v>
      </c>
      <c r="L38" s="529">
        <f t="shared" si="12"/>
        <v>0</v>
      </c>
      <c r="M38" s="530">
        <f t="shared" si="13"/>
        <v>171424</v>
      </c>
      <c r="N38" s="531">
        <f t="shared" si="14"/>
        <v>171424</v>
      </c>
      <c r="O38" s="532"/>
    </row>
    <row r="39" spans="4:15" ht="13.5">
      <c r="D39" s="5"/>
      <c r="I39" s="523" t="s">
        <v>88</v>
      </c>
      <c r="J39" s="524"/>
      <c r="K39" s="349">
        <f t="shared" si="11"/>
        <v>0</v>
      </c>
      <c r="L39" s="529">
        <f t="shared" si="12"/>
        <v>0</v>
      </c>
      <c r="M39" s="530">
        <f t="shared" si="13"/>
        <v>0</v>
      </c>
      <c r="N39" s="531">
        <f t="shared" si="14"/>
        <v>0</v>
      </c>
      <c r="O39" s="532"/>
    </row>
    <row r="40" spans="4:15" ht="13.5">
      <c r="D40" s="5"/>
      <c r="I40" s="523" t="s">
        <v>89</v>
      </c>
      <c r="J40" s="524"/>
      <c r="K40" s="349">
        <f t="shared" si="11"/>
        <v>0</v>
      </c>
      <c r="L40" s="529">
        <f t="shared" si="12"/>
        <v>0</v>
      </c>
      <c r="M40" s="530">
        <f t="shared" si="13"/>
        <v>0</v>
      </c>
      <c r="N40" s="531">
        <f t="shared" si="14"/>
        <v>0</v>
      </c>
      <c r="O40" s="532"/>
    </row>
    <row r="41" spans="4:15" ht="13.5">
      <c r="D41" s="5"/>
      <c r="I41" s="523" t="s">
        <v>90</v>
      </c>
      <c r="J41" s="524"/>
      <c r="K41" s="349">
        <f t="shared" si="11"/>
        <v>0</v>
      </c>
      <c r="L41" s="529">
        <f t="shared" si="12"/>
        <v>0</v>
      </c>
      <c r="M41" s="530">
        <f t="shared" si="13"/>
        <v>0</v>
      </c>
      <c r="N41" s="531">
        <f t="shared" si="14"/>
        <v>0</v>
      </c>
      <c r="O41" s="532"/>
    </row>
    <row r="42" spans="4:15" ht="14.25" thickBot="1">
      <c r="D42" s="5"/>
      <c r="I42" s="537" t="s">
        <v>137</v>
      </c>
      <c r="J42" s="538"/>
      <c r="K42" s="349">
        <f t="shared" si="11"/>
        <v>105825</v>
      </c>
      <c r="L42" s="533">
        <f>SUMIF($E$4:$E$31,$I42,$T$4:$T$31)+'3-3'!F35</f>
        <v>11000</v>
      </c>
      <c r="M42" s="534">
        <f t="shared" si="13"/>
        <v>105825</v>
      </c>
      <c r="N42" s="535">
        <f t="shared" si="14"/>
        <v>94825</v>
      </c>
      <c r="O42" s="536"/>
    </row>
    <row r="43" spans="4:15" ht="15" thickBot="1" thickTop="1">
      <c r="D43" s="5"/>
      <c r="I43" s="539" t="s">
        <v>15</v>
      </c>
      <c r="J43" s="540"/>
      <c r="K43" s="356">
        <f>SUM(K34:K42)</f>
        <v>1172426</v>
      </c>
      <c r="L43" s="525">
        <f>SUM(L34:L42)</f>
        <v>11000</v>
      </c>
      <c r="M43" s="526"/>
      <c r="N43" s="527">
        <f>SUM(N34:N42)</f>
        <v>1161426</v>
      </c>
      <c r="O43" s="528"/>
    </row>
  </sheetData>
  <sheetProtection formatCells="0" selectLockedCells="1"/>
  <mergeCells count="35">
    <mergeCell ref="L33:M33"/>
    <mergeCell ref="N33:O33"/>
    <mergeCell ref="K2:O2"/>
    <mergeCell ref="F2:J2"/>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conditionalFormatting sqref="B2:E2 J32 J4:J20">
    <cfRule type="cellIs" priority="32" dxfId="28" operator="equal" stopIfTrue="1">
      <formula>0</formula>
    </cfRule>
  </conditionalFormatting>
  <conditionalFormatting sqref="O4:O20 K21:O32">
    <cfRule type="cellIs" priority="30" dxfId="16" operator="notEqual" stopIfTrue="1">
      <formula>F4</formula>
    </cfRule>
  </conditionalFormatting>
  <dataValidations count="2">
    <dataValidation type="list" allowBlank="1" showInputMessage="1" showErrorMessage="1" sqref="E32 I34:I42">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6"/>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264</v>
      </c>
      <c r="B1" s="558"/>
      <c r="C1" s="558"/>
      <c r="D1" s="558"/>
      <c r="E1" s="558"/>
      <c r="F1" s="558"/>
    </row>
    <row r="2" spans="1:6" ht="15" customHeight="1" thickBot="1">
      <c r="A2" s="8"/>
      <c r="B2" s="7" t="s">
        <v>243</v>
      </c>
      <c r="C2" s="87"/>
      <c r="E2" s="72" t="s">
        <v>219</v>
      </c>
      <c r="F2" s="186">
        <f>SUM(E4:E32)</f>
        <v>105825</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13</v>
      </c>
      <c r="B6" s="127" t="str">
        <f>IF('1-3'!B16="","",'1-3'!B16)</f>
        <v>全国</v>
      </c>
      <c r="C6" s="127" t="str">
        <f>IF('1-3'!C16="","",'1-3'!C16)</f>
        <v>校長</v>
      </c>
      <c r="D6" s="144" t="str">
        <f>IF('1-3'!D16="","",'1-3'!D16)</f>
        <v>全国工業高等学校長協会</v>
      </c>
      <c r="E6" s="211">
        <f>IF('2-3'!H17="",'2-3'!E17,'2-3'!H17)</f>
        <v>735</v>
      </c>
      <c r="F6" s="83">
        <f>IF('2-3'!I17="",'2-3'!G17,'2-3'!I17)</f>
      </c>
    </row>
    <row r="7" spans="1:6" ht="15" customHeight="1">
      <c r="A7" s="104">
        <v>14</v>
      </c>
      <c r="B7" s="127" t="str">
        <f>IF('1-3'!B17="","",'1-3'!B17)</f>
        <v>全国</v>
      </c>
      <c r="C7" s="127" t="str">
        <f>IF('1-3'!C17="","",'1-3'!C17)</f>
        <v>校長</v>
      </c>
      <c r="D7" s="144" t="str">
        <f>IF('1-3'!D17="","",'1-3'!D17)</f>
        <v>全国特別支援学校長会</v>
      </c>
      <c r="E7" s="211">
        <f>IF('2-3'!H18="",'2-3'!E18,'2-3'!H18)</f>
        <v>8000</v>
      </c>
      <c r="F7" s="83">
        <f>IF('2-3'!I18="",'2-3'!G18,'2-3'!I18)</f>
      </c>
    </row>
    <row r="8" spans="1:6" ht="15" customHeight="1">
      <c r="A8" s="104">
        <v>16</v>
      </c>
      <c r="B8" s="127" t="str">
        <f>IF('1-3'!B19="","",'1-3'!B19)</f>
        <v>全国</v>
      </c>
      <c r="C8" s="127" t="str">
        <f>IF('1-3'!C19="","",'1-3'!C19)</f>
        <v>校長</v>
      </c>
      <c r="D8" s="144" t="str">
        <f>IF('1-3'!D19="","",'1-3'!D19)</f>
        <v>全国聾学校長会（全聾長）</v>
      </c>
      <c r="E8" s="211">
        <f>IF('2-3'!H20="",'2-3'!E20,'2-3'!H20)</f>
        <v>18000</v>
      </c>
      <c r="F8" s="83">
        <f>IF('2-3'!I20="",'2-3'!G20,'2-3'!I20)</f>
      </c>
    </row>
    <row r="9" spans="1:6" ht="15" customHeight="1">
      <c r="A9" s="104">
        <v>24</v>
      </c>
      <c r="B9" s="127" t="str">
        <f>IF('1-3'!B27="","",'1-3'!B27)</f>
        <v>全国</v>
      </c>
      <c r="C9" s="127" t="str">
        <f>IF('1-3'!C27="","",'1-3'!C27)</f>
        <v>教頭</v>
      </c>
      <c r="D9" s="144" t="str">
        <f>IF('1-3'!D27="","",'1-3'!D27)</f>
        <v>全国聾学校教頭会（全聾頭）</v>
      </c>
      <c r="E9" s="211">
        <f>IF('2-3'!H28="",'2-3'!E28,'2-3'!H28)</f>
        <v>4000</v>
      </c>
      <c r="F9" s="83">
        <f>IF('2-3'!I28="",'2-3'!G28,'2-3'!I28)</f>
      </c>
    </row>
    <row r="10" spans="1:6" ht="15" customHeight="1">
      <c r="A10" s="104">
        <v>28</v>
      </c>
      <c r="B10" s="127" t="str">
        <f>IF('1-3'!B31="","",'1-3'!B31)</f>
        <v>全国</v>
      </c>
      <c r="C10" s="138" t="str">
        <f>IF('1-3'!C31="","",'1-3'!C31)</f>
        <v>事務長</v>
      </c>
      <c r="D10" s="142" t="str">
        <f>IF('1-3'!D31="","",'1-3'!D31)</f>
        <v>全国公立学校事務長会</v>
      </c>
      <c r="E10" s="213">
        <f>IF('2-3'!H32="",'2-3'!E32,'2-3'!H32)</f>
        <v>3000</v>
      </c>
      <c r="F10" s="140" t="str">
        <f>IF('2-3'!I32="",'2-3'!G32,'2-3'!I32)</f>
        <v>◎</v>
      </c>
    </row>
    <row r="11" spans="1:6" ht="15" customHeight="1" thickBot="1">
      <c r="A11" s="108">
        <v>45</v>
      </c>
      <c r="B11" s="129" t="str">
        <f>IF('1-3'!B48="","",'1-3'!B48)</f>
        <v>全国</v>
      </c>
      <c r="C11" s="129">
        <f>IF('1-3'!C48="","",'1-3'!C48)</f>
      </c>
      <c r="D11" s="145" t="str">
        <f>IF('1-3'!D48="","",'1-3'!D48)</f>
        <v>日本教育会</v>
      </c>
      <c r="E11" s="215">
        <f>IF('2-3'!H49="",'2-3'!E49,'2-3'!H49)</f>
        <v>3600</v>
      </c>
      <c r="F11" s="85">
        <f>IF('2-3'!I49="",'2-3'!G49,'2-3'!I49)</f>
      </c>
    </row>
    <row r="12" spans="1:6" ht="15" customHeight="1">
      <c r="A12" s="104">
        <v>48</v>
      </c>
      <c r="B12" s="127" t="str">
        <f>IF('1-3'!B51="","",'1-3'!B51)</f>
        <v>近畿・西日本</v>
      </c>
      <c r="C12" s="127" t="str">
        <f>IF('1-3'!C51="","",'1-3'!C51)</f>
        <v>校長</v>
      </c>
      <c r="D12" s="144" t="str">
        <f>IF('1-3'!D51="","",'1-3'!D51)</f>
        <v>近畿工業高等学校長協会</v>
      </c>
      <c r="E12" s="211">
        <f>IF('2-3'!H52="",'2-3'!E52,'2-3'!H52)</f>
        <v>5000</v>
      </c>
      <c r="F12" s="83">
        <f>IF('2-3'!I52="",'2-3'!G52,'2-3'!I52)</f>
      </c>
    </row>
    <row r="13" spans="1:6" ht="15" customHeight="1">
      <c r="A13" s="104">
        <v>51</v>
      </c>
      <c r="B13" s="127" t="str">
        <f>IF('1-3'!B54="","",'1-3'!B54)</f>
        <v>近畿・西日本</v>
      </c>
      <c r="C13" s="127" t="str">
        <f>IF('1-3'!C54="","",'1-3'!C54)</f>
        <v>校長</v>
      </c>
      <c r="D13" s="144" t="str">
        <f>IF('1-3'!D54="","",'1-3'!D54)</f>
        <v>近畿地区聾学校長会（近聾長）</v>
      </c>
      <c r="E13" s="211">
        <f>IF('2-3'!H55="",'2-3'!E55,'2-3'!H55)</f>
        <v>5000</v>
      </c>
      <c r="F13" s="83">
        <f>IF('2-3'!I55="",'2-3'!G55,'2-3'!I55)</f>
      </c>
    </row>
    <row r="14" spans="1:6" ht="15" customHeight="1">
      <c r="A14" s="104">
        <v>56</v>
      </c>
      <c r="B14" s="127" t="str">
        <f>IF('1-3'!B59="","",'1-3'!B59)</f>
        <v>近畿・西日本</v>
      </c>
      <c r="C14" s="127" t="str">
        <f>IF('1-3'!C59="","",'1-3'!C59)</f>
        <v>教頭</v>
      </c>
      <c r="D14" s="144" t="str">
        <f>IF('1-3'!D59="","",'1-3'!D59)</f>
        <v>近畿地区聾学校教頭会（近聾頭）</v>
      </c>
      <c r="E14" s="211">
        <f>IF('2-3'!H60="",'2-3'!E60,'2-3'!H60)</f>
        <v>4000</v>
      </c>
      <c r="F14" s="83">
        <f>IF('2-3'!I60="",'2-3'!G60,'2-3'!I60)</f>
      </c>
    </row>
    <row r="15" spans="1:6" ht="15" customHeight="1">
      <c r="A15" s="104">
        <v>60</v>
      </c>
      <c r="B15" s="127" t="str">
        <f>IF('1-3'!B63="","",'1-3'!B63)</f>
        <v>近畿・西日本</v>
      </c>
      <c r="C15" s="173" t="str">
        <f>IF('1-3'!C63="","",'1-3'!C63)</f>
        <v>事務長</v>
      </c>
      <c r="D15" s="181" t="str">
        <f>IF('1-3'!D63="","",'1-3'!D63)</f>
        <v>近畿公立学校事務長会</v>
      </c>
      <c r="E15" s="211">
        <f>IF('2-3'!H64="",'2-3'!E64,'2-3'!H64)</f>
        <v>1800</v>
      </c>
      <c r="F15" s="83">
        <f>IF('2-3'!I64="",'2-3'!G64,'2-3'!I64)</f>
      </c>
    </row>
    <row r="16" spans="1:6" ht="15" customHeight="1">
      <c r="A16" s="104">
        <v>61</v>
      </c>
      <c r="B16" s="127" t="str">
        <f>IF('1-3'!B64="","",'1-3'!B64)</f>
        <v>近畿・西日本</v>
      </c>
      <c r="C16" s="135" t="str">
        <f>IF('1-3'!C64="","",'1-3'!C64)</f>
        <v>事務長</v>
      </c>
      <c r="D16" s="141" t="str">
        <f>IF('1-3'!D64="","",'1-3'!D64)</f>
        <v>近畿地区特別支援学校事務長会</v>
      </c>
      <c r="E16" s="212">
        <f>IF('2-3'!H65="",'2-3'!E65,'2-3'!H65)</f>
        <v>2500</v>
      </c>
      <c r="F16" s="137">
        <f>IF('2-3'!I65="",'2-3'!G65,'2-3'!I65)</f>
      </c>
    </row>
    <row r="17" spans="1:6" ht="15" customHeight="1">
      <c r="A17" s="104">
        <v>63</v>
      </c>
      <c r="B17" s="127" t="str">
        <f>IF('1-3'!B66="","",'1-3'!B66)</f>
        <v>近畿・西日本</v>
      </c>
      <c r="C17" s="127">
        <f>IF('1-3'!C66="","",'1-3'!C66)</f>
      </c>
      <c r="D17" s="144" t="str">
        <f>IF('1-3'!D66="","",'1-3'!D66)</f>
        <v>近畿工業高等学校科長連絡協議会</v>
      </c>
      <c r="E17" s="211">
        <f>IF('2-3'!H67="",'2-3'!E67,'2-3'!H67)</f>
        <v>2000</v>
      </c>
      <c r="F17" s="83">
        <f>IF('2-3'!I67="",'2-3'!G67,'2-3'!I67)</f>
      </c>
    </row>
    <row r="18" spans="1:6" ht="15" customHeight="1">
      <c r="A18" s="104">
        <v>79</v>
      </c>
      <c r="B18" s="127" t="str">
        <f>IF('1-3'!B82="","",'1-3'!B82)</f>
        <v>大阪</v>
      </c>
      <c r="C18" s="178" t="str">
        <f>IF('1-3'!C82="","",'1-3'!C82)</f>
        <v>事務長</v>
      </c>
      <c r="D18" s="182" t="str">
        <f>IF('1-3'!D82="","",'1-3'!D82)</f>
        <v>大阪府立学校事務長会</v>
      </c>
      <c r="E18" s="216">
        <f>IF('2-3'!H83="",'2-3'!E83,'2-3'!H83)</f>
        <v>1000</v>
      </c>
      <c r="F18" s="180">
        <f>IF('2-3'!I83="",'2-3'!G83,'2-3'!I83)</f>
      </c>
    </row>
    <row r="19" spans="1:6" ht="15" customHeight="1">
      <c r="A19" s="104">
        <v>85</v>
      </c>
      <c r="B19" s="127" t="str">
        <f>IF('1-3'!B88="","",'1-3'!B88)</f>
        <v>大阪</v>
      </c>
      <c r="C19" s="127">
        <f>IF('1-3'!C88="","",'1-3'!C88)</f>
      </c>
      <c r="D19" s="144" t="str">
        <f>IF('1-3'!D88="","",'1-3'!D88)</f>
        <v>大阪府高等学校進路指導研究会</v>
      </c>
      <c r="E19" s="211">
        <f>IF('2-3'!H89="",'2-3'!E89,'2-3'!H89)</f>
        <v>1500</v>
      </c>
      <c r="F19" s="83">
        <f>IF('2-3'!I89="",'2-3'!G89,'2-3'!I89)</f>
      </c>
    </row>
    <row r="20" spans="1:6" ht="15" customHeight="1">
      <c r="A20" s="104">
        <v>87</v>
      </c>
      <c r="B20" s="127" t="str">
        <f>IF('1-3'!B90="","",'1-3'!B90)</f>
        <v>大阪</v>
      </c>
      <c r="C20" s="127">
        <f>IF('1-3'!C90="","",'1-3'!C90)</f>
      </c>
      <c r="D20" s="144" t="str">
        <f>IF('1-3'!D90="","",'1-3'!D90)</f>
        <v>大阪府支援教育研究会</v>
      </c>
      <c r="E20" s="211">
        <f>IF('2-3'!H91="",'2-3'!E91,'2-3'!H91)</f>
        <v>1700</v>
      </c>
      <c r="F20" s="83">
        <f>IF('2-3'!I91="",'2-3'!G91,'2-3'!I91)</f>
      </c>
    </row>
    <row r="21" spans="1:6" ht="15" customHeight="1">
      <c r="A21" s="104">
        <v>90</v>
      </c>
      <c r="B21" s="127" t="str">
        <f>IF('1-3'!B93="","",'1-3'!B93)</f>
        <v>大阪</v>
      </c>
      <c r="C21" s="127">
        <f>IF('1-3'!C93="","",'1-3'!C93)</f>
      </c>
      <c r="D21" s="144" t="str">
        <f>IF('1-3'!D93="","",'1-3'!D93)</f>
        <v>大阪府立学校在日外国人教育研究会</v>
      </c>
      <c r="E21" s="211">
        <f>IF('2-3'!H94="",'2-3'!E94,'2-3'!H94)</f>
        <v>1270</v>
      </c>
      <c r="F21" s="83">
        <f>IF('2-3'!I94="",'2-3'!G94,'2-3'!I94)</f>
      </c>
    </row>
    <row r="22" spans="1:6" ht="15" customHeight="1">
      <c r="A22" s="104">
        <v>91</v>
      </c>
      <c r="B22" s="127" t="str">
        <f>IF('1-3'!B94="","",'1-3'!B94)</f>
        <v>大阪</v>
      </c>
      <c r="C22" s="127">
        <f>IF('1-3'!C94="","",'1-3'!C94)</f>
      </c>
      <c r="D22" s="144" t="str">
        <f>IF('1-3'!D94="","",'1-3'!D94)</f>
        <v>大阪府立学校人権教育研究会</v>
      </c>
      <c r="E22" s="211">
        <f>IF('2-3'!H95="",'2-3'!E95,'2-3'!H95)</f>
        <v>2120</v>
      </c>
      <c r="F22" s="83">
        <f>IF('2-3'!I95="",'2-3'!G95,'2-3'!I95)</f>
      </c>
    </row>
    <row r="23" spans="1:6" ht="15" customHeight="1">
      <c r="A23" s="104">
        <v>93</v>
      </c>
      <c r="B23" s="127" t="str">
        <f>IF('1-3'!B96="","",'1-3'!B96)</f>
        <v>大阪</v>
      </c>
      <c r="C23" s="127">
        <f>IF('1-3'!C96="","",'1-3'!C96)</f>
      </c>
      <c r="D23" s="144" t="str">
        <f>IF('1-3'!D96="","",'1-3'!D96)</f>
        <v>大阪府立高等学校保健研究会</v>
      </c>
      <c r="E23" s="211">
        <f>IF('2-3'!H97="",'2-3'!E97,'2-3'!H97)</f>
        <v>2400</v>
      </c>
      <c r="F23" s="83">
        <f>IF('2-3'!I97="",'2-3'!G97,'2-3'!I97)</f>
      </c>
    </row>
    <row r="24" spans="1:6" ht="15" customHeight="1">
      <c r="A24" s="104">
        <v>94</v>
      </c>
      <c r="B24" s="127" t="str">
        <f>IF('1-3'!B97="","",'1-3'!B97)</f>
        <v>大阪</v>
      </c>
      <c r="C24" s="127">
        <f>IF('1-3'!C97="","",'1-3'!C97)</f>
      </c>
      <c r="D24" s="144" t="str">
        <f>IF('1-3'!D97="","",'1-3'!D97)</f>
        <v>大阪府立高等学校養護教諭研究会(府養研)</v>
      </c>
      <c r="E24" s="211">
        <f>IF('2-3'!H98="",'2-3'!E98,'2-3'!H98)</f>
        <v>5000</v>
      </c>
      <c r="F24" s="83">
        <f>IF('2-3'!I98="",'2-3'!G98,'2-3'!I98)</f>
      </c>
    </row>
    <row r="25" spans="1:6" ht="15" customHeight="1">
      <c r="A25" s="104">
        <v>96</v>
      </c>
      <c r="B25" s="127" t="str">
        <f>IF('1-3'!B99="","",'1-3'!B99)</f>
        <v>大阪</v>
      </c>
      <c r="C25" s="127">
        <f>IF('1-3'!C99="","",'1-3'!C99)</f>
      </c>
      <c r="D25" s="144" t="str">
        <f>IF('1-3'!D99="","",'1-3'!D99)</f>
        <v>大阪府高等学校図書館研究会</v>
      </c>
      <c r="E25" s="211">
        <f>IF('2-3'!H100="",'2-3'!E100,'2-3'!H100)</f>
        <v>2000</v>
      </c>
      <c r="F25" s="83">
        <f>IF('2-3'!I100="",'2-3'!G100,'2-3'!I100)</f>
      </c>
    </row>
    <row r="26" spans="1:6" ht="15" customHeight="1">
      <c r="A26" s="104">
        <v>97</v>
      </c>
      <c r="B26" s="127" t="str">
        <f>IF('1-3'!B100="","",'1-3'!B100)</f>
        <v>大阪</v>
      </c>
      <c r="C26" s="127">
        <f>IF('1-3'!C100="","",'1-3'!C100)</f>
      </c>
      <c r="D26" s="144" t="str">
        <f>IF('1-3'!D100="","",'1-3'!D100)</f>
        <v>大阪府高等学校生活指導研究会</v>
      </c>
      <c r="E26" s="211">
        <f>IF('2-3'!H101="",'2-3'!E101,'2-3'!H101)</f>
        <v>4000</v>
      </c>
      <c r="F26" s="83">
        <f>IF('2-3'!I101="",'2-3'!G101,'2-3'!I101)</f>
      </c>
    </row>
    <row r="27" spans="1:6" ht="15" customHeight="1" thickBot="1">
      <c r="A27" s="104">
        <v>98</v>
      </c>
      <c r="B27" s="127" t="str">
        <f>IF('1-3'!B101="","",'1-3'!B101)</f>
        <v>大阪</v>
      </c>
      <c r="C27" s="127">
        <f>IF('1-3'!C101="","",'1-3'!C101)</f>
      </c>
      <c r="D27" s="144" t="str">
        <f>IF('1-3'!D101="","",'1-3'!D101)</f>
        <v>大阪府立支援学校栄養教諭研究会</v>
      </c>
      <c r="E27" s="211">
        <f>IF('2-3'!H102="",'2-3'!E102,'2-3'!H102)</f>
        <v>2000</v>
      </c>
      <c r="F27" s="83">
        <f>IF('2-3'!I102="",'2-3'!G102,'2-3'!I102)</f>
      </c>
    </row>
    <row r="28" spans="1:6" ht="15" customHeight="1">
      <c r="A28" s="109">
        <v>101</v>
      </c>
      <c r="B28" s="154">
        <f>IF('2-3'!B105="","",'2-3'!B105)</f>
      </c>
      <c r="C28" s="154">
        <f>IF('2-3'!C105="","",'2-3'!C105)</f>
      </c>
      <c r="D28" s="131" t="str">
        <f>IF('2-3'!D105="","",'2-3'!D105)</f>
        <v>全国特別支援学校長研究大会参加費</v>
      </c>
      <c r="E28" s="217">
        <f>IF('2-3'!H105="",'2-3'!E105,'2-3'!H105)</f>
        <v>3000</v>
      </c>
      <c r="F28" s="128">
        <f>IF('2-3'!I105="",'2-3'!G105,'2-3'!I105)</f>
      </c>
    </row>
    <row r="29" spans="1:6" ht="15" customHeight="1">
      <c r="A29" s="102">
        <v>102</v>
      </c>
      <c r="B29" s="155">
        <f>IF('2-3'!B106="","",'2-3'!B106)</f>
      </c>
      <c r="C29" s="155">
        <f>IF('2-3'!C106="","",'2-3'!C106)</f>
      </c>
      <c r="D29" s="132" t="str">
        <f>IF('2-3'!D106="","",'2-3'!D106)</f>
        <v>大阪府産業教育フェア学校分担金</v>
      </c>
      <c r="E29" s="211">
        <f>IF('2-3'!H106="",'2-3'!E106,'2-3'!H106)</f>
        <v>1200</v>
      </c>
      <c r="F29" s="83">
        <f>IF('2-3'!I106="",'2-3'!G106,'2-3'!I106)</f>
      </c>
    </row>
    <row r="30" spans="1:6" ht="15" customHeight="1">
      <c r="A30" s="104">
        <v>103</v>
      </c>
      <c r="B30" s="156">
        <f>IF('2-3'!B107="","",'2-3'!B107)</f>
      </c>
      <c r="C30" s="156">
        <f>IF('2-3'!C107="","",'2-3'!C107)</f>
      </c>
      <c r="D30" s="133" t="str">
        <f>IF('2-3'!D107="","",'2-3'!D107)</f>
        <v>全国聾学校長会研究協議会参加費</v>
      </c>
      <c r="E30" s="211">
        <f>IF('2-3'!H107="",'2-3'!E107,'2-3'!H107)</f>
        <v>3000</v>
      </c>
      <c r="F30" s="83">
        <f>IF('2-3'!I107="",'2-3'!G107,'2-3'!I107)</f>
      </c>
    </row>
    <row r="31" spans="1:6" ht="15" customHeight="1">
      <c r="A31" s="102">
        <v>104</v>
      </c>
      <c r="B31" s="156">
        <f>IF('2-3'!B108="","",'2-3'!B108)</f>
      </c>
      <c r="C31" s="156">
        <f>IF('2-3'!C108="","",'2-3'!C108)</f>
      </c>
      <c r="D31" s="133" t="str">
        <f>IF('2-3'!D108="","",'2-3'!D108)</f>
        <v>全日本聾教育研究大会参加費</v>
      </c>
      <c r="E31" s="211">
        <f>IF('2-3'!H108="",'2-3'!E108,'2-3'!H108)</f>
        <v>6000</v>
      </c>
      <c r="F31" s="83">
        <f>IF('2-3'!I108="",'2-3'!G108,'2-3'!I108)</f>
      </c>
    </row>
    <row r="32" spans="1:6" ht="15" customHeight="1" thickBot="1">
      <c r="A32" s="108">
        <v>105</v>
      </c>
      <c r="B32" s="157">
        <f>IF('2-3'!B109="","",'2-3'!B109)</f>
      </c>
      <c r="C32" s="157">
        <f>IF('2-3'!C109="","",'2-3'!C109)</f>
      </c>
      <c r="D32" s="134" t="str">
        <f>IF('2-3'!D109="","",'2-3'!D109)</f>
        <v>近畿教育オーディオロジー研究協議会会費</v>
      </c>
      <c r="E32" s="629">
        <f>IF('2-3'!H109="",'2-3'!E109,'2-3'!H109)</f>
        <v>2000</v>
      </c>
      <c r="F32" s="630">
        <f>IF('2-3'!I109="",'2-3'!G109,'2-3'!I109)</f>
      </c>
    </row>
    <row r="33" spans="4:6" ht="15" customHeight="1" thickBot="1">
      <c r="D33" s="80"/>
      <c r="E33" s="80"/>
      <c r="F33" s="81"/>
    </row>
    <row r="34" spans="4:6" ht="15" customHeight="1">
      <c r="D34" s="80"/>
      <c r="E34" s="10" t="s">
        <v>219</v>
      </c>
      <c r="F34" s="183">
        <f>SUM(E4:E32)</f>
        <v>105825</v>
      </c>
    </row>
    <row r="35" spans="4:6" ht="15" customHeight="1">
      <c r="D35" s="80"/>
      <c r="E35" s="39" t="s">
        <v>175</v>
      </c>
      <c r="F35" s="184">
        <f>SUMIF($F$4:$F$32,"◎",$E$4:$E$32)</f>
        <v>11000</v>
      </c>
    </row>
    <row r="36" spans="4:6" ht="15" customHeight="1" thickBot="1">
      <c r="D36" s="80"/>
      <c r="E36" s="82" t="s">
        <v>13</v>
      </c>
      <c r="F36" s="185">
        <f>F34-F35</f>
        <v>94825</v>
      </c>
    </row>
  </sheetData>
  <sheetProtection formatCells="0" selectLockedCells="1"/>
  <mergeCells count="1">
    <mergeCell ref="A1:F1"/>
  </mergeCells>
  <conditionalFormatting sqref="E4:F32">
    <cfRule type="cellIs" priority="35" dxfId="14" operator="notEqual" stopIfTrue="1">
      <formula>'3-3'!#REF!</formula>
    </cfRule>
  </conditionalFormatting>
  <dataValidations count="1">
    <dataValidation type="list" allowBlank="1" showInputMessage="1" showErrorMessage="1" sqref="F4:F3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F22" sqref="F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275</v>
      </c>
      <c r="I4" s="505"/>
      <c r="J4" s="505"/>
      <c r="K4" s="505"/>
    </row>
    <row r="5" spans="8:11" s="1" customFormat="1" ht="18" customHeight="1">
      <c r="H5" s="506">
        <v>42857</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3" t="s">
        <v>255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124</v>
      </c>
      <c r="E15" s="16" t="s">
        <v>123</v>
      </c>
      <c r="F15" s="17" t="s">
        <v>10</v>
      </c>
      <c r="G15" s="17" t="s">
        <v>11</v>
      </c>
      <c r="H15" s="452" t="s">
        <v>248</v>
      </c>
      <c r="I15" s="16" t="s">
        <v>12</v>
      </c>
      <c r="J15" s="451" t="s">
        <v>252</v>
      </c>
      <c r="K15" s="23" t="s">
        <v>15</v>
      </c>
    </row>
    <row r="16" spans="1:11" ht="58.5" customHeight="1" thickTop="1">
      <c r="A16" s="30" t="s">
        <v>161</v>
      </c>
      <c r="B16" s="225">
        <f>'随時①-2'!G27</f>
        <v>9000</v>
      </c>
      <c r="C16" s="226">
        <f>'随時①-2'!G28</f>
        <v>0</v>
      </c>
      <c r="D16" s="226">
        <f>'随時①-2'!G29</f>
        <v>0</v>
      </c>
      <c r="E16" s="226">
        <f>'随時①-2'!G30</f>
        <v>0</v>
      </c>
      <c r="F16" s="226">
        <f>'随時①-2'!G31</f>
        <v>24000</v>
      </c>
      <c r="G16" s="226">
        <f>'随時①-2'!G32</f>
        <v>0</v>
      </c>
      <c r="H16" s="226">
        <f>'随時①-2'!G33</f>
        <v>0</v>
      </c>
      <c r="I16" s="226">
        <f>'随時①-2'!G34</f>
        <v>0</v>
      </c>
      <c r="J16" s="227">
        <f>'随時①-2'!G35</f>
        <v>0</v>
      </c>
      <c r="K16" s="437">
        <f aca="true" t="shared" si="0" ref="K16:K23">SUM(B16:J16)</f>
        <v>33000</v>
      </c>
    </row>
    <row r="17" spans="1:11" ht="58.5" customHeight="1">
      <c r="A17" s="30" t="s">
        <v>177</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7">
        <f>SUM(B17:J17)</f>
        <v>0</v>
      </c>
    </row>
    <row r="18" spans="1:11" ht="58.5" customHeight="1">
      <c r="A18" s="20" t="s">
        <v>95</v>
      </c>
      <c r="B18" s="438">
        <f>'1-2'!G107</f>
        <v>110000</v>
      </c>
      <c r="C18" s="323">
        <f>'1-2'!G108</f>
        <v>20000</v>
      </c>
      <c r="D18" s="323">
        <f>'1-2'!G109</f>
        <v>610000</v>
      </c>
      <c r="E18" s="323">
        <f>'1-2'!G110</f>
        <v>0</v>
      </c>
      <c r="F18" s="323">
        <f>'1-2'!G111</f>
        <v>89000</v>
      </c>
      <c r="G18" s="323">
        <f>'1-2'!G112</f>
        <v>0</v>
      </c>
      <c r="H18" s="323">
        <f>'1-2'!G113</f>
        <v>0</v>
      </c>
      <c r="I18" s="323">
        <f>'1-2'!G114</f>
        <v>0</v>
      </c>
      <c r="J18" s="439">
        <f>'1-2'!G115</f>
        <v>107825</v>
      </c>
      <c r="K18" s="440">
        <f t="shared" si="0"/>
        <v>936825</v>
      </c>
    </row>
    <row r="19" spans="1:11" ht="58.5" customHeight="1" thickBot="1">
      <c r="A19" s="34" t="s">
        <v>177</v>
      </c>
      <c r="B19" s="441">
        <f>'1-2'!H107</f>
        <v>0</v>
      </c>
      <c r="C19" s="442">
        <f>'1-2'!H108</f>
        <v>0</v>
      </c>
      <c r="D19" s="442">
        <f>'1-2'!H109</f>
        <v>0</v>
      </c>
      <c r="E19" s="442">
        <f>'1-2'!H110</f>
        <v>0</v>
      </c>
      <c r="F19" s="442">
        <f>'1-2'!H111</f>
        <v>0</v>
      </c>
      <c r="G19" s="442">
        <f>'1-2'!H112</f>
        <v>0</v>
      </c>
      <c r="H19" s="442">
        <f>'1-2'!H113</f>
        <v>0</v>
      </c>
      <c r="I19" s="442">
        <f>'1-2'!H114</f>
        <v>0</v>
      </c>
      <c r="J19" s="443">
        <f>'1-2'!H115</f>
        <v>11000</v>
      </c>
      <c r="K19" s="444">
        <f t="shared" si="0"/>
        <v>11000</v>
      </c>
    </row>
    <row r="20" spans="1:11" ht="58.5" customHeight="1" thickBot="1">
      <c r="A20" s="32" t="s">
        <v>103</v>
      </c>
      <c r="B20" s="445">
        <f>B18-B19</f>
        <v>110000</v>
      </c>
      <c r="C20" s="446">
        <f>C18-C19</f>
        <v>20000</v>
      </c>
      <c r="D20" s="446">
        <f aca="true" t="shared" si="1" ref="D20:J20">D18-D19</f>
        <v>610000</v>
      </c>
      <c r="E20" s="446">
        <f t="shared" si="1"/>
        <v>0</v>
      </c>
      <c r="F20" s="446">
        <f t="shared" si="1"/>
        <v>89000</v>
      </c>
      <c r="G20" s="446">
        <f t="shared" si="1"/>
        <v>0</v>
      </c>
      <c r="H20" s="446">
        <f t="shared" si="1"/>
        <v>0</v>
      </c>
      <c r="I20" s="446">
        <f t="shared" si="1"/>
        <v>0</v>
      </c>
      <c r="J20" s="446">
        <f t="shared" si="1"/>
        <v>96825</v>
      </c>
      <c r="K20" s="447">
        <f t="shared" si="0"/>
        <v>925825</v>
      </c>
    </row>
    <row r="21" spans="1:11" ht="58.5" customHeight="1" thickBot="1">
      <c r="A21" s="32" t="s">
        <v>102</v>
      </c>
      <c r="B21" s="445">
        <f>B16+B18</f>
        <v>119000</v>
      </c>
      <c r="C21" s="445">
        <f aca="true" t="shared" si="2" ref="C21:J21">C16+C18</f>
        <v>20000</v>
      </c>
      <c r="D21" s="445">
        <f t="shared" si="2"/>
        <v>610000</v>
      </c>
      <c r="E21" s="445">
        <f t="shared" si="2"/>
        <v>0</v>
      </c>
      <c r="F21" s="445">
        <f t="shared" si="2"/>
        <v>113000</v>
      </c>
      <c r="G21" s="445">
        <f t="shared" si="2"/>
        <v>0</v>
      </c>
      <c r="H21" s="445">
        <f t="shared" si="2"/>
        <v>0</v>
      </c>
      <c r="I21" s="445">
        <f t="shared" si="2"/>
        <v>0</v>
      </c>
      <c r="J21" s="445">
        <f t="shared" si="2"/>
        <v>107825</v>
      </c>
      <c r="K21" s="447">
        <f t="shared" si="0"/>
        <v>969825</v>
      </c>
    </row>
    <row r="22" spans="1:11" ht="58.5" customHeight="1">
      <c r="A22" s="30" t="s">
        <v>162</v>
      </c>
      <c r="B22" s="448">
        <v>50000</v>
      </c>
      <c r="C22" s="342">
        <v>3000</v>
      </c>
      <c r="D22" s="342">
        <v>102000</v>
      </c>
      <c r="E22" s="342"/>
      <c r="F22" s="342">
        <v>24000</v>
      </c>
      <c r="G22" s="342"/>
      <c r="H22" s="342"/>
      <c r="I22" s="342"/>
      <c r="J22" s="449"/>
      <c r="K22" s="437">
        <f t="shared" si="0"/>
        <v>179000</v>
      </c>
    </row>
    <row r="23" spans="1:11" ht="58.5" customHeight="1" thickBot="1">
      <c r="A23" s="22" t="s">
        <v>163</v>
      </c>
      <c r="B23" s="221">
        <f>B21+B22</f>
        <v>169000</v>
      </c>
      <c r="C23" s="222">
        <f>C21+C22</f>
        <v>23000</v>
      </c>
      <c r="D23" s="222">
        <f aca="true" t="shared" si="3" ref="D23:J23">D21+D22</f>
        <v>712000</v>
      </c>
      <c r="E23" s="222">
        <f t="shared" si="3"/>
        <v>0</v>
      </c>
      <c r="F23" s="222">
        <f t="shared" si="3"/>
        <v>137000</v>
      </c>
      <c r="G23" s="222">
        <f t="shared" si="3"/>
        <v>0</v>
      </c>
      <c r="H23" s="222">
        <f t="shared" si="3"/>
        <v>0</v>
      </c>
      <c r="I23" s="222">
        <f t="shared" si="3"/>
        <v>0</v>
      </c>
      <c r="J23" s="222">
        <f t="shared" si="3"/>
        <v>107825</v>
      </c>
      <c r="K23" s="224">
        <f t="shared" si="0"/>
        <v>1148825</v>
      </c>
    </row>
    <row r="24" spans="1:11" ht="39" customHeight="1" thickBot="1">
      <c r="A24" s="32" t="s">
        <v>104</v>
      </c>
      <c r="B24" s="559">
        <v>42857</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22" sqref="C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7" t="s">
        <v>140</v>
      </c>
      <c r="B3" s="296" t="s">
        <v>141</v>
      </c>
      <c r="C3" s="60" t="s">
        <v>143</v>
      </c>
      <c r="D3" s="96" t="s">
        <v>145</v>
      </c>
      <c r="E3" s="96" t="s">
        <v>0</v>
      </c>
      <c r="F3" s="96" t="s">
        <v>197</v>
      </c>
      <c r="G3" s="96" t="s">
        <v>91</v>
      </c>
      <c r="H3" s="478" t="s">
        <v>245</v>
      </c>
      <c r="I3" s="96" t="s">
        <v>92</v>
      </c>
      <c r="J3" s="96" t="s">
        <v>93</v>
      </c>
      <c r="K3" s="229" t="s">
        <v>111</v>
      </c>
      <c r="L3" s="297" t="s">
        <v>94</v>
      </c>
      <c r="M3" s="29" t="s">
        <v>99</v>
      </c>
    </row>
    <row r="4" spans="1:13" ht="13.5" customHeight="1">
      <c r="A4" s="242"/>
      <c r="B4" s="243"/>
      <c r="C4" s="244"/>
      <c r="D4" s="245">
        <v>1</v>
      </c>
      <c r="E4" s="246" t="s">
        <v>137</v>
      </c>
      <c r="F4" s="247" t="s">
        <v>224</v>
      </c>
      <c r="G4" s="248">
        <v>107825</v>
      </c>
      <c r="H4" s="249">
        <v>1</v>
      </c>
      <c r="I4" s="249">
        <v>1</v>
      </c>
      <c r="J4" s="250">
        <f>G4*H4*I4</f>
        <v>107825</v>
      </c>
      <c r="K4" s="251"/>
      <c r="L4" s="252" t="s">
        <v>225</v>
      </c>
      <c r="M4" s="29">
        <f aca="true" t="shared" si="0" ref="M4:M67">IF(K4="◎",J4,"")</f>
      </c>
    </row>
    <row r="5" spans="1:13" ht="13.5" customHeight="1">
      <c r="A5" s="253">
        <v>2</v>
      </c>
      <c r="B5" s="254" t="s">
        <v>284</v>
      </c>
      <c r="C5" s="255" t="s">
        <v>286</v>
      </c>
      <c r="D5" s="256">
        <v>2</v>
      </c>
      <c r="E5" s="257" t="s">
        <v>87</v>
      </c>
      <c r="F5" s="258" t="s">
        <v>288</v>
      </c>
      <c r="G5" s="259">
        <v>8000</v>
      </c>
      <c r="H5" s="260">
        <v>1</v>
      </c>
      <c r="I5" s="260">
        <v>6</v>
      </c>
      <c r="J5" s="261">
        <f>G5*H5*I5</f>
        <v>48000</v>
      </c>
      <c r="K5" s="262"/>
      <c r="L5" s="263"/>
      <c r="M5" s="29">
        <f t="shared" si="0"/>
      </c>
    </row>
    <row r="6" spans="1:13" ht="13.5" customHeight="1">
      <c r="A6" s="253">
        <v>3</v>
      </c>
      <c r="B6" s="254" t="s">
        <v>289</v>
      </c>
      <c r="C6" s="264" t="s">
        <v>290</v>
      </c>
      <c r="D6" s="256">
        <v>3</v>
      </c>
      <c r="E6" s="257" t="s">
        <v>125</v>
      </c>
      <c r="F6" s="258" t="s">
        <v>291</v>
      </c>
      <c r="G6" s="259">
        <v>44000</v>
      </c>
      <c r="H6" s="260">
        <v>6</v>
      </c>
      <c r="I6" s="260">
        <v>1</v>
      </c>
      <c r="J6" s="261">
        <f aca="true" t="shared" si="1" ref="J6:J69">G6*H6*I6</f>
        <v>264000</v>
      </c>
      <c r="K6" s="262"/>
      <c r="L6" s="263"/>
      <c r="M6" s="29">
        <f t="shared" si="0"/>
      </c>
    </row>
    <row r="7" spans="1:13" ht="13.5" customHeight="1">
      <c r="A7" s="253">
        <v>4</v>
      </c>
      <c r="B7" s="254" t="s">
        <v>292</v>
      </c>
      <c r="C7" s="255" t="s">
        <v>293</v>
      </c>
      <c r="D7" s="256">
        <v>4</v>
      </c>
      <c r="E7" s="257" t="s">
        <v>125</v>
      </c>
      <c r="F7" s="258" t="s">
        <v>294</v>
      </c>
      <c r="G7" s="259">
        <v>100000</v>
      </c>
      <c r="H7" s="260">
        <v>1</v>
      </c>
      <c r="I7" s="260">
        <v>1</v>
      </c>
      <c r="J7" s="261">
        <f t="shared" si="1"/>
        <v>100000</v>
      </c>
      <c r="K7" s="262"/>
      <c r="L7" s="263"/>
      <c r="M7" s="29">
        <f t="shared" si="0"/>
      </c>
    </row>
    <row r="8" spans="1:13" ht="13.5" customHeight="1">
      <c r="A8" s="253">
        <v>4</v>
      </c>
      <c r="B8" s="254" t="s">
        <v>292</v>
      </c>
      <c r="C8" s="255" t="s">
        <v>293</v>
      </c>
      <c r="D8" s="265">
        <v>5</v>
      </c>
      <c r="E8" s="257" t="s">
        <v>85</v>
      </c>
      <c r="F8" s="258" t="s">
        <v>295</v>
      </c>
      <c r="G8" s="259">
        <v>20000</v>
      </c>
      <c r="H8" s="260">
        <v>1</v>
      </c>
      <c r="I8" s="260">
        <v>1</v>
      </c>
      <c r="J8" s="261">
        <f t="shared" si="1"/>
        <v>20000</v>
      </c>
      <c r="K8" s="262"/>
      <c r="L8" s="263"/>
      <c r="M8" s="29">
        <f t="shared" si="0"/>
      </c>
    </row>
    <row r="9" spans="1:13" ht="13.5" customHeight="1">
      <c r="A9" s="253">
        <v>4</v>
      </c>
      <c r="B9" s="254" t="s">
        <v>292</v>
      </c>
      <c r="C9" s="255" t="s">
        <v>293</v>
      </c>
      <c r="D9" s="256">
        <v>6</v>
      </c>
      <c r="E9" s="257" t="s">
        <v>86</v>
      </c>
      <c r="F9" s="258" t="s">
        <v>296</v>
      </c>
      <c r="G9" s="259">
        <v>3000</v>
      </c>
      <c r="H9" s="260">
        <v>1</v>
      </c>
      <c r="I9" s="260">
        <v>1</v>
      </c>
      <c r="J9" s="261">
        <f t="shared" si="1"/>
        <v>3000</v>
      </c>
      <c r="K9" s="262"/>
      <c r="L9" s="263"/>
      <c r="M9" s="29">
        <f t="shared" si="0"/>
      </c>
    </row>
    <row r="10" spans="1:13" ht="13.5" customHeight="1">
      <c r="A10" s="253">
        <v>5</v>
      </c>
      <c r="B10" s="254" t="s">
        <v>297</v>
      </c>
      <c r="C10" s="255" t="s">
        <v>298</v>
      </c>
      <c r="D10" s="256">
        <v>7</v>
      </c>
      <c r="E10" s="258" t="s">
        <v>125</v>
      </c>
      <c r="F10" s="258" t="s">
        <v>294</v>
      </c>
      <c r="G10" s="259">
        <v>100000</v>
      </c>
      <c r="H10" s="260">
        <v>2</v>
      </c>
      <c r="I10" s="260">
        <v>1</v>
      </c>
      <c r="J10" s="261">
        <f t="shared" si="1"/>
        <v>200000</v>
      </c>
      <c r="K10" s="262"/>
      <c r="L10" s="263"/>
      <c r="M10" s="29">
        <f t="shared" si="0"/>
      </c>
    </row>
    <row r="11" spans="1:13" ht="13.5" customHeight="1">
      <c r="A11" s="253">
        <v>5</v>
      </c>
      <c r="B11" s="254" t="s">
        <v>297</v>
      </c>
      <c r="C11" s="255" t="s">
        <v>298</v>
      </c>
      <c r="D11" s="265">
        <v>8</v>
      </c>
      <c r="E11" s="266" t="s">
        <v>125</v>
      </c>
      <c r="F11" s="258" t="s">
        <v>304</v>
      </c>
      <c r="G11" s="267">
        <v>26000</v>
      </c>
      <c r="H11" s="268">
        <v>1</v>
      </c>
      <c r="I11" s="268">
        <v>1</v>
      </c>
      <c r="J11" s="261">
        <f>G11*H11*I11</f>
        <v>26000</v>
      </c>
      <c r="K11" s="269"/>
      <c r="L11" s="270"/>
      <c r="M11" s="29">
        <f t="shared" si="0"/>
      </c>
    </row>
    <row r="12" spans="1:13" ht="13.5" customHeight="1">
      <c r="A12" s="253">
        <v>5</v>
      </c>
      <c r="B12" s="254" t="s">
        <v>310</v>
      </c>
      <c r="C12" s="255" t="s">
        <v>298</v>
      </c>
      <c r="D12" s="265">
        <v>9</v>
      </c>
      <c r="E12" s="257" t="s">
        <v>87</v>
      </c>
      <c r="F12" s="257" t="s">
        <v>299</v>
      </c>
      <c r="G12" s="271">
        <v>41000</v>
      </c>
      <c r="H12" s="272">
        <v>1</v>
      </c>
      <c r="I12" s="272">
        <v>1</v>
      </c>
      <c r="J12" s="261">
        <f t="shared" si="1"/>
        <v>41000</v>
      </c>
      <c r="K12" s="273"/>
      <c r="L12" s="274"/>
      <c r="M12" s="29">
        <f t="shared" si="0"/>
      </c>
    </row>
    <row r="13" spans="1:13" ht="13.5" customHeight="1">
      <c r="A13" s="253">
        <v>6</v>
      </c>
      <c r="B13" s="254" t="s">
        <v>309</v>
      </c>
      <c r="C13" s="255" t="s">
        <v>300</v>
      </c>
      <c r="D13" s="275">
        <v>10</v>
      </c>
      <c r="E13" s="257" t="s">
        <v>85</v>
      </c>
      <c r="F13" s="257" t="s">
        <v>295</v>
      </c>
      <c r="G13" s="271">
        <v>5000</v>
      </c>
      <c r="H13" s="272">
        <v>2</v>
      </c>
      <c r="I13" s="272">
        <v>2</v>
      </c>
      <c r="J13" s="261">
        <f t="shared" si="1"/>
        <v>20000</v>
      </c>
      <c r="K13" s="262"/>
      <c r="L13" s="263"/>
      <c r="M13" s="29">
        <f t="shared" si="0"/>
      </c>
    </row>
    <row r="14" spans="1:13" ht="13.5" customHeight="1">
      <c r="A14" s="253">
        <v>6</v>
      </c>
      <c r="B14" s="254" t="s">
        <v>309</v>
      </c>
      <c r="C14" s="255" t="s">
        <v>300</v>
      </c>
      <c r="D14" s="256">
        <v>11</v>
      </c>
      <c r="E14" s="258" t="s">
        <v>86</v>
      </c>
      <c r="F14" s="258" t="s">
        <v>301</v>
      </c>
      <c r="G14" s="259">
        <v>1000</v>
      </c>
      <c r="H14" s="260">
        <v>5</v>
      </c>
      <c r="I14" s="260">
        <v>2</v>
      </c>
      <c r="J14" s="261">
        <f t="shared" si="1"/>
        <v>10000</v>
      </c>
      <c r="K14" s="276"/>
      <c r="L14" s="263"/>
      <c r="M14" s="29">
        <f t="shared" si="0"/>
      </c>
    </row>
    <row r="15" spans="1:13" ht="13.5" customHeight="1">
      <c r="A15" s="253">
        <v>8</v>
      </c>
      <c r="B15" s="254" t="s">
        <v>308</v>
      </c>
      <c r="C15" s="255" t="s">
        <v>306</v>
      </c>
      <c r="D15" s="256">
        <v>12</v>
      </c>
      <c r="E15" s="277" t="s">
        <v>125</v>
      </c>
      <c r="F15" s="277" t="s">
        <v>305</v>
      </c>
      <c r="G15" s="278">
        <v>20000</v>
      </c>
      <c r="H15" s="279">
        <v>1</v>
      </c>
      <c r="I15" s="279">
        <v>1</v>
      </c>
      <c r="J15" s="261">
        <f t="shared" si="1"/>
        <v>20000</v>
      </c>
      <c r="K15" s="280"/>
      <c r="L15" s="281"/>
      <c r="M15" s="29">
        <f t="shared" si="0"/>
      </c>
    </row>
    <row r="16" spans="1:13" ht="13.5" customHeight="1">
      <c r="A16" s="253">
        <v>7</v>
      </c>
      <c r="B16" s="254" t="s">
        <v>307</v>
      </c>
      <c r="C16" s="255" t="s">
        <v>302</v>
      </c>
      <c r="D16" s="256">
        <v>13</v>
      </c>
      <c r="E16" s="258" t="s">
        <v>85</v>
      </c>
      <c r="F16" s="258" t="s">
        <v>303</v>
      </c>
      <c r="G16" s="259">
        <v>10000</v>
      </c>
      <c r="H16" s="260">
        <v>1</v>
      </c>
      <c r="I16" s="260">
        <v>7</v>
      </c>
      <c r="J16" s="261">
        <f t="shared" si="1"/>
        <v>70000</v>
      </c>
      <c r="K16" s="262"/>
      <c r="L16" s="263"/>
      <c r="M16" s="29">
        <f t="shared" si="0"/>
      </c>
    </row>
    <row r="17" spans="1:13" ht="13.5" customHeight="1">
      <c r="A17" s="253">
        <v>7</v>
      </c>
      <c r="B17" s="254" t="s">
        <v>307</v>
      </c>
      <c r="C17" s="255" t="s">
        <v>302</v>
      </c>
      <c r="D17" s="256">
        <v>14</v>
      </c>
      <c r="E17" s="258" t="s">
        <v>86</v>
      </c>
      <c r="F17" s="258" t="s">
        <v>296</v>
      </c>
      <c r="G17" s="259">
        <v>1000</v>
      </c>
      <c r="H17" s="260">
        <v>1</v>
      </c>
      <c r="I17" s="260">
        <v>7</v>
      </c>
      <c r="J17" s="261">
        <f t="shared" si="1"/>
        <v>7000</v>
      </c>
      <c r="K17" s="262"/>
      <c r="L17" s="263"/>
      <c r="M17" s="29">
        <f t="shared" si="0"/>
      </c>
    </row>
    <row r="18" spans="1:13" ht="13.5" customHeight="1">
      <c r="A18" s="253"/>
      <c r="B18" s="254"/>
      <c r="C18" s="255"/>
      <c r="D18" s="256">
        <v>15</v>
      </c>
      <c r="E18" s="258"/>
      <c r="F18" s="487"/>
      <c r="G18" s="259"/>
      <c r="H18" s="260"/>
      <c r="I18" s="260"/>
      <c r="J18" s="261">
        <f>G18*H18*I18</f>
        <v>0</v>
      </c>
      <c r="K18" s="262"/>
      <c r="L18" s="263"/>
      <c r="M18" s="29">
        <f t="shared" si="0"/>
      </c>
    </row>
    <row r="19" spans="1:13" ht="13.5" customHeight="1">
      <c r="A19" s="253"/>
      <c r="B19" s="254"/>
      <c r="C19" s="255"/>
      <c r="D19" s="256">
        <v>16</v>
      </c>
      <c r="E19" s="258"/>
      <c r="F19" s="258"/>
      <c r="G19" s="259"/>
      <c r="H19" s="260"/>
      <c r="I19" s="260"/>
      <c r="J19" s="261">
        <f t="shared" si="1"/>
        <v>0</v>
      </c>
      <c r="K19" s="262"/>
      <c r="L19" s="263"/>
      <c r="M19" s="29">
        <f t="shared" si="0"/>
      </c>
    </row>
    <row r="20" spans="1:13" ht="13.5" customHeight="1">
      <c r="A20" s="253"/>
      <c r="B20" s="254"/>
      <c r="C20" s="255"/>
      <c r="D20" s="256">
        <v>17</v>
      </c>
      <c r="E20" s="258"/>
      <c r="F20" s="258"/>
      <c r="G20" s="259"/>
      <c r="H20" s="260"/>
      <c r="I20" s="260"/>
      <c r="J20" s="261">
        <f t="shared" si="1"/>
        <v>0</v>
      </c>
      <c r="K20" s="262"/>
      <c r="L20" s="263"/>
      <c r="M20" s="29">
        <f t="shared" si="0"/>
      </c>
    </row>
    <row r="21" spans="1:13" ht="13.5" customHeight="1">
      <c r="A21" s="253"/>
      <c r="B21" s="254"/>
      <c r="C21" s="255"/>
      <c r="D21" s="256">
        <v>18</v>
      </c>
      <c r="E21" s="258"/>
      <c r="F21" s="258"/>
      <c r="G21" s="259"/>
      <c r="H21" s="260"/>
      <c r="I21" s="260"/>
      <c r="J21" s="261">
        <f t="shared" si="1"/>
        <v>0</v>
      </c>
      <c r="K21" s="262"/>
      <c r="L21" s="263"/>
      <c r="M21" s="29">
        <f t="shared" si="0"/>
      </c>
    </row>
    <row r="22" spans="1:13" ht="13.5" customHeight="1">
      <c r="A22" s="253"/>
      <c r="B22" s="254"/>
      <c r="C22" s="255"/>
      <c r="D22" s="256">
        <v>19</v>
      </c>
      <c r="E22" s="258"/>
      <c r="F22" s="258"/>
      <c r="G22" s="259"/>
      <c r="H22" s="260"/>
      <c r="I22" s="260"/>
      <c r="J22" s="261">
        <f t="shared" si="1"/>
        <v>0</v>
      </c>
      <c r="K22" s="262"/>
      <c r="L22" s="263"/>
      <c r="M22" s="29">
        <f t="shared" si="0"/>
      </c>
    </row>
    <row r="23" spans="1:13" ht="13.5" customHeight="1">
      <c r="A23" s="253"/>
      <c r="B23" s="254"/>
      <c r="C23" s="255"/>
      <c r="D23" s="256">
        <v>20</v>
      </c>
      <c r="E23" s="258"/>
      <c r="F23" s="258"/>
      <c r="G23" s="259"/>
      <c r="H23" s="260"/>
      <c r="I23" s="260"/>
      <c r="J23" s="261">
        <f t="shared" si="1"/>
        <v>0</v>
      </c>
      <c r="K23" s="262"/>
      <c r="L23" s="263"/>
      <c r="M23" s="29">
        <f t="shared" si="0"/>
      </c>
    </row>
    <row r="24" spans="1:13" ht="13.5" customHeight="1">
      <c r="A24" s="253"/>
      <c r="B24" s="282"/>
      <c r="C24" s="255"/>
      <c r="D24" s="256">
        <v>21</v>
      </c>
      <c r="E24" s="257"/>
      <c r="F24" s="258"/>
      <c r="G24" s="259"/>
      <c r="H24" s="260"/>
      <c r="I24" s="260"/>
      <c r="J24" s="261">
        <f t="shared" si="1"/>
        <v>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82"/>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81"/>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6" t="s">
        <v>96</v>
      </c>
      <c r="G106" s="231" t="s">
        <v>97</v>
      </c>
      <c r="H106" s="576" t="s">
        <v>175</v>
      </c>
      <c r="I106" s="576"/>
      <c r="J106" s="576" t="s">
        <v>172</v>
      </c>
      <c r="K106" s="577"/>
    </row>
    <row r="107" spans="4:11" ht="14.25" thickTop="1">
      <c r="D107" s="67"/>
      <c r="F107" s="298" t="s">
        <v>85</v>
      </c>
      <c r="G107" s="228">
        <f>SUMIF($E$4:$E$103,F107,$J$4:$J$103)</f>
        <v>110000</v>
      </c>
      <c r="H107" s="578">
        <f>SUMIF($E$4:$E$103,F107,$M$4:$M$103)</f>
        <v>0</v>
      </c>
      <c r="I107" s="578"/>
      <c r="J107" s="578">
        <f aca="true" t="shared" si="5" ref="J107:J115">G107-H107</f>
        <v>110000</v>
      </c>
      <c r="K107" s="579"/>
    </row>
    <row r="108" spans="4:11" ht="13.5">
      <c r="D108" s="67"/>
      <c r="F108" s="299" t="s">
        <v>86</v>
      </c>
      <c r="G108" s="228">
        <f aca="true" t="shared" si="6" ref="G108:G115">SUMIF($E$4:$E$103,F108,$J$4:$J$103)</f>
        <v>20000</v>
      </c>
      <c r="H108" s="570">
        <f aca="true" t="shared" si="7" ref="H108:H114">SUMIF($E$4:$E$103,F108,$M$4:$M$103)</f>
        <v>0</v>
      </c>
      <c r="I108" s="570"/>
      <c r="J108" s="570">
        <f t="shared" si="5"/>
        <v>20000</v>
      </c>
      <c r="K108" s="571"/>
    </row>
    <row r="109" spans="4:11" ht="13.5">
      <c r="D109" s="67"/>
      <c r="F109" s="299" t="s">
        <v>125</v>
      </c>
      <c r="G109" s="228">
        <f t="shared" si="6"/>
        <v>610000</v>
      </c>
      <c r="H109" s="570">
        <f t="shared" si="7"/>
        <v>0</v>
      </c>
      <c r="I109" s="570"/>
      <c r="J109" s="570">
        <f t="shared" si="5"/>
        <v>610000</v>
      </c>
      <c r="K109" s="571"/>
    </row>
    <row r="110" spans="4:11" ht="13.5">
      <c r="D110" s="67"/>
      <c r="F110" s="299" t="s">
        <v>126</v>
      </c>
      <c r="G110" s="228">
        <f t="shared" si="6"/>
        <v>0</v>
      </c>
      <c r="H110" s="570">
        <f t="shared" si="7"/>
        <v>0</v>
      </c>
      <c r="I110" s="570"/>
      <c r="J110" s="570">
        <f t="shared" si="5"/>
        <v>0</v>
      </c>
      <c r="K110" s="571"/>
    </row>
    <row r="111" spans="4:11" ht="13.5">
      <c r="D111" s="67"/>
      <c r="F111" s="299" t="s">
        <v>87</v>
      </c>
      <c r="G111" s="228">
        <f t="shared" si="6"/>
        <v>89000</v>
      </c>
      <c r="H111" s="570">
        <f t="shared" si="7"/>
        <v>0</v>
      </c>
      <c r="I111" s="570"/>
      <c r="J111" s="570">
        <f t="shared" si="5"/>
        <v>89000</v>
      </c>
      <c r="K111" s="571"/>
    </row>
    <row r="112" spans="4:11" ht="13.5">
      <c r="D112" s="67"/>
      <c r="F112" s="299" t="s">
        <v>88</v>
      </c>
      <c r="G112" s="228">
        <f t="shared" si="6"/>
        <v>0</v>
      </c>
      <c r="H112" s="570">
        <f t="shared" si="7"/>
        <v>0</v>
      </c>
      <c r="I112" s="570"/>
      <c r="J112" s="570">
        <f t="shared" si="5"/>
        <v>0</v>
      </c>
      <c r="K112" s="571"/>
    </row>
    <row r="113" spans="4:11" ht="13.5">
      <c r="D113" s="67"/>
      <c r="F113" s="299" t="s">
        <v>89</v>
      </c>
      <c r="G113" s="228">
        <f t="shared" si="6"/>
        <v>0</v>
      </c>
      <c r="H113" s="570">
        <f t="shared" si="7"/>
        <v>0</v>
      </c>
      <c r="I113" s="570"/>
      <c r="J113" s="570">
        <f t="shared" si="5"/>
        <v>0</v>
      </c>
      <c r="K113" s="571"/>
    </row>
    <row r="114" spans="4:11" ht="13.5">
      <c r="D114" s="67"/>
      <c r="F114" s="299" t="s">
        <v>90</v>
      </c>
      <c r="G114" s="228">
        <f t="shared" si="6"/>
        <v>0</v>
      </c>
      <c r="H114" s="570">
        <f t="shared" si="7"/>
        <v>0</v>
      </c>
      <c r="I114" s="570"/>
      <c r="J114" s="570">
        <f t="shared" si="5"/>
        <v>0</v>
      </c>
      <c r="K114" s="571"/>
    </row>
    <row r="115" spans="4:11" ht="14.25" thickBot="1">
      <c r="D115" s="67"/>
      <c r="F115" s="432" t="s">
        <v>137</v>
      </c>
      <c r="G115" s="433">
        <f t="shared" si="6"/>
        <v>107825</v>
      </c>
      <c r="H115" s="572">
        <f>SUMIF($E$4:$E$103,F115,$M$4:$M$103)+'1-3'!F121</f>
        <v>11000</v>
      </c>
      <c r="I115" s="572"/>
      <c r="J115" s="572">
        <f t="shared" si="5"/>
        <v>96825</v>
      </c>
      <c r="K115" s="573"/>
    </row>
    <row r="116" spans="4:11" ht="15" thickBot="1" thickTop="1">
      <c r="D116" s="47"/>
      <c r="F116" s="430" t="s">
        <v>15</v>
      </c>
      <c r="G116" s="431">
        <f>SUM(G107:G115)</f>
        <v>936825</v>
      </c>
      <c r="H116" s="574">
        <f>SUM(H107:I115)</f>
        <v>11000</v>
      </c>
      <c r="I116" s="574"/>
      <c r="J116" s="574">
        <f>SUM(J107:K115)</f>
        <v>925825</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E109" sqref="E10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257</v>
      </c>
      <c r="B1" s="558"/>
      <c r="C1" s="558"/>
      <c r="D1" s="558"/>
      <c r="E1" s="558"/>
      <c r="F1" s="558"/>
    </row>
    <row r="2" spans="1:6" ht="15" customHeight="1" thickBot="1">
      <c r="A2" s="8"/>
      <c r="B2" s="7" t="s">
        <v>243</v>
      </c>
      <c r="C2" s="87"/>
      <c r="E2" s="72" t="s">
        <v>184</v>
      </c>
      <c r="F2" s="468">
        <f>SUM(E4:E118)</f>
        <v>107825</v>
      </c>
    </row>
    <row r="3" spans="1:6" ht="15" customHeight="1" thickBot="1">
      <c r="A3" s="99" t="s">
        <v>17</v>
      </c>
      <c r="B3" s="100" t="s">
        <v>203</v>
      </c>
      <c r="C3" s="100" t="s">
        <v>204</v>
      </c>
      <c r="D3" s="98" t="s">
        <v>18</v>
      </c>
      <c r="E3" s="41" t="s">
        <v>182</v>
      </c>
      <c r="F3" s="101" t="s">
        <v>19</v>
      </c>
    </row>
    <row r="4" spans="1:6" ht="15" customHeight="1">
      <c r="A4" s="102">
        <v>1</v>
      </c>
      <c r="B4" s="160" t="s">
        <v>205</v>
      </c>
      <c r="C4" s="160" t="s">
        <v>206</v>
      </c>
      <c r="D4" s="161" t="s">
        <v>20</v>
      </c>
      <c r="E4" s="187">
        <v>8000</v>
      </c>
      <c r="F4" s="103" t="s">
        <v>276</v>
      </c>
    </row>
    <row r="5" spans="1:6" ht="15" customHeight="1">
      <c r="A5" s="104">
        <v>2</v>
      </c>
      <c r="B5" s="162" t="s">
        <v>205</v>
      </c>
      <c r="C5" s="162" t="s">
        <v>206</v>
      </c>
      <c r="D5" s="163" t="s">
        <v>21</v>
      </c>
      <c r="E5" s="188"/>
      <c r="F5" s="78"/>
    </row>
    <row r="6" spans="1:6" ht="15" customHeight="1">
      <c r="A6" s="104">
        <v>3</v>
      </c>
      <c r="B6" s="162" t="s">
        <v>205</v>
      </c>
      <c r="C6" s="162" t="s">
        <v>206</v>
      </c>
      <c r="D6" s="163" t="s">
        <v>22</v>
      </c>
      <c r="E6" s="188"/>
      <c r="F6" s="78"/>
    </row>
    <row r="7" spans="1:6" ht="15" customHeight="1">
      <c r="A7" s="104">
        <v>4</v>
      </c>
      <c r="B7" s="162" t="s">
        <v>205</v>
      </c>
      <c r="C7" s="162" t="s">
        <v>206</v>
      </c>
      <c r="D7" s="163" t="s">
        <v>23</v>
      </c>
      <c r="E7" s="188">
        <v>2000</v>
      </c>
      <c r="F7" s="78"/>
    </row>
    <row r="8" spans="1:6" ht="15" customHeight="1">
      <c r="A8" s="104">
        <v>5</v>
      </c>
      <c r="B8" s="162" t="s">
        <v>205</v>
      </c>
      <c r="C8" s="162" t="s">
        <v>206</v>
      </c>
      <c r="D8" s="163" t="s">
        <v>24</v>
      </c>
      <c r="E8" s="188"/>
      <c r="F8" s="78"/>
    </row>
    <row r="9" spans="1:6" ht="15" customHeight="1">
      <c r="A9" s="104">
        <v>6</v>
      </c>
      <c r="B9" s="162" t="s">
        <v>205</v>
      </c>
      <c r="C9" s="162" t="s">
        <v>206</v>
      </c>
      <c r="D9" s="163" t="s">
        <v>25</v>
      </c>
      <c r="E9" s="188"/>
      <c r="F9" s="78"/>
    </row>
    <row r="10" spans="1:6" ht="15" customHeight="1">
      <c r="A10" s="104">
        <v>7</v>
      </c>
      <c r="B10" s="162" t="s">
        <v>205</v>
      </c>
      <c r="C10" s="162" t="s">
        <v>206</v>
      </c>
      <c r="D10" s="163" t="s">
        <v>26</v>
      </c>
      <c r="E10" s="188"/>
      <c r="F10" s="78"/>
    </row>
    <row r="11" spans="1:6" ht="15" customHeight="1">
      <c r="A11" s="104">
        <v>8</v>
      </c>
      <c r="B11" s="162" t="s">
        <v>205</v>
      </c>
      <c r="C11" s="162" t="s">
        <v>206</v>
      </c>
      <c r="D11" s="163" t="s">
        <v>27</v>
      </c>
      <c r="E11" s="188"/>
      <c r="F11" s="78"/>
    </row>
    <row r="12" spans="1:6" ht="15" customHeight="1">
      <c r="A12" s="104">
        <v>9</v>
      </c>
      <c r="B12" s="162" t="s">
        <v>205</v>
      </c>
      <c r="C12" s="162" t="s">
        <v>206</v>
      </c>
      <c r="D12" s="163" t="s">
        <v>28</v>
      </c>
      <c r="E12" s="188"/>
      <c r="F12" s="78"/>
    </row>
    <row r="13" spans="1:6" ht="15" customHeight="1">
      <c r="A13" s="104">
        <v>10</v>
      </c>
      <c r="B13" s="162" t="s">
        <v>205</v>
      </c>
      <c r="C13" s="162" t="s">
        <v>206</v>
      </c>
      <c r="D13" s="163" t="s">
        <v>29</v>
      </c>
      <c r="E13" s="188"/>
      <c r="F13" s="78"/>
    </row>
    <row r="14" spans="1:6" ht="15" customHeight="1">
      <c r="A14" s="104">
        <v>11</v>
      </c>
      <c r="B14" s="162" t="s">
        <v>205</v>
      </c>
      <c r="C14" s="162" t="s">
        <v>206</v>
      </c>
      <c r="D14" s="163" t="s">
        <v>30</v>
      </c>
      <c r="E14" s="188"/>
      <c r="F14" s="78"/>
    </row>
    <row r="15" spans="1:6" ht="15" customHeight="1">
      <c r="A15" s="104">
        <v>12</v>
      </c>
      <c r="B15" s="162" t="s">
        <v>205</v>
      </c>
      <c r="C15" s="162" t="s">
        <v>206</v>
      </c>
      <c r="D15" s="163" t="s">
        <v>31</v>
      </c>
      <c r="E15" s="188"/>
      <c r="F15" s="78"/>
    </row>
    <row r="16" spans="1:6" ht="15" customHeight="1">
      <c r="A16" s="104">
        <v>13</v>
      </c>
      <c r="B16" s="162" t="s">
        <v>205</v>
      </c>
      <c r="C16" s="162" t="s">
        <v>206</v>
      </c>
      <c r="D16" s="163" t="s">
        <v>32</v>
      </c>
      <c r="E16" s="188">
        <v>735</v>
      </c>
      <c r="F16" s="78"/>
    </row>
    <row r="17" spans="1:6" ht="15" customHeight="1">
      <c r="A17" s="104">
        <v>14</v>
      </c>
      <c r="B17" s="162" t="s">
        <v>205</v>
      </c>
      <c r="C17" s="162" t="s">
        <v>206</v>
      </c>
      <c r="D17" s="163" t="s">
        <v>33</v>
      </c>
      <c r="E17" s="188">
        <v>8000</v>
      </c>
      <c r="F17" s="78"/>
    </row>
    <row r="18" spans="1:6" ht="15" customHeight="1">
      <c r="A18" s="104">
        <v>15</v>
      </c>
      <c r="B18" s="162" t="s">
        <v>205</v>
      </c>
      <c r="C18" s="162" t="s">
        <v>206</v>
      </c>
      <c r="D18" s="163" t="s">
        <v>76</v>
      </c>
      <c r="E18" s="188"/>
      <c r="F18" s="78"/>
    </row>
    <row r="19" spans="1:6" ht="15" customHeight="1">
      <c r="A19" s="104">
        <v>16</v>
      </c>
      <c r="B19" s="162" t="s">
        <v>205</v>
      </c>
      <c r="C19" s="162" t="s">
        <v>206</v>
      </c>
      <c r="D19" s="163" t="s">
        <v>77</v>
      </c>
      <c r="E19" s="188">
        <v>18000</v>
      </c>
      <c r="F19" s="78"/>
    </row>
    <row r="20" spans="1:6" ht="15" customHeight="1">
      <c r="A20" s="104">
        <v>17</v>
      </c>
      <c r="B20" s="162" t="s">
        <v>205</v>
      </c>
      <c r="C20" s="162" t="s">
        <v>206</v>
      </c>
      <c r="D20" s="163" t="s">
        <v>78</v>
      </c>
      <c r="E20" s="188"/>
      <c r="F20" s="78"/>
    </row>
    <row r="21" spans="1:6" ht="15" customHeight="1">
      <c r="A21" s="104">
        <v>18</v>
      </c>
      <c r="B21" s="162" t="s">
        <v>205</v>
      </c>
      <c r="C21" s="162" t="s">
        <v>206</v>
      </c>
      <c r="D21" s="163" t="s">
        <v>79</v>
      </c>
      <c r="E21" s="188"/>
      <c r="F21" s="78"/>
    </row>
    <row r="22" spans="1:6" ht="15" customHeight="1">
      <c r="A22" s="104">
        <v>19</v>
      </c>
      <c r="B22" s="162" t="s">
        <v>205</v>
      </c>
      <c r="C22" s="162" t="s">
        <v>206</v>
      </c>
      <c r="D22" s="163" t="s">
        <v>80</v>
      </c>
      <c r="E22" s="188"/>
      <c r="F22" s="78"/>
    </row>
    <row r="23" spans="1:6" ht="15" customHeight="1">
      <c r="A23" s="104">
        <v>20</v>
      </c>
      <c r="B23" s="162" t="s">
        <v>205</v>
      </c>
      <c r="C23" s="164" t="s">
        <v>206</v>
      </c>
      <c r="D23" s="165" t="s">
        <v>237</v>
      </c>
      <c r="E23" s="189"/>
      <c r="F23" s="107"/>
    </row>
    <row r="24" spans="1:6" ht="15" customHeight="1">
      <c r="A24" s="104">
        <v>21</v>
      </c>
      <c r="B24" s="162" t="s">
        <v>205</v>
      </c>
      <c r="C24" s="166" t="s">
        <v>207</v>
      </c>
      <c r="D24" s="167" t="s">
        <v>136</v>
      </c>
      <c r="E24" s="190"/>
      <c r="F24" s="77"/>
    </row>
    <row r="25" spans="1:6" ht="15" customHeight="1">
      <c r="A25" s="104">
        <v>22</v>
      </c>
      <c r="B25" s="162" t="s">
        <v>205</v>
      </c>
      <c r="C25" s="162" t="s">
        <v>207</v>
      </c>
      <c r="D25" s="163" t="s">
        <v>227</v>
      </c>
      <c r="E25" s="188"/>
      <c r="F25" s="78"/>
    </row>
    <row r="26" spans="1:6" ht="15" customHeight="1">
      <c r="A26" s="104">
        <v>23</v>
      </c>
      <c r="B26" s="162" t="s">
        <v>205</v>
      </c>
      <c r="C26" s="162" t="s">
        <v>207</v>
      </c>
      <c r="D26" s="163" t="s">
        <v>228</v>
      </c>
      <c r="E26" s="188"/>
      <c r="F26" s="78"/>
    </row>
    <row r="27" spans="1:6" ht="15" customHeight="1">
      <c r="A27" s="104">
        <v>24</v>
      </c>
      <c r="B27" s="162" t="s">
        <v>205</v>
      </c>
      <c r="C27" s="162" t="s">
        <v>207</v>
      </c>
      <c r="D27" s="163" t="s">
        <v>208</v>
      </c>
      <c r="E27" s="188">
        <v>4000</v>
      </c>
      <c r="F27" s="78"/>
    </row>
    <row r="28" spans="1:6" ht="15" customHeight="1">
      <c r="A28" s="104">
        <v>25</v>
      </c>
      <c r="B28" s="162" t="s">
        <v>205</v>
      </c>
      <c r="C28" s="162" t="s">
        <v>207</v>
      </c>
      <c r="D28" s="163" t="s">
        <v>81</v>
      </c>
      <c r="E28" s="188"/>
      <c r="F28" s="78"/>
    </row>
    <row r="29" spans="1:6" ht="15" customHeight="1">
      <c r="A29" s="104">
        <v>26</v>
      </c>
      <c r="B29" s="162" t="s">
        <v>205</v>
      </c>
      <c r="C29" s="162" t="s">
        <v>207</v>
      </c>
      <c r="D29" s="163" t="s">
        <v>82</v>
      </c>
      <c r="E29" s="188"/>
      <c r="F29" s="78"/>
    </row>
    <row r="30" spans="1:6" ht="15" customHeight="1">
      <c r="A30" s="104">
        <v>27</v>
      </c>
      <c r="B30" s="162" t="s">
        <v>205</v>
      </c>
      <c r="C30" s="164" t="s">
        <v>207</v>
      </c>
      <c r="D30" s="165" t="s">
        <v>229</v>
      </c>
      <c r="E30" s="189"/>
      <c r="F30" s="107"/>
    </row>
    <row r="31" spans="1:6" ht="15" customHeight="1">
      <c r="A31" s="104">
        <v>28</v>
      </c>
      <c r="B31" s="162" t="s">
        <v>205</v>
      </c>
      <c r="C31" s="170" t="s">
        <v>209</v>
      </c>
      <c r="D31" s="171" t="s">
        <v>38</v>
      </c>
      <c r="E31" s="191">
        <v>3000</v>
      </c>
      <c r="F31" s="172" t="s">
        <v>276</v>
      </c>
    </row>
    <row r="32" spans="1:6" ht="15" customHeight="1">
      <c r="A32" s="104">
        <v>29</v>
      </c>
      <c r="B32" s="162" t="s">
        <v>205</v>
      </c>
      <c r="C32" s="160"/>
      <c r="D32" s="161" t="s">
        <v>50</v>
      </c>
      <c r="E32" s="187"/>
      <c r="F32" s="103"/>
    </row>
    <row r="33" spans="1:6" ht="15" customHeight="1">
      <c r="A33" s="104">
        <v>30</v>
      </c>
      <c r="B33" s="162" t="s">
        <v>205</v>
      </c>
      <c r="C33" s="162"/>
      <c r="D33" s="163" t="s">
        <v>49</v>
      </c>
      <c r="E33" s="188"/>
      <c r="F33" s="78"/>
    </row>
    <row r="34" spans="1:6" ht="15" customHeight="1">
      <c r="A34" s="104">
        <v>31</v>
      </c>
      <c r="B34" s="162" t="s">
        <v>205</v>
      </c>
      <c r="C34" s="162"/>
      <c r="D34" s="163" t="s">
        <v>41</v>
      </c>
      <c r="E34" s="188"/>
      <c r="F34" s="78"/>
    </row>
    <row r="35" spans="1:6" ht="15" customHeight="1">
      <c r="A35" s="104">
        <v>32</v>
      </c>
      <c r="B35" s="162" t="s">
        <v>205</v>
      </c>
      <c r="C35" s="162"/>
      <c r="D35" s="163" t="s">
        <v>40</v>
      </c>
      <c r="E35" s="188"/>
      <c r="F35" s="78"/>
    </row>
    <row r="36" spans="1:6" ht="15" customHeight="1">
      <c r="A36" s="104">
        <v>33</v>
      </c>
      <c r="B36" s="162" t="s">
        <v>205</v>
      </c>
      <c r="C36" s="162"/>
      <c r="D36" s="163" t="s">
        <v>43</v>
      </c>
      <c r="E36" s="188"/>
      <c r="F36" s="78"/>
    </row>
    <row r="37" spans="1:6" ht="15" customHeight="1">
      <c r="A37" s="104">
        <v>34</v>
      </c>
      <c r="B37" s="162" t="s">
        <v>205</v>
      </c>
      <c r="C37" s="162"/>
      <c r="D37" s="163" t="s">
        <v>47</v>
      </c>
      <c r="E37" s="188"/>
      <c r="F37" s="78"/>
    </row>
    <row r="38" spans="1:6" ht="15" customHeight="1">
      <c r="A38" s="104">
        <v>35</v>
      </c>
      <c r="B38" s="162" t="s">
        <v>205</v>
      </c>
      <c r="C38" s="162"/>
      <c r="D38" s="163" t="s">
        <v>230</v>
      </c>
      <c r="E38" s="188"/>
      <c r="F38" s="78"/>
    </row>
    <row r="39" spans="1:6" ht="15" customHeight="1">
      <c r="A39" s="104">
        <v>36</v>
      </c>
      <c r="B39" s="162" t="s">
        <v>205</v>
      </c>
      <c r="C39" s="162"/>
      <c r="D39" s="163" t="s">
        <v>48</v>
      </c>
      <c r="E39" s="188"/>
      <c r="F39" s="78"/>
    </row>
    <row r="40" spans="1:6" ht="15" customHeight="1">
      <c r="A40" s="104">
        <v>37</v>
      </c>
      <c r="B40" s="162" t="s">
        <v>205</v>
      </c>
      <c r="C40" s="162"/>
      <c r="D40" s="163" t="s">
        <v>44</v>
      </c>
      <c r="E40" s="188"/>
      <c r="F40" s="78"/>
    </row>
    <row r="41" spans="1:6" ht="15" customHeight="1">
      <c r="A41" s="104">
        <v>38</v>
      </c>
      <c r="B41" s="162" t="s">
        <v>205</v>
      </c>
      <c r="C41" s="162"/>
      <c r="D41" s="163" t="s">
        <v>210</v>
      </c>
      <c r="E41" s="188"/>
      <c r="F41" s="78"/>
    </row>
    <row r="42" spans="1:6" ht="15" customHeight="1">
      <c r="A42" s="104">
        <v>39</v>
      </c>
      <c r="B42" s="162" t="s">
        <v>205</v>
      </c>
      <c r="C42" s="162"/>
      <c r="D42" s="163" t="s">
        <v>51</v>
      </c>
      <c r="E42" s="188"/>
      <c r="F42" s="78"/>
    </row>
    <row r="43" spans="1:6" ht="15" customHeight="1">
      <c r="A43" s="104">
        <v>40</v>
      </c>
      <c r="B43" s="162" t="s">
        <v>205</v>
      </c>
      <c r="C43" s="162"/>
      <c r="D43" s="163" t="s">
        <v>53</v>
      </c>
      <c r="E43" s="188"/>
      <c r="F43" s="78"/>
    </row>
    <row r="44" spans="1:6" ht="15" customHeight="1">
      <c r="A44" s="104">
        <v>41</v>
      </c>
      <c r="B44" s="162" t="s">
        <v>205</v>
      </c>
      <c r="C44" s="162"/>
      <c r="D44" s="163" t="s">
        <v>52</v>
      </c>
      <c r="E44" s="188"/>
      <c r="F44" s="78"/>
    </row>
    <row r="45" spans="1:6" ht="15" customHeight="1">
      <c r="A45" s="104">
        <v>42</v>
      </c>
      <c r="B45" s="162" t="s">
        <v>205</v>
      </c>
      <c r="C45" s="162"/>
      <c r="D45" s="163" t="s">
        <v>42</v>
      </c>
      <c r="E45" s="188"/>
      <c r="F45" s="78"/>
    </row>
    <row r="46" spans="1:6" ht="15" customHeight="1">
      <c r="A46" s="104">
        <v>43</v>
      </c>
      <c r="B46" s="162" t="s">
        <v>205</v>
      </c>
      <c r="C46" s="162"/>
      <c r="D46" s="163" t="s">
        <v>45</v>
      </c>
      <c r="E46" s="188"/>
      <c r="F46" s="78"/>
    </row>
    <row r="47" spans="1:6" ht="15" customHeight="1">
      <c r="A47" s="104">
        <v>44</v>
      </c>
      <c r="B47" s="162" t="s">
        <v>205</v>
      </c>
      <c r="C47" s="162"/>
      <c r="D47" s="163" t="s">
        <v>46</v>
      </c>
      <c r="E47" s="188"/>
      <c r="F47" s="78"/>
    </row>
    <row r="48" spans="1:6" ht="15" customHeight="1" thickBot="1">
      <c r="A48" s="108">
        <v>45</v>
      </c>
      <c r="B48" s="168" t="s">
        <v>205</v>
      </c>
      <c r="C48" s="168"/>
      <c r="D48" s="169" t="s">
        <v>231</v>
      </c>
      <c r="E48" s="192">
        <v>3600</v>
      </c>
      <c r="F48" s="79"/>
    </row>
    <row r="49" spans="1:6" ht="15" customHeight="1">
      <c r="A49" s="102">
        <v>46</v>
      </c>
      <c r="B49" s="160" t="s">
        <v>211</v>
      </c>
      <c r="C49" s="160" t="s">
        <v>206</v>
      </c>
      <c r="D49" s="161" t="s">
        <v>241</v>
      </c>
      <c r="E49" s="187"/>
      <c r="F49" s="103"/>
    </row>
    <row r="50" spans="1:6" ht="15" customHeight="1">
      <c r="A50" s="104">
        <v>47</v>
      </c>
      <c r="B50" s="162" t="s">
        <v>211</v>
      </c>
      <c r="C50" s="162" t="s">
        <v>206</v>
      </c>
      <c r="D50" s="163" t="s">
        <v>242</v>
      </c>
      <c r="E50" s="188"/>
      <c r="F50" s="78"/>
    </row>
    <row r="51" spans="1:6" ht="15" customHeight="1">
      <c r="A51" s="104">
        <v>48</v>
      </c>
      <c r="B51" s="162" t="s">
        <v>211</v>
      </c>
      <c r="C51" s="162" t="s">
        <v>206</v>
      </c>
      <c r="D51" s="163" t="s">
        <v>34</v>
      </c>
      <c r="E51" s="188">
        <v>5000</v>
      </c>
      <c r="F51" s="78"/>
    </row>
    <row r="52" spans="1:6" ht="15" customHeight="1">
      <c r="A52" s="104">
        <v>49</v>
      </c>
      <c r="B52" s="162" t="s">
        <v>211</v>
      </c>
      <c r="C52" s="162" t="s">
        <v>206</v>
      </c>
      <c r="D52" s="163" t="s">
        <v>232</v>
      </c>
      <c r="E52" s="188"/>
      <c r="F52" s="78"/>
    </row>
    <row r="53" spans="1:6" ht="15" customHeight="1">
      <c r="A53" s="104">
        <v>50</v>
      </c>
      <c r="B53" s="162" t="s">
        <v>211</v>
      </c>
      <c r="C53" s="162" t="s">
        <v>206</v>
      </c>
      <c r="D53" s="163" t="s">
        <v>238</v>
      </c>
      <c r="E53" s="188"/>
      <c r="F53" s="78"/>
    </row>
    <row r="54" spans="1:6" ht="15" customHeight="1">
      <c r="A54" s="104">
        <v>51</v>
      </c>
      <c r="B54" s="162" t="s">
        <v>211</v>
      </c>
      <c r="C54" s="162" t="s">
        <v>206</v>
      </c>
      <c r="D54" s="163" t="s">
        <v>128</v>
      </c>
      <c r="E54" s="188">
        <v>5000</v>
      </c>
      <c r="F54" s="78"/>
    </row>
    <row r="55" spans="1:6" ht="15" customHeight="1">
      <c r="A55" s="104">
        <v>52</v>
      </c>
      <c r="B55" s="162" t="s">
        <v>211</v>
      </c>
      <c r="C55" s="162" t="s">
        <v>206</v>
      </c>
      <c r="D55" s="163" t="s">
        <v>132</v>
      </c>
      <c r="E55" s="188"/>
      <c r="F55" s="78"/>
    </row>
    <row r="56" spans="1:6" ht="15" customHeight="1">
      <c r="A56" s="104">
        <v>53</v>
      </c>
      <c r="B56" s="162" t="s">
        <v>211</v>
      </c>
      <c r="C56" s="162" t="s">
        <v>206</v>
      </c>
      <c r="D56" s="163" t="s">
        <v>133</v>
      </c>
      <c r="E56" s="188"/>
      <c r="F56" s="78"/>
    </row>
    <row r="57" spans="1:6" ht="15" customHeight="1">
      <c r="A57" s="104">
        <v>54</v>
      </c>
      <c r="B57" s="162" t="s">
        <v>211</v>
      </c>
      <c r="C57" s="164" t="s">
        <v>206</v>
      </c>
      <c r="D57" s="165" t="s">
        <v>134</v>
      </c>
      <c r="E57" s="189"/>
      <c r="F57" s="107"/>
    </row>
    <row r="58" spans="1:6" ht="15" customHeight="1">
      <c r="A58" s="104">
        <v>55</v>
      </c>
      <c r="B58" s="162" t="s">
        <v>211</v>
      </c>
      <c r="C58" s="160" t="s">
        <v>207</v>
      </c>
      <c r="D58" s="161" t="s">
        <v>233</v>
      </c>
      <c r="E58" s="187"/>
      <c r="F58" s="103"/>
    </row>
    <row r="59" spans="1:6" ht="15" customHeight="1">
      <c r="A59" s="104">
        <v>56</v>
      </c>
      <c r="B59" s="162" t="s">
        <v>211</v>
      </c>
      <c r="C59" s="162" t="s">
        <v>207</v>
      </c>
      <c r="D59" s="163" t="s">
        <v>212</v>
      </c>
      <c r="E59" s="188">
        <v>4000</v>
      </c>
      <c r="F59" s="78"/>
    </row>
    <row r="60" spans="1:6" ht="15" customHeight="1">
      <c r="A60" s="104">
        <v>57</v>
      </c>
      <c r="B60" s="162" t="s">
        <v>211</v>
      </c>
      <c r="C60" s="162" t="s">
        <v>207</v>
      </c>
      <c r="D60" s="163" t="s">
        <v>83</v>
      </c>
      <c r="E60" s="188"/>
      <c r="F60" s="78"/>
    </row>
    <row r="61" spans="1:6" ht="15" customHeight="1">
      <c r="A61" s="104">
        <v>58</v>
      </c>
      <c r="B61" s="162" t="s">
        <v>211</v>
      </c>
      <c r="C61" s="162" t="s">
        <v>207</v>
      </c>
      <c r="D61" s="163" t="s">
        <v>234</v>
      </c>
      <c r="E61" s="188"/>
      <c r="F61" s="78"/>
    </row>
    <row r="62" spans="1:6" ht="15" customHeight="1">
      <c r="A62" s="104">
        <v>59</v>
      </c>
      <c r="B62" s="162" t="s">
        <v>211</v>
      </c>
      <c r="C62" s="164" t="s">
        <v>207</v>
      </c>
      <c r="D62" s="165" t="s">
        <v>135</v>
      </c>
      <c r="E62" s="189"/>
      <c r="F62" s="107"/>
    </row>
    <row r="63" spans="1:6" ht="15" customHeight="1">
      <c r="A63" s="104">
        <v>60</v>
      </c>
      <c r="B63" s="162" t="s">
        <v>211</v>
      </c>
      <c r="C63" s="160" t="s">
        <v>209</v>
      </c>
      <c r="D63" s="161" t="s">
        <v>127</v>
      </c>
      <c r="E63" s="187">
        <v>1800</v>
      </c>
      <c r="F63" s="103"/>
    </row>
    <row r="64" spans="1:6" ht="15" customHeight="1">
      <c r="A64" s="104">
        <v>61</v>
      </c>
      <c r="B64" s="162" t="s">
        <v>211</v>
      </c>
      <c r="C64" s="164" t="s">
        <v>209</v>
      </c>
      <c r="D64" s="165" t="s">
        <v>129</v>
      </c>
      <c r="E64" s="189">
        <v>2500</v>
      </c>
      <c r="F64" s="107"/>
    </row>
    <row r="65" spans="1:6" ht="15" customHeight="1">
      <c r="A65" s="104">
        <v>62</v>
      </c>
      <c r="B65" s="162" t="s">
        <v>211</v>
      </c>
      <c r="C65" s="160"/>
      <c r="D65" s="161" t="s">
        <v>56</v>
      </c>
      <c r="E65" s="187"/>
      <c r="F65" s="103"/>
    </row>
    <row r="66" spans="1:6" ht="15" customHeight="1">
      <c r="A66" s="104">
        <v>63</v>
      </c>
      <c r="B66" s="162" t="s">
        <v>211</v>
      </c>
      <c r="C66" s="162"/>
      <c r="D66" s="163" t="s">
        <v>55</v>
      </c>
      <c r="E66" s="188">
        <v>2000</v>
      </c>
      <c r="F66" s="78"/>
    </row>
    <row r="67" spans="1:6" ht="15" customHeight="1">
      <c r="A67" s="104">
        <v>64</v>
      </c>
      <c r="B67" s="162" t="s">
        <v>211</v>
      </c>
      <c r="C67" s="162"/>
      <c r="D67" s="163" t="s">
        <v>59</v>
      </c>
      <c r="E67" s="188"/>
      <c r="F67" s="78"/>
    </row>
    <row r="68" spans="1:6" ht="15" customHeight="1">
      <c r="A68" s="104">
        <v>65</v>
      </c>
      <c r="B68" s="162" t="s">
        <v>211</v>
      </c>
      <c r="C68" s="162"/>
      <c r="D68" s="163" t="s">
        <v>57</v>
      </c>
      <c r="E68" s="188"/>
      <c r="F68" s="78"/>
    </row>
    <row r="69" spans="1:6" ht="15" customHeight="1">
      <c r="A69" s="104">
        <v>66</v>
      </c>
      <c r="B69" s="162" t="s">
        <v>211</v>
      </c>
      <c r="C69" s="164"/>
      <c r="D69" s="165" t="s">
        <v>239</v>
      </c>
      <c r="E69" s="189"/>
      <c r="F69" s="107"/>
    </row>
    <row r="70" spans="1:6" ht="15" customHeight="1">
      <c r="A70" s="104">
        <v>67</v>
      </c>
      <c r="B70" s="162" t="s">
        <v>211</v>
      </c>
      <c r="C70" s="166"/>
      <c r="D70" s="167" t="s">
        <v>58</v>
      </c>
      <c r="E70" s="190"/>
      <c r="F70" s="77"/>
    </row>
    <row r="71" spans="1:6" ht="15" customHeight="1">
      <c r="A71" s="104">
        <v>68</v>
      </c>
      <c r="B71" s="162" t="s">
        <v>211</v>
      </c>
      <c r="C71" s="162"/>
      <c r="D71" s="163" t="s">
        <v>60</v>
      </c>
      <c r="E71" s="188"/>
      <c r="F71" s="78"/>
    </row>
    <row r="72" spans="1:6" ht="15" customHeight="1">
      <c r="A72" s="104">
        <v>69</v>
      </c>
      <c r="B72" s="162" t="s">
        <v>211</v>
      </c>
      <c r="C72" s="162"/>
      <c r="D72" s="163" t="s">
        <v>61</v>
      </c>
      <c r="E72" s="188"/>
      <c r="F72" s="78"/>
    </row>
    <row r="73" spans="1:6" ht="15" customHeight="1">
      <c r="A73" s="104">
        <v>70</v>
      </c>
      <c r="B73" s="162" t="s">
        <v>211</v>
      </c>
      <c r="C73" s="162"/>
      <c r="D73" s="163" t="s">
        <v>54</v>
      </c>
      <c r="E73" s="188"/>
      <c r="F73" s="78"/>
    </row>
    <row r="74" spans="1:6" ht="15" customHeight="1">
      <c r="A74" s="104">
        <v>71</v>
      </c>
      <c r="B74" s="162" t="s">
        <v>211</v>
      </c>
      <c r="C74" s="162"/>
      <c r="D74" s="163" t="s">
        <v>116</v>
      </c>
      <c r="E74" s="188"/>
      <c r="F74" s="78"/>
    </row>
    <row r="75" spans="1:6" ht="15" customHeight="1">
      <c r="A75" s="104">
        <v>72</v>
      </c>
      <c r="B75" s="162" t="s">
        <v>211</v>
      </c>
      <c r="C75" s="162"/>
      <c r="D75" s="163" t="s">
        <v>213</v>
      </c>
      <c r="E75" s="188"/>
      <c r="F75" s="78"/>
    </row>
    <row r="76" spans="1:6" ht="15" customHeight="1">
      <c r="A76" s="104">
        <v>73</v>
      </c>
      <c r="B76" s="162" t="s">
        <v>211</v>
      </c>
      <c r="C76" s="162"/>
      <c r="D76" s="163" t="s">
        <v>214</v>
      </c>
      <c r="E76" s="188"/>
      <c r="F76" s="78"/>
    </row>
    <row r="77" spans="1:6" ht="15" customHeight="1">
      <c r="A77" s="104">
        <v>74</v>
      </c>
      <c r="B77" s="162" t="s">
        <v>211</v>
      </c>
      <c r="C77" s="162"/>
      <c r="D77" s="163" t="s">
        <v>240</v>
      </c>
      <c r="E77" s="188"/>
      <c r="F77" s="78"/>
    </row>
    <row r="78" spans="1:6" ht="15" customHeight="1" thickBot="1">
      <c r="A78" s="108">
        <v>75</v>
      </c>
      <c r="B78" s="168" t="s">
        <v>235</v>
      </c>
      <c r="C78" s="168"/>
      <c r="D78" s="169" t="s">
        <v>62</v>
      </c>
      <c r="E78" s="192"/>
      <c r="F78" s="79"/>
    </row>
    <row r="79" spans="1:6" ht="15" customHeight="1">
      <c r="A79" s="102">
        <v>76</v>
      </c>
      <c r="B79" s="160" t="s">
        <v>215</v>
      </c>
      <c r="C79" s="160" t="s">
        <v>206</v>
      </c>
      <c r="D79" s="161" t="s">
        <v>35</v>
      </c>
      <c r="E79" s="187"/>
      <c r="F79" s="103"/>
    </row>
    <row r="80" spans="1:6" ht="15" customHeight="1">
      <c r="A80" s="104">
        <v>77</v>
      </c>
      <c r="B80" s="162" t="s">
        <v>215</v>
      </c>
      <c r="C80" s="164" t="s">
        <v>206</v>
      </c>
      <c r="D80" s="165" t="s">
        <v>36</v>
      </c>
      <c r="E80" s="189"/>
      <c r="F80" s="107"/>
    </row>
    <row r="81" spans="1:6" ht="15" customHeight="1">
      <c r="A81" s="104">
        <v>78</v>
      </c>
      <c r="B81" s="162" t="s">
        <v>215</v>
      </c>
      <c r="C81" s="170" t="s">
        <v>207</v>
      </c>
      <c r="D81" s="171" t="s">
        <v>37</v>
      </c>
      <c r="E81" s="191"/>
      <c r="F81" s="172"/>
    </row>
    <row r="82" spans="1:6" ht="15" customHeight="1">
      <c r="A82" s="104">
        <v>79</v>
      </c>
      <c r="B82" s="162" t="s">
        <v>215</v>
      </c>
      <c r="C82" s="170" t="s">
        <v>209</v>
      </c>
      <c r="D82" s="171" t="s">
        <v>39</v>
      </c>
      <c r="E82" s="191">
        <v>1000</v>
      </c>
      <c r="F82" s="172"/>
    </row>
    <row r="83" spans="1:6" ht="15" customHeight="1">
      <c r="A83" s="104">
        <v>80</v>
      </c>
      <c r="B83" s="162" t="s">
        <v>215</v>
      </c>
      <c r="C83" s="160"/>
      <c r="D83" s="161" t="s">
        <v>75</v>
      </c>
      <c r="E83" s="187"/>
      <c r="F83" s="103"/>
    </row>
    <row r="84" spans="1:6" ht="15" customHeight="1">
      <c r="A84" s="104">
        <v>81</v>
      </c>
      <c r="B84" s="162" t="s">
        <v>215</v>
      </c>
      <c r="C84" s="162"/>
      <c r="D84" s="163" t="s">
        <v>63</v>
      </c>
      <c r="E84" s="188"/>
      <c r="F84" s="78"/>
    </row>
    <row r="85" spans="1:6" ht="15" customHeight="1">
      <c r="A85" s="104">
        <v>82</v>
      </c>
      <c r="B85" s="162" t="s">
        <v>215</v>
      </c>
      <c r="C85" s="162"/>
      <c r="D85" s="163" t="s">
        <v>71</v>
      </c>
      <c r="E85" s="188"/>
      <c r="F85" s="78"/>
    </row>
    <row r="86" spans="1:6" ht="15" customHeight="1">
      <c r="A86" s="104">
        <v>83</v>
      </c>
      <c r="B86" s="162" t="s">
        <v>215</v>
      </c>
      <c r="C86" s="162"/>
      <c r="D86" s="163" t="s">
        <v>67</v>
      </c>
      <c r="E86" s="188"/>
      <c r="F86" s="78"/>
    </row>
    <row r="87" spans="1:6" ht="15" customHeight="1">
      <c r="A87" s="104">
        <v>84</v>
      </c>
      <c r="B87" s="162" t="s">
        <v>215</v>
      </c>
      <c r="C87" s="162"/>
      <c r="D87" s="163" t="s">
        <v>70</v>
      </c>
      <c r="E87" s="188"/>
      <c r="F87" s="78"/>
    </row>
    <row r="88" spans="1:6" ht="15" customHeight="1">
      <c r="A88" s="104">
        <v>85</v>
      </c>
      <c r="B88" s="162" t="s">
        <v>215</v>
      </c>
      <c r="C88" s="162"/>
      <c r="D88" s="163" t="s">
        <v>65</v>
      </c>
      <c r="E88" s="188">
        <v>1500</v>
      </c>
      <c r="F88" s="78"/>
    </row>
    <row r="89" spans="1:6" ht="15" customHeight="1">
      <c r="A89" s="104">
        <v>86</v>
      </c>
      <c r="B89" s="162" t="s">
        <v>215</v>
      </c>
      <c r="C89" s="162"/>
      <c r="D89" s="163" t="s">
        <v>73</v>
      </c>
      <c r="E89" s="188"/>
      <c r="F89" s="78"/>
    </row>
    <row r="90" spans="1:6" ht="15" customHeight="1">
      <c r="A90" s="104">
        <v>87</v>
      </c>
      <c r="B90" s="162" t="s">
        <v>215</v>
      </c>
      <c r="C90" s="162"/>
      <c r="D90" s="163" t="s">
        <v>130</v>
      </c>
      <c r="E90" s="188">
        <v>1700</v>
      </c>
      <c r="F90" s="78"/>
    </row>
    <row r="91" spans="1:6" ht="15" customHeight="1">
      <c r="A91" s="104">
        <v>88</v>
      </c>
      <c r="B91" s="162" t="s">
        <v>215</v>
      </c>
      <c r="C91" s="162"/>
      <c r="D91" s="163" t="s">
        <v>216</v>
      </c>
      <c r="E91" s="188"/>
      <c r="F91" s="78"/>
    </row>
    <row r="92" spans="1:6" ht="15" customHeight="1">
      <c r="A92" s="104">
        <v>89</v>
      </c>
      <c r="B92" s="162" t="s">
        <v>215</v>
      </c>
      <c r="C92" s="162"/>
      <c r="D92" s="163" t="s">
        <v>74</v>
      </c>
      <c r="E92" s="188"/>
      <c r="F92" s="78"/>
    </row>
    <row r="93" spans="1:6" ht="15" customHeight="1">
      <c r="A93" s="104">
        <v>90</v>
      </c>
      <c r="B93" s="162" t="s">
        <v>215</v>
      </c>
      <c r="C93" s="162"/>
      <c r="D93" s="163" t="s">
        <v>69</v>
      </c>
      <c r="E93" s="188">
        <v>1270</v>
      </c>
      <c r="F93" s="78"/>
    </row>
    <row r="94" spans="1:6" ht="15" customHeight="1">
      <c r="A94" s="104">
        <v>91</v>
      </c>
      <c r="B94" s="162" t="s">
        <v>215</v>
      </c>
      <c r="C94" s="162"/>
      <c r="D94" s="163" t="s">
        <v>66</v>
      </c>
      <c r="E94" s="188">
        <v>2120</v>
      </c>
      <c r="F94" s="78"/>
    </row>
    <row r="95" spans="1:6" ht="15" customHeight="1">
      <c r="A95" s="104">
        <v>92</v>
      </c>
      <c r="B95" s="162" t="s">
        <v>215</v>
      </c>
      <c r="C95" s="162"/>
      <c r="D95" s="163" t="s">
        <v>64</v>
      </c>
      <c r="E95" s="188"/>
      <c r="F95" s="78"/>
    </row>
    <row r="96" spans="1:6" ht="15" customHeight="1">
      <c r="A96" s="104">
        <v>93</v>
      </c>
      <c r="B96" s="162" t="s">
        <v>215</v>
      </c>
      <c r="C96" s="162"/>
      <c r="D96" s="163" t="s">
        <v>72</v>
      </c>
      <c r="E96" s="188">
        <v>2400</v>
      </c>
      <c r="F96" s="78"/>
    </row>
    <row r="97" spans="1:6" ht="15" customHeight="1">
      <c r="A97" s="104">
        <v>94</v>
      </c>
      <c r="B97" s="162" t="s">
        <v>215</v>
      </c>
      <c r="C97" s="162"/>
      <c r="D97" s="163" t="s">
        <v>131</v>
      </c>
      <c r="E97" s="188">
        <v>5000</v>
      </c>
      <c r="F97" s="78"/>
    </row>
    <row r="98" spans="1:6" ht="15" customHeight="1">
      <c r="A98" s="104">
        <v>95</v>
      </c>
      <c r="B98" s="162" t="s">
        <v>215</v>
      </c>
      <c r="C98" s="162"/>
      <c r="D98" s="163" t="s">
        <v>236</v>
      </c>
      <c r="E98" s="188"/>
      <c r="F98" s="78"/>
    </row>
    <row r="99" spans="1:6" ht="15" customHeight="1">
      <c r="A99" s="104">
        <v>96</v>
      </c>
      <c r="B99" s="162" t="s">
        <v>215</v>
      </c>
      <c r="C99" s="162"/>
      <c r="D99" s="163" t="s">
        <v>68</v>
      </c>
      <c r="E99" s="188">
        <v>2000</v>
      </c>
      <c r="F99" s="78"/>
    </row>
    <row r="100" spans="1:6" ht="15" customHeight="1">
      <c r="A100" s="104">
        <v>97</v>
      </c>
      <c r="B100" s="162" t="s">
        <v>215</v>
      </c>
      <c r="C100" s="162"/>
      <c r="D100" s="163" t="s">
        <v>138</v>
      </c>
      <c r="E100" s="188">
        <v>4000</v>
      </c>
      <c r="F100" s="78"/>
    </row>
    <row r="101" spans="1:6" ht="15" customHeight="1">
      <c r="A101" s="104">
        <v>98</v>
      </c>
      <c r="B101" s="162" t="s">
        <v>215</v>
      </c>
      <c r="C101" s="162"/>
      <c r="D101" s="163" t="s">
        <v>195</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t="s">
        <v>277</v>
      </c>
      <c r="E104" s="193">
        <v>3000</v>
      </c>
      <c r="F104" s="110"/>
    </row>
    <row r="105" spans="1:6" ht="15" customHeight="1">
      <c r="A105" s="102">
        <v>102</v>
      </c>
      <c r="B105" s="155"/>
      <c r="C105" s="155"/>
      <c r="D105" s="112" t="s">
        <v>278</v>
      </c>
      <c r="E105" s="187">
        <v>1200</v>
      </c>
      <c r="F105" s="103"/>
    </row>
    <row r="106" spans="1:6" ht="15" customHeight="1">
      <c r="A106" s="104">
        <v>103</v>
      </c>
      <c r="B106" s="156"/>
      <c r="C106" s="156"/>
      <c r="D106" s="113" t="s">
        <v>279</v>
      </c>
      <c r="E106" s="188">
        <v>3000</v>
      </c>
      <c r="F106" s="78"/>
    </row>
    <row r="107" spans="1:6" ht="15" customHeight="1">
      <c r="A107" s="102">
        <v>104</v>
      </c>
      <c r="B107" s="156"/>
      <c r="C107" s="156"/>
      <c r="D107" s="113" t="s">
        <v>280</v>
      </c>
      <c r="E107" s="188">
        <v>8000</v>
      </c>
      <c r="F107" s="78"/>
    </row>
    <row r="108" spans="1:6" ht="15" customHeight="1">
      <c r="A108" s="104">
        <v>105</v>
      </c>
      <c r="B108" s="156"/>
      <c r="C108" s="156"/>
      <c r="D108" s="113" t="s">
        <v>281</v>
      </c>
      <c r="E108" s="188">
        <v>2000</v>
      </c>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183</v>
      </c>
      <c r="F120" s="183">
        <f>SUM(E4:E118)</f>
        <v>107825</v>
      </c>
    </row>
    <row r="121" spans="4:6" ht="15" customHeight="1">
      <c r="D121" s="80"/>
      <c r="E121" s="39" t="s">
        <v>175</v>
      </c>
      <c r="F121" s="184">
        <f>SUMIF(F4:F118,"◎",E4:E118)</f>
        <v>11000</v>
      </c>
    </row>
    <row r="122" spans="4:6" ht="15" customHeight="1" thickBot="1">
      <c r="D122" s="80"/>
      <c r="E122" s="82" t="s">
        <v>13</v>
      </c>
      <c r="F122" s="185">
        <f>F120-F121</f>
        <v>96825</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313</v>
      </c>
      <c r="I4" s="505"/>
      <c r="J4" s="505"/>
      <c r="K4" s="505"/>
    </row>
    <row r="5" spans="8:11" s="1" customFormat="1" ht="18" customHeight="1">
      <c r="H5" s="506">
        <v>42971</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3" t="s">
        <v>258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52" t="s">
        <v>248</v>
      </c>
      <c r="I15" s="16" t="s">
        <v>12</v>
      </c>
      <c r="J15" s="451" t="s">
        <v>252</v>
      </c>
      <c r="K15" s="23" t="s">
        <v>15</v>
      </c>
    </row>
    <row r="16" spans="1:11" ht="39" customHeight="1" thickTop="1">
      <c r="A16" s="30" t="s">
        <v>105</v>
      </c>
      <c r="B16" s="225">
        <f>'随時②-1'!B20</f>
        <v>119000</v>
      </c>
      <c r="C16" s="226">
        <f>'随時②-1'!C20</f>
        <v>20000</v>
      </c>
      <c r="D16" s="226">
        <f>'随時②-1'!D20</f>
        <v>610000</v>
      </c>
      <c r="E16" s="226">
        <f>'随時②-1'!E20</f>
        <v>0</v>
      </c>
      <c r="F16" s="226">
        <f>'随時②-1'!F20</f>
        <v>154000</v>
      </c>
      <c r="G16" s="226">
        <f>'随時②-1'!G20</f>
        <v>0</v>
      </c>
      <c r="H16" s="226">
        <f>'随時②-1'!H20</f>
        <v>0</v>
      </c>
      <c r="I16" s="226">
        <f>'随時②-1'!I20</f>
        <v>0</v>
      </c>
      <c r="J16" s="227">
        <f>'随時②-1'!J20</f>
        <v>107825</v>
      </c>
      <c r="K16" s="437">
        <f aca="true" t="shared" si="0" ref="K16:K26">SUM(B16:J16)</f>
        <v>1010825</v>
      </c>
    </row>
    <row r="17" spans="1:11" ht="39" customHeight="1">
      <c r="A17" s="30" t="s">
        <v>178</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7">
        <f t="shared" si="0"/>
        <v>11000</v>
      </c>
    </row>
    <row r="18" spans="1:11" ht="39" customHeight="1" thickBot="1">
      <c r="A18" s="30" t="s">
        <v>106</v>
      </c>
      <c r="B18" s="225">
        <f>B16-B17</f>
        <v>119000</v>
      </c>
      <c r="C18" s="226">
        <f>C16-C17</f>
        <v>20000</v>
      </c>
      <c r="D18" s="226">
        <f aca="true" t="shared" si="1" ref="D18:J18">D16-D17</f>
        <v>610000</v>
      </c>
      <c r="E18" s="226">
        <f t="shared" si="1"/>
        <v>0</v>
      </c>
      <c r="F18" s="226">
        <f t="shared" si="1"/>
        <v>154000</v>
      </c>
      <c r="G18" s="226">
        <f t="shared" si="1"/>
        <v>0</v>
      </c>
      <c r="H18" s="226">
        <f t="shared" si="1"/>
        <v>0</v>
      </c>
      <c r="I18" s="226">
        <f t="shared" si="1"/>
        <v>0</v>
      </c>
      <c r="J18" s="226">
        <f t="shared" si="1"/>
        <v>96825</v>
      </c>
      <c r="K18" s="437">
        <f t="shared" si="0"/>
        <v>999825</v>
      </c>
    </row>
    <row r="19" spans="1:11" ht="39" customHeight="1" thickBot="1">
      <c r="A19" s="32" t="s">
        <v>173</v>
      </c>
      <c r="B19" s="445">
        <f>'2-2'!K142</f>
        <v>99000</v>
      </c>
      <c r="C19" s="446">
        <f>'2-2'!K143</f>
        <v>6300</v>
      </c>
      <c r="D19" s="446">
        <f>'2-2'!K144</f>
        <v>521798</v>
      </c>
      <c r="E19" s="446">
        <f>'2-2'!K145</f>
        <v>0</v>
      </c>
      <c r="F19" s="446">
        <f>'2-2'!K146</f>
        <v>149068</v>
      </c>
      <c r="G19" s="446">
        <f>'2-2'!K147</f>
        <v>0</v>
      </c>
      <c r="H19" s="446">
        <f>'2-2'!K148</f>
        <v>0</v>
      </c>
      <c r="I19" s="446">
        <f>'2-2'!K149</f>
        <v>0</v>
      </c>
      <c r="J19" s="450">
        <f>'2-2'!K150</f>
        <v>47890</v>
      </c>
      <c r="K19" s="447">
        <f t="shared" si="0"/>
        <v>824056</v>
      </c>
    </row>
    <row r="20" spans="1:11" ht="39" customHeight="1">
      <c r="A20" s="40" t="s">
        <v>179</v>
      </c>
      <c r="B20" s="441">
        <f>'2-2'!L142</f>
        <v>0</v>
      </c>
      <c r="C20" s="442">
        <f>'2-2'!L143</f>
        <v>0</v>
      </c>
      <c r="D20" s="442">
        <f>'2-2'!L144</f>
        <v>0</v>
      </c>
      <c r="E20" s="442">
        <f>'2-2'!L145</f>
        <v>0</v>
      </c>
      <c r="F20" s="442">
        <f>'2-2'!L146</f>
        <v>0</v>
      </c>
      <c r="G20" s="442">
        <f>'2-2'!L147</f>
        <v>0</v>
      </c>
      <c r="H20" s="442">
        <f>'2-2'!L148</f>
        <v>0</v>
      </c>
      <c r="I20" s="442">
        <f>'2-2'!L149</f>
        <v>0</v>
      </c>
      <c r="J20" s="442">
        <f>'2-2'!L150</f>
        <v>11000</v>
      </c>
      <c r="K20" s="444">
        <f t="shared" si="0"/>
        <v>11000</v>
      </c>
    </row>
    <row r="21" spans="1:11" ht="39" customHeight="1" thickBot="1">
      <c r="A21" s="480" t="s">
        <v>200</v>
      </c>
      <c r="B21" s="438">
        <f>B19-B20</f>
        <v>99000</v>
      </c>
      <c r="C21" s="323">
        <f>C19-C20</f>
        <v>6300</v>
      </c>
      <c r="D21" s="323">
        <f aca="true" t="shared" si="2" ref="D21:J21">D19-D20</f>
        <v>521798</v>
      </c>
      <c r="E21" s="323">
        <f t="shared" si="2"/>
        <v>0</v>
      </c>
      <c r="F21" s="323">
        <f t="shared" si="2"/>
        <v>149068</v>
      </c>
      <c r="G21" s="323">
        <f t="shared" si="2"/>
        <v>0</v>
      </c>
      <c r="H21" s="323">
        <f t="shared" si="2"/>
        <v>0</v>
      </c>
      <c r="I21" s="323">
        <f t="shared" si="2"/>
        <v>0</v>
      </c>
      <c r="J21" s="323">
        <f t="shared" si="2"/>
        <v>36890</v>
      </c>
      <c r="K21" s="440">
        <f t="shared" si="0"/>
        <v>813056</v>
      </c>
    </row>
    <row r="22" spans="1:11" ht="39" customHeight="1" thickBot="1">
      <c r="A22" s="32" t="s">
        <v>117</v>
      </c>
      <c r="B22" s="445">
        <f>B18-B21</f>
        <v>20000</v>
      </c>
      <c r="C22" s="445">
        <f aca="true" t="shared" si="3" ref="C22:J22">C18-C21</f>
        <v>13700</v>
      </c>
      <c r="D22" s="445">
        <f t="shared" si="3"/>
        <v>88202</v>
      </c>
      <c r="E22" s="445">
        <f t="shared" si="3"/>
        <v>0</v>
      </c>
      <c r="F22" s="445">
        <f t="shared" si="3"/>
        <v>4932</v>
      </c>
      <c r="G22" s="445">
        <f t="shared" si="3"/>
        <v>0</v>
      </c>
      <c r="H22" s="445">
        <f t="shared" si="3"/>
        <v>0</v>
      </c>
      <c r="I22" s="445">
        <f t="shared" si="3"/>
        <v>0</v>
      </c>
      <c r="J22" s="445">
        <f t="shared" si="3"/>
        <v>59935</v>
      </c>
      <c r="K22" s="447">
        <f t="shared" si="0"/>
        <v>186769</v>
      </c>
    </row>
    <row r="23" spans="1:11" ht="39" customHeight="1">
      <c r="A23" s="30" t="s">
        <v>166</v>
      </c>
      <c r="B23" s="226">
        <f>'2-4'!G107</f>
        <v>70000</v>
      </c>
      <c r="C23" s="226">
        <f>'2-4'!G108</f>
        <v>16700</v>
      </c>
      <c r="D23" s="226">
        <f>'2-4'!G109</f>
        <v>190000</v>
      </c>
      <c r="E23" s="226">
        <f>'2-4'!G110</f>
        <v>0</v>
      </c>
      <c r="F23" s="226">
        <f>'2-4'!G111</f>
        <v>24000</v>
      </c>
      <c r="G23" s="226">
        <f>'2-4'!G112</f>
        <v>0</v>
      </c>
      <c r="H23" s="226">
        <f>'2-4'!G113</f>
        <v>0</v>
      </c>
      <c r="I23" s="226">
        <f>'2-4'!G114</f>
        <v>0</v>
      </c>
      <c r="J23" s="226">
        <f>'2-4'!G115</f>
        <v>57935</v>
      </c>
      <c r="K23" s="437">
        <f t="shared" si="0"/>
        <v>358635</v>
      </c>
    </row>
    <row r="24" spans="1:11" ht="39" customHeight="1">
      <c r="A24" s="21" t="s">
        <v>194</v>
      </c>
      <c r="B24" s="226">
        <f>'2-4'!H107</f>
        <v>0</v>
      </c>
      <c r="C24" s="226">
        <f>'2-4'!H108</f>
        <v>0</v>
      </c>
      <c r="D24" s="226">
        <f>'2-4'!H109</f>
        <v>0</v>
      </c>
      <c r="E24" s="226">
        <f>'2-4'!H110</f>
        <v>0</v>
      </c>
      <c r="F24" s="226">
        <f>'2-4'!H111</f>
        <v>0</v>
      </c>
      <c r="G24" s="226">
        <f>'2-4'!H112</f>
        <v>0</v>
      </c>
      <c r="H24" s="226">
        <f>'2-4'!H113</f>
        <v>0</v>
      </c>
      <c r="I24" s="226">
        <f>'2-4'!H114</f>
        <v>0</v>
      </c>
      <c r="J24" s="226">
        <f>'2-4'!H115</f>
        <v>0</v>
      </c>
      <c r="K24" s="440">
        <f t="shared" si="0"/>
        <v>0</v>
      </c>
    </row>
    <row r="25" spans="1:11" ht="39" customHeight="1">
      <c r="A25" s="21" t="s">
        <v>120</v>
      </c>
      <c r="B25" s="438">
        <f>B23-B24-B22</f>
        <v>50000</v>
      </c>
      <c r="C25" s="438">
        <f aca="true" t="shared" si="4" ref="C25:J25">C23-C24-C22</f>
        <v>3000</v>
      </c>
      <c r="D25" s="438">
        <f t="shared" si="4"/>
        <v>101798</v>
      </c>
      <c r="E25" s="438">
        <f t="shared" si="4"/>
        <v>0</v>
      </c>
      <c r="F25" s="438">
        <f t="shared" si="4"/>
        <v>19068</v>
      </c>
      <c r="G25" s="438">
        <f t="shared" si="4"/>
        <v>0</v>
      </c>
      <c r="H25" s="438">
        <f t="shared" si="4"/>
        <v>0</v>
      </c>
      <c r="I25" s="438">
        <f t="shared" si="4"/>
        <v>0</v>
      </c>
      <c r="J25" s="438">
        <f t="shared" si="4"/>
        <v>-2000</v>
      </c>
      <c r="K25" s="440">
        <f t="shared" si="0"/>
        <v>171866</v>
      </c>
    </row>
    <row r="26" spans="1:11" ht="39" customHeight="1" thickBot="1">
      <c r="A26" s="22" t="s">
        <v>118</v>
      </c>
      <c r="B26" s="221">
        <f>B19+B23</f>
        <v>169000</v>
      </c>
      <c r="C26" s="221">
        <f aca="true" t="shared" si="5" ref="C26:J26">C19+C23</f>
        <v>23000</v>
      </c>
      <c r="D26" s="221">
        <f t="shared" si="5"/>
        <v>711798</v>
      </c>
      <c r="E26" s="221">
        <f t="shared" si="5"/>
        <v>0</v>
      </c>
      <c r="F26" s="221">
        <f t="shared" si="5"/>
        <v>173068</v>
      </c>
      <c r="G26" s="221">
        <f t="shared" si="5"/>
        <v>0</v>
      </c>
      <c r="H26" s="221">
        <f t="shared" si="5"/>
        <v>0</v>
      </c>
      <c r="I26" s="221">
        <f t="shared" si="5"/>
        <v>0</v>
      </c>
      <c r="J26" s="221">
        <f t="shared" si="5"/>
        <v>105825</v>
      </c>
      <c r="K26" s="224">
        <f t="shared" si="0"/>
        <v>1182691</v>
      </c>
    </row>
    <row r="27" spans="1:11" ht="39" customHeight="1" thickBot="1">
      <c r="A27" s="32" t="s">
        <v>104</v>
      </c>
      <c r="B27" s="559">
        <v>42971</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5" sqref="N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7" t="s">
        <v>142</v>
      </c>
      <c r="G2" s="598"/>
      <c r="H2" s="598"/>
      <c r="I2" s="598"/>
      <c r="J2" s="598"/>
      <c r="K2" s="548" t="s">
        <v>115</v>
      </c>
      <c r="L2" s="546"/>
      <c r="M2" s="546"/>
      <c r="N2" s="546"/>
      <c r="O2" s="547"/>
      <c r="P2" s="13"/>
    </row>
    <row r="3" spans="1:21" ht="24" customHeight="1">
      <c r="A3" s="426" t="s">
        <v>140</v>
      </c>
      <c r="B3" s="301" t="s">
        <v>141</v>
      </c>
      <c r="C3" s="59" t="s">
        <v>143</v>
      </c>
      <c r="D3" s="96" t="s">
        <v>145</v>
      </c>
      <c r="E3" s="96" t="s">
        <v>0</v>
      </c>
      <c r="F3" s="96" t="s">
        <v>196</v>
      </c>
      <c r="G3" s="96" t="s">
        <v>91</v>
      </c>
      <c r="H3" s="478" t="s">
        <v>245</v>
      </c>
      <c r="I3" s="96" t="s">
        <v>92</v>
      </c>
      <c r="J3" s="96" t="s">
        <v>93</v>
      </c>
      <c r="K3" s="387" t="s">
        <v>198</v>
      </c>
      <c r="L3" s="388" t="s">
        <v>91</v>
      </c>
      <c r="M3" s="479" t="s">
        <v>245</v>
      </c>
      <c r="N3" s="388" t="s">
        <v>92</v>
      </c>
      <c r="O3" s="389" t="s">
        <v>93</v>
      </c>
      <c r="P3" s="229" t="s">
        <v>111</v>
      </c>
      <c r="Q3" s="297" t="s">
        <v>107</v>
      </c>
      <c r="R3" s="62" t="s">
        <v>147</v>
      </c>
      <c r="S3" s="61" t="s">
        <v>148</v>
      </c>
      <c r="T3" s="61" t="s">
        <v>149</v>
      </c>
      <c r="U3" s="61" t="s">
        <v>150</v>
      </c>
    </row>
    <row r="4" spans="1:21" ht="13.5" customHeight="1">
      <c r="A4" s="302">
        <f>'1-2'!A4</f>
        <v>0</v>
      </c>
      <c r="B4" s="303">
        <f>'1-2'!B4</f>
        <v>0</v>
      </c>
      <c r="C4" s="482">
        <f>'1-2'!C4</f>
        <v>0</v>
      </c>
      <c r="D4" s="245">
        <v>1</v>
      </c>
      <c r="E4" s="304" t="str">
        <f>IF($R4=1,"",VLOOKUP($D4,'1-2'!$D$4:$L$103,2))</f>
        <v>負担金、補助及び交付金</v>
      </c>
      <c r="F4" s="304" t="str">
        <f>IF($R4=1,"取消し",VLOOKUP($D4,'1-2'!$D$4:$L$103,3))</f>
        <v>各種団体負担金（会費）</v>
      </c>
      <c r="G4" s="305">
        <f>IF($R4=1,,VLOOKUP($D4,'1-2'!$D$4:$L$103,4))</f>
        <v>107825</v>
      </c>
      <c r="H4" s="306">
        <f>IF($R4=1,,VLOOKUP($D4,'1-2'!$D$4:$L$103,5))</f>
        <v>1</v>
      </c>
      <c r="I4" s="306">
        <f>IF($R4=1,,VLOOKUP($D4,'1-2'!$D$4:$L$103,6))</f>
        <v>1</v>
      </c>
      <c r="J4" s="307">
        <f>IF($R4=1,,VLOOKUP($D4,'1-2'!$D$4:$L$103,7))</f>
        <v>107825</v>
      </c>
      <c r="K4" s="308" t="str">
        <f aca="true" t="shared" si="0" ref="K4:N5">F4</f>
        <v>各種団体負担金（会費）</v>
      </c>
      <c r="L4" s="309">
        <v>47890</v>
      </c>
      <c r="M4" s="310">
        <f t="shared" si="0"/>
        <v>1</v>
      </c>
      <c r="N4" s="310">
        <f t="shared" si="0"/>
        <v>1</v>
      </c>
      <c r="O4" s="311">
        <f>L4*M4*N4</f>
        <v>47890</v>
      </c>
      <c r="P4" s="312">
        <f>IF($R4=1,"",VLOOKUP($D4,'1-2'!$D$4:$L$103,8))</f>
        <v>0</v>
      </c>
      <c r="Q4" s="313" t="s">
        <v>226</v>
      </c>
      <c r="R4" s="25">
        <f>IF(ISNA(MATCH($D4,'随時②-2'!$D$4:$D$18,0)),0,1)</f>
        <v>0</v>
      </c>
      <c r="S4" s="63">
        <f aca="true" t="shared" si="1" ref="S4:S67">IF(P4="◎",J4,"")</f>
      </c>
      <c r="T4" s="63">
        <f>IF(P4="◎",O4,"")</f>
      </c>
      <c r="U4" s="5">
        <f>IF($E4=0,"",VLOOKUP($E4,$V$5:$X$13,2))</f>
        <v>9</v>
      </c>
    </row>
    <row r="5" spans="1:23" ht="13.5" customHeight="1">
      <c r="A5" s="314">
        <f>'1-2'!A5</f>
        <v>2</v>
      </c>
      <c r="B5" s="315" t="str">
        <f>'1-2'!B5</f>
        <v>１－（３）－キ</v>
      </c>
      <c r="C5" s="483" t="str">
        <f>'1-2'!C5</f>
        <v>グローバル人材の育成</v>
      </c>
      <c r="D5" s="256">
        <v>2</v>
      </c>
      <c r="E5" s="316" t="str">
        <f>IF($R5=1,"",VLOOKUP($D5,'1-2'!$D$4:$L$103,2))</f>
        <v>役務費</v>
      </c>
      <c r="F5" s="317" t="str">
        <f>IF($R5=1,"取消し",VLOOKUP($D5,'1-2'!$D$4:$L$103,3))</f>
        <v>インターネット通信料</v>
      </c>
      <c r="G5" s="226">
        <f>IF($R5=1,,VLOOKUP($D5,'1-2'!$D$4:$L$103,4))</f>
        <v>8000</v>
      </c>
      <c r="H5" s="318">
        <f>IF($R5=1,,VLOOKUP($D5,'1-2'!$D$4:$L$103,5))</f>
        <v>1</v>
      </c>
      <c r="I5" s="318">
        <f>IF($R5=1,,VLOOKUP($D5,'1-2'!$D$4:$L$103,6))</f>
        <v>6</v>
      </c>
      <c r="J5" s="319">
        <f>IF($R5=1,,VLOOKUP($D5,'1-2'!$D$4:$L$103,7))</f>
        <v>48000</v>
      </c>
      <c r="K5" s="320" t="str">
        <f t="shared" si="0"/>
        <v>インターネット通信料</v>
      </c>
      <c r="L5" s="321">
        <v>7452</v>
      </c>
      <c r="M5" s="322">
        <f t="shared" si="0"/>
        <v>1</v>
      </c>
      <c r="N5" s="322">
        <f t="shared" si="0"/>
        <v>6</v>
      </c>
      <c r="O5" s="311">
        <f aca="true" t="shared" si="2" ref="O5:O68">L5*M5*N5</f>
        <v>44712</v>
      </c>
      <c r="P5" s="312">
        <f>IF($R5=1,"",VLOOKUP($D5,'1-2'!$D$4:$L$103,8))</f>
        <v>0</v>
      </c>
      <c r="Q5" s="313">
        <f>IF($R5=1,"",VLOOKUP($D5,'1-2'!$D$4:$L$103,9))</f>
        <v>0</v>
      </c>
      <c r="R5" s="25">
        <f>IF(ISNA(MATCH($D5,'随時②-2'!$D$4:$D$18,0)),0,1)</f>
        <v>0</v>
      </c>
      <c r="S5" s="63">
        <f t="shared" si="1"/>
      </c>
      <c r="T5" s="63">
        <f aca="true" t="shared" si="3" ref="T5:T68">IF(P5="◎",O5,"")</f>
      </c>
      <c r="U5" s="5">
        <f aca="true" t="shared" si="4" ref="U5:U68">IF($E5=0,"",VLOOKUP($E5,$V$5:$X$13,2))</f>
        <v>5</v>
      </c>
      <c r="V5" s="5" t="s">
        <v>151</v>
      </c>
      <c r="W5" s="5">
        <v>6</v>
      </c>
    </row>
    <row r="6" spans="1:23" ht="13.5" customHeight="1">
      <c r="A6" s="314">
        <f>'1-2'!A6</f>
        <v>3</v>
      </c>
      <c r="B6" s="315" t="str">
        <f>'1-2'!B6</f>
        <v>１－（２）－エ</v>
      </c>
      <c r="C6" s="483" t="str">
        <f>'1-2'!C6</f>
        <v>情報保障の充実</v>
      </c>
      <c r="D6" s="256">
        <v>3</v>
      </c>
      <c r="E6" s="316" t="str">
        <f>IF($R6=1,"",VLOOKUP($D6,'1-2'!$D$4:$L$103,2))</f>
        <v>消耗需用費</v>
      </c>
      <c r="F6" s="317" t="str">
        <f>IF($R6=1,"取消し",VLOOKUP($D6,'1-2'!$D$4:$L$103,3))</f>
        <v>iPad及び関連用品</v>
      </c>
      <c r="G6" s="226">
        <f>IF($R6=1,,VLOOKUP($D6,'1-2'!$D$4:$L$103,4))</f>
        <v>44000</v>
      </c>
      <c r="H6" s="318">
        <f>IF($R6=1,,VLOOKUP($D6,'1-2'!$D$4:$L$103,5))</f>
        <v>6</v>
      </c>
      <c r="I6" s="318">
        <f>IF($R6=1,,VLOOKUP($D6,'1-2'!$D$4:$L$103,6))</f>
        <v>1</v>
      </c>
      <c r="J6" s="319">
        <f>IF($R6=1,,VLOOKUP($D6,'1-2'!$D$4:$L$103,7))</f>
        <v>264000</v>
      </c>
      <c r="K6" s="320" t="str">
        <f aca="true" t="shared" si="5" ref="K6:K69">F6</f>
        <v>iPad及び関連用品</v>
      </c>
      <c r="L6" s="321">
        <v>41029</v>
      </c>
      <c r="M6" s="322">
        <f aca="true" t="shared" si="6" ref="L6:N10">H6</f>
        <v>6</v>
      </c>
      <c r="N6" s="322">
        <f t="shared" si="6"/>
        <v>1</v>
      </c>
      <c r="O6" s="311">
        <f t="shared" si="2"/>
        <v>246174</v>
      </c>
      <c r="P6" s="312">
        <f>IF($R6=1,"",VLOOKUP($D6,'1-2'!$D$4:$L$103,8))</f>
        <v>0</v>
      </c>
      <c r="Q6" s="313">
        <f>IF($R6=1,"",VLOOKUP($D6,'1-2'!$D$4:$L$103,9))</f>
        <v>0</v>
      </c>
      <c r="R6" s="25">
        <f>IF(ISNA(MATCH($D6,'随時②-2'!$D$4:$D$18,0)),0,1)</f>
        <v>0</v>
      </c>
      <c r="S6" s="63">
        <f t="shared" si="1"/>
      </c>
      <c r="T6" s="63">
        <f t="shared" si="3"/>
      </c>
      <c r="U6" s="5">
        <f t="shared" si="4"/>
        <v>7</v>
      </c>
      <c r="V6" s="5" t="s">
        <v>152</v>
      </c>
      <c r="W6" s="5">
        <v>4</v>
      </c>
    </row>
    <row r="7" spans="1:23" ht="13.5" customHeight="1">
      <c r="A7" s="314">
        <f>'1-2'!A7</f>
        <v>4</v>
      </c>
      <c r="B7" s="315" t="str">
        <f>'1-2'!B7</f>
        <v>３－（１）－イ</v>
      </c>
      <c r="C7" s="483" t="str">
        <f>'1-2'!C7</f>
        <v>授業改善</v>
      </c>
      <c r="D7" s="256">
        <v>4</v>
      </c>
      <c r="E7" s="316" t="str">
        <f>IF($R7=1,"",VLOOKUP($D7,'1-2'!$D$4:$L$103,2))</f>
        <v>消耗需用費</v>
      </c>
      <c r="F7" s="317" t="str">
        <f>IF($R7=1,"取消し",VLOOKUP($D7,'1-2'!$D$4:$L$103,3))</f>
        <v>パソコン及び関連用品</v>
      </c>
      <c r="G7" s="226">
        <f>IF($R7=1,,VLOOKUP($D7,'1-2'!$D$4:$L$103,4))</f>
        <v>100000</v>
      </c>
      <c r="H7" s="318">
        <f>IF($R7=1,,VLOOKUP($D7,'1-2'!$D$4:$L$103,5))</f>
        <v>1</v>
      </c>
      <c r="I7" s="318">
        <f>IF($R7=1,,VLOOKUP($D7,'1-2'!$D$4:$L$103,6))</f>
        <v>1</v>
      </c>
      <c r="J7" s="319">
        <f>IF($R7=1,,VLOOKUP($D7,'1-2'!$D$4:$L$103,7))</f>
        <v>100000</v>
      </c>
      <c r="K7" s="320" t="str">
        <f t="shared" si="5"/>
        <v>パソコン及び関連用品</v>
      </c>
      <c r="L7" s="321">
        <v>79272</v>
      </c>
      <c r="M7" s="322">
        <f t="shared" si="6"/>
        <v>1</v>
      </c>
      <c r="N7" s="322">
        <f t="shared" si="6"/>
        <v>1</v>
      </c>
      <c r="O7" s="311">
        <f t="shared" si="2"/>
        <v>79272</v>
      </c>
      <c r="P7" s="312">
        <f>IF($R7=1,"",VLOOKUP($D7,'1-2'!$D$4:$L$103,8))</f>
        <v>0</v>
      </c>
      <c r="Q7" s="313">
        <f>IF($R7=1,"",VLOOKUP($D7,'1-2'!$D$4:$L$103,9))</f>
        <v>0</v>
      </c>
      <c r="R7" s="25">
        <f>IF(ISNA(MATCH($D7,'随時②-2'!$D$4:$D$18,0)),0,1)</f>
        <v>0</v>
      </c>
      <c r="S7" s="63">
        <f t="shared" si="1"/>
      </c>
      <c r="T7" s="63">
        <f t="shared" si="3"/>
      </c>
      <c r="U7" s="5">
        <f t="shared" si="4"/>
        <v>7</v>
      </c>
      <c r="V7" s="5" t="s">
        <v>153</v>
      </c>
      <c r="W7" s="5">
        <v>7</v>
      </c>
    </row>
    <row r="8" spans="1:23" ht="13.5" customHeight="1">
      <c r="A8" s="314">
        <f>'1-2'!A8</f>
        <v>4</v>
      </c>
      <c r="B8" s="315" t="str">
        <f>'1-2'!B8</f>
        <v>３－（１）－イ</v>
      </c>
      <c r="C8" s="483" t="str">
        <f>'1-2'!C8</f>
        <v>授業改善</v>
      </c>
      <c r="D8" s="265">
        <v>5</v>
      </c>
      <c r="E8" s="316" t="str">
        <f>IF($R8=1,"",VLOOKUP($D8,'1-2'!$D$4:$L$103,2))</f>
        <v>報償費</v>
      </c>
      <c r="F8" s="317" t="str">
        <f>IF($R8=1,"取消し",VLOOKUP($D8,'1-2'!$D$4:$L$103,3))</f>
        <v>外部講師謝礼</v>
      </c>
      <c r="G8" s="226">
        <f>IF($R8=1,,VLOOKUP($D8,'1-2'!$D$4:$L$103,4))</f>
        <v>20000</v>
      </c>
      <c r="H8" s="318">
        <f>IF($R8=1,,VLOOKUP($D8,'1-2'!$D$4:$L$103,5))</f>
        <v>1</v>
      </c>
      <c r="I8" s="318">
        <f>IF($R8=1,,VLOOKUP($D8,'1-2'!$D$4:$L$103,6))</f>
        <v>1</v>
      </c>
      <c r="J8" s="319">
        <f>IF($R8=1,,VLOOKUP($D8,'1-2'!$D$4:$L$103,7))</f>
        <v>20000</v>
      </c>
      <c r="K8" s="320" t="str">
        <f t="shared" si="5"/>
        <v>外部講師謝礼</v>
      </c>
      <c r="L8" s="321">
        <f t="shared" si="6"/>
        <v>20000</v>
      </c>
      <c r="M8" s="322">
        <f t="shared" si="6"/>
        <v>1</v>
      </c>
      <c r="N8" s="322">
        <f t="shared" si="6"/>
        <v>1</v>
      </c>
      <c r="O8" s="311">
        <f t="shared" si="2"/>
        <v>20000</v>
      </c>
      <c r="P8" s="312">
        <f>IF($R8=1,"",VLOOKUP($D8,'1-2'!$D$4:$L$103,8))</f>
        <v>0</v>
      </c>
      <c r="Q8" s="313">
        <f>IF($R8=1,"",VLOOKUP($D8,'1-2'!$D$4:$L$103,9))</f>
        <v>0</v>
      </c>
      <c r="R8" s="25">
        <f>IF(ISNA(MATCH($D8,'随時②-2'!$D$4:$D$18,0)),0,1)</f>
        <v>0</v>
      </c>
      <c r="S8" s="63">
        <f t="shared" si="1"/>
      </c>
      <c r="T8" s="63">
        <f t="shared" si="3"/>
      </c>
      <c r="U8" s="5">
        <f t="shared" si="4"/>
        <v>1</v>
      </c>
      <c r="V8" s="5" t="s">
        <v>154</v>
      </c>
      <c r="W8" s="5">
        <v>3</v>
      </c>
    </row>
    <row r="9" spans="1:23" ht="13.5" customHeight="1">
      <c r="A9" s="314">
        <f>'1-2'!A9</f>
        <v>4</v>
      </c>
      <c r="B9" s="315" t="str">
        <f>'1-2'!B9</f>
        <v>３－（１）－イ</v>
      </c>
      <c r="C9" s="483" t="str">
        <f>'1-2'!C9</f>
        <v>授業改善</v>
      </c>
      <c r="D9" s="256">
        <v>6</v>
      </c>
      <c r="E9" s="316" t="str">
        <f>IF($R9=1,"",VLOOKUP($D9,'1-2'!$D$4:$L$103,2))</f>
        <v>旅費</v>
      </c>
      <c r="F9" s="317" t="str">
        <f>IF($R9=1,"取消し",VLOOKUP($D9,'1-2'!$D$4:$L$103,3))</f>
        <v>講師旅費</v>
      </c>
      <c r="G9" s="226">
        <f>IF($R9=1,,VLOOKUP($D9,'1-2'!$D$4:$L$103,4))</f>
        <v>3000</v>
      </c>
      <c r="H9" s="318">
        <f>IF($R9=1,,VLOOKUP($D9,'1-2'!$D$4:$L$103,5))</f>
        <v>1</v>
      </c>
      <c r="I9" s="318">
        <f>IF($R9=1,,VLOOKUP($D9,'1-2'!$D$4:$L$103,6))</f>
        <v>1</v>
      </c>
      <c r="J9" s="319">
        <f>IF($R9=1,,VLOOKUP($D9,'1-2'!$D$4:$L$103,7))</f>
        <v>3000</v>
      </c>
      <c r="K9" s="320" t="str">
        <f t="shared" si="5"/>
        <v>講師旅費</v>
      </c>
      <c r="L9" s="321">
        <f t="shared" si="6"/>
        <v>3000</v>
      </c>
      <c r="M9" s="322">
        <f t="shared" si="6"/>
        <v>1</v>
      </c>
      <c r="N9" s="322">
        <v>0</v>
      </c>
      <c r="O9" s="311">
        <f t="shared" si="2"/>
        <v>0</v>
      </c>
      <c r="P9" s="312">
        <f>IF($R9=1,"",VLOOKUP($D9,'1-2'!$D$4:$L$103,8))</f>
        <v>0</v>
      </c>
      <c r="Q9" s="313">
        <f>IF($R9=1,"",VLOOKUP($D9,'1-2'!$D$4:$L$103,9))</f>
        <v>0</v>
      </c>
      <c r="R9" s="25">
        <f>IF(ISNA(MATCH($D9,'随時②-2'!$D$4:$D$18,0)),0,1)</f>
        <v>0</v>
      </c>
      <c r="S9" s="63">
        <f t="shared" si="1"/>
      </c>
      <c r="T9" s="63">
        <f t="shared" si="3"/>
      </c>
      <c r="U9" s="5">
        <f t="shared" si="4"/>
        <v>2</v>
      </c>
      <c r="V9" s="5" t="s">
        <v>155</v>
      </c>
      <c r="W9" s="5">
        <v>8</v>
      </c>
    </row>
    <row r="10" spans="1:23" ht="13.5" customHeight="1">
      <c r="A10" s="314">
        <f>'1-2'!A10</f>
        <v>5</v>
      </c>
      <c r="B10" s="315" t="str">
        <f>'1-2'!B10</f>
        <v>３－（１）－ア</v>
      </c>
      <c r="C10" s="483" t="str">
        <f>'1-2'!C10</f>
        <v>授業充実</v>
      </c>
      <c r="D10" s="256">
        <v>7</v>
      </c>
      <c r="E10" s="316" t="str">
        <f>IF($R10=1,"",VLOOKUP($D10,'1-2'!$D$4:$L$103,2))</f>
        <v>消耗需用費</v>
      </c>
      <c r="F10" s="317" t="str">
        <f>IF($R10=1,"取消し",VLOOKUP($D10,'1-2'!$D$4:$L$103,3))</f>
        <v>パソコン及び関連用品</v>
      </c>
      <c r="G10" s="226">
        <f>IF($R10=1,,VLOOKUP($D10,'1-2'!$D$4:$L$103,4))</f>
        <v>100000</v>
      </c>
      <c r="H10" s="318">
        <f>IF($R10=1,,VLOOKUP($D10,'1-2'!$D$4:$L$103,5))</f>
        <v>2</v>
      </c>
      <c r="I10" s="318">
        <f>IF($R10=1,,VLOOKUP($D10,'1-2'!$D$4:$L$103,6))</f>
        <v>1</v>
      </c>
      <c r="J10" s="319">
        <f>IF($R10=1,,VLOOKUP($D10,'1-2'!$D$4:$L$103,7))</f>
        <v>200000</v>
      </c>
      <c r="K10" s="320" t="str">
        <f t="shared" si="5"/>
        <v>パソコン及び関連用品</v>
      </c>
      <c r="L10" s="321">
        <v>76831</v>
      </c>
      <c r="M10" s="322">
        <f t="shared" si="6"/>
        <v>2</v>
      </c>
      <c r="N10" s="322">
        <f t="shared" si="6"/>
        <v>1</v>
      </c>
      <c r="O10" s="311">
        <f t="shared" si="2"/>
        <v>153662</v>
      </c>
      <c r="P10" s="312">
        <f>IF($R10=1,"",VLOOKUP($D10,'1-2'!$D$4:$L$103,8))</f>
        <v>0</v>
      </c>
      <c r="Q10" s="313">
        <f>IF($R10=1,"",VLOOKUP($D10,'1-2'!$D$4:$L$103,9))</f>
        <v>0</v>
      </c>
      <c r="R10" s="25">
        <f>IF(ISNA(MATCH($D10,'随時②-2'!$D$4:$D$18,0)),0,1)</f>
        <v>0</v>
      </c>
      <c r="S10" s="63">
        <f t="shared" si="1"/>
      </c>
      <c r="T10" s="63">
        <f t="shared" si="3"/>
      </c>
      <c r="U10" s="5">
        <f t="shared" si="4"/>
        <v>7</v>
      </c>
      <c r="V10" s="5" t="s">
        <v>159</v>
      </c>
      <c r="W10" s="5">
        <v>9</v>
      </c>
    </row>
    <row r="11" spans="1:23" ht="13.5" customHeight="1">
      <c r="A11" s="314">
        <f>'1-2'!A11</f>
        <v>5</v>
      </c>
      <c r="B11" s="315" t="str">
        <f>'1-2'!B11</f>
        <v>３－（１）－ア</v>
      </c>
      <c r="C11" s="483" t="str">
        <f>'1-2'!C11</f>
        <v>授業充実</v>
      </c>
      <c r="D11" s="265">
        <v>8</v>
      </c>
      <c r="E11" s="316" t="str">
        <f>IF($R11=1,"",VLOOKUP($D11,'1-2'!$D$4:$L$103,2))</f>
        <v>消耗需用費</v>
      </c>
      <c r="F11" s="317" t="str">
        <f>IF($R11=1,"取消し",VLOOKUP($D11,'1-2'!$D$4:$L$103,3))</f>
        <v>プレーヤー及び関連用品</v>
      </c>
      <c r="G11" s="226">
        <f>IF($R11=1,,VLOOKUP($D11,'1-2'!$D$4:$L$103,4))</f>
        <v>26000</v>
      </c>
      <c r="H11" s="318">
        <f>IF($R11=1,,VLOOKUP($D11,'1-2'!$D$4:$L$103,5))</f>
        <v>1</v>
      </c>
      <c r="I11" s="318">
        <f>IF($R11=1,,VLOOKUP($D11,'1-2'!$D$4:$L$103,6))</f>
        <v>1</v>
      </c>
      <c r="J11" s="319">
        <f>IF($R11=1,,VLOOKUP($D11,'1-2'!$D$4:$L$103,7))</f>
        <v>26000</v>
      </c>
      <c r="K11" s="320" t="str">
        <f t="shared" si="5"/>
        <v>プレーヤー及び関連用品</v>
      </c>
      <c r="L11" s="321">
        <v>19785</v>
      </c>
      <c r="M11" s="322">
        <f aca="true" t="shared" si="7" ref="M11:M74">H11</f>
        <v>1</v>
      </c>
      <c r="N11" s="322">
        <f aca="true" t="shared" si="8" ref="N11:N74">I11</f>
        <v>1</v>
      </c>
      <c r="O11" s="311">
        <f t="shared" si="2"/>
        <v>19785</v>
      </c>
      <c r="P11" s="312">
        <f>IF($R11=1,"",VLOOKUP($D11,'1-2'!$D$4:$L$103,8))</f>
        <v>0</v>
      </c>
      <c r="Q11" s="313">
        <f>IF($R11=1,"",VLOOKUP($D11,'1-2'!$D$4:$L$103,9))</f>
        <v>0</v>
      </c>
      <c r="R11" s="25">
        <f>IF(ISNA(MATCH($D11,'随時②-2'!$D$4:$D$18,0)),0,1)</f>
        <v>0</v>
      </c>
      <c r="S11" s="63">
        <f t="shared" si="1"/>
      </c>
      <c r="T11" s="63">
        <f t="shared" si="3"/>
      </c>
      <c r="U11" s="5">
        <f t="shared" si="4"/>
        <v>7</v>
      </c>
      <c r="V11" s="5" t="s">
        <v>156</v>
      </c>
      <c r="W11" s="5">
        <v>1</v>
      </c>
    </row>
    <row r="12" spans="1:23" ht="13.5" customHeight="1">
      <c r="A12" s="314">
        <f>'1-2'!A12</f>
        <v>5</v>
      </c>
      <c r="B12" s="315" t="str">
        <f>'1-2'!B12</f>
        <v>３－（１）－ア</v>
      </c>
      <c r="C12" s="483" t="str">
        <f>'1-2'!C12</f>
        <v>授業充実</v>
      </c>
      <c r="D12" s="265">
        <v>9</v>
      </c>
      <c r="E12" s="316" t="str">
        <f>IF($R12=1,"",VLOOKUP($D12,'1-2'!$D$4:$L$103,2))</f>
        <v>役務費</v>
      </c>
      <c r="F12" s="317" t="str">
        <f>IF($R12=1,"取消し",VLOOKUP($D12,'1-2'!$D$4:$L$103,3))</f>
        <v>手話通訳及び要約筆記</v>
      </c>
      <c r="G12" s="226">
        <f>IF($R12=1,,VLOOKUP($D12,'1-2'!$D$4:$L$103,4))</f>
        <v>41000</v>
      </c>
      <c r="H12" s="318">
        <f>IF($R12=1,,VLOOKUP($D12,'1-2'!$D$4:$L$103,5))</f>
        <v>1</v>
      </c>
      <c r="I12" s="318">
        <f>IF($R12=1,,VLOOKUP($D12,'1-2'!$D$4:$L$103,6))</f>
        <v>1</v>
      </c>
      <c r="J12" s="319">
        <f>IF($R12=1,,VLOOKUP($D12,'1-2'!$D$4:$L$103,7))</f>
        <v>41000</v>
      </c>
      <c r="K12" s="320" t="str">
        <f t="shared" si="5"/>
        <v>手話通訳及び要約筆記</v>
      </c>
      <c r="L12" s="321">
        <f aca="true" t="shared" si="9" ref="L12:L74">G12</f>
        <v>41000</v>
      </c>
      <c r="M12" s="322">
        <f t="shared" si="7"/>
        <v>1</v>
      </c>
      <c r="N12" s="322">
        <f t="shared" si="8"/>
        <v>1</v>
      </c>
      <c r="O12" s="311">
        <f t="shared" si="2"/>
        <v>41000</v>
      </c>
      <c r="P12" s="312">
        <f>IF($R12=1,"",VLOOKUP($D12,'1-2'!$D$4:$L$103,8))</f>
        <v>0</v>
      </c>
      <c r="Q12" s="313">
        <f>IF($R12=1,"",VLOOKUP($D12,'1-2'!$D$4:$L$103,9))</f>
        <v>0</v>
      </c>
      <c r="R12" s="25">
        <f>IF(ISNA(MATCH($D12,'随時②-2'!$D$4:$D$18,0)),0,1)</f>
        <v>0</v>
      </c>
      <c r="S12" s="63">
        <f t="shared" si="1"/>
      </c>
      <c r="T12" s="63">
        <f t="shared" si="3"/>
      </c>
      <c r="U12" s="5">
        <f t="shared" si="4"/>
        <v>5</v>
      </c>
      <c r="V12" s="5" t="s">
        <v>157</v>
      </c>
      <c r="W12" s="5">
        <v>5</v>
      </c>
    </row>
    <row r="13" spans="1:23" ht="13.5" customHeight="1">
      <c r="A13" s="314">
        <f>'1-2'!A13</f>
        <v>6</v>
      </c>
      <c r="B13" s="315" t="str">
        <f>'1-2'!B13</f>
        <v>２－（１）－イ</v>
      </c>
      <c r="C13" s="483" t="str">
        <f>'1-2'!C13</f>
        <v>多文化共生教育の推進</v>
      </c>
      <c r="D13" s="275">
        <v>10</v>
      </c>
      <c r="E13" s="316" t="str">
        <f>IF($R13=1,"",VLOOKUP($D13,'1-2'!$D$4:$L$103,2))</f>
        <v>報償費</v>
      </c>
      <c r="F13" s="317" t="str">
        <f>IF($R13=1,"取消し",VLOOKUP($D13,'1-2'!$D$4:$L$103,3))</f>
        <v>外部講師謝礼</v>
      </c>
      <c r="G13" s="226">
        <f>IF($R13=1,,VLOOKUP($D13,'1-2'!$D$4:$L$103,4))</f>
        <v>5000</v>
      </c>
      <c r="H13" s="318">
        <f>IF($R13=1,,VLOOKUP($D13,'1-2'!$D$4:$L$103,5))</f>
        <v>2</v>
      </c>
      <c r="I13" s="318">
        <f>IF($R13=1,,VLOOKUP($D13,'1-2'!$D$4:$L$103,6))</f>
        <v>2</v>
      </c>
      <c r="J13" s="319">
        <f>IF($R13=1,,VLOOKUP($D13,'1-2'!$D$4:$L$103,7))</f>
        <v>20000</v>
      </c>
      <c r="K13" s="320" t="str">
        <f t="shared" si="5"/>
        <v>外部講師謝礼</v>
      </c>
      <c r="L13" s="321">
        <f t="shared" si="9"/>
        <v>5000</v>
      </c>
      <c r="M13" s="322">
        <f t="shared" si="7"/>
        <v>2</v>
      </c>
      <c r="N13" s="322">
        <v>0</v>
      </c>
      <c r="O13" s="311">
        <f t="shared" si="2"/>
        <v>0</v>
      </c>
      <c r="P13" s="312">
        <f>IF($R13=1,"",VLOOKUP($D13,'1-2'!$D$4:$L$103,8))</f>
        <v>0</v>
      </c>
      <c r="Q13" s="313">
        <f>IF($R13=1,"",VLOOKUP($D13,'1-2'!$D$4:$L$103,9))</f>
        <v>0</v>
      </c>
      <c r="R13" s="25">
        <f>IF(ISNA(MATCH($D13,'随時②-2'!$D$4:$D$18,0)),0,1)</f>
        <v>0</v>
      </c>
      <c r="S13" s="63">
        <f t="shared" si="1"/>
      </c>
      <c r="T13" s="63">
        <f t="shared" si="3"/>
      </c>
      <c r="U13" s="5">
        <f t="shared" si="4"/>
        <v>1</v>
      </c>
      <c r="V13" s="5" t="s">
        <v>158</v>
      </c>
      <c r="W13" s="5">
        <v>2</v>
      </c>
    </row>
    <row r="14" spans="1:21" ht="13.5" customHeight="1">
      <c r="A14" s="314">
        <f>'1-2'!A14</f>
        <v>6</v>
      </c>
      <c r="B14" s="315" t="str">
        <f>'1-2'!B14</f>
        <v>２－（１）－イ</v>
      </c>
      <c r="C14" s="483" t="str">
        <f>'1-2'!C14</f>
        <v>多文化共生教育の推進</v>
      </c>
      <c r="D14" s="256">
        <v>11</v>
      </c>
      <c r="E14" s="316" t="str">
        <f>IF($R14=1,"",VLOOKUP($D14,'1-2'!$D$4:$L$103,2))</f>
        <v>旅費</v>
      </c>
      <c r="F14" s="317" t="str">
        <f>IF($R14=1,"取消し",VLOOKUP($D14,'1-2'!$D$4:$L$103,3))</f>
        <v>ボランティア学生旅費</v>
      </c>
      <c r="G14" s="226">
        <f>IF($R14=1,,VLOOKUP($D14,'1-2'!$D$4:$L$103,4))</f>
        <v>1000</v>
      </c>
      <c r="H14" s="318">
        <f>IF($R14=1,,VLOOKUP($D14,'1-2'!$D$4:$L$103,5))</f>
        <v>5</v>
      </c>
      <c r="I14" s="318">
        <f>IF($R14=1,,VLOOKUP($D14,'1-2'!$D$4:$L$103,6))</f>
        <v>2</v>
      </c>
      <c r="J14" s="319">
        <f>IF($R14=1,,VLOOKUP($D14,'1-2'!$D$4:$L$103,7))</f>
        <v>10000</v>
      </c>
      <c r="K14" s="320" t="str">
        <f t="shared" si="5"/>
        <v>ボランティア学生旅費</v>
      </c>
      <c r="L14" s="321">
        <f t="shared" si="9"/>
        <v>1000</v>
      </c>
      <c r="M14" s="322">
        <f t="shared" si="7"/>
        <v>5</v>
      </c>
      <c r="N14" s="322">
        <v>0</v>
      </c>
      <c r="O14" s="311">
        <f t="shared" si="2"/>
        <v>0</v>
      </c>
      <c r="P14" s="312">
        <f>IF($R14=1,"",VLOOKUP($D14,'1-2'!$D$4:$L$103,8))</f>
        <v>0</v>
      </c>
      <c r="Q14" s="313">
        <f>IF($R14=1,"",VLOOKUP($D14,'1-2'!$D$4:$L$103,9))</f>
        <v>0</v>
      </c>
      <c r="R14" s="25">
        <f>IF(ISNA(MATCH($D14,'随時②-2'!$D$4:$D$18,0)),0,1)</f>
        <v>0</v>
      </c>
      <c r="S14" s="63">
        <f t="shared" si="1"/>
      </c>
      <c r="T14" s="63">
        <f t="shared" si="3"/>
      </c>
      <c r="U14" s="5">
        <f t="shared" si="4"/>
        <v>2</v>
      </c>
    </row>
    <row r="15" spans="1:21" ht="13.5" customHeight="1">
      <c r="A15" s="314">
        <f>'1-2'!A15</f>
        <v>8</v>
      </c>
      <c r="B15" s="315" t="str">
        <f>'1-2'!B15</f>
        <v>２－（２）－オ</v>
      </c>
      <c r="C15" s="483" t="str">
        <f>'1-2'!C15</f>
        <v>情報発信力の向上</v>
      </c>
      <c r="D15" s="256">
        <v>12</v>
      </c>
      <c r="E15" s="316" t="str">
        <f>IF($R15=1,"",VLOOKUP($D15,'1-2'!$D$4:$L$103,2))</f>
        <v>消耗需用費</v>
      </c>
      <c r="F15" s="317" t="str">
        <f>IF($R15=1,"取消し",VLOOKUP($D15,'1-2'!$D$4:$L$103,3))</f>
        <v>学校ＰＲ用品作成</v>
      </c>
      <c r="G15" s="226">
        <f>IF($R15=1,,VLOOKUP($D15,'1-2'!$D$4:$L$103,4))</f>
        <v>20000</v>
      </c>
      <c r="H15" s="318">
        <f>IF($R15=1,,VLOOKUP($D15,'1-2'!$D$4:$L$103,5))</f>
        <v>1</v>
      </c>
      <c r="I15" s="318">
        <f>IF($R15=1,,VLOOKUP($D15,'1-2'!$D$4:$L$103,6))</f>
        <v>1</v>
      </c>
      <c r="J15" s="319">
        <f>IF($R15=1,,VLOOKUP($D15,'1-2'!$D$4:$L$103,7))</f>
        <v>20000</v>
      </c>
      <c r="K15" s="320" t="str">
        <f t="shared" si="5"/>
        <v>学校ＰＲ用品作成</v>
      </c>
      <c r="L15" s="321">
        <v>22905</v>
      </c>
      <c r="M15" s="322">
        <f t="shared" si="7"/>
        <v>1</v>
      </c>
      <c r="N15" s="322">
        <f t="shared" si="8"/>
        <v>1</v>
      </c>
      <c r="O15" s="311">
        <f t="shared" si="2"/>
        <v>22905</v>
      </c>
      <c r="P15" s="312">
        <f>IF($R15=1,"",VLOOKUP($D15,'1-2'!$D$4:$L$103,8))</f>
        <v>0</v>
      </c>
      <c r="Q15" s="313">
        <f>IF($R15=1,"",VLOOKUP($D15,'1-2'!$D$4:$L$103,9))</f>
        <v>0</v>
      </c>
      <c r="R15" s="25">
        <f>IF(ISNA(MATCH($D15,'随時②-2'!$D$4:$D$18,0)),0,1)</f>
        <v>0</v>
      </c>
      <c r="S15" s="63">
        <f t="shared" si="1"/>
      </c>
      <c r="T15" s="63">
        <f t="shared" si="3"/>
      </c>
      <c r="U15" s="5">
        <f t="shared" si="4"/>
        <v>7</v>
      </c>
    </row>
    <row r="16" spans="1:21" ht="13.5" customHeight="1">
      <c r="A16" s="314">
        <f>'1-2'!A16</f>
        <v>7</v>
      </c>
      <c r="B16" s="315" t="str">
        <f>'1-2'!B16</f>
        <v>１－（３）－ク</v>
      </c>
      <c r="C16" s="483" t="str">
        <f>'1-2'!C16</f>
        <v>ＡＳＬ授業の実施</v>
      </c>
      <c r="D16" s="256">
        <v>13</v>
      </c>
      <c r="E16" s="316" t="str">
        <f>IF($R16=1,"",VLOOKUP($D16,'1-2'!$D$4:$L$103,2))</f>
        <v>報償費</v>
      </c>
      <c r="F16" s="317" t="str">
        <f>IF($R16=1,"取消し",VLOOKUP($D16,'1-2'!$D$4:$L$103,3))</f>
        <v>ＡＳＬ（アメリカ手話）講習会謝礼</v>
      </c>
      <c r="G16" s="226">
        <f>IF($R16=1,,VLOOKUP($D16,'1-2'!$D$4:$L$103,4))</f>
        <v>10000</v>
      </c>
      <c r="H16" s="318">
        <f>IF($R16=1,,VLOOKUP($D16,'1-2'!$D$4:$L$103,5))</f>
        <v>1</v>
      </c>
      <c r="I16" s="318">
        <f>IF($R16=1,,VLOOKUP($D16,'1-2'!$D$4:$L$103,6))</f>
        <v>7</v>
      </c>
      <c r="J16" s="319">
        <f>IF($R16=1,,VLOOKUP($D16,'1-2'!$D$4:$L$103,7))</f>
        <v>70000</v>
      </c>
      <c r="K16" s="320" t="str">
        <f t="shared" si="5"/>
        <v>ＡＳＬ（アメリカ手話）講習会謝礼</v>
      </c>
      <c r="L16" s="321">
        <f t="shared" si="9"/>
        <v>10000</v>
      </c>
      <c r="M16" s="322">
        <f t="shared" si="7"/>
        <v>1</v>
      </c>
      <c r="N16" s="322">
        <f t="shared" si="8"/>
        <v>7</v>
      </c>
      <c r="O16" s="311">
        <f t="shared" si="2"/>
        <v>70000</v>
      </c>
      <c r="P16" s="312">
        <f>IF($R16=1,"",VLOOKUP($D16,'1-2'!$D$4:$L$103,8))</f>
        <v>0</v>
      </c>
      <c r="Q16" s="313">
        <f>IF($R16=1,"",VLOOKUP($D16,'1-2'!$D$4:$L$103,9))</f>
        <v>0</v>
      </c>
      <c r="R16" s="25">
        <f>IF(ISNA(MATCH($D16,'随時②-2'!$D$4:$D$18,0)),0,1)</f>
        <v>0</v>
      </c>
      <c r="S16" s="63">
        <f t="shared" si="1"/>
      </c>
      <c r="T16" s="63">
        <f t="shared" si="3"/>
      </c>
      <c r="U16" s="5">
        <f t="shared" si="4"/>
        <v>1</v>
      </c>
    </row>
    <row r="17" spans="1:21" ht="13.5" customHeight="1">
      <c r="A17" s="314">
        <f>'1-2'!A17</f>
        <v>7</v>
      </c>
      <c r="B17" s="315" t="str">
        <f>'1-2'!B17</f>
        <v>１－（３）－ク</v>
      </c>
      <c r="C17" s="483" t="str">
        <f>'1-2'!C17</f>
        <v>ＡＳＬ授業の実施</v>
      </c>
      <c r="D17" s="256">
        <v>14</v>
      </c>
      <c r="E17" s="316" t="str">
        <f>IF($R17=1,"",VLOOKUP($D17,'1-2'!$D$4:$L$103,2))</f>
        <v>旅費</v>
      </c>
      <c r="F17" s="317" t="str">
        <f>IF($R17=1,"取消し",VLOOKUP($D17,'1-2'!$D$4:$L$103,3))</f>
        <v>講師旅費</v>
      </c>
      <c r="G17" s="226">
        <f>IF($R17=1,,VLOOKUP($D17,'1-2'!$D$4:$L$103,4))</f>
        <v>1000</v>
      </c>
      <c r="H17" s="318">
        <f>IF($R17=1,,VLOOKUP($D17,'1-2'!$D$4:$L$103,5))</f>
        <v>1</v>
      </c>
      <c r="I17" s="318">
        <f>IF($R17=1,,VLOOKUP($D17,'1-2'!$D$4:$L$103,6))</f>
        <v>7</v>
      </c>
      <c r="J17" s="319">
        <f>IF($R17=1,,VLOOKUP($D17,'1-2'!$D$4:$L$103,7))</f>
        <v>7000</v>
      </c>
      <c r="K17" s="320" t="str">
        <f t="shared" si="5"/>
        <v>講師旅費</v>
      </c>
      <c r="L17" s="321">
        <v>900</v>
      </c>
      <c r="M17" s="322">
        <f t="shared" si="7"/>
        <v>1</v>
      </c>
      <c r="N17" s="322">
        <f t="shared" si="8"/>
        <v>7</v>
      </c>
      <c r="O17" s="311">
        <f t="shared" si="2"/>
        <v>6300</v>
      </c>
      <c r="P17" s="312">
        <f>IF($R17=1,"",VLOOKUP($D17,'1-2'!$D$4:$L$103,8))</f>
        <v>0</v>
      </c>
      <c r="Q17" s="313">
        <f>IF($R17=1,"",VLOOKUP($D17,'1-2'!$D$4:$L$103,9))</f>
        <v>0</v>
      </c>
      <c r="R17" s="25">
        <f>IF(ISNA(MATCH($D17,'随時②-2'!$D$4:$D$18,0)),0,1)</f>
        <v>0</v>
      </c>
      <c r="S17" s="63">
        <f t="shared" si="1"/>
      </c>
      <c r="T17" s="63">
        <f t="shared" si="3"/>
      </c>
      <c r="U17" s="5">
        <f t="shared" si="4"/>
        <v>2</v>
      </c>
    </row>
    <row r="18" spans="1:21" ht="13.5" customHeight="1">
      <c r="A18" s="314">
        <f>'1-2'!A18</f>
        <v>0</v>
      </c>
      <c r="B18" s="315">
        <f>'1-2'!B18</f>
        <v>0</v>
      </c>
      <c r="C18" s="483">
        <f>'1-2'!C18</f>
        <v>0</v>
      </c>
      <c r="D18" s="256">
        <v>15</v>
      </c>
      <c r="E18" s="316">
        <f>IF($R18=1,"",VLOOKUP($D18,'1-2'!$D$4:$L$103,2))</f>
        <v>0</v>
      </c>
      <c r="F18" s="317">
        <f>IF($R18=1,"取消し",VLOOKUP($D18,'1-2'!$D$4:$L$103,3))</f>
        <v>0</v>
      </c>
      <c r="G18" s="226">
        <f>IF($R18=1,,VLOOKUP($D18,'1-2'!$D$4:$L$103,4))</f>
        <v>0</v>
      </c>
      <c r="H18" s="318">
        <f>IF($R18=1,,VLOOKUP($D18,'1-2'!$D$4:$L$103,5))</f>
        <v>0</v>
      </c>
      <c r="I18" s="318">
        <f>IF($R18=1,,VLOOKUP($D18,'1-2'!$D$4:$L$103,6))</f>
        <v>0</v>
      </c>
      <c r="J18" s="319">
        <f>IF($R18=1,,VLOOKUP($D18,'1-2'!$D$4:$L$103,7))</f>
        <v>0</v>
      </c>
      <c r="K18" s="320">
        <f t="shared" si="5"/>
        <v>0</v>
      </c>
      <c r="L18" s="321">
        <f t="shared" si="9"/>
        <v>0</v>
      </c>
      <c r="M18" s="322">
        <f t="shared" si="7"/>
        <v>0</v>
      </c>
      <c r="N18" s="322">
        <f t="shared" si="8"/>
        <v>0</v>
      </c>
      <c r="O18" s="311">
        <f t="shared" si="2"/>
        <v>0</v>
      </c>
      <c r="P18" s="312">
        <f>IF($R18=1,"",VLOOKUP($D18,'1-2'!$D$4:$L$103,8))</f>
        <v>0</v>
      </c>
      <c r="Q18" s="313">
        <f>IF($R18=1,"",VLOOKUP($D18,'1-2'!$D$4:$L$103,9))</f>
        <v>0</v>
      </c>
      <c r="R18" s="25">
        <f>IF(ISNA(MATCH($D18,'随時②-2'!$D$4:$D$18,0)),0,1)</f>
        <v>0</v>
      </c>
      <c r="S18" s="63">
        <f t="shared" si="1"/>
      </c>
      <c r="T18" s="63">
        <f t="shared" si="3"/>
      </c>
      <c r="U18" s="5">
        <f t="shared" si="4"/>
      </c>
    </row>
    <row r="19" spans="1:21" ht="13.5" customHeight="1">
      <c r="A19" s="314">
        <f>'1-2'!A19</f>
        <v>0</v>
      </c>
      <c r="B19" s="315">
        <f>'1-2'!B19</f>
        <v>0</v>
      </c>
      <c r="C19" s="483">
        <f>'1-2'!C19</f>
        <v>0</v>
      </c>
      <c r="D19" s="256">
        <v>16</v>
      </c>
      <c r="E19" s="316">
        <f>IF($R19=1,"",VLOOKUP($D19,'1-2'!$D$4:$L$103,2))</f>
        <v>0</v>
      </c>
      <c r="F19" s="317">
        <f>IF($R19=1,"取消し",VLOOKUP($D19,'1-2'!$D$4:$L$103,3))</f>
        <v>0</v>
      </c>
      <c r="G19" s="226">
        <f>IF($R19=1,,VLOOKUP($D19,'1-2'!$D$4:$L$103,4))</f>
        <v>0</v>
      </c>
      <c r="H19" s="318">
        <f>IF($R19=1,,VLOOKUP($D19,'1-2'!$D$4:$L$103,5))</f>
        <v>0</v>
      </c>
      <c r="I19" s="318">
        <f>IF($R19=1,,VLOOKUP($D19,'1-2'!$D$4:$L$103,6))</f>
        <v>0</v>
      </c>
      <c r="J19" s="319">
        <f>IF($R19=1,,VLOOKUP($D19,'1-2'!$D$4:$L$103,7))</f>
        <v>0</v>
      </c>
      <c r="K19" s="320">
        <f t="shared" si="5"/>
        <v>0</v>
      </c>
      <c r="L19" s="321">
        <f t="shared" si="9"/>
        <v>0</v>
      </c>
      <c r="M19" s="322">
        <f t="shared" si="7"/>
        <v>0</v>
      </c>
      <c r="N19" s="322">
        <f t="shared" si="8"/>
        <v>0</v>
      </c>
      <c r="O19" s="311">
        <f t="shared" si="2"/>
        <v>0</v>
      </c>
      <c r="P19" s="312">
        <f>IF($R19=1,"",VLOOKUP($D19,'1-2'!$D$4:$L$103,8))</f>
        <v>0</v>
      </c>
      <c r="Q19" s="313">
        <f>IF($R19=1,"",VLOOKUP($D19,'1-2'!$D$4:$L$103,9))</f>
        <v>0</v>
      </c>
      <c r="R19" s="25">
        <f>IF(ISNA(MATCH($D19,'随時②-2'!$D$4:$D$18,0)),0,1)</f>
        <v>0</v>
      </c>
      <c r="S19" s="63">
        <f t="shared" si="1"/>
      </c>
      <c r="T19" s="63">
        <f t="shared" si="3"/>
      </c>
      <c r="U19" s="5">
        <f t="shared" si="4"/>
      </c>
    </row>
    <row r="20" spans="1:21" ht="13.5" customHeight="1">
      <c r="A20" s="314">
        <f>'1-2'!A20</f>
        <v>0</v>
      </c>
      <c r="B20" s="315">
        <f>'1-2'!B20</f>
        <v>0</v>
      </c>
      <c r="C20" s="483">
        <f>'1-2'!C20</f>
        <v>0</v>
      </c>
      <c r="D20" s="256">
        <v>17</v>
      </c>
      <c r="E20" s="316">
        <f>IF($R20=1,"",VLOOKUP($D20,'1-2'!$D$4:$L$103,2))</f>
        <v>0</v>
      </c>
      <c r="F20" s="317">
        <f>IF($R20=1,"取消し",VLOOKUP($D20,'1-2'!$D$4:$L$103,3))</f>
        <v>0</v>
      </c>
      <c r="G20" s="226">
        <f>IF($R20=1,,VLOOKUP($D20,'1-2'!$D$4:$L$103,4))</f>
        <v>0</v>
      </c>
      <c r="H20" s="318">
        <f>IF($R20=1,,VLOOKUP($D20,'1-2'!$D$4:$L$103,5))</f>
        <v>0</v>
      </c>
      <c r="I20" s="318">
        <f>IF($R20=1,,VLOOKUP($D20,'1-2'!$D$4:$L$103,6))</f>
        <v>0</v>
      </c>
      <c r="J20" s="319">
        <f>IF($R20=1,,VLOOKUP($D20,'1-2'!$D$4:$L$103,7))</f>
        <v>0</v>
      </c>
      <c r="K20" s="320">
        <f t="shared" si="5"/>
        <v>0</v>
      </c>
      <c r="L20" s="321">
        <f t="shared" si="9"/>
        <v>0</v>
      </c>
      <c r="M20" s="322">
        <f t="shared" si="7"/>
        <v>0</v>
      </c>
      <c r="N20" s="322">
        <f t="shared" si="8"/>
        <v>0</v>
      </c>
      <c r="O20" s="311">
        <f t="shared" si="2"/>
        <v>0</v>
      </c>
      <c r="P20" s="312">
        <f>IF($R20=1,"",VLOOKUP($D20,'1-2'!$D$4:$L$103,8))</f>
        <v>0</v>
      </c>
      <c r="Q20" s="313">
        <f>IF($R20=1,"",VLOOKUP($D20,'1-2'!$D$4:$L$103,9))</f>
        <v>0</v>
      </c>
      <c r="R20" s="25">
        <f>IF(ISNA(MATCH($D20,'随時②-2'!$D$4:$D$18,0)),0,1)</f>
        <v>0</v>
      </c>
      <c r="S20" s="63">
        <f t="shared" si="1"/>
      </c>
      <c r="T20" s="63">
        <f t="shared" si="3"/>
      </c>
      <c r="U20" s="5">
        <f t="shared" si="4"/>
      </c>
    </row>
    <row r="21" spans="1:21" ht="13.5" customHeight="1">
      <c r="A21" s="314">
        <f>'1-2'!A21</f>
        <v>0</v>
      </c>
      <c r="B21" s="315">
        <f>'1-2'!B21</f>
        <v>0</v>
      </c>
      <c r="C21" s="483">
        <f>'1-2'!C21</f>
        <v>0</v>
      </c>
      <c r="D21" s="256">
        <v>18</v>
      </c>
      <c r="E21" s="316">
        <f>IF($R21=1,"",VLOOKUP($D21,'1-2'!$D$4:$L$103,2))</f>
        <v>0</v>
      </c>
      <c r="F21" s="317">
        <f>IF($R21=1,"取消し",VLOOKUP($D21,'1-2'!$D$4:$L$103,3))</f>
        <v>0</v>
      </c>
      <c r="G21" s="226">
        <f>IF($R21=1,,VLOOKUP($D21,'1-2'!$D$4:$L$103,4))</f>
        <v>0</v>
      </c>
      <c r="H21" s="318">
        <f>IF($R21=1,,VLOOKUP($D21,'1-2'!$D$4:$L$103,5))</f>
        <v>0</v>
      </c>
      <c r="I21" s="318">
        <f>IF($R21=1,,VLOOKUP($D21,'1-2'!$D$4:$L$103,6))</f>
        <v>0</v>
      </c>
      <c r="J21" s="319">
        <f>IF($R21=1,,VLOOKUP($D21,'1-2'!$D$4:$L$103,7))</f>
        <v>0</v>
      </c>
      <c r="K21" s="320">
        <f t="shared" si="5"/>
        <v>0</v>
      </c>
      <c r="L21" s="321">
        <f t="shared" si="9"/>
        <v>0</v>
      </c>
      <c r="M21" s="322">
        <f t="shared" si="7"/>
        <v>0</v>
      </c>
      <c r="N21" s="322">
        <f t="shared" si="8"/>
        <v>0</v>
      </c>
      <c r="O21" s="311">
        <f t="shared" si="2"/>
        <v>0</v>
      </c>
      <c r="P21" s="312">
        <f>IF($R21=1,"",VLOOKUP($D21,'1-2'!$D$4:$L$103,8))</f>
        <v>0</v>
      </c>
      <c r="Q21" s="313">
        <f>IF($R21=1,"",VLOOKUP($D21,'1-2'!$D$4:$L$103,9))</f>
        <v>0</v>
      </c>
      <c r="R21" s="25">
        <f>IF(ISNA(MATCH($D21,'随時②-2'!$D$4:$D$18,0)),0,1)</f>
        <v>0</v>
      </c>
      <c r="S21" s="63">
        <f t="shared" si="1"/>
      </c>
      <c r="T21" s="63">
        <f t="shared" si="3"/>
      </c>
      <c r="U21" s="5">
        <f t="shared" si="4"/>
      </c>
    </row>
    <row r="22" spans="1:21" ht="13.5" customHeight="1">
      <c r="A22" s="314">
        <f>'1-2'!A22</f>
        <v>0</v>
      </c>
      <c r="B22" s="315">
        <f>'1-2'!B22</f>
        <v>0</v>
      </c>
      <c r="C22" s="483">
        <f>'1-2'!C22</f>
        <v>0</v>
      </c>
      <c r="D22" s="256">
        <v>19</v>
      </c>
      <c r="E22" s="316">
        <f>IF($R22=1,"",VLOOKUP($D22,'1-2'!$D$4:$L$103,2))</f>
        <v>0</v>
      </c>
      <c r="F22" s="317">
        <f>IF($R22=1,"取消し",VLOOKUP($D22,'1-2'!$D$4:$L$103,3))</f>
        <v>0</v>
      </c>
      <c r="G22" s="226">
        <f>IF($R22=1,,VLOOKUP($D22,'1-2'!$D$4:$L$103,4))</f>
        <v>0</v>
      </c>
      <c r="H22" s="318">
        <f>IF($R22=1,,VLOOKUP($D22,'1-2'!$D$4:$L$103,5))</f>
        <v>0</v>
      </c>
      <c r="I22" s="318">
        <f>IF($R22=1,,VLOOKUP($D22,'1-2'!$D$4:$L$103,6))</f>
        <v>0</v>
      </c>
      <c r="J22" s="319">
        <f>IF($R22=1,,VLOOKUP($D22,'1-2'!$D$4:$L$103,7))</f>
        <v>0</v>
      </c>
      <c r="K22" s="320">
        <f t="shared" si="5"/>
        <v>0</v>
      </c>
      <c r="L22" s="321">
        <f t="shared" si="9"/>
        <v>0</v>
      </c>
      <c r="M22" s="322">
        <f t="shared" si="7"/>
        <v>0</v>
      </c>
      <c r="N22" s="322">
        <f t="shared" si="8"/>
        <v>0</v>
      </c>
      <c r="O22" s="311">
        <f t="shared" si="2"/>
        <v>0</v>
      </c>
      <c r="P22" s="312">
        <f>IF($R22=1,"",VLOOKUP($D22,'1-2'!$D$4:$L$103,8))</f>
        <v>0</v>
      </c>
      <c r="Q22" s="313">
        <f>IF($R22=1,"",VLOOKUP($D22,'1-2'!$D$4:$L$103,9))</f>
        <v>0</v>
      </c>
      <c r="R22" s="25">
        <f>IF(ISNA(MATCH($D22,'随時②-2'!$D$4:$D$18,0)),0,1)</f>
        <v>0</v>
      </c>
      <c r="S22" s="63">
        <f t="shared" si="1"/>
      </c>
      <c r="T22" s="63">
        <f t="shared" si="3"/>
      </c>
      <c r="U22" s="5">
        <f t="shared" si="4"/>
      </c>
    </row>
    <row r="23" spans="1:21" ht="13.5" customHeight="1">
      <c r="A23" s="314">
        <f>'1-2'!A23</f>
        <v>0</v>
      </c>
      <c r="B23" s="315">
        <f>'1-2'!B23</f>
        <v>0</v>
      </c>
      <c r="C23" s="483">
        <f>'1-2'!C23</f>
        <v>0</v>
      </c>
      <c r="D23" s="256">
        <v>20</v>
      </c>
      <c r="E23" s="316">
        <f>IF($R23=1,"",VLOOKUP($D23,'1-2'!$D$4:$L$103,2))</f>
        <v>0</v>
      </c>
      <c r="F23" s="317">
        <f>IF($R23=1,"取消し",VLOOKUP($D23,'1-2'!$D$4:$L$103,3))</f>
        <v>0</v>
      </c>
      <c r="G23" s="226">
        <f>IF($R23=1,,VLOOKUP($D23,'1-2'!$D$4:$L$103,4))</f>
        <v>0</v>
      </c>
      <c r="H23" s="318">
        <f>IF($R23=1,,VLOOKUP($D23,'1-2'!$D$4:$L$103,5))</f>
        <v>0</v>
      </c>
      <c r="I23" s="318">
        <f>IF($R23=1,,VLOOKUP($D23,'1-2'!$D$4:$L$103,6))</f>
        <v>0</v>
      </c>
      <c r="J23" s="319">
        <f>IF($R23=1,,VLOOKUP($D23,'1-2'!$D$4:$L$103,7))</f>
        <v>0</v>
      </c>
      <c r="K23" s="320">
        <f t="shared" si="5"/>
        <v>0</v>
      </c>
      <c r="L23" s="321">
        <f t="shared" si="9"/>
        <v>0</v>
      </c>
      <c r="M23" s="322">
        <f t="shared" si="7"/>
        <v>0</v>
      </c>
      <c r="N23" s="322">
        <f t="shared" si="8"/>
        <v>0</v>
      </c>
      <c r="O23" s="311">
        <f t="shared" si="2"/>
        <v>0</v>
      </c>
      <c r="P23" s="312">
        <f>IF($R23=1,"",VLOOKUP($D23,'1-2'!$D$4:$L$103,8))</f>
        <v>0</v>
      </c>
      <c r="Q23" s="313">
        <f>IF($R23=1,"",VLOOKUP($D23,'1-2'!$D$4:$L$103,9))</f>
        <v>0</v>
      </c>
      <c r="R23" s="25">
        <f>IF(ISNA(MATCH($D23,'随時②-2'!$D$4:$D$18,0)),0,1)</f>
        <v>0</v>
      </c>
      <c r="S23" s="63">
        <f t="shared" si="1"/>
      </c>
      <c r="T23" s="63">
        <f t="shared" si="3"/>
      </c>
      <c r="U23" s="5">
        <f t="shared" si="4"/>
      </c>
    </row>
    <row r="24" spans="1:21" ht="13.5" customHeight="1">
      <c r="A24" s="314">
        <f>'1-2'!A24</f>
        <v>0</v>
      </c>
      <c r="B24" s="315">
        <f>'1-2'!B24</f>
        <v>0</v>
      </c>
      <c r="C24" s="483">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9"/>
        <v>0</v>
      </c>
      <c r="M24" s="322">
        <f t="shared" si="7"/>
        <v>0</v>
      </c>
      <c r="N24" s="322">
        <f t="shared" si="8"/>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c r="A25" s="314">
        <f>'1-2'!A25</f>
        <v>0</v>
      </c>
      <c r="B25" s="315">
        <f>'1-2'!B25</f>
        <v>0</v>
      </c>
      <c r="C25" s="483">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9"/>
        <v>0</v>
      </c>
      <c r="M25" s="322">
        <f t="shared" si="7"/>
        <v>0</v>
      </c>
      <c r="N25" s="322">
        <f t="shared" si="8"/>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3">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7"/>
        <v>0</v>
      </c>
      <c r="N26" s="322">
        <f t="shared" si="8"/>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3">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7"/>
        <v>0</v>
      </c>
      <c r="N27" s="322">
        <f t="shared" si="8"/>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3">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7"/>
        <v>0</v>
      </c>
      <c r="N28" s="322">
        <f t="shared" si="8"/>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3">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7"/>
        <v>0</v>
      </c>
      <c r="N29" s="322">
        <f t="shared" si="8"/>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3">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7"/>
        <v>0</v>
      </c>
      <c r="N30" s="322">
        <f t="shared" si="8"/>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3">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7"/>
        <v>0</v>
      </c>
      <c r="N31" s="322">
        <f t="shared" si="8"/>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3">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7"/>
        <v>0</v>
      </c>
      <c r="N32" s="322">
        <f t="shared" si="8"/>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3">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7"/>
        <v>0</v>
      </c>
      <c r="N33" s="322">
        <f t="shared" si="8"/>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3">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3">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3">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3">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3">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3">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3">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3">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3">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3">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3">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3">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3">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3">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3">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3">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3">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3">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3">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3">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3">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3">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3">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3">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3">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3">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3">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3">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3">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3">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3">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3">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3">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3">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3">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3">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3">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3">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3">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3">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3">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3">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3">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3">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3">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3">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3">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3">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3">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3">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3">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3">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3">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3">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3">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3">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3">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3">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3">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3">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3">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3">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3">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3">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3">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3">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3">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3">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3">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4">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1</v>
      </c>
      <c r="B104" s="340" t="str">
        <f>'随時①-2'!B4</f>
        <v>１－（４）－ケ</v>
      </c>
      <c r="C104" s="485" t="str">
        <f>'随時①-2'!C4</f>
        <v>進路・就職指導の充実</v>
      </c>
      <c r="D104" s="265">
        <v>101</v>
      </c>
      <c r="E104" s="317" t="str">
        <f>IF($R104=1,"",VLOOKUP($D104,'随時①-2'!$D$4:$L$23,2))</f>
        <v>報償費</v>
      </c>
      <c r="F104" s="317" t="str">
        <f>IF($R104=1,"取消し",VLOOKUP($D104,'随時①-2'!$D$4:$L$23,3))</f>
        <v>「先輩の体験を聞く会」謝礼</v>
      </c>
      <c r="G104" s="226">
        <f>IF($R104=1,,VLOOKUP($D104,'随時①-2'!$D$4:$L$23,4))</f>
        <v>3000</v>
      </c>
      <c r="H104" s="318">
        <f>IF($R104=1,,VLOOKUP($D104,'随時①-2'!$D$4:$L$23,5))</f>
        <v>3</v>
      </c>
      <c r="I104" s="318">
        <f>IF($R104=1,,VLOOKUP($D104,'随時①-2'!$D$4:$L$23,6))</f>
        <v>1</v>
      </c>
      <c r="J104" s="226">
        <f>IF($R104=1,,VLOOKUP($D104,'随時①-2'!$D$4:$L$23,7))</f>
        <v>9000</v>
      </c>
      <c r="K104" s="341" t="str">
        <f t="shared" si="14"/>
        <v>「先輩の体験を聞く会」謝礼</v>
      </c>
      <c r="L104" s="342">
        <f t="shared" si="15"/>
        <v>3000</v>
      </c>
      <c r="M104" s="343">
        <f t="shared" si="16"/>
        <v>3</v>
      </c>
      <c r="N104" s="343">
        <f t="shared" si="17"/>
        <v>1</v>
      </c>
      <c r="O104" s="344">
        <f t="shared" si="11"/>
        <v>9000</v>
      </c>
      <c r="P104" s="345">
        <f>IF($R104=1,"",VLOOKUP($D104,'随時①-2'!$D$4:$L$23,8))</f>
        <v>0</v>
      </c>
      <c r="Q104" s="346">
        <f>IF($R104=1,"",VLOOKUP($D104,'随時①-2'!$D$4:$L$23,9))</f>
        <v>0</v>
      </c>
      <c r="R104" s="25">
        <f>IF(ISNA(MATCH($D104,'随時②-2'!$D$4:$D$18,0)),0,1)</f>
        <v>0</v>
      </c>
      <c r="S104" s="63">
        <f t="shared" si="10"/>
      </c>
      <c r="T104" s="63">
        <f t="shared" si="12"/>
      </c>
      <c r="U104" s="5">
        <f t="shared" si="13"/>
        <v>1</v>
      </c>
    </row>
    <row r="105" spans="1:21" ht="13.5" customHeight="1">
      <c r="A105" s="339">
        <f>'随時①-2'!A5</f>
        <v>2</v>
      </c>
      <c r="B105" s="340" t="str">
        <f>'随時①-2'!B5</f>
        <v>１－（３）－キ</v>
      </c>
      <c r="C105" s="485" t="str">
        <f>'随時①-2'!C5</f>
        <v>グローバル人材の育成</v>
      </c>
      <c r="D105" s="256">
        <v>102</v>
      </c>
      <c r="E105" s="316" t="str">
        <f>IF($R105=1,"",VLOOKUP($D105,'随時①-2'!$D$4:$L$23,2))</f>
        <v>役務費</v>
      </c>
      <c r="F105" s="316" t="str">
        <f>IF($R105=1,"取消し",VLOOKUP($D105,'随時①-2'!$D$4:$L$23,3))</f>
        <v>インターネット通信料</v>
      </c>
      <c r="G105" s="323">
        <f>IF($R105=1,,VLOOKUP($D105,'随時①-2'!$D$4:$L$23,4))</f>
        <v>8000</v>
      </c>
      <c r="H105" s="324">
        <f>IF($R105=1,,VLOOKUP($D105,'随時①-2'!$D$4:$L$23,5))</f>
        <v>1</v>
      </c>
      <c r="I105" s="324">
        <f>IF($R105=1,,VLOOKUP($D105,'随時①-2'!$D$4:$L$23,6))</f>
        <v>3</v>
      </c>
      <c r="J105" s="323">
        <f>IF($R105=1,,VLOOKUP($D105,'随時①-2'!$D$4:$L$23,7))</f>
        <v>24000</v>
      </c>
      <c r="K105" s="320" t="str">
        <f t="shared" si="14"/>
        <v>インターネット通信料</v>
      </c>
      <c r="L105" s="321">
        <v>7452</v>
      </c>
      <c r="M105" s="322">
        <f t="shared" si="16"/>
        <v>1</v>
      </c>
      <c r="N105" s="322">
        <f t="shared" si="17"/>
        <v>3</v>
      </c>
      <c r="O105" s="311">
        <f t="shared" si="11"/>
        <v>22356</v>
      </c>
      <c r="P105" s="312">
        <f>IF($R105=1,"",VLOOKUP($D105,'随時①-2'!$D$4:$L$23,8))</f>
        <v>0</v>
      </c>
      <c r="Q105" s="313">
        <f>IF($R105=1,"",VLOOKUP($D105,'随時①-2'!$D$4:$L$23,9))</f>
        <v>0</v>
      </c>
      <c r="R105" s="25">
        <f>IF(ISNA(MATCH($D105,'随時②-2'!$D$4:$D$18,0)),0,1)</f>
        <v>0</v>
      </c>
      <c r="S105" s="63">
        <f t="shared" si="10"/>
      </c>
      <c r="T105" s="63">
        <f t="shared" si="12"/>
      </c>
      <c r="U105" s="5">
        <f t="shared" si="13"/>
        <v>5</v>
      </c>
    </row>
    <row r="106" spans="1:21" ht="13.5" customHeight="1">
      <c r="A106" s="339">
        <f>'随時①-2'!A6</f>
        <v>0</v>
      </c>
      <c r="B106" s="340">
        <f>'随時①-2'!B6</f>
        <v>0</v>
      </c>
      <c r="C106" s="485">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5">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5">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5">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5">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5">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5">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5">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5">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5">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5">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5">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5">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5">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5">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5">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5">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4">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5</v>
      </c>
      <c r="B124" s="340" t="str">
        <f>'随時②-2'!B21</f>
        <v>３－（１）－ア</v>
      </c>
      <c r="C124" s="485" t="str">
        <f>'随時②-2'!C21</f>
        <v>授業充実</v>
      </c>
      <c r="D124" s="265">
        <v>201</v>
      </c>
      <c r="E124" s="317" t="str">
        <f>IF($R124=1,"",VLOOKUP($D124,'随時②-2'!$D$21:$L$35,2))</f>
        <v>役務費</v>
      </c>
      <c r="F124" s="317" t="str">
        <f>IF($R124=1,"取消し",VLOOKUP($D124,'随時②-2'!$D$21:$L$35,3))</f>
        <v>手話通訳及び要約筆記</v>
      </c>
      <c r="G124" s="226">
        <f>IF($R124=1,,VLOOKUP($D124,'随時②-2'!$D$21:$L$35,4))</f>
        <v>41000</v>
      </c>
      <c r="H124" s="318">
        <f>IF($R124=1,,VLOOKUP($D124,'随時②-2'!$D$21:$L$35,5))</f>
        <v>1</v>
      </c>
      <c r="I124" s="318">
        <f>IF($R124=1,,VLOOKUP($D124,'随時②-2'!$D$21:$L$35,6))</f>
        <v>1</v>
      </c>
      <c r="J124" s="319">
        <f>IF($R124=1,,VLOOKUP($D124,'随時②-2'!$D$21:$L$35,7))</f>
        <v>41000</v>
      </c>
      <c r="K124" s="341" t="str">
        <f t="shared" si="14"/>
        <v>手話通訳及び要約筆記</v>
      </c>
      <c r="L124" s="342">
        <f t="shared" si="15"/>
        <v>41000</v>
      </c>
      <c r="M124" s="310">
        <f t="shared" si="16"/>
        <v>1</v>
      </c>
      <c r="N124" s="310">
        <f t="shared" si="17"/>
        <v>1</v>
      </c>
      <c r="O124" s="344">
        <f t="shared" si="11"/>
        <v>41000</v>
      </c>
      <c r="P124" s="345">
        <f>IF($R124=1,"",VLOOKUP($D124,'随時②-2'!$D$21:$L$35,8))</f>
        <v>0</v>
      </c>
      <c r="Q124" s="346">
        <f>IF($R124=1,"",VLOOKUP($D124,'随時②-2'!$D$21:$L$35,9))</f>
        <v>0</v>
      </c>
      <c r="R124" s="25">
        <f>IF(ISNA(MATCH($D124,'随時②-2'!$D$4:$D$18,0)),0,1)</f>
        <v>0</v>
      </c>
      <c r="S124" s="63">
        <f t="shared" si="10"/>
      </c>
      <c r="T124" s="63">
        <f t="shared" si="12"/>
      </c>
      <c r="U124" s="5">
        <f t="shared" si="13"/>
        <v>5</v>
      </c>
    </row>
    <row r="125" spans="1:21" ht="13.5" customHeight="1">
      <c r="A125" s="314">
        <f>'随時②-2'!A22</f>
        <v>0</v>
      </c>
      <c r="B125" s="315">
        <f>'随時②-2'!B22</f>
        <v>0</v>
      </c>
      <c r="C125" s="483">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3">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3">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3">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3">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3">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3">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3">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3">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3">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3">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3">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3">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3">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87" t="s">
        <v>177</v>
      </c>
      <c r="I141" s="588"/>
      <c r="J141" s="38" t="s">
        <v>113</v>
      </c>
      <c r="K141" s="38" t="s">
        <v>174</v>
      </c>
      <c r="L141" s="541" t="s">
        <v>175</v>
      </c>
      <c r="M141" s="589"/>
      <c r="N141" s="590" t="s">
        <v>176</v>
      </c>
      <c r="O141" s="591"/>
      <c r="P141" s="605" t="s">
        <v>114</v>
      </c>
      <c r="Q141" s="606"/>
    </row>
    <row r="142" spans="6:17" ht="14.25" thickTop="1">
      <c r="F142" s="348" t="s">
        <v>85</v>
      </c>
      <c r="G142" s="349">
        <f>SUMIF($E$4:$E$138,$F142,$J$4:$J$138)</f>
        <v>119000</v>
      </c>
      <c r="H142" s="592">
        <f>SUMIF($E$4:$E$138,$F142,$S$4:$S$138)</f>
        <v>0</v>
      </c>
      <c r="I142" s="593"/>
      <c r="J142" s="350">
        <f>G142-H142</f>
        <v>119000</v>
      </c>
      <c r="K142" s="349">
        <f>SUMIF($E$4:$E$138,$F142,$O$4:$O$138)</f>
        <v>99000</v>
      </c>
      <c r="L142" s="592">
        <f>SUMIF($E$4:$E$138,$F142,$T$4:$T$138)</f>
        <v>0</v>
      </c>
      <c r="M142" s="594"/>
      <c r="N142" s="595">
        <f>K142-L142</f>
        <v>99000</v>
      </c>
      <c r="O142" s="596"/>
      <c r="P142" s="533">
        <f>J142-N142</f>
        <v>20000</v>
      </c>
      <c r="Q142" s="607"/>
    </row>
    <row r="143" spans="6:17" ht="13.5">
      <c r="F143" s="348" t="s">
        <v>86</v>
      </c>
      <c r="G143" s="351">
        <f aca="true" t="shared" si="22" ref="G143:G150">SUMIF($E$4:$E$138,$F143,$J$4:$J$138)</f>
        <v>20000</v>
      </c>
      <c r="H143" s="530">
        <f>SUMIF($E$4:$E$138,$F143,$S$4:$S$138)</f>
        <v>0</v>
      </c>
      <c r="I143" s="585"/>
      <c r="J143" s="352">
        <f>G143-H143</f>
        <v>20000</v>
      </c>
      <c r="K143" s="349">
        <f aca="true" t="shared" si="23" ref="K143:K150">SUMIF($E$4:$E$138,$F143,$O$4:$O$138)</f>
        <v>6300</v>
      </c>
      <c r="L143" s="529">
        <f aca="true" t="shared" si="24" ref="L143:L149">SUMIF($E$4:$E$138,$F143,$T$4:$T$138)</f>
        <v>0</v>
      </c>
      <c r="M143" s="532"/>
      <c r="N143" s="586">
        <f>K143-L143</f>
        <v>6300</v>
      </c>
      <c r="O143" s="585"/>
      <c r="P143" s="529">
        <f aca="true" t="shared" si="25" ref="P143:P150">J143-N143</f>
        <v>13700</v>
      </c>
      <c r="Q143" s="532"/>
    </row>
    <row r="144" spans="6:17" ht="13.5">
      <c r="F144" s="348" t="s">
        <v>125</v>
      </c>
      <c r="G144" s="349">
        <f t="shared" si="22"/>
        <v>610000</v>
      </c>
      <c r="H144" s="530">
        <f aca="true" t="shared" si="26" ref="H144:H149">SUMIF($E$4:$E$138,$F144,$S$4:$S$138)</f>
        <v>0</v>
      </c>
      <c r="I144" s="585"/>
      <c r="J144" s="352">
        <f aca="true" t="shared" si="27" ref="J144:J150">G144-H144</f>
        <v>610000</v>
      </c>
      <c r="K144" s="349">
        <f t="shared" si="23"/>
        <v>521798</v>
      </c>
      <c r="L144" s="529">
        <f t="shared" si="24"/>
        <v>0</v>
      </c>
      <c r="M144" s="532"/>
      <c r="N144" s="586">
        <f aca="true" t="shared" si="28" ref="N144:N150">K144-L144</f>
        <v>521798</v>
      </c>
      <c r="O144" s="585"/>
      <c r="P144" s="529">
        <f t="shared" si="25"/>
        <v>88202</v>
      </c>
      <c r="Q144" s="532"/>
    </row>
    <row r="145" spans="6:17" ht="13.5">
      <c r="F145" s="348" t="s">
        <v>126</v>
      </c>
      <c r="G145" s="349">
        <f t="shared" si="22"/>
        <v>0</v>
      </c>
      <c r="H145" s="530">
        <f t="shared" si="26"/>
        <v>0</v>
      </c>
      <c r="I145" s="585"/>
      <c r="J145" s="352">
        <f t="shared" si="27"/>
        <v>0</v>
      </c>
      <c r="K145" s="349">
        <f t="shared" si="23"/>
        <v>0</v>
      </c>
      <c r="L145" s="529">
        <f t="shared" si="24"/>
        <v>0</v>
      </c>
      <c r="M145" s="532"/>
      <c r="N145" s="586">
        <f t="shared" si="28"/>
        <v>0</v>
      </c>
      <c r="O145" s="585"/>
      <c r="P145" s="529">
        <f t="shared" si="25"/>
        <v>0</v>
      </c>
      <c r="Q145" s="532"/>
    </row>
    <row r="146" spans="6:17" ht="13.5">
      <c r="F146" s="348" t="s">
        <v>87</v>
      </c>
      <c r="G146" s="349">
        <f t="shared" si="22"/>
        <v>154000</v>
      </c>
      <c r="H146" s="530">
        <f t="shared" si="26"/>
        <v>0</v>
      </c>
      <c r="I146" s="585"/>
      <c r="J146" s="352">
        <f t="shared" si="27"/>
        <v>154000</v>
      </c>
      <c r="K146" s="349">
        <f t="shared" si="23"/>
        <v>149068</v>
      </c>
      <c r="L146" s="529">
        <f t="shared" si="24"/>
        <v>0</v>
      </c>
      <c r="M146" s="532"/>
      <c r="N146" s="586">
        <f t="shared" si="28"/>
        <v>149068</v>
      </c>
      <c r="O146" s="585"/>
      <c r="P146" s="529">
        <f t="shared" si="25"/>
        <v>4932</v>
      </c>
      <c r="Q146" s="532"/>
    </row>
    <row r="147" spans="6:17" ht="13.5">
      <c r="F147" s="348" t="s">
        <v>88</v>
      </c>
      <c r="G147" s="349">
        <f t="shared" si="22"/>
        <v>0</v>
      </c>
      <c r="H147" s="530">
        <f t="shared" si="26"/>
        <v>0</v>
      </c>
      <c r="I147" s="585"/>
      <c r="J147" s="352">
        <f t="shared" si="27"/>
        <v>0</v>
      </c>
      <c r="K147" s="349">
        <f t="shared" si="23"/>
        <v>0</v>
      </c>
      <c r="L147" s="529">
        <f t="shared" si="24"/>
        <v>0</v>
      </c>
      <c r="M147" s="532"/>
      <c r="N147" s="586">
        <f t="shared" si="28"/>
        <v>0</v>
      </c>
      <c r="O147" s="585"/>
      <c r="P147" s="529">
        <f t="shared" si="25"/>
        <v>0</v>
      </c>
      <c r="Q147" s="532"/>
    </row>
    <row r="148" spans="6:17" ht="13.5">
      <c r="F148" s="348" t="s">
        <v>89</v>
      </c>
      <c r="G148" s="349">
        <f t="shared" si="22"/>
        <v>0</v>
      </c>
      <c r="H148" s="530">
        <f t="shared" si="26"/>
        <v>0</v>
      </c>
      <c r="I148" s="585"/>
      <c r="J148" s="352">
        <f t="shared" si="27"/>
        <v>0</v>
      </c>
      <c r="K148" s="349">
        <f t="shared" si="23"/>
        <v>0</v>
      </c>
      <c r="L148" s="529">
        <f t="shared" si="24"/>
        <v>0</v>
      </c>
      <c r="M148" s="532"/>
      <c r="N148" s="586">
        <f t="shared" si="28"/>
        <v>0</v>
      </c>
      <c r="O148" s="585"/>
      <c r="P148" s="529">
        <f t="shared" si="25"/>
        <v>0</v>
      </c>
      <c r="Q148" s="532"/>
    </row>
    <row r="149" spans="6:17" ht="13.5">
      <c r="F149" s="348" t="s">
        <v>90</v>
      </c>
      <c r="G149" s="349">
        <f t="shared" si="22"/>
        <v>0</v>
      </c>
      <c r="H149" s="530">
        <f t="shared" si="26"/>
        <v>0</v>
      </c>
      <c r="I149" s="585"/>
      <c r="J149" s="352">
        <f t="shared" si="27"/>
        <v>0</v>
      </c>
      <c r="K149" s="349">
        <f t="shared" si="23"/>
        <v>0</v>
      </c>
      <c r="L149" s="529">
        <f t="shared" si="24"/>
        <v>0</v>
      </c>
      <c r="M149" s="532"/>
      <c r="N149" s="586">
        <f t="shared" si="28"/>
        <v>0</v>
      </c>
      <c r="O149" s="585"/>
      <c r="P149" s="529">
        <f t="shared" si="25"/>
        <v>0</v>
      </c>
      <c r="Q149" s="532"/>
    </row>
    <row r="150" spans="6:17" ht="14.25" thickBot="1">
      <c r="F150" s="348" t="s">
        <v>137</v>
      </c>
      <c r="G150" s="349">
        <f t="shared" si="22"/>
        <v>107825</v>
      </c>
      <c r="H150" s="530">
        <f>SUMIF($E$4:$E$138,$F150,$S$4:$S$138)+'2-3'!G122</f>
        <v>11000</v>
      </c>
      <c r="I150" s="585"/>
      <c r="J150" s="352">
        <f t="shared" si="27"/>
        <v>96825</v>
      </c>
      <c r="K150" s="349">
        <f t="shared" si="23"/>
        <v>47890</v>
      </c>
      <c r="L150" s="603">
        <f>SUMIF($E$4:$E$138,$F150,$T$4:$T$138)+'2-3'!E122</f>
        <v>11000</v>
      </c>
      <c r="M150" s="604"/>
      <c r="N150" s="586">
        <f t="shared" si="28"/>
        <v>36890</v>
      </c>
      <c r="O150" s="585"/>
      <c r="P150" s="603">
        <f t="shared" si="25"/>
        <v>59935</v>
      </c>
      <c r="Q150" s="604"/>
    </row>
    <row r="151" spans="6:17" ht="15" thickBot="1" thickTop="1">
      <c r="F151" s="355" t="s">
        <v>15</v>
      </c>
      <c r="G151" s="356">
        <f>SUM(G142:G150)</f>
        <v>1010825</v>
      </c>
      <c r="H151" s="526">
        <f>SUM(H142:I150)</f>
        <v>11000</v>
      </c>
      <c r="I151" s="599"/>
      <c r="J151" s="356">
        <f>SUM(J142:J150)</f>
        <v>999825</v>
      </c>
      <c r="K151" s="356">
        <f>SUM(K142:K150)</f>
        <v>824056</v>
      </c>
      <c r="L151" s="600">
        <f>SUM(L142:M150)</f>
        <v>11000</v>
      </c>
      <c r="M151" s="601"/>
      <c r="N151" s="599">
        <f>SUM(N142:O150)</f>
        <v>813056</v>
      </c>
      <c r="O151" s="602"/>
      <c r="P151" s="600">
        <f>SUM(P142:Q150)</f>
        <v>186769</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H111" sqref="H11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260</v>
      </c>
      <c r="B1" s="612"/>
      <c r="C1" s="612"/>
      <c r="D1" s="612"/>
      <c r="E1" s="612"/>
      <c r="F1" s="612"/>
      <c r="G1" s="613"/>
      <c r="H1" s="613"/>
      <c r="I1" s="613"/>
    </row>
    <row r="2" spans="1:9" ht="15" customHeight="1" thickBot="1">
      <c r="A2" s="8"/>
      <c r="B2" s="7" t="s">
        <v>243</v>
      </c>
      <c r="C2" s="87"/>
      <c r="E2" s="116"/>
      <c r="F2" s="117" t="s">
        <v>112</v>
      </c>
      <c r="G2" s="210">
        <f>SUM(E5:E119)</f>
        <v>47890</v>
      </c>
      <c r="H2" s="72" t="s">
        <v>187</v>
      </c>
      <c r="I2" s="210">
        <f>SUM(H5:H119)</f>
        <v>57935</v>
      </c>
    </row>
    <row r="3" spans="1:9" ht="15" customHeight="1" thickBot="1">
      <c r="A3" s="8"/>
      <c r="B3" s="7"/>
      <c r="C3" s="87"/>
      <c r="E3" s="608" t="s">
        <v>180</v>
      </c>
      <c r="F3" s="609"/>
      <c r="G3" s="610"/>
      <c r="H3" s="608" t="s">
        <v>181</v>
      </c>
      <c r="I3" s="611"/>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v>0</v>
      </c>
      <c r="F8" s="197">
        <f>IF('1-3'!E7="","",'1-3'!E7)</f>
        <v>2000</v>
      </c>
      <c r="G8" s="84">
        <f t="shared" si="1"/>
      </c>
      <c r="H8" s="211">
        <v>2000</v>
      </c>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v>0</v>
      </c>
      <c r="F17" s="197">
        <f>IF('1-3'!E16="","",'1-3'!E16)</f>
        <v>735</v>
      </c>
      <c r="G17" s="84">
        <f t="shared" si="1"/>
      </c>
      <c r="H17" s="211">
        <v>735</v>
      </c>
      <c r="I17" s="83"/>
      <c r="J17" s="125">
        <f>IF('1-3'!F16="","",'1-3'!F16)</f>
      </c>
    </row>
    <row r="18" spans="1:10" ht="15" customHeight="1">
      <c r="A18" s="104">
        <v>14</v>
      </c>
      <c r="B18" s="127" t="str">
        <f>IF('1-3'!B17="","",'1-3'!B17)</f>
        <v>全国</v>
      </c>
      <c r="C18" s="127" t="str">
        <f>IF('1-3'!C17="","",'1-3'!C17)</f>
        <v>校長</v>
      </c>
      <c r="D18" s="124" t="str">
        <f>IF('1-3'!D17="","",'1-3'!D17)</f>
        <v>全国特別支援学校長会</v>
      </c>
      <c r="E18" s="196">
        <v>0</v>
      </c>
      <c r="F18" s="197">
        <f>IF('1-3'!E17="","",'1-3'!E17)</f>
        <v>8000</v>
      </c>
      <c r="G18" s="84">
        <f t="shared" si="1"/>
      </c>
      <c r="H18" s="211">
        <v>8000</v>
      </c>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v>0</v>
      </c>
      <c r="F20" s="197">
        <f>IF('1-3'!E19="","",'1-3'!E19)</f>
        <v>18000</v>
      </c>
      <c r="G20" s="84">
        <f t="shared" si="1"/>
      </c>
      <c r="H20" s="211">
        <v>18000</v>
      </c>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v>0</v>
      </c>
      <c r="F28" s="197">
        <f>IF('1-3'!E27="","",'1-3'!E27)</f>
        <v>4000</v>
      </c>
      <c r="G28" s="84">
        <f t="shared" si="1"/>
      </c>
      <c r="H28" s="211">
        <v>4000</v>
      </c>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v>0</v>
      </c>
      <c r="F52" s="197">
        <f>IF('1-3'!E51="","",'1-3'!E51)</f>
        <v>5000</v>
      </c>
      <c r="G52" s="84">
        <f t="shared" si="1"/>
      </c>
      <c r="H52" s="211">
        <v>5000</v>
      </c>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v>0</v>
      </c>
      <c r="F55" s="197">
        <f>IF('1-3'!E54="","",'1-3'!E54)</f>
        <v>5000</v>
      </c>
      <c r="G55" s="84">
        <f t="shared" si="1"/>
      </c>
      <c r="H55" s="211">
        <v>5000</v>
      </c>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c>
      <c r="F56" s="197">
        <f>IF('1-3'!E55="","",'1-3'!E55)</f>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v>0</v>
      </c>
      <c r="F60" s="197">
        <f>IF('1-3'!E59="","",'1-3'!E59)</f>
        <v>4000</v>
      </c>
      <c r="G60" s="84">
        <f t="shared" si="1"/>
      </c>
      <c r="H60" s="211">
        <v>4000</v>
      </c>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v>0</v>
      </c>
      <c r="F65" s="199">
        <f>IF('1-3'!E64="","",'1-3'!E64)</f>
        <v>2500</v>
      </c>
      <c r="G65" s="137">
        <f t="shared" si="1"/>
      </c>
      <c r="H65" s="212">
        <v>2500</v>
      </c>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v>0</v>
      </c>
      <c r="F67" s="197">
        <f>IF('1-3'!E66="","",'1-3'!E66)</f>
        <v>2000</v>
      </c>
      <c r="G67" s="84">
        <f t="shared" si="1"/>
      </c>
      <c r="H67" s="211">
        <v>2000</v>
      </c>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v>0</v>
      </c>
      <c r="F91" s="197">
        <f>IF('1-3'!E90="","",'1-3'!E90)</f>
        <v>1700</v>
      </c>
      <c r="G91" s="84">
        <f t="shared" si="3"/>
      </c>
      <c r="H91" s="211">
        <v>1700</v>
      </c>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2000</v>
      </c>
      <c r="F100" s="197">
        <f>IF('1-3'!E99="","",'1-3'!E99)</f>
        <v>2000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t="str">
        <f>IF('1-3'!D104="","",'1-3'!D104)</f>
        <v>全国特別支援学校長研究大会参加費</v>
      </c>
      <c r="E105" s="193">
        <f t="shared" si="2"/>
        <v>3000</v>
      </c>
      <c r="F105" s="195">
        <f>IF('1-3'!E104="","",'1-3'!E104)</f>
        <v>3000</v>
      </c>
      <c r="G105" s="128">
        <f t="shared" si="3"/>
      </c>
      <c r="H105" s="217"/>
      <c r="I105" s="128"/>
      <c r="J105" s="125">
        <f>IF('1-3'!F104="","",'1-3'!F104)</f>
      </c>
    </row>
    <row r="106" spans="1:10" ht="15" customHeight="1">
      <c r="A106" s="102">
        <v>102</v>
      </c>
      <c r="B106" s="155">
        <f>IF('1-3'!B105="","",'1-3'!B105)</f>
      </c>
      <c r="C106" s="155">
        <f>IF('1-3'!C105="","",'1-3'!C105)</f>
      </c>
      <c r="D106" s="132" t="str">
        <f>IF('1-3'!D105="","",'1-3'!D105)</f>
        <v>大阪府産業教育フェア学校分担金</v>
      </c>
      <c r="E106" s="188">
        <f t="shared" si="2"/>
        <v>1200</v>
      </c>
      <c r="F106" s="197">
        <f>IF('1-3'!E105="","",'1-3'!E105)</f>
        <v>1200</v>
      </c>
      <c r="G106" s="84">
        <f t="shared" si="3"/>
      </c>
      <c r="H106" s="211"/>
      <c r="I106" s="83"/>
      <c r="J106" s="125">
        <f>IF('1-3'!F105="","",'1-3'!F105)</f>
      </c>
    </row>
    <row r="107" spans="1:10" ht="15" customHeight="1">
      <c r="A107" s="104">
        <v>103</v>
      </c>
      <c r="B107" s="156">
        <f>IF('1-3'!B106="","",'1-3'!B106)</f>
      </c>
      <c r="C107" s="156">
        <f>IF('1-3'!C106="","",'1-3'!C106)</f>
      </c>
      <c r="D107" s="133" t="str">
        <f>IF('1-3'!D106="","",'1-3'!D106)</f>
        <v>全国聾学校長会研究協議会参加費</v>
      </c>
      <c r="E107" s="188">
        <v>0</v>
      </c>
      <c r="F107" s="197">
        <f>IF('1-3'!E106="","",'1-3'!E106)</f>
        <v>3000</v>
      </c>
      <c r="G107" s="84">
        <f t="shared" si="3"/>
      </c>
      <c r="H107" s="211">
        <v>3000</v>
      </c>
      <c r="I107" s="83"/>
      <c r="J107" s="125">
        <f>IF('1-3'!F106="","",'1-3'!F106)</f>
      </c>
    </row>
    <row r="108" spans="1:10" ht="15" customHeight="1">
      <c r="A108" s="102">
        <v>104</v>
      </c>
      <c r="B108" s="156">
        <f>IF('1-3'!B107="","",'1-3'!B107)</f>
      </c>
      <c r="C108" s="156">
        <f>IF('1-3'!C107="","",'1-3'!C107)</f>
      </c>
      <c r="D108" s="133" t="str">
        <f>IF('1-3'!D107="","",'1-3'!D107)</f>
        <v>全日本聾教育研究大会参加費</v>
      </c>
      <c r="E108" s="188">
        <v>6000</v>
      </c>
      <c r="F108" s="197">
        <f>IF('1-3'!E107="","",'1-3'!E107)</f>
        <v>8000</v>
      </c>
      <c r="G108" s="84">
        <f t="shared" si="3"/>
      </c>
      <c r="H108" s="211"/>
      <c r="I108" s="83"/>
      <c r="J108" s="125">
        <f>IF('1-3'!F107="","",'1-3'!F107)</f>
      </c>
    </row>
    <row r="109" spans="1:10" ht="15" customHeight="1">
      <c r="A109" s="104">
        <v>105</v>
      </c>
      <c r="B109" s="156">
        <f>IF('1-3'!B108="","",'1-3'!B108)</f>
      </c>
      <c r="C109" s="156">
        <f>IF('1-3'!C108="","",'1-3'!C108)</f>
      </c>
      <c r="D109" s="133" t="str">
        <f>IF('1-3'!D108="","",'1-3'!D108)</f>
        <v>近畿教育オーディオロジー研究協議会会費</v>
      </c>
      <c r="E109" s="188">
        <v>0</v>
      </c>
      <c r="F109" s="197">
        <f>IF('1-3'!E108="","",'1-3'!E108)</f>
        <v>2000</v>
      </c>
      <c r="G109" s="84">
        <f t="shared" si="3"/>
      </c>
      <c r="H109" s="211">
        <v>2000</v>
      </c>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174</v>
      </c>
      <c r="E121" s="218">
        <f>SUM(E5:E119)</f>
        <v>47890</v>
      </c>
      <c r="F121" s="118" t="s">
        <v>185</v>
      </c>
      <c r="G121" s="183">
        <f>SUM(F5:F119)</f>
        <v>107825</v>
      </c>
      <c r="H121" s="121" t="s">
        <v>189</v>
      </c>
      <c r="I121" s="183">
        <f>I2</f>
        <v>57935</v>
      </c>
    </row>
    <row r="122" spans="4:9" ht="15" customHeight="1">
      <c r="D122" s="87" t="s">
        <v>175</v>
      </c>
      <c r="E122" s="219">
        <f>SUMIF($G$5:$G$119,"◎",$E$5:$E$119)</f>
        <v>11000</v>
      </c>
      <c r="F122" s="119" t="s">
        <v>175</v>
      </c>
      <c r="G122" s="184">
        <f>'1-3'!F121</f>
        <v>11000</v>
      </c>
      <c r="H122" s="122" t="s">
        <v>175</v>
      </c>
      <c r="I122" s="184">
        <f>SUMIF($I$5:$I$119,"◎",$H$5:$H$119)</f>
        <v>0</v>
      </c>
    </row>
    <row r="123" spans="4:9" ht="15" customHeight="1" thickBot="1">
      <c r="D123" s="87" t="s">
        <v>217</v>
      </c>
      <c r="E123" s="220">
        <f>E121-E122</f>
        <v>36890</v>
      </c>
      <c r="F123" s="120" t="s">
        <v>186</v>
      </c>
      <c r="G123" s="185">
        <f>G121-G122</f>
        <v>96825</v>
      </c>
      <c r="H123" s="44" t="s">
        <v>188</v>
      </c>
      <c r="I123" s="185">
        <f>I121-I122</f>
        <v>57935</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2018-03-28T08:51:41Z</cp:lastPrinted>
  <dcterms:created xsi:type="dcterms:W3CDTF">2007-02-21T01:05:33Z</dcterms:created>
  <dcterms:modified xsi:type="dcterms:W3CDTF">2018-06-15T12:16:11Z</dcterms:modified>
  <cp:category/>
  <cp:version/>
  <cp:contentType/>
  <cp:contentStatus/>
</cp:coreProperties>
</file>