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 ref="L10" authorId="0">
      <text>
        <r>
          <rPr>
            <sz val="9"/>
            <rFont val="ＭＳ Ｐゴシック"/>
            <family val="3"/>
          </rPr>
          <t>　</t>
        </r>
        <r>
          <rPr>
            <sz val="20"/>
            <rFont val="ＭＳ Ｐゴシック"/>
            <family val="3"/>
          </rPr>
          <t xml:space="preserve">行を増減しないでください。
</t>
        </r>
      </text>
    </comment>
    <comment ref="L11" authorId="0">
      <text>
        <r>
          <rPr>
            <sz val="9"/>
            <rFont val="ＭＳ Ｐゴシック"/>
            <family val="3"/>
          </rPr>
          <t>　</t>
        </r>
        <r>
          <rPr>
            <sz val="20"/>
            <rFont val="ＭＳ Ｐゴシック"/>
            <family val="3"/>
          </rPr>
          <t xml:space="preserve">行を増減しないでください。
</t>
        </r>
      </text>
    </comment>
    <comment ref="L12" authorId="0">
      <text>
        <r>
          <rPr>
            <sz val="9"/>
            <rFont val="ＭＳ Ｐゴシック"/>
            <family val="3"/>
          </rPr>
          <t>　</t>
        </r>
        <r>
          <rPr>
            <sz val="20"/>
            <rFont val="ＭＳ Ｐゴシック"/>
            <family val="3"/>
          </rPr>
          <t xml:space="preserve">行を増減しないでください。
</t>
        </r>
      </text>
    </comment>
    <comment ref="L18" authorId="0">
      <text>
        <r>
          <rPr>
            <sz val="9"/>
            <rFont val="ＭＳ Ｐゴシック"/>
            <family val="3"/>
          </rPr>
          <t>　</t>
        </r>
        <r>
          <rPr>
            <sz val="20"/>
            <rFont val="ＭＳ Ｐゴシック"/>
            <family val="3"/>
          </rPr>
          <t xml:space="preserve">行を増減しないでください。
</t>
        </r>
      </text>
    </comment>
    <comment ref="L17" authorId="0">
      <text>
        <r>
          <rPr>
            <sz val="9"/>
            <rFont val="ＭＳ Ｐゴシック"/>
            <family val="3"/>
          </rPr>
          <t>　</t>
        </r>
        <r>
          <rPr>
            <sz val="20"/>
            <rFont val="ＭＳ Ｐゴシック"/>
            <family val="3"/>
          </rPr>
          <t xml:space="preserve">行を増減しないでください。
</t>
        </r>
      </text>
    </comment>
    <comment ref="L16" authorId="0">
      <text>
        <r>
          <rPr>
            <sz val="9"/>
            <rFont val="ＭＳ Ｐゴシック"/>
            <family val="3"/>
          </rPr>
          <t>　</t>
        </r>
        <r>
          <rPr>
            <sz val="20"/>
            <rFont val="ＭＳ Ｐゴシック"/>
            <family val="3"/>
          </rPr>
          <t xml:space="preserve">行を増減しないでください。
</t>
        </r>
      </text>
    </comment>
    <comment ref="L15" authorId="0">
      <text>
        <r>
          <rPr>
            <sz val="9"/>
            <rFont val="ＭＳ Ｐゴシック"/>
            <family val="3"/>
          </rPr>
          <t>　</t>
        </r>
        <r>
          <rPr>
            <sz val="20"/>
            <rFont val="ＭＳ Ｐゴシック"/>
            <family val="3"/>
          </rPr>
          <t xml:space="preserve">行を増減しないでください。
</t>
        </r>
      </text>
    </comment>
    <comment ref="L14" authorId="0">
      <text>
        <r>
          <rPr>
            <sz val="9"/>
            <rFont val="ＭＳ Ｐゴシック"/>
            <family val="3"/>
          </rPr>
          <t>　</t>
        </r>
        <r>
          <rPr>
            <sz val="20"/>
            <rFont val="ＭＳ Ｐゴシック"/>
            <family val="3"/>
          </rPr>
          <t xml:space="preserve">行を増減しないでください。
</t>
        </r>
      </text>
    </comment>
    <comment ref="L13"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<sst xmlns="http://schemas.openxmlformats.org/spreadsheetml/2006/main" count="883" uniqueCount="358">
  <si>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</si>
  <si>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</si>
  <si>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</si>
  <si>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</si>
  <si>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</si>
  <si>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</si>
  <si>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</si>
  <si>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</si>
  <si>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</si>
  <si>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</si>
  <si>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</si>
  <si>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</si>
  <si>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</si>
  <si>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</si>
  <si>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</si>
  <si>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</si>
  <si>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</si>
  <si>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</si>
  <si>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</si>
  <si>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</si>
  <si>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</si>
  <si>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</si>
  <si>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</si>
  <si>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</si>
  <si>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</si>
  <si>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</si>
  <si>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</si>
  <si>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</si>
  <si>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</si>
  <si>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</si>
  <si>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</si>
  <si>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</si>
  <si>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</si>
  <si>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</si>
  <si>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</si>
  <si>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</si>
  <si>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</si>
  <si>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</si>
  <si>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</si>
  <si>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</si>
  <si>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</si>
  <si>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</si>
  <si>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</si>
  <si>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</si>
  <si>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</si>
  <si>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</si>
  <si>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</si>
  <si>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</si>
  <si>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</si>
  <si>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</si>
  <si>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</si>
  <si>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</si>
  <si>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</si>
  <si>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</si>
  <si>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</si>
  <si>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</si>
  <si>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</si>
  <si>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</si>
  <si>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</si>
  <si>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</si>
  <si>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</si>
  <si>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</si>
  <si>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</si>
  <si>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</si>
  <si>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</si>
  <si>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</si>
  <si>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</si>
  <si>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</si>
  <si>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</si>
  <si>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</si>
  <si>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</si>
  <si>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</si>
  <si>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</si>
  <si>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</si>
  <si>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</si>
  <si>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</si>
  <si>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</si>
  <si>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</si>
  <si>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</si>
  <si>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</si>
  <si>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</si>
  <si>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</si>
  <si>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</si>
  <si>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</si>
  <si>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</si>
  <si>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</si>
  <si>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</si>
  <si>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</si>
  <si>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</si>
  <si>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</si>
  <si>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</si>
  <si>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</si>
  <si>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</si>
  <si>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</si>
  <si>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</si>
  <si>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</si>
  <si>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</si>
  <si>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</si>
  <si>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</si>
  <si>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</si>
  <si>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</si>
  <si>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</si>
  <si>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</si>
  <si>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</si>
  <si>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</si>
  <si>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</si>
  <si>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</si>
  <si>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</si>
  <si>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</si>
  <si>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</si>
  <si>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</si>
  <si>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</si>
  <si>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</si>
  <si>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</si>
  <si>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</si>
  <si>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</si>
  <si>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</si>
  <si>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</si>
  <si>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</si>
  <si>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</si>
  <si>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</si>
  <si>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</si>
  <si>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</si>
  <si>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</si>
  <si>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</si>
  <si>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</si>
  <si>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</si>
  <si>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</si>
  <si>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</si>
  <si>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</si>
  <si>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</si>
  <si>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</si>
  <si>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</si>
  <si>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</si>
  <si>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</si>
  <si>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</si>
  <si>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</si>
  <si>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</si>
  <si>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</si>
  <si>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</si>
  <si>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</si>
  <si>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</si>
  <si>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</si>
  <si>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</si>
  <si>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</si>
  <si>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</si>
  <si>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</si>
  <si>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</si>
  <si>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</si>
  <si>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</si>
  <si>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</si>
  <si>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</si>
  <si>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</si>
  <si>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</si>
  <si>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</si>
  <si>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</si>
  <si>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</si>
  <si>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</si>
  <si>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</si>
  <si>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</si>
  <si>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</si>
  <si>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</si>
  <si>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</si>
  <si>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</si>
  <si>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</si>
  <si>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</si>
  <si>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</si>
  <si>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</si>
  <si>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</si>
  <si>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</si>
  <si>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</si>
  <si>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</si>
  <si>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</si>
  <si>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</si>
  <si>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</si>
  <si>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</si>
  <si>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</si>
  <si>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</si>
  <si>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</si>
  <si>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</si>
  <si>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</si>
  <si>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</si>
  <si>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</si>
  <si>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</si>
  <si>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</si>
  <si>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</si>
  <si>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</si>
  <si>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</si>
  <si>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</si>
  <si>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</si>
  <si>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</si>
  <si>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</si>
  <si>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</si>
  <si>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</si>
  <si>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</si>
  <si>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</si>
  <si>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</si>
  <si>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</si>
  <si>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</si>
  <si>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</si>
  <si>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</si>
  <si>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</si>
  <si>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</si>
  <si>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</si>
  <si>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</si>
  <si>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</si>
  <si>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</si>
  <si>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</si>
  <si>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</si>
  <si>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</si>
  <si>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</si>
  <si>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</si>
  <si>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</si>
  <si>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</si>
  <si>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</si>
  <si>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</si>
  <si>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</si>
  <si>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</si>
  <si>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</si>
  <si>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</si>
  <si>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</si>
  <si>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</si>
  <si>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</si>
  <si>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</si>
  <si>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</si>
  <si>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</si>
  <si>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</si>
  <si>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</si>
  <si>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</si>
  <si>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</si>
  <si>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</si>
  <si>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</si>
  <si>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</si>
  <si>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</si>
  <si>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</si>
  <si>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</si>
  <si>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</si>
  <si>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</si>
  <si>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</si>
  <si>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</si>
  <si>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</si>
  <si>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</si>
  <si>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</si>
  <si>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</si>
  <si>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</si>
  <si>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</si>
  <si>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</si>
  <si>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</si>
  <si>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</si>
  <si>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</si>
  <si>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</si>
  <si>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</si>
  <si>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</si>
  <si>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</si>
  <si>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</si>
  <si>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</si>
  <si>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</si>
  <si>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</si>
  <si>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</si>
  <si>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</si>
  <si>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</si>
  <si>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</si>
  <si>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</si>
  <si>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</si>
  <si>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</si>
  <si>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</si>
  <si>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</si>
  <si>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</si>
  <si>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</si>
  <si>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</si>
  <si>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</si>
  <si>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</si>
  <si>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（学校番号：323）</t>
  </si>
  <si>
    <t>（財務会計コード番号：11226）</t>
  </si>
  <si>
    <t>府立懐風館高等学校　</t>
  </si>
  <si>
    <t>　校長　羽田　　真　</t>
  </si>
  <si>
    <t>◎</t>
  </si>
  <si>
    <t>負担金、補助及び交付金</t>
  </si>
  <si>
    <t>平成２９年度教務研究会他府県研修</t>
  </si>
  <si>
    <t>「学び」ｰ(2)-ｲ</t>
  </si>
  <si>
    <t>A3モノクロプリンター用トナー</t>
  </si>
  <si>
    <t>横浜市</t>
  </si>
  <si>
    <t>「地域」ｰ（１）－ア</t>
  </si>
  <si>
    <t>広報用資材の改定</t>
  </si>
  <si>
    <t>インクジェットプリンタ用インク</t>
  </si>
  <si>
    <t>学校案内郵送料</t>
  </si>
  <si>
    <t>学校案内リーフレット</t>
  </si>
  <si>
    <t>学校案内ちらし</t>
  </si>
  <si>
    <t>学校案内クリアファイル</t>
  </si>
  <si>
    <t>学校案内ポスター</t>
  </si>
  <si>
    <t>広報用学校説明会ホワイトボード</t>
  </si>
  <si>
    <t>広報用学校説明会掲示板</t>
  </si>
  <si>
    <t>広報用学校説明会受付テーブル</t>
  </si>
  <si>
    <t>「志」ｰ（２）</t>
  </si>
  <si>
    <t>豊かな人間形成</t>
  </si>
  <si>
    <t>性教育講演会講師謝礼金（１年生）</t>
  </si>
  <si>
    <t>人権講演会講師謝礼金</t>
  </si>
  <si>
    <t>まなボード(教室黒板に貼り付け使用 )</t>
  </si>
  <si>
    <t>「地域」ｰ（１）ｰイ</t>
  </si>
  <si>
    <t>中学校訪問による広報活動のさらなる充実</t>
  </si>
  <si>
    <t>中学校訪問広報活動の充実</t>
  </si>
  <si>
    <t>「志」ｰ（１）</t>
  </si>
  <si>
    <t>キャリア教育の推進</t>
  </si>
  <si>
    <t>　　平成２９年　５月　１日</t>
  </si>
  <si>
    <t>授業改善取組を推進する</t>
  </si>
  <si>
    <t>　懐風館第20号　</t>
  </si>
  <si>
    <t>授業アンケートシステム運用業務委託</t>
  </si>
  <si>
    <t>（学校番号：３２３）</t>
  </si>
  <si>
    <t>　　平成２９年　６月１４日</t>
  </si>
  <si>
    <t>　懐風館第４５号　</t>
  </si>
  <si>
    <t>「学び」-(１)-イ</t>
  </si>
  <si>
    <t>新しい科目（サービスラーニング）の記録</t>
  </si>
  <si>
    <t>「志」-(2)</t>
  </si>
  <si>
    <t>「志」-(１)</t>
  </si>
  <si>
    <t>平成29年度教務研究会他府県研修</t>
  </si>
  <si>
    <t>性教育講演会講師謝礼（1年生）</t>
  </si>
  <si>
    <t>人権講演会講師謝礼</t>
  </si>
  <si>
    <t>「地域」-(1)-ア</t>
  </si>
  <si>
    <t>記録用ノートパソコン</t>
  </si>
  <si>
    <t>記録保管用ガラス引違書庫</t>
  </si>
  <si>
    <t>個人情報処理用コンパクトタイプシュレッダ</t>
  </si>
  <si>
    <t>「志」-(１)-イ</t>
  </si>
  <si>
    <t>卒業後の進路実現を図る</t>
  </si>
  <si>
    <t>「地域」-(1)-イ</t>
  </si>
  <si>
    <t>中学校訪問等による広報活動のさらなる充実</t>
  </si>
  <si>
    <t>「学び」-(２)-イ</t>
  </si>
  <si>
    <t>授業アンケートシステム運用業務委託料</t>
  </si>
  <si>
    <t>随時②NO.２０１再掲</t>
  </si>
  <si>
    <t>上半期NO.４再掲</t>
  </si>
  <si>
    <t>上半期NO.５再掲</t>
  </si>
  <si>
    <t>上半期NO.６再掲</t>
  </si>
  <si>
    <t>上半期NO.８再掲</t>
  </si>
  <si>
    <t>上半期NO.１３再掲</t>
  </si>
  <si>
    <t>上半期NO.１５再掲</t>
  </si>
  <si>
    <t>上半期NO.１６再掲</t>
  </si>
  <si>
    <t xml:space="preserve">新しい科目（サービスラーニング）の事前準備 </t>
  </si>
  <si>
    <t>消耗需用費</t>
  </si>
  <si>
    <t>補修・進学講習用問題集</t>
  </si>
  <si>
    <t>　　平成　２９　年　　８　月　２３　日</t>
  </si>
  <si>
    <t>（財務会計コード番号：１１２２６）</t>
  </si>
  <si>
    <t>　懐風館 第８１ 号　</t>
  </si>
  <si>
    <t>　校長　羽田　　真　　</t>
  </si>
  <si>
    <t xml:space="preserve">サービスラーニング授業用キャンプ用テント </t>
  </si>
  <si>
    <t>「学び」－（１）－イ「学び」－（２）－イ</t>
  </si>
  <si>
    <t>新しい科目　　　　　　　授業改善取組みを推進する</t>
  </si>
  <si>
    <t>記録用ﾉｰﾄﾊﾟｿｺﾝ、・保管庫・シュレッダキャンプ用テント　　　　まなボード（黒板に貼り付け使用）、授業アンケートいステム運用業務委託</t>
  </si>
  <si>
    <t>○</t>
  </si>
  <si>
    <t>「志」－（１）　　　　（志）－（１）－イ</t>
  </si>
  <si>
    <t>キャリヤ教育の推進　　　卒業後の進路実現を図る</t>
  </si>
  <si>
    <t>平成29年度教務研究会他府県研修　　　　　　　　　　　　　　補修・進学講習用問題集</t>
  </si>
  <si>
    <t>△</t>
  </si>
  <si>
    <t>「地域」－（１）－ア「地域」－1－イ</t>
  </si>
  <si>
    <t>広報用資材の改定　　　　中学校訪問広報活動の充実</t>
  </si>
  <si>
    <t>学校案内ﾘｰﾌﾚｯﾄ・ちらし、・ｸﾘｱﾌｧｲﾙ・ﾎﾟｽﾀｰ・郵送料、学校説明会用掲示板・ﾎﾜｲﾄﾎﾞｰﾄﾞ　　　　　　　　　　　　　　　　　　　　受付ﾃｰﾌﾞﾙ中学校訪問等旅費</t>
  </si>
  <si>
    <t>　懐風館 第 １７５号　</t>
  </si>
  <si>
    <t>　　校長 羽田 真　　　　</t>
  </si>
  <si>
    <t>平成30年　3月28日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</si>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</sst>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7.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83"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0" fontId="22" fillId="6" borderId="88"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0" t="s">
        <v>307</v>
      </c>
      <c r="I1" s="510"/>
      <c r="J1" s="510"/>
      <c r="K1" s="510"/>
    </row>
    <row r="2" spans="2:11" s="1" customFormat="1" ht="18" customHeight="1">
      <c r="B2" s="146"/>
      <c r="H2" s="510" t="s">
        <v>339</v>
      </c>
      <c r="I2" s="510"/>
      <c r="J2" s="510"/>
      <c r="K2" s="510"/>
    </row>
    <row r="3" spans="2:11" s="1" customFormat="1" ht="18" customHeight="1">
      <c r="B3" s="146"/>
      <c r="K3" s="2"/>
    </row>
    <row r="4" spans="2:11" s="1" customFormat="1" ht="18" customHeight="1">
      <c r="B4" s="146"/>
      <c r="H4" s="511" t="s">
        <v>354</v>
      </c>
      <c r="I4" s="511"/>
      <c r="J4" s="511"/>
      <c r="K4" s="511"/>
    </row>
    <row r="5" spans="2:11" s="1" customFormat="1" ht="18" customHeight="1">
      <c r="B5" s="146"/>
      <c r="H5" s="512">
        <v>43187</v>
      </c>
      <c r="I5" s="511"/>
      <c r="J5" s="511"/>
      <c r="K5" s="511"/>
    </row>
    <row r="6" spans="1:11" s="1" customFormat="1" ht="18" customHeight="1">
      <c r="A6" s="3" t="s">
        <v>2</v>
      </c>
      <c r="B6" s="146"/>
      <c r="H6" s="4"/>
      <c r="K6" s="11"/>
    </row>
    <row r="7" spans="1:11" s="1" customFormat="1" ht="18" customHeight="1">
      <c r="A7" s="4"/>
      <c r="B7" s="146"/>
      <c r="H7" s="511" t="s">
        <v>274</v>
      </c>
      <c r="I7" s="511"/>
      <c r="J7" s="511"/>
      <c r="K7" s="511"/>
    </row>
    <row r="8" spans="1:11" s="1" customFormat="1" ht="18" customHeight="1">
      <c r="A8" s="4"/>
      <c r="B8" s="146"/>
      <c r="H8" s="511" t="s">
        <v>355</v>
      </c>
      <c r="I8" s="511"/>
      <c r="J8" s="511"/>
      <c r="K8" s="511"/>
    </row>
    <row r="9" spans="1:11" s="1" customFormat="1" ht="42" customHeight="1">
      <c r="A9" s="4"/>
      <c r="B9" s="146"/>
      <c r="H9" s="2"/>
      <c r="K9" s="46"/>
    </row>
    <row r="10" spans="1:11" s="5" customFormat="1" ht="24" customHeight="1">
      <c r="A10" s="513" t="s">
        <v>263</v>
      </c>
      <c r="B10" s="513"/>
      <c r="C10" s="513"/>
      <c r="D10" s="513"/>
      <c r="E10" s="513"/>
      <c r="F10" s="513"/>
      <c r="G10" s="513"/>
      <c r="H10" s="513"/>
      <c r="I10" s="513"/>
      <c r="J10" s="513"/>
      <c r="K10" s="513"/>
    </row>
    <row r="11" spans="1:11" s="5" customFormat="1" ht="24" customHeight="1">
      <c r="A11" s="514"/>
      <c r="B11" s="514"/>
      <c r="C11" s="514"/>
      <c r="D11" s="514"/>
      <c r="E11" s="514"/>
      <c r="F11" s="514"/>
      <c r="G11" s="514"/>
      <c r="H11" s="514"/>
      <c r="I11" s="514"/>
      <c r="J11" s="514"/>
      <c r="K11" s="514"/>
    </row>
    <row r="12" spans="1:11" s="5" customFormat="1" ht="24" customHeight="1">
      <c r="A12" s="14" t="s">
        <v>357</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5" t="s">
        <v>223</v>
      </c>
      <c r="B14" s="516"/>
      <c r="C14" s="517"/>
      <c r="D14" s="518">
        <f>'1-1'!D14:F14</f>
        <v>1190000</v>
      </c>
      <c r="E14" s="519"/>
      <c r="F14" s="520"/>
      <c r="G14" s="500" t="s">
        <v>1</v>
      </c>
      <c r="H14" s="501"/>
      <c r="I14" s="502" t="s">
        <v>356</v>
      </c>
      <c r="J14" s="503"/>
      <c r="K14" s="504"/>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'3-2'!K38</f>
        <v>0</v>
      </c>
      <c r="C16" s="220">
        <f>'3-2'!K39</f>
        <v>63716</v>
      </c>
      <c r="D16" s="220">
        <f>'3-2'!K40</f>
        <v>829676</v>
      </c>
      <c r="E16" s="220">
        <f>'3-2'!K41</f>
        <v>0</v>
      </c>
      <c r="F16" s="220">
        <f>'3-2'!K42</f>
        <v>35316.9999916</v>
      </c>
      <c r="G16" s="220">
        <f>'3-2'!K43</f>
        <v>36774</v>
      </c>
      <c r="H16" s="220">
        <f>'3-2'!K44</f>
        <v>0</v>
      </c>
      <c r="I16" s="220">
        <f>'3-2'!K45</f>
        <v>0</v>
      </c>
      <c r="J16" s="221">
        <f>'3-2'!K46</f>
        <v>46330</v>
      </c>
      <c r="K16" s="222">
        <f>SUM(B16:J16)</f>
        <v>1011812.9999916</v>
      </c>
    </row>
    <row r="17" spans="6:7" ht="24" customHeight="1" thickBot="1">
      <c r="F17" s="12"/>
      <c r="G17" s="12"/>
    </row>
    <row r="18" spans="1:11" ht="24" customHeight="1" thickBot="1">
      <c r="A18" s="144" t="s">
        <v>141</v>
      </c>
      <c r="B18" s="505" t="s">
        <v>142</v>
      </c>
      <c r="C18" s="506"/>
      <c r="D18" s="505" t="s">
        <v>224</v>
      </c>
      <c r="E18" s="507"/>
      <c r="F18" s="506" t="s">
        <v>219</v>
      </c>
      <c r="G18" s="506"/>
      <c r="H18" s="506"/>
      <c r="I18" s="506"/>
      <c r="J18" s="507"/>
      <c r="K18" s="145" t="s">
        <v>140</v>
      </c>
    </row>
    <row r="19" spans="1:11" ht="48" customHeight="1">
      <c r="A19" s="149">
        <v>1</v>
      </c>
      <c r="B19" s="508" t="s">
        <v>343</v>
      </c>
      <c r="C19" s="509"/>
      <c r="D19" s="496" t="s">
        <v>344</v>
      </c>
      <c r="E19" s="497"/>
      <c r="F19" s="499" t="s">
        <v>345</v>
      </c>
      <c r="G19" s="499"/>
      <c r="H19" s="499"/>
      <c r="I19" s="499"/>
      <c r="J19" s="497"/>
      <c r="K19" s="474" t="s">
        <v>276</v>
      </c>
    </row>
    <row r="20" spans="1:11" ht="48" customHeight="1">
      <c r="A20" s="150">
        <v>2</v>
      </c>
      <c r="B20" s="491" t="s">
        <v>347</v>
      </c>
      <c r="C20" s="492"/>
      <c r="D20" s="494" t="s">
        <v>348</v>
      </c>
      <c r="E20" s="495"/>
      <c r="F20" s="498" t="s">
        <v>349</v>
      </c>
      <c r="G20" s="498"/>
      <c r="H20" s="498"/>
      <c r="I20" s="498"/>
      <c r="J20" s="495"/>
      <c r="K20" s="474" t="s">
        <v>346</v>
      </c>
    </row>
    <row r="21" spans="1:11" ht="48" customHeight="1">
      <c r="A21" s="150">
        <v>3</v>
      </c>
      <c r="B21" s="491" t="s">
        <v>351</v>
      </c>
      <c r="C21" s="492"/>
      <c r="D21" s="494" t="s">
        <v>352</v>
      </c>
      <c r="E21" s="495"/>
      <c r="F21" s="498" t="s">
        <v>353</v>
      </c>
      <c r="G21" s="498"/>
      <c r="H21" s="498"/>
      <c r="I21" s="498"/>
      <c r="J21" s="495"/>
      <c r="K21" s="474" t="s">
        <v>350</v>
      </c>
    </row>
    <row r="22" spans="1:11" ht="48" customHeight="1">
      <c r="A22" s="150"/>
      <c r="B22" s="491"/>
      <c r="C22" s="492"/>
      <c r="D22" s="494"/>
      <c r="E22" s="495"/>
      <c r="F22" s="498"/>
      <c r="G22" s="498"/>
      <c r="H22" s="498"/>
      <c r="I22" s="498"/>
      <c r="J22" s="495"/>
      <c r="K22" s="474"/>
    </row>
    <row r="23" spans="1:11" ht="48" customHeight="1">
      <c r="A23" s="150"/>
      <c r="B23" s="491"/>
      <c r="C23" s="492"/>
      <c r="D23" s="494"/>
      <c r="E23" s="495"/>
      <c r="F23" s="498"/>
      <c r="G23" s="498"/>
      <c r="H23" s="498"/>
      <c r="I23" s="498"/>
      <c r="J23" s="495"/>
      <c r="K23" s="474"/>
    </row>
    <row r="24" spans="1:11" ht="48" customHeight="1">
      <c r="A24" s="150"/>
      <c r="B24" s="491"/>
      <c r="C24" s="492"/>
      <c r="D24" s="494"/>
      <c r="E24" s="495"/>
      <c r="F24" s="498"/>
      <c r="G24" s="498"/>
      <c r="H24" s="498"/>
      <c r="I24" s="498"/>
      <c r="J24" s="495"/>
      <c r="K24" s="474"/>
    </row>
    <row r="25" spans="1:11" ht="48" customHeight="1">
      <c r="A25" s="150"/>
      <c r="B25" s="491"/>
      <c r="C25" s="493"/>
      <c r="D25" s="494"/>
      <c r="E25" s="495"/>
      <c r="F25" s="498"/>
      <c r="G25" s="498"/>
      <c r="H25" s="498"/>
      <c r="I25" s="498"/>
      <c r="J25" s="495"/>
      <c r="K25" s="474"/>
    </row>
    <row r="26" spans="1:11" ht="48" customHeight="1">
      <c r="A26" s="150"/>
      <c r="B26" s="491"/>
      <c r="C26" s="493"/>
      <c r="D26" s="494"/>
      <c r="E26" s="495"/>
      <c r="F26" s="498"/>
      <c r="G26" s="498"/>
      <c r="H26" s="498"/>
      <c r="I26" s="498"/>
      <c r="J26" s="495"/>
      <c r="K26" s="474"/>
    </row>
    <row r="27" spans="1:11" ht="48" customHeight="1">
      <c r="A27" s="150"/>
      <c r="B27" s="491"/>
      <c r="C27" s="492"/>
      <c r="D27" s="494"/>
      <c r="E27" s="495"/>
      <c r="F27" s="498"/>
      <c r="G27" s="498"/>
      <c r="H27" s="498"/>
      <c r="I27" s="498"/>
      <c r="J27" s="495"/>
      <c r="K27" s="474"/>
    </row>
    <row r="28" spans="1:11" ht="48" customHeight="1">
      <c r="A28" s="150"/>
      <c r="B28" s="491"/>
      <c r="C28" s="492"/>
      <c r="D28" s="494"/>
      <c r="E28" s="495"/>
      <c r="F28" s="498"/>
      <c r="G28" s="498"/>
      <c r="H28" s="498"/>
      <c r="I28" s="498"/>
      <c r="J28" s="495"/>
      <c r="K28" s="474"/>
    </row>
    <row r="29" spans="1:11" ht="48" customHeight="1">
      <c r="A29" s="150"/>
      <c r="B29" s="491"/>
      <c r="C29" s="492"/>
      <c r="D29" s="494"/>
      <c r="E29" s="495"/>
      <c r="F29" s="498"/>
      <c r="G29" s="498"/>
      <c r="H29" s="498"/>
      <c r="I29" s="498"/>
      <c r="J29" s="495"/>
      <c r="K29" s="474"/>
    </row>
    <row r="30" spans="1:11" ht="48" customHeight="1">
      <c r="A30" s="157"/>
      <c r="B30" s="491"/>
      <c r="C30" s="493"/>
      <c r="D30" s="494"/>
      <c r="E30" s="495"/>
      <c r="F30" s="498"/>
      <c r="G30" s="498"/>
      <c r="H30" s="498"/>
      <c r="I30" s="498"/>
      <c r="J30" s="495"/>
      <c r="K30" s="474"/>
    </row>
    <row r="31" spans="1:11" ht="48" customHeight="1">
      <c r="A31" s="157"/>
      <c r="B31" s="491"/>
      <c r="C31" s="493"/>
      <c r="D31" s="494"/>
      <c r="E31" s="495"/>
      <c r="F31" s="498"/>
      <c r="G31" s="498"/>
      <c r="H31" s="498"/>
      <c r="I31" s="498"/>
      <c r="J31" s="495"/>
      <c r="K31" s="474"/>
    </row>
    <row r="32" spans="1:11" ht="48" customHeight="1">
      <c r="A32" s="157"/>
      <c r="B32" s="491"/>
      <c r="C32" s="493"/>
      <c r="D32" s="494"/>
      <c r="E32" s="495"/>
      <c r="F32" s="498"/>
      <c r="G32" s="498"/>
      <c r="H32" s="498"/>
      <c r="I32" s="498"/>
      <c r="J32" s="495"/>
      <c r="K32" s="474"/>
    </row>
    <row r="33" spans="1:11" ht="48" customHeight="1">
      <c r="A33" s="157"/>
      <c r="B33" s="491"/>
      <c r="C33" s="493"/>
      <c r="D33" s="494"/>
      <c r="E33" s="495"/>
      <c r="F33" s="498"/>
      <c r="G33" s="498"/>
      <c r="H33" s="498"/>
      <c r="I33" s="498"/>
      <c r="J33" s="495"/>
      <c r="K33" s="474"/>
    </row>
    <row r="34" spans="1:11" ht="48" customHeight="1">
      <c r="A34" s="157"/>
      <c r="B34" s="491"/>
      <c r="C34" s="493"/>
      <c r="D34" s="494"/>
      <c r="E34" s="495"/>
      <c r="F34" s="498"/>
      <c r="G34" s="498"/>
      <c r="H34" s="498"/>
      <c r="I34" s="498"/>
      <c r="J34" s="495"/>
      <c r="K34" s="474"/>
    </row>
    <row r="35" spans="1:11" ht="48" customHeight="1" thickBot="1">
      <c r="A35" s="151"/>
      <c r="B35" s="489"/>
      <c r="C35" s="490"/>
      <c r="D35" s="521"/>
      <c r="E35" s="522"/>
      <c r="F35" s="523"/>
      <c r="G35" s="523"/>
      <c r="H35" s="523"/>
      <c r="I35" s="523"/>
      <c r="J35" s="522"/>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5" sqref="G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361"/>
      <c r="C4" s="242"/>
      <c r="D4" s="243">
        <v>301</v>
      </c>
      <c r="E4" s="244" t="s">
        <v>138</v>
      </c>
      <c r="F4" s="245" t="s">
        <v>225</v>
      </c>
      <c r="G4" s="246">
        <v>0</v>
      </c>
      <c r="H4" s="247"/>
      <c r="I4" s="247"/>
      <c r="J4" s="248">
        <f>G4*H4*I4</f>
        <v>0</v>
      </c>
      <c r="K4" s="249"/>
      <c r="L4" s="250"/>
      <c r="M4" s="29">
        <f aca="true" t="shared" si="0" ref="M4:M67">IF(K4="◎",J4,"")</f>
      </c>
    </row>
    <row r="5" spans="1:13" ht="14.25">
      <c r="A5" s="251">
        <v>1</v>
      </c>
      <c r="B5" s="252" t="s">
        <v>325</v>
      </c>
      <c r="C5" s="487" t="s">
        <v>304</v>
      </c>
      <c r="D5" s="254">
        <v>302</v>
      </c>
      <c r="E5" s="255" t="s">
        <v>88</v>
      </c>
      <c r="F5" s="256" t="s">
        <v>326</v>
      </c>
      <c r="G5" s="257">
        <v>36774</v>
      </c>
      <c r="H5" s="258">
        <v>1</v>
      </c>
      <c r="I5" s="258">
        <v>1</v>
      </c>
      <c r="J5" s="259">
        <f>G5*H5*I5</f>
        <v>36774</v>
      </c>
      <c r="K5" s="260"/>
      <c r="L5" s="261" t="s">
        <v>327</v>
      </c>
      <c r="M5" s="29">
        <f t="shared" si="0"/>
      </c>
    </row>
    <row r="6" spans="1:13" ht="14.25">
      <c r="A6" s="251">
        <v>1</v>
      </c>
      <c r="B6" s="252" t="s">
        <v>310</v>
      </c>
      <c r="C6" s="487" t="s">
        <v>311</v>
      </c>
      <c r="D6" s="254">
        <v>303</v>
      </c>
      <c r="E6" s="255" t="s">
        <v>125</v>
      </c>
      <c r="F6" s="256" t="s">
        <v>318</v>
      </c>
      <c r="G6" s="257">
        <v>99900</v>
      </c>
      <c r="H6" s="258">
        <v>1</v>
      </c>
      <c r="I6" s="258">
        <v>1</v>
      </c>
      <c r="J6" s="259">
        <f aca="true" t="shared" si="1" ref="J6:J69">G6*H6*I6</f>
        <v>99900</v>
      </c>
      <c r="K6" s="260"/>
      <c r="L6" s="261"/>
      <c r="M6" s="29">
        <f t="shared" si="0"/>
      </c>
    </row>
    <row r="7" spans="1:13" ht="14.25">
      <c r="A7" s="251">
        <v>1</v>
      </c>
      <c r="B7" s="252" t="s">
        <v>310</v>
      </c>
      <c r="C7" s="487" t="s">
        <v>311</v>
      </c>
      <c r="D7" s="254">
        <v>304</v>
      </c>
      <c r="E7" s="255" t="s">
        <v>125</v>
      </c>
      <c r="F7" s="256" t="s">
        <v>319</v>
      </c>
      <c r="G7" s="257">
        <v>29581</v>
      </c>
      <c r="H7" s="258">
        <v>1</v>
      </c>
      <c r="I7" s="258">
        <v>1</v>
      </c>
      <c r="J7" s="259">
        <f t="shared" si="1"/>
        <v>29581</v>
      </c>
      <c r="K7" s="260"/>
      <c r="L7" s="261"/>
      <c r="M7" s="29">
        <f t="shared" si="0"/>
      </c>
    </row>
    <row r="8" spans="1:13" ht="14.25">
      <c r="A8" s="251">
        <v>1</v>
      </c>
      <c r="B8" s="252" t="s">
        <v>310</v>
      </c>
      <c r="C8" s="487" t="s">
        <v>311</v>
      </c>
      <c r="D8" s="254">
        <v>305</v>
      </c>
      <c r="E8" s="255" t="s">
        <v>125</v>
      </c>
      <c r="F8" s="256" t="s">
        <v>320</v>
      </c>
      <c r="G8" s="257">
        <v>98000</v>
      </c>
      <c r="H8" s="258">
        <v>1</v>
      </c>
      <c r="I8" s="258">
        <v>1</v>
      </c>
      <c r="J8" s="259">
        <f t="shared" si="1"/>
        <v>98000</v>
      </c>
      <c r="K8" s="260"/>
      <c r="L8" s="261"/>
      <c r="M8" s="29">
        <f t="shared" si="0"/>
      </c>
    </row>
    <row r="9" spans="1:13" ht="25.5">
      <c r="A9" s="251">
        <v>1</v>
      </c>
      <c r="B9" s="252" t="s">
        <v>310</v>
      </c>
      <c r="C9" s="253" t="s">
        <v>335</v>
      </c>
      <c r="D9" s="254">
        <v>306</v>
      </c>
      <c r="E9" s="255" t="s">
        <v>336</v>
      </c>
      <c r="F9" s="256" t="s">
        <v>342</v>
      </c>
      <c r="G9" s="257">
        <v>13824</v>
      </c>
      <c r="H9" s="258">
        <v>6</v>
      </c>
      <c r="I9" s="258">
        <v>1</v>
      </c>
      <c r="J9" s="259">
        <f t="shared" si="1"/>
        <v>82944</v>
      </c>
      <c r="K9" s="260"/>
      <c r="L9" s="261"/>
      <c r="M9" s="29">
        <f t="shared" si="0"/>
      </c>
    </row>
    <row r="10" spans="1:13" ht="14.25">
      <c r="A10" s="251">
        <v>2</v>
      </c>
      <c r="B10" s="252" t="s">
        <v>313</v>
      </c>
      <c r="C10" s="253" t="s">
        <v>302</v>
      </c>
      <c r="D10" s="254">
        <v>307</v>
      </c>
      <c r="E10" s="255" t="s">
        <v>86</v>
      </c>
      <c r="F10" s="256" t="s">
        <v>314</v>
      </c>
      <c r="G10" s="257">
        <v>39905</v>
      </c>
      <c r="H10" s="258">
        <v>1</v>
      </c>
      <c r="I10" s="258">
        <v>1</v>
      </c>
      <c r="J10" s="259">
        <f t="shared" si="1"/>
        <v>39905</v>
      </c>
      <c r="K10" s="260"/>
      <c r="L10" s="261" t="s">
        <v>328</v>
      </c>
      <c r="M10" s="29">
        <f t="shared" si="0"/>
      </c>
    </row>
    <row r="11" spans="1:13" ht="13.5" customHeight="1">
      <c r="A11" s="251">
        <v>2</v>
      </c>
      <c r="B11" s="252" t="s">
        <v>321</v>
      </c>
      <c r="C11" s="253" t="s">
        <v>322</v>
      </c>
      <c r="D11" s="254">
        <v>308</v>
      </c>
      <c r="E11" s="256" t="s">
        <v>125</v>
      </c>
      <c r="F11" s="256" t="s">
        <v>337</v>
      </c>
      <c r="G11" s="257">
        <v>4910</v>
      </c>
      <c r="H11" s="258">
        <v>15</v>
      </c>
      <c r="I11" s="258">
        <v>1</v>
      </c>
      <c r="J11" s="259">
        <f t="shared" si="1"/>
        <v>73650</v>
      </c>
      <c r="K11" s="267"/>
      <c r="L11" s="261"/>
      <c r="M11" s="29">
        <f t="shared" si="0"/>
      </c>
    </row>
    <row r="12" spans="1:13" ht="14.25">
      <c r="A12" s="251">
        <v>2</v>
      </c>
      <c r="B12" s="252" t="s">
        <v>312</v>
      </c>
      <c r="C12" s="253" t="s">
        <v>294</v>
      </c>
      <c r="D12" s="254">
        <v>309</v>
      </c>
      <c r="E12" s="264" t="s">
        <v>85</v>
      </c>
      <c r="F12" s="256" t="s">
        <v>315</v>
      </c>
      <c r="G12" s="257">
        <v>20000</v>
      </c>
      <c r="H12" s="258">
        <v>1</v>
      </c>
      <c r="I12" s="258">
        <v>1</v>
      </c>
      <c r="J12" s="259">
        <f t="shared" si="1"/>
        <v>20000</v>
      </c>
      <c r="K12" s="271"/>
      <c r="L12" s="261" t="s">
        <v>329</v>
      </c>
      <c r="M12" s="29">
        <f t="shared" si="0"/>
      </c>
    </row>
    <row r="13" spans="1:13" ht="14.25">
      <c r="A13" s="251">
        <v>3</v>
      </c>
      <c r="B13" s="252" t="s">
        <v>312</v>
      </c>
      <c r="C13" s="253" t="s">
        <v>294</v>
      </c>
      <c r="D13" s="254">
        <v>310</v>
      </c>
      <c r="E13" s="255" t="s">
        <v>85</v>
      </c>
      <c r="F13" s="264" t="s">
        <v>316</v>
      </c>
      <c r="G13" s="265">
        <v>20000</v>
      </c>
      <c r="H13" s="266">
        <v>1</v>
      </c>
      <c r="I13" s="266">
        <v>1</v>
      </c>
      <c r="J13" s="259">
        <f t="shared" si="1"/>
        <v>20000</v>
      </c>
      <c r="K13" s="260"/>
      <c r="L13" s="261" t="s">
        <v>330</v>
      </c>
      <c r="M13" s="29">
        <f t="shared" si="0"/>
      </c>
    </row>
    <row r="14" spans="1:13" ht="13.5" customHeight="1">
      <c r="A14" s="251">
        <v>3</v>
      </c>
      <c r="B14" s="252" t="s">
        <v>317</v>
      </c>
      <c r="C14" s="253" t="s">
        <v>283</v>
      </c>
      <c r="D14" s="254">
        <v>311</v>
      </c>
      <c r="E14" s="256" t="s">
        <v>87</v>
      </c>
      <c r="F14" s="255" t="s">
        <v>285</v>
      </c>
      <c r="G14" s="269">
        <v>230</v>
      </c>
      <c r="H14" s="270">
        <v>130</v>
      </c>
      <c r="I14" s="270">
        <v>3</v>
      </c>
      <c r="J14" s="259">
        <f t="shared" si="1"/>
        <v>89700</v>
      </c>
      <c r="K14" s="274"/>
      <c r="L14" s="261" t="s">
        <v>331</v>
      </c>
      <c r="M14" s="29">
        <f t="shared" si="0"/>
      </c>
    </row>
    <row r="15" spans="1:13" ht="14.25">
      <c r="A15" s="251">
        <v>3</v>
      </c>
      <c r="B15" s="252" t="s">
        <v>317</v>
      </c>
      <c r="C15" s="253" t="s">
        <v>283</v>
      </c>
      <c r="D15" s="254">
        <v>312</v>
      </c>
      <c r="E15" s="275" t="s">
        <v>125</v>
      </c>
      <c r="F15" s="256" t="s">
        <v>290</v>
      </c>
      <c r="G15" s="257">
        <v>37260</v>
      </c>
      <c r="H15" s="258">
        <v>2</v>
      </c>
      <c r="I15" s="258">
        <v>1</v>
      </c>
      <c r="J15" s="259">
        <f t="shared" si="1"/>
        <v>74520</v>
      </c>
      <c r="K15" s="278"/>
      <c r="L15" s="261" t="s">
        <v>332</v>
      </c>
      <c r="M15" s="29">
        <f t="shared" si="0"/>
      </c>
    </row>
    <row r="16" spans="1:13" ht="14.25">
      <c r="A16" s="251">
        <v>3</v>
      </c>
      <c r="B16" s="252" t="s">
        <v>317</v>
      </c>
      <c r="C16" s="253" t="s">
        <v>283</v>
      </c>
      <c r="D16" s="254">
        <v>313</v>
      </c>
      <c r="E16" s="256" t="s">
        <v>125</v>
      </c>
      <c r="F16" s="256" t="s">
        <v>292</v>
      </c>
      <c r="G16" s="257">
        <v>18360</v>
      </c>
      <c r="H16" s="258">
        <v>2</v>
      </c>
      <c r="I16" s="258">
        <v>1</v>
      </c>
      <c r="J16" s="259">
        <f t="shared" si="1"/>
        <v>36720</v>
      </c>
      <c r="K16" s="260"/>
      <c r="L16" s="261" t="s">
        <v>333</v>
      </c>
      <c r="M16" s="29">
        <f t="shared" si="0"/>
      </c>
    </row>
    <row r="17" spans="1:13" ht="14.25">
      <c r="A17" s="251">
        <v>3</v>
      </c>
      <c r="B17" s="252" t="s">
        <v>323</v>
      </c>
      <c r="C17" s="253" t="s">
        <v>300</v>
      </c>
      <c r="D17" s="254">
        <v>314</v>
      </c>
      <c r="E17" s="256" t="s">
        <v>86</v>
      </c>
      <c r="F17" s="256" t="s">
        <v>324</v>
      </c>
      <c r="G17" s="257">
        <v>1000</v>
      </c>
      <c r="H17" s="258">
        <v>17</v>
      </c>
      <c r="I17" s="258">
        <v>2</v>
      </c>
      <c r="J17" s="259">
        <f t="shared" si="1"/>
        <v>34000</v>
      </c>
      <c r="K17" s="260"/>
      <c r="L17" s="261" t="s">
        <v>334</v>
      </c>
      <c r="M17" s="29">
        <f t="shared" si="0"/>
      </c>
    </row>
    <row r="18" spans="1:13" ht="14.25">
      <c r="A18" s="251"/>
      <c r="B18" s="252"/>
      <c r="C18" s="253"/>
      <c r="D18" s="254">
        <v>315</v>
      </c>
      <c r="E18" s="256"/>
      <c r="F18" s="256"/>
      <c r="G18" s="257"/>
      <c r="H18" s="258"/>
      <c r="I18" s="258"/>
      <c r="J18" s="259">
        <f t="shared" si="1"/>
        <v>0</v>
      </c>
      <c r="K18" s="260"/>
      <c r="L18" s="261"/>
      <c r="M18" s="29">
        <f t="shared" si="0"/>
      </c>
    </row>
    <row r="19" spans="1:13" ht="14.25">
      <c r="A19" s="251"/>
      <c r="B19" s="252"/>
      <c r="C19" s="253"/>
      <c r="D19" s="254">
        <v>316</v>
      </c>
      <c r="E19" s="256"/>
      <c r="F19" s="256"/>
      <c r="G19" s="257"/>
      <c r="H19" s="258"/>
      <c r="I19" s="258"/>
      <c r="J19" s="259">
        <f t="shared" si="1"/>
        <v>0</v>
      </c>
      <c r="K19" s="260"/>
      <c r="L19" s="261"/>
      <c r="M19" s="29">
        <f t="shared" si="0"/>
      </c>
    </row>
    <row r="20" spans="1:13" ht="14.25">
      <c r="A20" s="251"/>
      <c r="B20" s="252"/>
      <c r="C20" s="253"/>
      <c r="D20" s="254">
        <v>317</v>
      </c>
      <c r="E20" s="256"/>
      <c r="F20" s="256"/>
      <c r="G20" s="257"/>
      <c r="H20" s="258"/>
      <c r="I20" s="258"/>
      <c r="J20" s="259">
        <f t="shared" si="1"/>
        <v>0</v>
      </c>
      <c r="K20" s="260"/>
      <c r="L20" s="261"/>
      <c r="M20" s="29">
        <f t="shared" si="0"/>
      </c>
    </row>
    <row r="21" spans="1:13" ht="14.25">
      <c r="A21" s="251"/>
      <c r="B21" s="252"/>
      <c r="C21" s="253"/>
      <c r="D21" s="254">
        <v>318</v>
      </c>
      <c r="E21" s="256"/>
      <c r="F21" s="256"/>
      <c r="G21" s="257"/>
      <c r="H21" s="258"/>
      <c r="I21" s="258"/>
      <c r="J21" s="259">
        <f t="shared" si="1"/>
        <v>0</v>
      </c>
      <c r="K21" s="260"/>
      <c r="L21" s="261"/>
      <c r="M21" s="29">
        <f t="shared" si="0"/>
      </c>
    </row>
    <row r="22" spans="1:13" ht="14.25">
      <c r="A22" s="251"/>
      <c r="B22" s="252"/>
      <c r="C22" s="253"/>
      <c r="D22" s="254">
        <v>319</v>
      </c>
      <c r="E22" s="256"/>
      <c r="F22" s="256"/>
      <c r="G22" s="257"/>
      <c r="H22" s="258"/>
      <c r="I22" s="258"/>
      <c r="J22" s="259">
        <f t="shared" si="1"/>
        <v>0</v>
      </c>
      <c r="K22" s="260"/>
      <c r="L22" s="261"/>
      <c r="M22" s="29">
        <f t="shared" si="0"/>
      </c>
    </row>
    <row r="23" spans="1:13" ht="14.2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1" t="s">
        <v>176</v>
      </c>
      <c r="I106" s="571"/>
      <c r="J106" s="571" t="s">
        <v>98</v>
      </c>
      <c r="K106" s="576"/>
    </row>
    <row r="107" spans="4:11" ht="14.25" thickTop="1">
      <c r="D107" s="230"/>
      <c r="F107" s="296" t="s">
        <v>85</v>
      </c>
      <c r="G107" s="358">
        <f>SUMIF($E$4:$E$103,F107,$J$4:$J$103)</f>
        <v>40000</v>
      </c>
      <c r="H107" s="534">
        <f>SUMIF($E$4:$E$103,F107,$M$4:$M$103)</f>
        <v>0</v>
      </c>
      <c r="I107" s="534"/>
      <c r="J107" s="534">
        <f aca="true" t="shared" si="4" ref="J107:J115">G107-H107</f>
        <v>40000</v>
      </c>
      <c r="K107" s="615"/>
    </row>
    <row r="108" spans="4:11" ht="13.5">
      <c r="D108" s="230"/>
      <c r="F108" s="297" t="s">
        <v>86</v>
      </c>
      <c r="G108" s="357">
        <f aca="true" t="shared" si="5" ref="G108:G115">SUMIF($E$4:$E$103,F108,$J$4:$J$103)</f>
        <v>73905</v>
      </c>
      <c r="H108" s="542">
        <f aca="true" t="shared" si="6" ref="H108:H114">SUMIF($E$4:$E$103,F108,$M$4:$M$103)</f>
        <v>0</v>
      </c>
      <c r="I108" s="542"/>
      <c r="J108" s="542">
        <f t="shared" si="4"/>
        <v>73905</v>
      </c>
      <c r="K108" s="545"/>
    </row>
    <row r="109" spans="4:11" ht="13.5">
      <c r="D109" s="230"/>
      <c r="F109" s="297" t="s">
        <v>125</v>
      </c>
      <c r="G109" s="357">
        <f t="shared" si="5"/>
        <v>495315</v>
      </c>
      <c r="H109" s="542">
        <f t="shared" si="6"/>
        <v>0</v>
      </c>
      <c r="I109" s="542"/>
      <c r="J109" s="542">
        <f t="shared" si="4"/>
        <v>495315</v>
      </c>
      <c r="K109" s="545"/>
    </row>
    <row r="110" spans="4:11" ht="13.5">
      <c r="D110" s="230"/>
      <c r="F110" s="297" t="s">
        <v>126</v>
      </c>
      <c r="G110" s="357">
        <f t="shared" si="5"/>
        <v>0</v>
      </c>
      <c r="H110" s="542">
        <f t="shared" si="6"/>
        <v>0</v>
      </c>
      <c r="I110" s="542"/>
      <c r="J110" s="542">
        <f t="shared" si="4"/>
        <v>0</v>
      </c>
      <c r="K110" s="545"/>
    </row>
    <row r="111" spans="4:11" ht="13.5">
      <c r="D111" s="230"/>
      <c r="F111" s="297" t="s">
        <v>87</v>
      </c>
      <c r="G111" s="357">
        <f t="shared" si="5"/>
        <v>89700</v>
      </c>
      <c r="H111" s="542">
        <f t="shared" si="6"/>
        <v>0</v>
      </c>
      <c r="I111" s="542"/>
      <c r="J111" s="542">
        <f t="shared" si="4"/>
        <v>89700</v>
      </c>
      <c r="K111" s="545"/>
    </row>
    <row r="112" spans="4:11" ht="13.5">
      <c r="D112" s="230"/>
      <c r="F112" s="297" t="s">
        <v>88</v>
      </c>
      <c r="G112" s="357">
        <f t="shared" si="5"/>
        <v>36774</v>
      </c>
      <c r="H112" s="542">
        <f t="shared" si="6"/>
        <v>0</v>
      </c>
      <c r="I112" s="542"/>
      <c r="J112" s="542">
        <f t="shared" si="4"/>
        <v>36774</v>
      </c>
      <c r="K112" s="545"/>
    </row>
    <row r="113" spans="4:11" ht="13.5">
      <c r="D113" s="230"/>
      <c r="F113" s="297" t="s">
        <v>89</v>
      </c>
      <c r="G113" s="357">
        <f t="shared" si="5"/>
        <v>0</v>
      </c>
      <c r="H113" s="542">
        <f t="shared" si="6"/>
        <v>0</v>
      </c>
      <c r="I113" s="542"/>
      <c r="J113" s="542">
        <f t="shared" si="4"/>
        <v>0</v>
      </c>
      <c r="K113" s="545"/>
    </row>
    <row r="114" spans="4:11" ht="13.5">
      <c r="D114" s="230"/>
      <c r="F114" s="297" t="s">
        <v>90</v>
      </c>
      <c r="G114" s="357">
        <f t="shared" si="5"/>
        <v>0</v>
      </c>
      <c r="H114" s="542">
        <f t="shared" si="6"/>
        <v>0</v>
      </c>
      <c r="I114" s="542"/>
      <c r="J114" s="542">
        <f t="shared" si="4"/>
        <v>0</v>
      </c>
      <c r="K114" s="545"/>
    </row>
    <row r="115" spans="4:11" ht="14.25" thickBot="1">
      <c r="D115" s="230"/>
      <c r="F115" s="296" t="s">
        <v>138</v>
      </c>
      <c r="G115" s="357">
        <f t="shared" si="5"/>
        <v>0</v>
      </c>
      <c r="H115" s="586">
        <f>SUMIF($E$4:$E$103,F115,$M$4:$M$103)+'2-3'!I122</f>
        <v>0</v>
      </c>
      <c r="I115" s="586"/>
      <c r="J115" s="586">
        <f t="shared" si="4"/>
        <v>0</v>
      </c>
      <c r="K115" s="587"/>
    </row>
    <row r="116" spans="4:11" ht="15" thickBot="1" thickTop="1">
      <c r="D116" s="388"/>
      <c r="F116" s="298" t="s">
        <v>15</v>
      </c>
      <c r="G116" s="359">
        <f>SUM(G107:G115)</f>
        <v>735694</v>
      </c>
      <c r="H116" s="588">
        <f>SUM(H107:I115)</f>
        <v>0</v>
      </c>
      <c r="I116" s="588"/>
      <c r="J116" s="588">
        <f>SUM(J107:K115)</f>
        <v>735694</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6" dxfId="28" operator="equal" stopIfTrue="1">
      <formula>0</formula>
    </cfRule>
  </conditionalFormatting>
  <conditionalFormatting sqref="J104">
    <cfRule type="cellIs" priority="5"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0" t="s">
        <v>307</v>
      </c>
      <c r="I1" s="510"/>
      <c r="J1" s="510"/>
      <c r="K1" s="510"/>
    </row>
    <row r="2" spans="8:11" s="1" customFormat="1" ht="18" customHeight="1">
      <c r="H2" s="510" t="s">
        <v>273</v>
      </c>
      <c r="I2" s="510"/>
      <c r="J2" s="510"/>
      <c r="K2" s="510"/>
    </row>
    <row r="3" s="1" customFormat="1" ht="18" customHeight="1">
      <c r="K3" s="2"/>
    </row>
    <row r="4" spans="8:11" s="1" customFormat="1" ht="18" customHeight="1">
      <c r="H4" s="511" t="s">
        <v>305</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274</v>
      </c>
      <c r="I7" s="511"/>
      <c r="J7" s="511"/>
      <c r="K7" s="511"/>
    </row>
    <row r="8" spans="1:11" s="1" customFormat="1" ht="18" customHeight="1">
      <c r="A8" s="4"/>
      <c r="H8" s="511" t="s">
        <v>275</v>
      </c>
      <c r="I8" s="511"/>
      <c r="J8" s="511"/>
      <c r="K8" s="511"/>
    </row>
    <row r="9" spans="1:11" s="1" customFormat="1" ht="42" customHeight="1">
      <c r="A9" s="4"/>
      <c r="H9" s="2"/>
      <c r="K9" s="46"/>
    </row>
    <row r="10" spans="1:11" ht="24" customHeight="1">
      <c r="A10" s="513" t="s">
        <v>266</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1" t="s">
        <v>176</v>
      </c>
      <c r="I26" s="571"/>
      <c r="J26" s="571" t="s">
        <v>173</v>
      </c>
      <c r="K26" s="576"/>
    </row>
    <row r="27" spans="2:11" ht="13.5" customHeight="1" thickTop="1">
      <c r="B27" s="53"/>
      <c r="C27" s="53"/>
      <c r="D27" s="67"/>
      <c r="F27" s="296" t="s">
        <v>85</v>
      </c>
      <c r="G27" s="347">
        <f>SUMIF($E$4:$E$23,F27,$J$4:$J$23)</f>
        <v>0</v>
      </c>
      <c r="H27" s="534">
        <f>SUMIF($E$4:$E$23,F27,$M$4:$M$23)</f>
        <v>0</v>
      </c>
      <c r="I27" s="534"/>
      <c r="J27" s="534">
        <f aca="true" t="shared" si="2" ref="J27:J35">G27-H27</f>
        <v>0</v>
      </c>
      <c r="K27" s="615"/>
    </row>
    <row r="28" spans="2:11" ht="13.5" customHeight="1">
      <c r="B28" s="53"/>
      <c r="C28" s="53"/>
      <c r="D28" s="67"/>
      <c r="F28" s="297" t="s">
        <v>86</v>
      </c>
      <c r="G28" s="347">
        <f aca="true" t="shared" si="3" ref="G28:G35">SUMIF($E$4:$E$23,F28,$J$4:$J$23)</f>
        <v>0</v>
      </c>
      <c r="H28" s="542">
        <f aca="true" t="shared" si="4" ref="H28:H35">SUMIF($E$4:$E$23,F28,$M$4:$M$23)</f>
        <v>0</v>
      </c>
      <c r="I28" s="542"/>
      <c r="J28" s="542">
        <f t="shared" si="2"/>
        <v>0</v>
      </c>
      <c r="K28" s="545"/>
    </row>
    <row r="29" spans="2:11" ht="13.5" customHeight="1">
      <c r="B29" s="53"/>
      <c r="C29" s="53"/>
      <c r="D29" s="67"/>
      <c r="F29" s="297" t="s">
        <v>125</v>
      </c>
      <c r="G29" s="347">
        <f t="shared" si="3"/>
        <v>0</v>
      </c>
      <c r="H29" s="542">
        <f t="shared" si="4"/>
        <v>0</v>
      </c>
      <c r="I29" s="542"/>
      <c r="J29" s="542">
        <f t="shared" si="2"/>
        <v>0</v>
      </c>
      <c r="K29" s="545"/>
    </row>
    <row r="30" spans="2:11" ht="13.5" customHeight="1">
      <c r="B30" s="53"/>
      <c r="C30" s="53"/>
      <c r="D30" s="67"/>
      <c r="F30" s="297" t="s">
        <v>126</v>
      </c>
      <c r="G30" s="347">
        <f t="shared" si="3"/>
        <v>0</v>
      </c>
      <c r="H30" s="542">
        <f t="shared" si="4"/>
        <v>0</v>
      </c>
      <c r="I30" s="542"/>
      <c r="J30" s="542">
        <f t="shared" si="2"/>
        <v>0</v>
      </c>
      <c r="K30" s="545"/>
    </row>
    <row r="31" spans="2:11" ht="13.5" customHeight="1">
      <c r="B31" s="53"/>
      <c r="C31" s="53"/>
      <c r="D31" s="67"/>
      <c r="F31" s="297" t="s">
        <v>87</v>
      </c>
      <c r="G31" s="347">
        <f t="shared" si="3"/>
        <v>0</v>
      </c>
      <c r="H31" s="542">
        <f t="shared" si="4"/>
        <v>0</v>
      </c>
      <c r="I31" s="542"/>
      <c r="J31" s="542">
        <f t="shared" si="2"/>
        <v>0</v>
      </c>
      <c r="K31" s="545"/>
    </row>
    <row r="32" spans="2:11" ht="13.5" customHeight="1">
      <c r="B32" s="53"/>
      <c r="C32" s="53"/>
      <c r="D32" s="67"/>
      <c r="F32" s="297" t="s">
        <v>88</v>
      </c>
      <c r="G32" s="347">
        <f t="shared" si="3"/>
        <v>0</v>
      </c>
      <c r="H32" s="542">
        <f t="shared" si="4"/>
        <v>0</v>
      </c>
      <c r="I32" s="542"/>
      <c r="J32" s="542">
        <f t="shared" si="2"/>
        <v>0</v>
      </c>
      <c r="K32" s="545"/>
    </row>
    <row r="33" spans="2:11" ht="13.5" customHeight="1">
      <c r="B33" s="53"/>
      <c r="C33" s="53"/>
      <c r="D33" s="67"/>
      <c r="F33" s="297" t="s">
        <v>89</v>
      </c>
      <c r="G33" s="347">
        <f t="shared" si="3"/>
        <v>0</v>
      </c>
      <c r="H33" s="542">
        <f t="shared" si="4"/>
        <v>0</v>
      </c>
      <c r="I33" s="542"/>
      <c r="J33" s="542">
        <f t="shared" si="2"/>
        <v>0</v>
      </c>
      <c r="K33" s="545"/>
    </row>
    <row r="34" spans="2:11" ht="13.5" customHeight="1">
      <c r="B34" s="53"/>
      <c r="C34" s="53"/>
      <c r="D34" s="67"/>
      <c r="F34" s="297" t="s">
        <v>90</v>
      </c>
      <c r="G34" s="347">
        <f t="shared" si="3"/>
        <v>0</v>
      </c>
      <c r="H34" s="542">
        <f t="shared" si="4"/>
        <v>0</v>
      </c>
      <c r="I34" s="542"/>
      <c r="J34" s="542">
        <f t="shared" si="2"/>
        <v>0</v>
      </c>
      <c r="K34" s="545"/>
    </row>
    <row r="35" spans="2:11" ht="13.5" customHeight="1" thickBot="1">
      <c r="B35" s="53"/>
      <c r="C35" s="53"/>
      <c r="D35" s="67"/>
      <c r="F35" s="429" t="s">
        <v>138</v>
      </c>
      <c r="G35" s="431">
        <f t="shared" si="3"/>
        <v>0</v>
      </c>
      <c r="H35" s="586">
        <f t="shared" si="4"/>
        <v>0</v>
      </c>
      <c r="I35" s="586"/>
      <c r="J35" s="586">
        <f t="shared" si="2"/>
        <v>0</v>
      </c>
      <c r="K35" s="587"/>
    </row>
    <row r="36" spans="2:11" ht="13.5" customHeight="1" thickBot="1" thickTop="1">
      <c r="B36" s="53"/>
      <c r="C36" s="53"/>
      <c r="D36" s="47"/>
      <c r="F36" s="427" t="s">
        <v>15</v>
      </c>
      <c r="G36" s="356">
        <f>SUM(G27:G35)</f>
        <v>0</v>
      </c>
      <c r="H36" s="588">
        <f>SUM(H27:H35)</f>
        <v>0</v>
      </c>
      <c r="I36" s="588"/>
      <c r="J36" s="588">
        <f>SUM(J27:J35)</f>
        <v>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0" t="s">
        <v>307</v>
      </c>
      <c r="I1" s="510"/>
      <c r="J1" s="510"/>
      <c r="K1" s="510"/>
    </row>
    <row r="2" spans="8:11" s="1" customFormat="1" ht="18" customHeight="1">
      <c r="H2" s="510" t="s">
        <v>273</v>
      </c>
      <c r="I2" s="510"/>
      <c r="J2" s="510"/>
      <c r="K2" s="510"/>
    </row>
    <row r="3" s="1" customFormat="1" ht="18" customHeight="1">
      <c r="K3" s="2"/>
    </row>
    <row r="4" spans="8:11" s="1" customFormat="1" ht="18" customHeight="1">
      <c r="H4" s="511" t="s">
        <v>309</v>
      </c>
      <c r="I4" s="511"/>
      <c r="J4" s="511"/>
      <c r="K4" s="511"/>
    </row>
    <row r="5" spans="8:11" s="1" customFormat="1" ht="18" customHeight="1">
      <c r="H5" s="512">
        <v>42900</v>
      </c>
      <c r="I5" s="511"/>
      <c r="J5" s="511"/>
      <c r="K5" s="511"/>
    </row>
    <row r="6" spans="1:11" s="1" customFormat="1" ht="18" customHeight="1">
      <c r="A6" s="3" t="s">
        <v>2</v>
      </c>
      <c r="H6" s="4"/>
      <c r="K6" s="11"/>
    </row>
    <row r="7" spans="1:11" s="1" customFormat="1" ht="18" customHeight="1">
      <c r="A7" s="4"/>
      <c r="H7" s="511" t="s">
        <v>274</v>
      </c>
      <c r="I7" s="511"/>
      <c r="J7" s="511"/>
      <c r="K7" s="511"/>
    </row>
    <row r="8" spans="1:11" s="1" customFormat="1" ht="18" customHeight="1">
      <c r="A8" s="4"/>
      <c r="H8" s="511" t="s">
        <v>275</v>
      </c>
      <c r="I8" s="511"/>
      <c r="J8" s="511"/>
      <c r="K8" s="511"/>
    </row>
    <row r="9" spans="1:11" s="1" customFormat="1" ht="42" customHeight="1">
      <c r="A9" s="4"/>
      <c r="H9" s="2"/>
      <c r="K9" s="46"/>
    </row>
    <row r="10" spans="1:11" ht="24" customHeight="1">
      <c r="A10" s="513" t="s">
        <v>268</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40000</v>
      </c>
      <c r="C16" s="321">
        <f>'1-1'!C21</f>
        <v>92000</v>
      </c>
      <c r="D16" s="321">
        <f>'1-1'!D21</f>
        <v>564400</v>
      </c>
      <c r="E16" s="321">
        <f>'1-1'!E21</f>
        <v>0</v>
      </c>
      <c r="F16" s="321">
        <f>'1-1'!F21</f>
        <v>89700</v>
      </c>
      <c r="G16" s="321">
        <f>'1-1'!G21</f>
        <v>0</v>
      </c>
      <c r="H16" s="321">
        <f>'1-1'!H21</f>
        <v>0</v>
      </c>
      <c r="I16" s="321">
        <f>'1-1'!I21</f>
        <v>0</v>
      </c>
      <c r="J16" s="436">
        <f>'1-1'!J21</f>
        <v>46330</v>
      </c>
      <c r="K16" s="437">
        <f aca="true" t="shared" si="0" ref="K16:K22">SUM(B16:J16)</f>
        <v>832430</v>
      </c>
    </row>
    <row r="17" spans="1:11" ht="39" customHeight="1">
      <c r="A17" s="21" t="s">
        <v>16</v>
      </c>
      <c r="B17" s="435">
        <f>'随時②-2'!G38</f>
        <v>0</v>
      </c>
      <c r="C17" s="321">
        <f>'随時②-2'!G39</f>
        <v>0</v>
      </c>
      <c r="D17" s="321">
        <f>'随時②-2'!G40</f>
        <v>0</v>
      </c>
      <c r="E17" s="321">
        <f>'随時②-2'!G41</f>
        <v>0</v>
      </c>
      <c r="F17" s="321">
        <f>'随時②-2'!G42</f>
        <v>0</v>
      </c>
      <c r="G17" s="321">
        <f>'随時②-2'!G43</f>
        <v>36774</v>
      </c>
      <c r="H17" s="321">
        <f>'随時②-2'!G44</f>
        <v>0</v>
      </c>
      <c r="I17" s="321">
        <f>'随時②-2'!G45</f>
        <v>0</v>
      </c>
      <c r="J17" s="436">
        <f>'随時②-2'!G46</f>
        <v>0</v>
      </c>
      <c r="K17" s="437">
        <f t="shared" si="0"/>
        <v>36774</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36774</v>
      </c>
      <c r="H19" s="452">
        <f t="shared" si="1"/>
        <v>0</v>
      </c>
      <c r="I19" s="452">
        <f t="shared" si="1"/>
        <v>0</v>
      </c>
      <c r="J19" s="452">
        <f t="shared" si="1"/>
        <v>0</v>
      </c>
      <c r="K19" s="453">
        <f t="shared" si="0"/>
        <v>36774</v>
      </c>
    </row>
    <row r="20" spans="1:11" ht="39" customHeight="1" thickTop="1">
      <c r="A20" s="30" t="s">
        <v>165</v>
      </c>
      <c r="B20" s="223">
        <f>SUM(B16:B17)</f>
        <v>40000</v>
      </c>
      <c r="C20" s="223">
        <f aca="true" t="shared" si="2" ref="C20:J20">SUM(C16:C17)</f>
        <v>92000</v>
      </c>
      <c r="D20" s="223">
        <f t="shared" si="2"/>
        <v>564400</v>
      </c>
      <c r="E20" s="223">
        <f t="shared" si="2"/>
        <v>0</v>
      </c>
      <c r="F20" s="223">
        <f t="shared" si="2"/>
        <v>89700</v>
      </c>
      <c r="G20" s="223">
        <f t="shared" si="2"/>
        <v>36774</v>
      </c>
      <c r="H20" s="223">
        <f t="shared" si="2"/>
        <v>0</v>
      </c>
      <c r="I20" s="223">
        <f t="shared" si="2"/>
        <v>0</v>
      </c>
      <c r="J20" s="223">
        <f t="shared" si="2"/>
        <v>46330</v>
      </c>
      <c r="K20" s="434">
        <f t="shared" si="0"/>
        <v>869204</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19">
        <f>SUM(B20:B21)</f>
        <v>40000</v>
      </c>
      <c r="C22" s="219">
        <f aca="true" t="shared" si="3" ref="C22:J22">SUM(C20:C21)</f>
        <v>92000</v>
      </c>
      <c r="D22" s="219">
        <f t="shared" si="3"/>
        <v>564400</v>
      </c>
      <c r="E22" s="219">
        <f t="shared" si="3"/>
        <v>0</v>
      </c>
      <c r="F22" s="219">
        <f t="shared" si="3"/>
        <v>89700</v>
      </c>
      <c r="G22" s="219">
        <f t="shared" si="3"/>
        <v>36774</v>
      </c>
      <c r="H22" s="219">
        <f t="shared" si="3"/>
        <v>0</v>
      </c>
      <c r="I22" s="219">
        <f t="shared" si="3"/>
        <v>0</v>
      </c>
      <c r="J22" s="219">
        <f t="shared" si="3"/>
        <v>46330</v>
      </c>
      <c r="K22" s="222">
        <f t="shared" si="0"/>
        <v>869204</v>
      </c>
    </row>
    <row r="23" spans="1:11" ht="39" customHeight="1" thickBot="1">
      <c r="A23" s="32" t="s">
        <v>104</v>
      </c>
      <c r="B23" s="617" t="s">
        <v>308</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v>1</v>
      </c>
      <c r="B21" s="252" t="s">
        <v>279</v>
      </c>
      <c r="C21" s="486" t="s">
        <v>304</v>
      </c>
      <c r="D21" s="401">
        <v>201</v>
      </c>
      <c r="E21" s="275" t="s">
        <v>88</v>
      </c>
      <c r="F21" s="275" t="s">
        <v>306</v>
      </c>
      <c r="G21" s="276">
        <v>36774</v>
      </c>
      <c r="H21" s="277">
        <v>1</v>
      </c>
      <c r="I21" s="277">
        <v>1</v>
      </c>
      <c r="J21" s="402">
        <f>G21*H21*I21</f>
        <v>36774</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22"/>
      <c r="G36" s="622"/>
    </row>
    <row r="37" spans="1:12" ht="24" customHeight="1" thickBot="1">
      <c r="A37" s="53"/>
      <c r="B37" s="53"/>
      <c r="C37" s="53"/>
      <c r="D37" s="53"/>
      <c r="E37" s="239" t="s">
        <v>96</v>
      </c>
      <c r="F37" s="229" t="s">
        <v>109</v>
      </c>
      <c r="G37" s="156" t="s">
        <v>16</v>
      </c>
      <c r="H37" s="623" t="s">
        <v>245</v>
      </c>
      <c r="I37" s="624"/>
      <c r="J37" s="229" t="s">
        <v>108</v>
      </c>
      <c r="K37" s="525" t="s">
        <v>193</v>
      </c>
      <c r="L37" s="601"/>
    </row>
    <row r="38" spans="1:12" ht="14.25" thickTop="1">
      <c r="A38" s="53"/>
      <c r="B38" s="53"/>
      <c r="C38" s="53"/>
      <c r="D38" s="53"/>
      <c r="E38" s="296" t="s">
        <v>85</v>
      </c>
      <c r="F38" s="347">
        <f>'1-1'!B21</f>
        <v>40000</v>
      </c>
      <c r="G38" s="349">
        <f aca="true" t="shared" si="3" ref="G38:G46">-SUMIF($E$4:$E$18,$E38,$J$4:$J$18)+SUMIF($E$21:$E$35,$E38,$J$21:$J$35)</f>
        <v>0</v>
      </c>
      <c r="H38" s="534">
        <f aca="true" t="shared" si="4" ref="H38:H46">-SUMIF($E$4:$E$18,$E38,$M$4:$M$18)+SUMIF($E$21:$E$35,$E38,$M$21:$M$35)</f>
        <v>0</v>
      </c>
      <c r="I38" s="534"/>
      <c r="J38" s="348">
        <f aca="true" t="shared" si="5" ref="J38:J46">G38-H38</f>
        <v>0</v>
      </c>
      <c r="K38" s="534">
        <f aca="true" t="shared" si="6" ref="K38:K46">F38+G38</f>
        <v>40000</v>
      </c>
      <c r="L38" s="615"/>
    </row>
    <row r="39" spans="1:12" ht="13.5">
      <c r="A39" s="53"/>
      <c r="B39" s="53"/>
      <c r="C39" s="53"/>
      <c r="D39" s="53"/>
      <c r="E39" s="297" t="s">
        <v>86</v>
      </c>
      <c r="F39" s="351">
        <f>'1-1'!C21</f>
        <v>92000</v>
      </c>
      <c r="G39" s="349">
        <f t="shared" si="3"/>
        <v>0</v>
      </c>
      <c r="H39" s="542">
        <f t="shared" si="4"/>
        <v>0</v>
      </c>
      <c r="I39" s="542"/>
      <c r="J39" s="351">
        <f t="shared" si="5"/>
        <v>0</v>
      </c>
      <c r="K39" s="542">
        <f t="shared" si="6"/>
        <v>92000</v>
      </c>
      <c r="L39" s="545"/>
    </row>
    <row r="40" spans="1:12" ht="13.5">
      <c r="A40" s="53"/>
      <c r="B40" s="53"/>
      <c r="C40" s="53"/>
      <c r="D40" s="53"/>
      <c r="E40" s="297" t="s">
        <v>125</v>
      </c>
      <c r="F40" s="351">
        <f>'1-1'!D21</f>
        <v>564400</v>
      </c>
      <c r="G40" s="349">
        <f t="shared" si="3"/>
        <v>0</v>
      </c>
      <c r="H40" s="542">
        <f t="shared" si="4"/>
        <v>0</v>
      </c>
      <c r="I40" s="542"/>
      <c r="J40" s="351">
        <f t="shared" si="5"/>
        <v>0</v>
      </c>
      <c r="K40" s="542">
        <f t="shared" si="6"/>
        <v>564400</v>
      </c>
      <c r="L40" s="545"/>
    </row>
    <row r="41" spans="1:12" ht="13.5">
      <c r="A41" s="53"/>
      <c r="B41" s="53"/>
      <c r="C41" s="53"/>
      <c r="D41" s="53"/>
      <c r="E41" s="297" t="s">
        <v>126</v>
      </c>
      <c r="F41" s="351">
        <f>'1-1'!E21</f>
        <v>0</v>
      </c>
      <c r="G41" s="349">
        <f t="shared" si="3"/>
        <v>0</v>
      </c>
      <c r="H41" s="542">
        <f t="shared" si="4"/>
        <v>0</v>
      </c>
      <c r="I41" s="542"/>
      <c r="J41" s="351">
        <f t="shared" si="5"/>
        <v>0</v>
      </c>
      <c r="K41" s="542">
        <f t="shared" si="6"/>
        <v>0</v>
      </c>
      <c r="L41" s="545"/>
    </row>
    <row r="42" spans="1:12" ht="13.5">
      <c r="A42" s="53"/>
      <c r="B42" s="53"/>
      <c r="C42" s="53"/>
      <c r="D42" s="53"/>
      <c r="E42" s="297" t="s">
        <v>87</v>
      </c>
      <c r="F42" s="351">
        <f>'1-1'!F21</f>
        <v>89700</v>
      </c>
      <c r="G42" s="349">
        <f t="shared" si="3"/>
        <v>0</v>
      </c>
      <c r="H42" s="542">
        <f t="shared" si="4"/>
        <v>0</v>
      </c>
      <c r="I42" s="542"/>
      <c r="J42" s="351">
        <f t="shared" si="5"/>
        <v>0</v>
      </c>
      <c r="K42" s="542">
        <f t="shared" si="6"/>
        <v>89700</v>
      </c>
      <c r="L42" s="545"/>
    </row>
    <row r="43" spans="1:12" ht="13.5">
      <c r="A43" s="53"/>
      <c r="B43" s="53"/>
      <c r="C43" s="53"/>
      <c r="D43" s="53"/>
      <c r="E43" s="297" t="s">
        <v>88</v>
      </c>
      <c r="F43" s="351">
        <f>'1-1'!G21</f>
        <v>0</v>
      </c>
      <c r="G43" s="349">
        <f t="shared" si="3"/>
        <v>36774</v>
      </c>
      <c r="H43" s="542">
        <f t="shared" si="4"/>
        <v>0</v>
      </c>
      <c r="I43" s="542"/>
      <c r="J43" s="351">
        <f t="shared" si="5"/>
        <v>36774</v>
      </c>
      <c r="K43" s="542">
        <f t="shared" si="6"/>
        <v>36774</v>
      </c>
      <c r="L43" s="545"/>
    </row>
    <row r="44" spans="1:12" ht="13.5">
      <c r="A44" s="53"/>
      <c r="B44" s="53"/>
      <c r="C44" s="53"/>
      <c r="D44" s="53"/>
      <c r="E44" s="297" t="s">
        <v>89</v>
      </c>
      <c r="F44" s="351">
        <f>'1-1'!H21</f>
        <v>0</v>
      </c>
      <c r="G44" s="349">
        <f t="shared" si="3"/>
        <v>0</v>
      </c>
      <c r="H44" s="542">
        <f t="shared" si="4"/>
        <v>0</v>
      </c>
      <c r="I44" s="542"/>
      <c r="J44" s="351">
        <f t="shared" si="5"/>
        <v>0</v>
      </c>
      <c r="K44" s="542">
        <f t="shared" si="6"/>
        <v>0</v>
      </c>
      <c r="L44" s="545"/>
    </row>
    <row r="45" spans="1:12" ht="13.5">
      <c r="A45" s="53"/>
      <c r="B45" s="53"/>
      <c r="C45" s="53"/>
      <c r="D45" s="53"/>
      <c r="E45" s="297" t="s">
        <v>90</v>
      </c>
      <c r="F45" s="351">
        <f>'1-1'!I21</f>
        <v>0</v>
      </c>
      <c r="G45" s="349">
        <f t="shared" si="3"/>
        <v>0</v>
      </c>
      <c r="H45" s="542">
        <f t="shared" si="4"/>
        <v>0</v>
      </c>
      <c r="I45" s="542"/>
      <c r="J45" s="351">
        <f t="shared" si="5"/>
        <v>0</v>
      </c>
      <c r="K45" s="542">
        <f t="shared" si="6"/>
        <v>0</v>
      </c>
      <c r="L45" s="545"/>
    </row>
    <row r="46" spans="1:12" ht="14.25" thickBot="1">
      <c r="A46" s="53"/>
      <c r="B46" s="53"/>
      <c r="C46" s="53"/>
      <c r="D46" s="53"/>
      <c r="E46" s="297" t="s">
        <v>138</v>
      </c>
      <c r="F46" s="399">
        <f>'1-1'!J21</f>
        <v>46330</v>
      </c>
      <c r="G46" s="349">
        <f t="shared" si="3"/>
        <v>0</v>
      </c>
      <c r="H46" s="586">
        <f t="shared" si="4"/>
        <v>0</v>
      </c>
      <c r="I46" s="586"/>
      <c r="J46" s="352">
        <f t="shared" si="5"/>
        <v>0</v>
      </c>
      <c r="K46" s="586">
        <f t="shared" si="6"/>
        <v>46330</v>
      </c>
      <c r="L46" s="587"/>
    </row>
    <row r="47" spans="1:12" ht="15" thickBot="1" thickTop="1">
      <c r="A47" s="53"/>
      <c r="B47" s="53"/>
      <c r="C47" s="53"/>
      <c r="D47" s="53"/>
      <c r="E47" s="400" t="s">
        <v>15</v>
      </c>
      <c r="F47" s="354">
        <f>SUM(F38:F46)</f>
        <v>832430</v>
      </c>
      <c r="G47" s="355">
        <f>SUM(G38:G46)</f>
        <v>36774</v>
      </c>
      <c r="H47" s="620">
        <f>SUM(H38:I46)</f>
        <v>0</v>
      </c>
      <c r="I47" s="621"/>
      <c r="J47" s="356">
        <f>SUM(J38:J46)</f>
        <v>36774</v>
      </c>
      <c r="K47" s="620">
        <f>SUM(K38:L46)</f>
        <v>869204</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513" t="s">
        <v>270</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40000</v>
      </c>
      <c r="C16" s="435">
        <f>'2-1'!C23</f>
        <v>73905</v>
      </c>
      <c r="D16" s="435">
        <f>'2-1'!D23</f>
        <v>495315</v>
      </c>
      <c r="E16" s="435">
        <f>'2-1'!E23</f>
        <v>0</v>
      </c>
      <c r="F16" s="435">
        <f>'2-1'!F23</f>
        <v>89700</v>
      </c>
      <c r="G16" s="435">
        <f>'2-1'!G23</f>
        <v>36774</v>
      </c>
      <c r="H16" s="435">
        <f>'2-1'!H23</f>
        <v>0</v>
      </c>
      <c r="I16" s="435">
        <f>'2-1'!I23</f>
        <v>0</v>
      </c>
      <c r="J16" s="435">
        <f>'2-1'!J23</f>
        <v>0</v>
      </c>
      <c r="K16" s="437">
        <f aca="true" t="shared" si="0" ref="K16:K23">SUM(B16:J16)</f>
        <v>735694</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40000</v>
      </c>
      <c r="C18" s="438">
        <f aca="true" t="shared" si="1" ref="C18:J18">C16-C17</f>
        <v>73905</v>
      </c>
      <c r="D18" s="438">
        <f t="shared" si="1"/>
        <v>495315</v>
      </c>
      <c r="E18" s="438">
        <f t="shared" si="1"/>
        <v>0</v>
      </c>
      <c r="F18" s="438">
        <f t="shared" si="1"/>
        <v>89700</v>
      </c>
      <c r="G18" s="438">
        <f t="shared" si="1"/>
        <v>36774</v>
      </c>
      <c r="H18" s="438">
        <f t="shared" si="1"/>
        <v>0</v>
      </c>
      <c r="I18" s="438">
        <f t="shared" si="1"/>
        <v>0</v>
      </c>
      <c r="J18" s="438">
        <f t="shared" si="1"/>
        <v>0</v>
      </c>
      <c r="K18" s="441">
        <f t="shared" si="0"/>
        <v>735694</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40000</v>
      </c>
      <c r="C22" s="223">
        <f aca="true" t="shared" si="3" ref="C22:J22">C16+C19</f>
        <v>73905</v>
      </c>
      <c r="D22" s="223">
        <f t="shared" si="3"/>
        <v>495315</v>
      </c>
      <c r="E22" s="223">
        <f t="shared" si="3"/>
        <v>0</v>
      </c>
      <c r="F22" s="223">
        <f t="shared" si="3"/>
        <v>89700</v>
      </c>
      <c r="G22" s="223">
        <f t="shared" si="3"/>
        <v>36774</v>
      </c>
      <c r="H22" s="223">
        <f t="shared" si="3"/>
        <v>0</v>
      </c>
      <c r="I22" s="223">
        <f t="shared" si="3"/>
        <v>0</v>
      </c>
      <c r="J22" s="223">
        <f t="shared" si="3"/>
        <v>0</v>
      </c>
      <c r="K22" s="434">
        <f t="shared" si="0"/>
        <v>735694</v>
      </c>
    </row>
    <row r="23" spans="1:11" ht="39" customHeight="1" thickBot="1">
      <c r="A23" s="22" t="s">
        <v>170</v>
      </c>
      <c r="B23" s="219">
        <f>'2-1'!B19+'随時③-1'!B22</f>
        <v>40000</v>
      </c>
      <c r="C23" s="219">
        <f>'2-1'!C19+'随時③-1'!C22</f>
        <v>88245</v>
      </c>
      <c r="D23" s="219">
        <f>'2-1'!D19+'随時③-1'!D22</f>
        <v>888951</v>
      </c>
      <c r="E23" s="219">
        <f>'2-1'!E19+'随時③-1'!E22</f>
        <v>0</v>
      </c>
      <c r="F23" s="219">
        <f>'2-1'!F19+'随時③-1'!F22</f>
        <v>89700</v>
      </c>
      <c r="G23" s="219">
        <f>'2-1'!G19+'随時③-1'!G22</f>
        <v>36774</v>
      </c>
      <c r="H23" s="219">
        <f>'2-1'!H19+'随時③-1'!H22</f>
        <v>0</v>
      </c>
      <c r="I23" s="219">
        <f>'2-1'!I19+'随時③-1'!I22</f>
        <v>0</v>
      </c>
      <c r="J23" s="219">
        <f>'2-1'!J19+'随時③-1'!J22</f>
        <v>46330</v>
      </c>
      <c r="K23" s="222">
        <f t="shared" si="0"/>
        <v>1190000</v>
      </c>
    </row>
    <row r="24" spans="1:11" ht="39" customHeight="1" thickBot="1">
      <c r="A24" s="32" t="s">
        <v>104</v>
      </c>
      <c r="B24" s="626"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22"/>
      <c r="G36" s="622"/>
    </row>
    <row r="37" spans="1:12" ht="24" customHeight="1" thickBot="1">
      <c r="A37" s="53"/>
      <c r="B37" s="53"/>
      <c r="C37" s="53"/>
      <c r="E37" s="239" t="s">
        <v>96</v>
      </c>
      <c r="F37" s="229" t="s">
        <v>172</v>
      </c>
      <c r="G37" s="229" t="s">
        <v>16</v>
      </c>
      <c r="H37" s="623" t="s">
        <v>245</v>
      </c>
      <c r="I37" s="624"/>
      <c r="J37" s="156" t="s">
        <v>108</v>
      </c>
      <c r="K37" s="590" t="s">
        <v>194</v>
      </c>
      <c r="L37" s="591"/>
    </row>
    <row r="38" spans="1:12" ht="14.25" thickTop="1">
      <c r="A38" s="53"/>
      <c r="B38" s="53"/>
      <c r="C38" s="53"/>
      <c r="E38" s="297" t="s">
        <v>85</v>
      </c>
      <c r="F38" s="347">
        <f>'2-1'!B23</f>
        <v>40000</v>
      </c>
      <c r="G38" s="347">
        <f aca="true" t="shared" si="3" ref="G38:G46">-SUMIF($E$4:$E$18,$E38,$J$4:$J$18)+SUMIF($E$21:$E$35,$E38,$J$21:$J$35)</f>
        <v>0</v>
      </c>
      <c r="H38" s="535">
        <f aca="true" t="shared" si="4" ref="H38:H46">-SUMIF($E$4:$E$18,$E38,$M$4:$M$18)+SUMIF($E$21:$E$35,$E38,$M$21:$M$35)</f>
        <v>0</v>
      </c>
      <c r="I38" s="608"/>
      <c r="J38" s="349">
        <f aca="true" t="shared" si="5" ref="J38:J46">G38-H38</f>
        <v>0</v>
      </c>
      <c r="K38" s="552">
        <f aca="true" t="shared" si="6" ref="K38:K46">F38+G38</f>
        <v>40000</v>
      </c>
      <c r="L38" s="592"/>
    </row>
    <row r="39" spans="1:12" ht="13.5">
      <c r="A39" s="53"/>
      <c r="B39" s="53"/>
      <c r="C39" s="53"/>
      <c r="E39" s="297" t="s">
        <v>86</v>
      </c>
      <c r="F39" s="351">
        <f>'2-1'!C23</f>
        <v>73905</v>
      </c>
      <c r="G39" s="347">
        <f t="shared" si="3"/>
        <v>0</v>
      </c>
      <c r="H39" s="543">
        <f t="shared" si="4"/>
        <v>0</v>
      </c>
      <c r="I39" s="597"/>
      <c r="J39" s="349">
        <f t="shared" si="5"/>
        <v>0</v>
      </c>
      <c r="K39" s="552">
        <f t="shared" si="6"/>
        <v>73905</v>
      </c>
      <c r="L39" s="592"/>
    </row>
    <row r="40" spans="1:12" ht="13.5">
      <c r="A40" s="53"/>
      <c r="B40" s="53"/>
      <c r="C40" s="53"/>
      <c r="E40" s="297" t="s">
        <v>125</v>
      </c>
      <c r="F40" s="351">
        <f>'2-1'!D23</f>
        <v>495315</v>
      </c>
      <c r="G40" s="347">
        <f t="shared" si="3"/>
        <v>0</v>
      </c>
      <c r="H40" s="543">
        <f t="shared" si="4"/>
        <v>0</v>
      </c>
      <c r="I40" s="597"/>
      <c r="J40" s="349">
        <f t="shared" si="5"/>
        <v>0</v>
      </c>
      <c r="K40" s="552">
        <f t="shared" si="6"/>
        <v>495315</v>
      </c>
      <c r="L40" s="592"/>
    </row>
    <row r="41" spans="1:12" ht="13.5">
      <c r="A41" s="53"/>
      <c r="B41" s="53"/>
      <c r="C41" s="53"/>
      <c r="E41" s="297" t="s">
        <v>126</v>
      </c>
      <c r="F41" s="351">
        <f>'2-1'!E23</f>
        <v>0</v>
      </c>
      <c r="G41" s="347">
        <f t="shared" si="3"/>
        <v>0</v>
      </c>
      <c r="H41" s="543">
        <f t="shared" si="4"/>
        <v>0</v>
      </c>
      <c r="I41" s="597"/>
      <c r="J41" s="349">
        <f t="shared" si="5"/>
        <v>0</v>
      </c>
      <c r="K41" s="552">
        <f t="shared" si="6"/>
        <v>0</v>
      </c>
      <c r="L41" s="592"/>
    </row>
    <row r="42" spans="1:12" ht="13.5">
      <c r="A42" s="53"/>
      <c r="B42" s="53"/>
      <c r="C42" s="53"/>
      <c r="E42" s="297" t="s">
        <v>87</v>
      </c>
      <c r="F42" s="351">
        <f>'2-1'!F23</f>
        <v>89700</v>
      </c>
      <c r="G42" s="347">
        <f t="shared" si="3"/>
        <v>0</v>
      </c>
      <c r="H42" s="543">
        <f t="shared" si="4"/>
        <v>0</v>
      </c>
      <c r="I42" s="597"/>
      <c r="J42" s="349">
        <f t="shared" si="5"/>
        <v>0</v>
      </c>
      <c r="K42" s="552">
        <f t="shared" si="6"/>
        <v>89700</v>
      </c>
      <c r="L42" s="592"/>
    </row>
    <row r="43" spans="1:12" ht="13.5">
      <c r="A43" s="53"/>
      <c r="B43" s="53"/>
      <c r="C43" s="53"/>
      <c r="E43" s="297" t="s">
        <v>88</v>
      </c>
      <c r="F43" s="351">
        <f>'2-1'!G23</f>
        <v>36774</v>
      </c>
      <c r="G43" s="347">
        <f t="shared" si="3"/>
        <v>0</v>
      </c>
      <c r="H43" s="543">
        <f t="shared" si="4"/>
        <v>0</v>
      </c>
      <c r="I43" s="597"/>
      <c r="J43" s="349">
        <f t="shared" si="5"/>
        <v>0</v>
      </c>
      <c r="K43" s="552">
        <f t="shared" si="6"/>
        <v>36774</v>
      </c>
      <c r="L43" s="592"/>
    </row>
    <row r="44" spans="1:12" ht="13.5">
      <c r="A44" s="53"/>
      <c r="B44" s="53"/>
      <c r="C44" s="53"/>
      <c r="E44" s="297" t="s">
        <v>89</v>
      </c>
      <c r="F44" s="351">
        <f>'2-1'!H23</f>
        <v>0</v>
      </c>
      <c r="G44" s="347">
        <f t="shared" si="3"/>
        <v>0</v>
      </c>
      <c r="H44" s="543">
        <f t="shared" si="4"/>
        <v>0</v>
      </c>
      <c r="I44" s="597"/>
      <c r="J44" s="349">
        <f t="shared" si="5"/>
        <v>0</v>
      </c>
      <c r="K44" s="552">
        <f t="shared" si="6"/>
        <v>0</v>
      </c>
      <c r="L44" s="592"/>
    </row>
    <row r="45" spans="1:12" ht="13.5">
      <c r="A45" s="53"/>
      <c r="B45" s="53"/>
      <c r="C45" s="53"/>
      <c r="E45" s="297" t="s">
        <v>90</v>
      </c>
      <c r="F45" s="351">
        <f>'2-1'!I23</f>
        <v>0</v>
      </c>
      <c r="G45" s="347">
        <f t="shared" si="3"/>
        <v>0</v>
      </c>
      <c r="H45" s="543">
        <f t="shared" si="4"/>
        <v>0</v>
      </c>
      <c r="I45" s="597"/>
      <c r="J45" s="349">
        <f t="shared" si="5"/>
        <v>0</v>
      </c>
      <c r="K45" s="552">
        <f t="shared" si="6"/>
        <v>0</v>
      </c>
      <c r="L45" s="592"/>
    </row>
    <row r="46" spans="1:12" ht="14.25" thickBot="1">
      <c r="A46" s="53"/>
      <c r="B46" s="53"/>
      <c r="C46" s="53"/>
      <c r="E46" s="297" t="s">
        <v>138</v>
      </c>
      <c r="F46" s="399">
        <f>'2-1'!J23</f>
        <v>0</v>
      </c>
      <c r="G46" s="347">
        <f t="shared" si="3"/>
        <v>0</v>
      </c>
      <c r="H46" s="628">
        <f t="shared" si="4"/>
        <v>0</v>
      </c>
      <c r="I46" s="629"/>
      <c r="J46" s="349">
        <f t="shared" si="5"/>
        <v>0</v>
      </c>
      <c r="K46" s="586">
        <f t="shared" si="6"/>
        <v>0</v>
      </c>
      <c r="L46" s="587"/>
    </row>
    <row r="47" spans="1:12" ht="15" thickBot="1" thickTop="1">
      <c r="A47" s="53"/>
      <c r="B47" s="53"/>
      <c r="C47" s="53"/>
      <c r="E47" s="400" t="s">
        <v>15</v>
      </c>
      <c r="F47" s="354">
        <f>SUM(F38:F46)</f>
        <v>735694</v>
      </c>
      <c r="G47" s="354">
        <f>SUM(G38:G46)</f>
        <v>0</v>
      </c>
      <c r="H47" s="627">
        <f>SUM(H38:I46)</f>
        <v>0</v>
      </c>
      <c r="I47" s="621"/>
      <c r="J47" s="355">
        <f>SUM(J38:J46)</f>
        <v>0</v>
      </c>
      <c r="K47" s="588">
        <f>SUM(K38:L46)</f>
        <v>735694</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7"/>
  <sheetViews>
    <sheetView showZeros="0" view="pageBreakPreview" zoomScaleSheetLayoutView="100" workbookViewId="0" topLeftCell="A1">
      <pane xSplit="4" ySplit="3" topLeftCell="F31" activePane="bottomRight" state="frozen"/>
      <selection pane="topLeft" activeCell="F29" sqref="F29:J29"/>
      <selection pane="topRight" activeCell="F29" sqref="F29:J29"/>
      <selection pane="bottomLeft" activeCell="F29" sqref="F29:J29"/>
      <selection pane="bottomRight" activeCell="C8" sqref="C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2" t="s">
        <v>143</v>
      </c>
      <c r="G2" s="530"/>
      <c r="H2" s="530"/>
      <c r="I2" s="530"/>
      <c r="J2" s="533"/>
      <c r="K2" s="529" t="s">
        <v>115</v>
      </c>
      <c r="L2" s="530"/>
      <c r="M2" s="530"/>
      <c r="N2" s="530"/>
      <c r="O2" s="531"/>
      <c r="P2" s="13"/>
    </row>
    <row r="3" spans="1:21" ht="30"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46330</v>
      </c>
      <c r="H4" s="304">
        <f>'2-2'!H4</f>
        <v>1</v>
      </c>
      <c r="I4" s="304">
        <f>'2-2'!I4</f>
        <v>1</v>
      </c>
      <c r="J4" s="365">
        <f>'2-2'!J4</f>
        <v>46330</v>
      </c>
      <c r="K4" s="366" t="str">
        <f>'2-2'!K4</f>
        <v>各種団体負担金（会費）</v>
      </c>
      <c r="L4" s="303">
        <f>'2-2'!L4</f>
        <v>46330</v>
      </c>
      <c r="M4" s="304">
        <f>'2-2'!M4</f>
        <v>1</v>
      </c>
      <c r="N4" s="304">
        <f>'2-2'!N4</f>
        <v>1</v>
      </c>
      <c r="O4" s="367">
        <f>L4*M4*N4</f>
        <v>46330</v>
      </c>
      <c r="P4" s="368">
        <f>'2-2'!P4</f>
        <v>0</v>
      </c>
      <c r="Q4" s="369" t="str">
        <f>'2-2'!Q4</f>
        <v>詳細は様式２－３のとおり</v>
      </c>
      <c r="R4" s="25">
        <f>IF(AND(ISNA(MATCH($D4,'随時②-2'!$D$4:$D$18,0)),ISNA(MATCH($D4,'随時③-2'!$D$4:$D$18,0))),0,1)</f>
        <v>0</v>
      </c>
      <c r="S4" s="63">
        <f aca="true" t="shared" si="0" ref="S4:S19">IF(P4="◎",J4,"")</f>
      </c>
      <c r="T4" s="63">
        <f aca="true" t="shared" si="1" ref="T4:T19">IF(P4="◎",O4,"")</f>
      </c>
      <c r="U4" s="5">
        <f>IF($E4=0,"",VLOOKUP($E4,$V$5:$X$13,2))</f>
        <v>9</v>
      </c>
    </row>
    <row r="5" spans="1:23" ht="30" customHeight="1">
      <c r="A5" s="370">
        <f>'1-2'!A5</f>
        <v>1</v>
      </c>
      <c r="B5" s="371" t="str">
        <f>'1-2'!B5</f>
        <v>「学び」ｰ(2)-ｲ</v>
      </c>
      <c r="C5" s="372" t="str">
        <f>'1-2'!C5</f>
        <v>授業改善取組を推進する</v>
      </c>
      <c r="D5" s="254">
        <v>2</v>
      </c>
      <c r="E5" s="314" t="str">
        <f>'2-2'!E5</f>
        <v>消耗需用費</v>
      </c>
      <c r="F5" s="315" t="str">
        <f>'2-2'!F5</f>
        <v>A3モノクロプリンター用トナー</v>
      </c>
      <c r="G5" s="224">
        <f>'2-2'!G5</f>
        <v>3500</v>
      </c>
      <c r="H5" s="316">
        <f>'2-2'!H5</f>
        <v>1</v>
      </c>
      <c r="I5" s="316">
        <f>'2-2'!I5</f>
        <v>1</v>
      </c>
      <c r="J5" s="373">
        <f>'2-2'!J5</f>
        <v>3500</v>
      </c>
      <c r="K5" s="374" t="str">
        <f>'2-2'!K5</f>
        <v>A3モノクロプリンター用トナー</v>
      </c>
      <c r="L5" s="224">
        <f>'2-2'!L5</f>
        <v>3500</v>
      </c>
      <c r="M5" s="316">
        <f>'2-2'!M5</f>
        <v>1</v>
      </c>
      <c r="N5" s="316">
        <f>'2-2'!N5</f>
        <v>0</v>
      </c>
      <c r="O5" s="342">
        <f>L5*M5*N5</f>
        <v>0</v>
      </c>
      <c r="P5" s="375">
        <f>'2-2'!P5</f>
        <v>0</v>
      </c>
      <c r="Q5" s="376">
        <f>'2-2'!Q5</f>
        <v>0</v>
      </c>
      <c r="R5" s="25">
        <f>IF(AND(ISNA(MATCH($D5,'随時②-2'!$D$4:$D$18,0)),ISNA(MATCH($D5,'随時③-2'!$D$4:$D$18,0))),0,1)</f>
        <v>0</v>
      </c>
      <c r="S5" s="63">
        <f t="shared" si="0"/>
      </c>
      <c r="T5" s="63">
        <f t="shared" si="1"/>
      </c>
      <c r="U5" s="5">
        <f aca="true" t="shared" si="2" ref="U5:U19">IF($E5=0,"",VLOOKUP($E5,$V$5:$X$13,2))</f>
        <v>7</v>
      </c>
      <c r="V5" s="5" t="s">
        <v>152</v>
      </c>
      <c r="W5" s="5">
        <v>6</v>
      </c>
    </row>
    <row r="6" spans="1:23" ht="30" customHeight="1">
      <c r="A6" s="370">
        <f>'1-2'!A6</f>
        <v>1</v>
      </c>
      <c r="B6" s="371" t="str">
        <f>'1-2'!B6</f>
        <v>「学び」ｰ(2)-ｲ</v>
      </c>
      <c r="C6" s="372" t="str">
        <f>'1-2'!C6</f>
        <v>授業改善取組を推進する</v>
      </c>
      <c r="D6" s="254">
        <v>3</v>
      </c>
      <c r="E6" s="314" t="str">
        <f>'2-2'!E6</f>
        <v>消耗需用費</v>
      </c>
      <c r="F6" s="315" t="str">
        <f>'2-2'!F6</f>
        <v>まなボード(教室黒板に貼り付け使用 )</v>
      </c>
      <c r="G6" s="224">
        <f>'2-2'!G6</f>
        <v>3240</v>
      </c>
      <c r="H6" s="316">
        <f>'2-2'!H6</f>
        <v>30</v>
      </c>
      <c r="I6" s="316">
        <f>'2-2'!I6</f>
        <v>1</v>
      </c>
      <c r="J6" s="373">
        <f>'2-2'!J6</f>
        <v>97200</v>
      </c>
      <c r="K6" s="374" t="str">
        <f>'2-2'!K6</f>
        <v>まなボード(教室黒板に貼り付け使用 )</v>
      </c>
      <c r="L6" s="224">
        <f>'2-2'!L6</f>
        <v>3088</v>
      </c>
      <c r="M6" s="316">
        <f>'2-2'!M6</f>
        <v>30</v>
      </c>
      <c r="N6" s="316">
        <f>'2-2'!N6</f>
        <v>1</v>
      </c>
      <c r="O6" s="342">
        <f aca="true" t="shared" si="3" ref="O6:O19">L6*M6*N6</f>
        <v>92640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2</v>
      </c>
      <c r="B7" s="371" t="str">
        <f>'1-2'!B7</f>
        <v>「志」ｰ（１）</v>
      </c>
      <c r="C7" s="372" t="str">
        <f>'1-2'!C7</f>
        <v>キャリア教育の推進</v>
      </c>
      <c r="D7" s="254">
        <v>4</v>
      </c>
      <c r="E7" s="314" t="str">
        <f>'2-2'!E7</f>
        <v>旅費</v>
      </c>
      <c r="F7" s="315" t="str">
        <f>'2-2'!F7</f>
        <v>平成２９年度教務研究会他府県研修</v>
      </c>
      <c r="G7" s="224">
        <f>'2-2'!G7</f>
        <v>42000</v>
      </c>
      <c r="H7" s="316">
        <f>'2-2'!H7</f>
        <v>1</v>
      </c>
      <c r="I7" s="316">
        <f>'2-2'!I7</f>
        <v>1</v>
      </c>
      <c r="J7" s="373">
        <f>'2-2'!J7</f>
        <v>42000</v>
      </c>
      <c r="K7" s="374" t="str">
        <f>'2-2'!K7</f>
        <v>平成２９年度教務研究会他府県研修</v>
      </c>
      <c r="L7" s="224">
        <f>'2-2'!L7</f>
        <v>42000</v>
      </c>
      <c r="M7" s="316">
        <f>'2-2'!M7</f>
        <v>1</v>
      </c>
      <c r="N7" s="316">
        <f>'2-2'!N7</f>
        <v>0</v>
      </c>
      <c r="O7" s="342">
        <f t="shared" si="3"/>
        <v>0</v>
      </c>
      <c r="P7" s="375">
        <f>'2-2'!P7</f>
        <v>0</v>
      </c>
      <c r="Q7" s="376" t="str">
        <f>'2-2'!Q7</f>
        <v>横浜市</v>
      </c>
      <c r="R7" s="25">
        <f>IF(AND(ISNA(MATCH($D7,'随時②-2'!$D$4:$D$18,0)),ISNA(MATCH($D7,'随時③-2'!$D$4:$D$18,0))),0,1)</f>
        <v>0</v>
      </c>
      <c r="S7" s="63">
        <f t="shared" si="0"/>
      </c>
      <c r="T7" s="63">
        <f t="shared" si="1"/>
      </c>
      <c r="U7" s="5">
        <f t="shared" si="2"/>
        <v>2</v>
      </c>
      <c r="V7" s="5" t="s">
        <v>154</v>
      </c>
      <c r="W7" s="5">
        <v>7</v>
      </c>
    </row>
    <row r="8" spans="1:23" ht="30" customHeight="1">
      <c r="A8" s="370">
        <f>'1-2'!A8</f>
        <v>2</v>
      </c>
      <c r="B8" s="371" t="str">
        <f>'1-2'!B8</f>
        <v>「志」ｰ（２）</v>
      </c>
      <c r="C8" s="372" t="str">
        <f>'1-2'!C8</f>
        <v>豊かな人間形成</v>
      </c>
      <c r="D8" s="263">
        <v>5</v>
      </c>
      <c r="E8" s="314" t="str">
        <f>'2-2'!E8</f>
        <v>報償費</v>
      </c>
      <c r="F8" s="315" t="str">
        <f>'2-2'!F8</f>
        <v>性教育講演会講師謝礼金（１年生）</v>
      </c>
      <c r="G8" s="224">
        <f>'2-2'!G8</f>
        <v>20000</v>
      </c>
      <c r="H8" s="316">
        <f>'2-2'!H8</f>
        <v>1</v>
      </c>
      <c r="I8" s="316">
        <f>'2-2'!I8</f>
        <v>1</v>
      </c>
      <c r="J8" s="373">
        <f>'2-2'!J8</f>
        <v>20000</v>
      </c>
      <c r="K8" s="374" t="str">
        <f>'2-2'!K8</f>
        <v>性教育講演会講師謝礼金（１年生）</v>
      </c>
      <c r="L8" s="224">
        <f>'2-2'!L8</f>
        <v>20000</v>
      </c>
      <c r="M8" s="316">
        <f>'2-2'!M8</f>
        <v>1</v>
      </c>
      <c r="N8" s="316">
        <f>'2-2'!N8</f>
        <v>0</v>
      </c>
      <c r="O8" s="342">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2</v>
      </c>
      <c r="B9" s="371" t="str">
        <f>'1-2'!B9</f>
        <v>「志」ｰ（２）</v>
      </c>
      <c r="C9" s="372" t="str">
        <f>'1-2'!C9</f>
        <v>豊かな人間形成</v>
      </c>
      <c r="D9" s="254">
        <v>6</v>
      </c>
      <c r="E9" s="314" t="str">
        <f>'2-2'!E9</f>
        <v>報償費</v>
      </c>
      <c r="F9" s="315" t="str">
        <f>'2-2'!F9</f>
        <v>人権講演会講師謝礼金</v>
      </c>
      <c r="G9" s="224">
        <f>'2-2'!G9</f>
        <v>20000</v>
      </c>
      <c r="H9" s="316">
        <f>'2-2'!H9</f>
        <v>1</v>
      </c>
      <c r="I9" s="316">
        <f>'2-2'!I9</f>
        <v>1</v>
      </c>
      <c r="J9" s="373">
        <f>'2-2'!J9</f>
        <v>20000</v>
      </c>
      <c r="K9" s="374" t="str">
        <f>'2-2'!K9</f>
        <v>人権講演会講師謝礼金</v>
      </c>
      <c r="L9" s="224">
        <f>'2-2'!L9</f>
        <v>20000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0">
        <f>'1-2'!A10</f>
        <v>3</v>
      </c>
      <c r="B10" s="371" t="str">
        <f>'1-2'!B10</f>
        <v>「地域」ｰ（１）－ア</v>
      </c>
      <c r="C10" s="372" t="str">
        <f>'1-2'!C10</f>
        <v>広報用資材の改定</v>
      </c>
      <c r="D10" s="254">
        <v>7</v>
      </c>
      <c r="E10" s="314" t="str">
        <f>'2-2'!E10</f>
        <v>消耗需用費</v>
      </c>
      <c r="F10" s="315" t="str">
        <f>'2-2'!F10</f>
        <v>インクジェットプリンタ用インク</v>
      </c>
      <c r="G10" s="224">
        <f>'2-2'!G10</f>
        <v>20000</v>
      </c>
      <c r="H10" s="316">
        <f>'2-2'!H10</f>
        <v>1</v>
      </c>
      <c r="I10" s="316">
        <f>'2-2'!I10</f>
        <v>1</v>
      </c>
      <c r="J10" s="373">
        <f>'2-2'!J10</f>
        <v>20000</v>
      </c>
      <c r="K10" s="374" t="str">
        <f>'2-2'!K10</f>
        <v>インクジェットプリンタ用インク</v>
      </c>
      <c r="L10" s="224">
        <f>'2-2'!L10</f>
        <v>20000</v>
      </c>
      <c r="M10" s="316">
        <f>'2-2'!M10</f>
        <v>1</v>
      </c>
      <c r="N10" s="316">
        <f>'2-2'!N10</f>
        <v>0</v>
      </c>
      <c r="O10" s="342">
        <f t="shared" si="3"/>
        <v>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3</v>
      </c>
      <c r="B11" s="371" t="str">
        <f>'1-2'!B11</f>
        <v>「地域」ｰ（１）－ア</v>
      </c>
      <c r="C11" s="372" t="str">
        <f>'1-2'!C11</f>
        <v>広報用資材の改定</v>
      </c>
      <c r="D11" s="263">
        <v>8</v>
      </c>
      <c r="E11" s="314" t="str">
        <f>'2-2'!E11</f>
        <v>役務費</v>
      </c>
      <c r="F11" s="315" t="str">
        <f>'2-2'!F11</f>
        <v>学校案内郵送料</v>
      </c>
      <c r="G11" s="224">
        <f>'2-2'!G11</f>
        <v>230</v>
      </c>
      <c r="H11" s="316">
        <f>'2-2'!H11</f>
        <v>130</v>
      </c>
      <c r="I11" s="316">
        <f>'2-2'!I11</f>
        <v>3</v>
      </c>
      <c r="J11" s="373">
        <f>'2-2'!J11</f>
        <v>89700</v>
      </c>
      <c r="K11" s="374" t="str">
        <f>'2-2'!K11</f>
        <v>学校案内郵送料</v>
      </c>
      <c r="L11" s="224">
        <f>'2-2'!L11</f>
        <v>230</v>
      </c>
      <c r="M11" s="316">
        <f>'2-2'!M11</f>
        <v>130</v>
      </c>
      <c r="N11" s="316">
        <f>'2-2'!N11</f>
        <v>0</v>
      </c>
      <c r="O11" s="342">
        <f t="shared" si="3"/>
        <v>0</v>
      </c>
      <c r="P11" s="375">
        <f>'2-2'!P11</f>
        <v>0</v>
      </c>
      <c r="Q11" s="376">
        <f>'2-2'!Q11</f>
        <v>0</v>
      </c>
      <c r="R11" s="25">
        <f>IF(AND(ISNA(MATCH($D11,'随時②-2'!$D$4:$D$18,0)),ISNA(MATCH($D11,'随時③-2'!$D$4:$D$18,0))),0,1)</f>
        <v>0</v>
      </c>
      <c r="S11" s="63">
        <f t="shared" si="0"/>
      </c>
      <c r="T11" s="63">
        <f t="shared" si="1"/>
      </c>
      <c r="U11" s="5">
        <f t="shared" si="2"/>
        <v>5</v>
      </c>
      <c r="V11" s="5" t="s">
        <v>157</v>
      </c>
      <c r="W11" s="5">
        <v>1</v>
      </c>
    </row>
    <row r="12" spans="1:23" ht="30" customHeight="1">
      <c r="A12" s="370">
        <f>'1-2'!A12</f>
        <v>3</v>
      </c>
      <c r="B12" s="371" t="str">
        <f>'1-2'!B12</f>
        <v>「地域」ｰ（１）－ア</v>
      </c>
      <c r="C12" s="372" t="str">
        <f>'1-2'!C12</f>
        <v>広報用資材の改定</v>
      </c>
      <c r="D12" s="263">
        <v>9</v>
      </c>
      <c r="E12" s="314" t="str">
        <f>'2-2'!E12</f>
        <v>消耗需用費</v>
      </c>
      <c r="F12" s="315" t="str">
        <f>'2-2'!F12</f>
        <v>学校案内リーフレット</v>
      </c>
      <c r="G12" s="224">
        <f>'2-2'!G12</f>
        <v>50</v>
      </c>
      <c r="H12" s="316">
        <f>'2-2'!H12</f>
        <v>2000</v>
      </c>
      <c r="I12" s="316">
        <f>'2-2'!I12</f>
        <v>1</v>
      </c>
      <c r="J12" s="373">
        <f>'2-2'!J12</f>
        <v>100000</v>
      </c>
      <c r="K12" s="374" t="str">
        <f>'2-2'!K12</f>
        <v>学校案内リーフレット</v>
      </c>
      <c r="L12" s="224">
        <f>'2-2'!L12</f>
        <v>46.44</v>
      </c>
      <c r="M12" s="316">
        <f>'2-2'!M12</f>
        <v>2000</v>
      </c>
      <c r="N12" s="316">
        <f>'2-2'!N12</f>
        <v>1</v>
      </c>
      <c r="O12" s="342">
        <f t="shared" si="3"/>
        <v>92880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3</v>
      </c>
      <c r="B13" s="371" t="str">
        <f>'1-2'!B13</f>
        <v>「地域」ｰ（１）－ア</v>
      </c>
      <c r="C13" s="372" t="str">
        <f>'1-2'!C13</f>
        <v>広報用資材の改定</v>
      </c>
      <c r="D13" s="273">
        <v>10</v>
      </c>
      <c r="E13" s="314" t="str">
        <f>'2-2'!E13</f>
        <v>消耗需用費</v>
      </c>
      <c r="F13" s="315" t="str">
        <f>'2-2'!F13</f>
        <v>学校案内ちらし</v>
      </c>
      <c r="G13" s="224">
        <f>'2-2'!G13</f>
        <v>50</v>
      </c>
      <c r="H13" s="316">
        <f>'2-2'!H13</f>
        <v>500</v>
      </c>
      <c r="I13" s="316">
        <f>'2-2'!I13</f>
        <v>1</v>
      </c>
      <c r="J13" s="373">
        <f>'2-2'!J13</f>
        <v>25000</v>
      </c>
      <c r="K13" s="374" t="str">
        <f>'2-2'!K13</f>
        <v>学校案内ちらし</v>
      </c>
      <c r="L13" s="224">
        <f>'2-2'!L13</f>
        <v>49.68</v>
      </c>
      <c r="M13" s="316">
        <f>'2-2'!M13</f>
        <v>500</v>
      </c>
      <c r="N13" s="316">
        <f>'2-2'!N13</f>
        <v>1</v>
      </c>
      <c r="O13" s="342">
        <f t="shared" si="3"/>
        <v>24840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3</v>
      </c>
      <c r="B14" s="371" t="str">
        <f>'1-2'!B14</f>
        <v>「地域」ｰ（１）－ア</v>
      </c>
      <c r="C14" s="372" t="str">
        <f>'1-2'!C14</f>
        <v>広報用資材の改定</v>
      </c>
      <c r="D14" s="254">
        <v>11</v>
      </c>
      <c r="E14" s="314" t="str">
        <f>'2-2'!E14</f>
        <v>消耗需用費</v>
      </c>
      <c r="F14" s="315" t="str">
        <f>'2-2'!F14</f>
        <v>学校案内クリアファイル</v>
      </c>
      <c r="G14" s="224">
        <f>'2-2'!G14</f>
        <v>139</v>
      </c>
      <c r="H14" s="316">
        <f>'2-2'!H14</f>
        <v>500</v>
      </c>
      <c r="I14" s="316">
        <f>'2-2'!I14</f>
        <v>1</v>
      </c>
      <c r="J14" s="373">
        <f>'2-2'!J14</f>
        <v>69500</v>
      </c>
      <c r="K14" s="374" t="str">
        <f>'2-2'!K14</f>
        <v>学校案内クリアファイル</v>
      </c>
      <c r="L14" s="224">
        <f>'2-2'!L14</f>
        <v>133.92</v>
      </c>
      <c r="M14" s="316">
        <f>'2-2'!M14</f>
        <v>500</v>
      </c>
      <c r="N14" s="316">
        <f>'2-2'!N14</f>
        <v>1</v>
      </c>
      <c r="O14" s="342">
        <f t="shared" si="3"/>
        <v>66960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3</v>
      </c>
      <c r="B15" s="371" t="str">
        <f>'1-2'!B15</f>
        <v>「地域」ｰ（１）－ア</v>
      </c>
      <c r="C15" s="372" t="str">
        <f>'1-2'!C15</f>
        <v>広報用資材の改定</v>
      </c>
      <c r="D15" s="254">
        <v>12</v>
      </c>
      <c r="E15" s="314" t="str">
        <f>'2-2'!E15</f>
        <v>消耗需用費</v>
      </c>
      <c r="F15" s="315" t="str">
        <f>'2-2'!F15</f>
        <v>学校案内ポスター</v>
      </c>
      <c r="G15" s="224">
        <f>'2-2'!G15</f>
        <v>324</v>
      </c>
      <c r="H15" s="316">
        <f>'2-2'!H15</f>
        <v>150</v>
      </c>
      <c r="I15" s="316">
        <f>'2-2'!I15</f>
        <v>1</v>
      </c>
      <c r="J15" s="373">
        <f>'2-2'!J15</f>
        <v>48600</v>
      </c>
      <c r="K15" s="374" t="str">
        <f>'2-2'!K15</f>
        <v>学校案内ポスター</v>
      </c>
      <c r="L15" s="224">
        <f>'2-2'!L15</f>
        <v>270</v>
      </c>
      <c r="M15" s="316">
        <f>'2-2'!M15</f>
        <v>150</v>
      </c>
      <c r="N15" s="316">
        <f>'2-2'!N15</f>
        <v>1</v>
      </c>
      <c r="O15" s="342">
        <f t="shared" si="3"/>
        <v>40500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3</v>
      </c>
      <c r="B16" s="371" t="str">
        <f>'1-2'!B16</f>
        <v>「地域」ｰ（１）－ア</v>
      </c>
      <c r="C16" s="372" t="str">
        <f>'1-2'!C16</f>
        <v>広報用資材の改定</v>
      </c>
      <c r="D16" s="254">
        <v>13</v>
      </c>
      <c r="E16" s="314" t="str">
        <f>'2-2'!E16</f>
        <v>消耗需用費</v>
      </c>
      <c r="F16" s="315" t="str">
        <f>'2-2'!F16</f>
        <v>広報用学校説明会ホワイトボード</v>
      </c>
      <c r="G16" s="224">
        <f>'2-2'!G16</f>
        <v>41000</v>
      </c>
      <c r="H16" s="316">
        <f>'2-2'!H16</f>
        <v>2</v>
      </c>
      <c r="I16" s="316">
        <f>'2-2'!I16</f>
        <v>1</v>
      </c>
      <c r="J16" s="373">
        <f>'2-2'!J16</f>
        <v>82000</v>
      </c>
      <c r="K16" s="374" t="str">
        <f>'2-2'!K16</f>
        <v>広報用学校説明会ホワイトボード</v>
      </c>
      <c r="L16" s="224">
        <f>'2-2'!L16</f>
        <v>41000</v>
      </c>
      <c r="M16" s="316">
        <f>'2-2'!M16</f>
        <v>2</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3</v>
      </c>
      <c r="B17" s="371" t="str">
        <f>'1-2'!B17</f>
        <v>「地域」ｰ（１）－ア</v>
      </c>
      <c r="C17" s="372" t="str">
        <f>'1-2'!C17</f>
        <v>広報用資材の改定</v>
      </c>
      <c r="D17" s="254">
        <v>14</v>
      </c>
      <c r="E17" s="314" t="str">
        <f>'2-2'!E17</f>
        <v>消耗需用費</v>
      </c>
      <c r="F17" s="315" t="str">
        <f>'2-2'!F17</f>
        <v>広報用学校説明会掲示板</v>
      </c>
      <c r="G17" s="224">
        <f>'2-2'!G17</f>
        <v>42000</v>
      </c>
      <c r="H17" s="316">
        <f>'2-2'!H17</f>
        <v>2</v>
      </c>
      <c r="I17" s="316">
        <f>'2-2'!I17</f>
        <v>1</v>
      </c>
      <c r="J17" s="373">
        <f>'2-2'!J17</f>
        <v>84000</v>
      </c>
      <c r="K17" s="374" t="str">
        <f>'2-2'!K17</f>
        <v>広報用学校説明会掲示板</v>
      </c>
      <c r="L17" s="224">
        <f>'2-2'!L17</f>
        <v>37908</v>
      </c>
      <c r="M17" s="316">
        <f>'2-2'!M17</f>
        <v>2</v>
      </c>
      <c r="N17" s="316">
        <f>'2-2'!N17</f>
        <v>1</v>
      </c>
      <c r="O17" s="342">
        <f t="shared" si="3"/>
        <v>75816</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3</v>
      </c>
      <c r="B18" s="371" t="str">
        <f>'1-2'!B18</f>
        <v>「地域」ｰ（１）－ア</v>
      </c>
      <c r="C18" s="372" t="str">
        <f>'1-2'!C18</f>
        <v>広報用資材の改定</v>
      </c>
      <c r="D18" s="254">
        <v>15</v>
      </c>
      <c r="E18" s="314" t="str">
        <f>'2-2'!E18</f>
        <v>消耗需用費</v>
      </c>
      <c r="F18" s="315" t="str">
        <f>'2-2'!F18</f>
        <v>広報用学校説明会受付テーブル</v>
      </c>
      <c r="G18" s="224">
        <f>'2-2'!G18</f>
        <v>17300</v>
      </c>
      <c r="H18" s="316">
        <f>'2-2'!H18</f>
        <v>2</v>
      </c>
      <c r="I18" s="316">
        <f>'2-2'!I18</f>
        <v>1</v>
      </c>
      <c r="J18" s="373">
        <f>'2-2'!J18</f>
        <v>34600</v>
      </c>
      <c r="K18" s="374" t="str">
        <f>'2-2'!K18</f>
        <v>広報用学校説明会受付テーブル</v>
      </c>
      <c r="L18" s="224">
        <f>'2-2'!L18</f>
        <v>17300</v>
      </c>
      <c r="M18" s="316">
        <f>'2-2'!M18</f>
        <v>2</v>
      </c>
      <c r="N18" s="316">
        <f>'2-2'!N18</f>
        <v>0</v>
      </c>
      <c r="O18" s="342">
        <f t="shared" si="3"/>
        <v>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3</v>
      </c>
      <c r="B19" s="371" t="str">
        <f>'1-2'!B19</f>
        <v>「地域」ｰ（１）ｰイ</v>
      </c>
      <c r="C19" s="372" t="str">
        <f>'1-2'!C19</f>
        <v>中学校訪問広報活動の充実</v>
      </c>
      <c r="D19" s="254">
        <v>16</v>
      </c>
      <c r="E19" s="314" t="str">
        <f>'2-2'!E19</f>
        <v>旅費</v>
      </c>
      <c r="F19" s="315" t="str">
        <f>'2-2'!F19</f>
        <v>中学校訪問による広報活動のさらなる充実</v>
      </c>
      <c r="G19" s="224">
        <f>'2-2'!G19</f>
        <v>1000</v>
      </c>
      <c r="H19" s="316">
        <f>'2-2'!H19</f>
        <v>25</v>
      </c>
      <c r="I19" s="316">
        <f>'2-2'!I19</f>
        <v>2</v>
      </c>
      <c r="J19" s="373">
        <f>'2-2'!J19</f>
        <v>50000</v>
      </c>
      <c r="K19" s="374" t="str">
        <f>'2-2'!K19</f>
        <v>中学校訪問による広報活動のさらなる充実</v>
      </c>
      <c r="L19" s="224">
        <f>'2-2'!L19</f>
        <v>896.25</v>
      </c>
      <c r="M19" s="316">
        <f>'2-2'!M19</f>
        <v>8</v>
      </c>
      <c r="N19" s="316">
        <f>'2-2'!N19</f>
        <v>2</v>
      </c>
      <c r="O19" s="342">
        <f t="shared" si="3"/>
        <v>14340</v>
      </c>
      <c r="P19" s="375">
        <f>'2-2'!P19</f>
        <v>0</v>
      </c>
      <c r="Q19" s="376">
        <f>'2-2'!Q19</f>
        <v>0</v>
      </c>
      <c r="R19" s="25">
        <f>IF(AND(ISNA(MATCH($D19,'随時②-2'!$D$4:$D$18,0)),ISNA(MATCH($D19,'随時③-2'!$D$4:$D$18,0))),0,1)</f>
        <v>0</v>
      </c>
      <c r="S19" s="63">
        <f t="shared" si="0"/>
      </c>
      <c r="T19" s="63">
        <f t="shared" si="1"/>
      </c>
      <c r="U19" s="5">
        <f t="shared" si="2"/>
        <v>2</v>
      </c>
    </row>
    <row r="20" spans="1:21" ht="30" customHeight="1">
      <c r="A20" s="370">
        <f>'随時②-2'!A21</f>
        <v>1</v>
      </c>
      <c r="B20" s="371" t="str">
        <f>'随時②-2'!B21</f>
        <v>「学び」ｰ(2)-ｲ</v>
      </c>
      <c r="C20" s="372" t="str">
        <f>'随時②-2'!C21</f>
        <v>授業改善取組を推進する</v>
      </c>
      <c r="D20" s="263">
        <v>201</v>
      </c>
      <c r="E20" s="315" t="str">
        <f>'2-2'!E124</f>
        <v>委託料</v>
      </c>
      <c r="F20" s="315" t="str">
        <f>'2-2'!F124</f>
        <v>授業アンケートシステム運用業務委託</v>
      </c>
      <c r="G20" s="224">
        <f>'2-2'!G124</f>
        <v>36774</v>
      </c>
      <c r="H20" s="316">
        <f>'2-2'!H124</f>
        <v>1</v>
      </c>
      <c r="I20" s="316">
        <f>'2-2'!I124</f>
        <v>1</v>
      </c>
      <c r="J20" s="365">
        <f>'2-2'!J124</f>
        <v>36774</v>
      </c>
      <c r="K20" s="380" t="str">
        <f>'2-2'!K124</f>
        <v>授業アンケートシステム運用業務委託</v>
      </c>
      <c r="L20" s="303">
        <f>'2-2'!L124</f>
        <v>36774</v>
      </c>
      <c r="M20" s="304">
        <f>'2-2'!M124</f>
        <v>1</v>
      </c>
      <c r="N20" s="304">
        <f>'2-2'!N124</f>
        <v>0</v>
      </c>
      <c r="O20" s="367">
        <f>L20*M20*N20</f>
        <v>0</v>
      </c>
      <c r="P20" s="368">
        <f>'2-2'!P124</f>
        <v>0</v>
      </c>
      <c r="Q20" s="369">
        <f>'2-2'!Q124</f>
        <v>0</v>
      </c>
      <c r="R20" s="25">
        <f>IF(AND(ISNA(MATCH($D20,'随時②-2'!$D$4:$D$18,0)),ISNA(MATCH($D20,'随時③-2'!$D$4:$D$18,0))),0,1)</f>
        <v>0</v>
      </c>
      <c r="S20" s="63">
        <f>IF(P20="◎",J20,"")</f>
      </c>
      <c r="T20" s="63">
        <f>IF(P20="◎",O20,"")</f>
      </c>
      <c r="U20" s="5">
        <f>IF($E20=0,"",VLOOKUP($E20,$V$5:$X$13,2))</f>
        <v>6</v>
      </c>
    </row>
    <row r="21" spans="1:20" ht="30" customHeight="1">
      <c r="A21" s="370">
        <f>'2-4'!A4</f>
        <v>0</v>
      </c>
      <c r="B21" s="371">
        <f>'2-4'!B4</f>
        <v>0</v>
      </c>
      <c r="C21" s="372">
        <f>'2-4'!C4</f>
        <v>0</v>
      </c>
      <c r="D21" s="263">
        <v>301</v>
      </c>
      <c r="E21" s="315" t="str">
        <f>IF($R21=1,"",VLOOKUP($D21,'2-4'!$D$4:$L$103,2))</f>
        <v>負担金、補助及び交付金</v>
      </c>
      <c r="F21" s="315" t="str">
        <f>IF($R21=1,"取消し",VLOOKUP($D21,'2-4'!$D$4:$L$103,3))</f>
        <v>各種団体負担金（会費）</v>
      </c>
      <c r="G21" s="224">
        <f>IF($R21=1,,VLOOKUP($D21,'2-4'!$D$4:$L$103,4))</f>
        <v>0</v>
      </c>
      <c r="H21" s="316">
        <f>IF($R21=1,,VLOOKUP($D21,'2-4'!$D$4:$L$103,5))</f>
        <v>0</v>
      </c>
      <c r="I21" s="316">
        <f>IF($R21=1,,VLOOKUP($D21,'2-4'!$D$4:$L$103,6))</f>
        <v>0</v>
      </c>
      <c r="J21" s="224">
        <f>IF($R21=1,,VLOOKUP($D21,'2-4'!$D$4:$L$103,7))</f>
        <v>0</v>
      </c>
      <c r="K21" s="339" t="str">
        <f aca="true" t="shared" si="4" ref="K21:K34">F21</f>
        <v>各種団体負担金（会費）</v>
      </c>
      <c r="L21" s="340">
        <f aca="true" t="shared" si="5" ref="L21:L33">G21</f>
        <v>0</v>
      </c>
      <c r="M21" s="341">
        <f aca="true" t="shared" si="6" ref="M21:M33">H21</f>
        <v>0</v>
      </c>
      <c r="N21" s="341">
        <f aca="true" t="shared" si="7" ref="N21:N33">I21</f>
        <v>0</v>
      </c>
      <c r="O21" s="342">
        <f>L21*M21*N21</f>
        <v>0</v>
      </c>
      <c r="P21" s="381">
        <f>IF($R21=1,"",VLOOKUP($D21,'2-4'!$D$4:$L$103,8))</f>
        <v>0</v>
      </c>
      <c r="Q21" s="279" t="s">
        <v>254</v>
      </c>
      <c r="R21" s="25">
        <f>IF(AND(ISNA(MATCH($D21,'随時②-2'!$D$4:$D$18,0)),ISNA(MATCH($D21,'随時③-2'!$D$4:$D$18,0))),0,1)</f>
        <v>0</v>
      </c>
      <c r="S21" s="63">
        <f aca="true" t="shared" si="8" ref="S21:S34">IF(P21="◎",J21,"")</f>
      </c>
      <c r="T21" s="63">
        <f aca="true" t="shared" si="9" ref="T21:T34">IF(P21="◎",O21,"")</f>
      </c>
    </row>
    <row r="22" spans="1:20" ht="30" customHeight="1">
      <c r="A22" s="377">
        <f>'2-4'!A5</f>
        <v>1</v>
      </c>
      <c r="B22" s="378" t="str">
        <f>'2-4'!B5</f>
        <v>「学び」-(２)-イ</v>
      </c>
      <c r="C22" s="379" t="str">
        <f>'2-4'!C5</f>
        <v>授業改善取組を推進する</v>
      </c>
      <c r="D22" s="254">
        <v>302</v>
      </c>
      <c r="E22" s="315" t="str">
        <f>IF($R22=1,"",VLOOKUP($D22,'2-4'!$D$4:$L$103,2))</f>
        <v>委託料</v>
      </c>
      <c r="F22" s="315" t="str">
        <f>IF($R22=1,"取消し",VLOOKUP($D22,'2-4'!$D$4:$L$103,3))</f>
        <v>授業アンケートシステム運用業務委託料</v>
      </c>
      <c r="G22" s="224">
        <f>IF($R22=1,,VLOOKUP($D22,'2-4'!$D$4:$L$103,4))</f>
        <v>36774</v>
      </c>
      <c r="H22" s="316">
        <f>IF($R22=1,,VLOOKUP($D22,'2-4'!$D$4:$L$103,5))</f>
        <v>1</v>
      </c>
      <c r="I22" s="316">
        <f>IF($R22=1,,VLOOKUP($D22,'2-4'!$D$4:$L$103,6))</f>
        <v>1</v>
      </c>
      <c r="J22" s="224">
        <f>IF($R22=1,,VLOOKUP($D22,'2-4'!$D$4:$L$103,7))</f>
        <v>36774</v>
      </c>
      <c r="K22" s="318" t="str">
        <f t="shared" si="4"/>
        <v>授業アンケートシステム運用業務委託料</v>
      </c>
      <c r="L22" s="319">
        <f t="shared" si="5"/>
        <v>36774</v>
      </c>
      <c r="M22" s="320">
        <f t="shared" si="6"/>
        <v>1</v>
      </c>
      <c r="N22" s="320">
        <f t="shared" si="7"/>
        <v>1</v>
      </c>
      <c r="O22" s="309">
        <f aca="true" t="shared" si="10" ref="O22:O34">L22*M22*N22</f>
        <v>36774</v>
      </c>
      <c r="P22" s="381">
        <f>IF($R22=1,"",VLOOKUP($D22,'2-4'!$D$4:$L$103,8))</f>
        <v>0</v>
      </c>
      <c r="Q22" s="279" t="str">
        <f>IF($R22=1,"",VLOOKUP($D22,'2-4'!$D$4:$L$103,9))</f>
        <v>随時②NO.２０１再掲</v>
      </c>
      <c r="R22" s="25">
        <f>IF(AND(ISNA(MATCH($D22,'随時②-2'!$D$4:$D$18,0)),ISNA(MATCH($D22,'随時③-2'!$D$4:$D$18,0))),0,1)</f>
        <v>0</v>
      </c>
      <c r="S22" s="63">
        <f t="shared" si="8"/>
      </c>
      <c r="T22" s="63">
        <f t="shared" si="9"/>
      </c>
    </row>
    <row r="23" spans="1:20" ht="30" customHeight="1">
      <c r="A23" s="377">
        <f>'2-4'!A6</f>
        <v>1</v>
      </c>
      <c r="B23" s="378" t="str">
        <f>'2-4'!B6</f>
        <v>「学び」-(１)-イ</v>
      </c>
      <c r="C23" s="379" t="str">
        <f>'2-4'!C6</f>
        <v>新しい科目（サービスラーニング）の記録</v>
      </c>
      <c r="D23" s="254">
        <v>303</v>
      </c>
      <c r="E23" s="315" t="str">
        <f>IF($R23=1,"",VLOOKUP($D23,'2-4'!$D$4:$L$103,2))</f>
        <v>消耗需用費</v>
      </c>
      <c r="F23" s="315" t="str">
        <f>IF($R23=1,"取消し",VLOOKUP($D23,'2-4'!$D$4:$L$103,3))</f>
        <v>記録用ノートパソコン</v>
      </c>
      <c r="G23" s="224">
        <f>IF($R23=1,,VLOOKUP($D23,'2-4'!$D$4:$L$103,4))</f>
        <v>99900</v>
      </c>
      <c r="H23" s="316">
        <f>IF($R23=1,,VLOOKUP($D23,'2-4'!$D$4:$L$103,5))</f>
        <v>1</v>
      </c>
      <c r="I23" s="316">
        <f>IF($R23=1,,VLOOKUP($D23,'2-4'!$D$4:$L$103,6))</f>
        <v>1</v>
      </c>
      <c r="J23" s="224">
        <f>IF($R23=1,,VLOOKUP($D23,'2-4'!$D$4:$L$103,7))</f>
        <v>99900</v>
      </c>
      <c r="K23" s="318" t="str">
        <f t="shared" si="4"/>
        <v>記録用ノートパソコン</v>
      </c>
      <c r="L23" s="319">
        <v>75492</v>
      </c>
      <c r="M23" s="320">
        <f t="shared" si="6"/>
        <v>1</v>
      </c>
      <c r="N23" s="320">
        <f t="shared" si="7"/>
        <v>1</v>
      </c>
      <c r="O23" s="309">
        <f t="shared" si="10"/>
        <v>75492</v>
      </c>
      <c r="P23" s="381">
        <f>IF($R23=1,"",VLOOKUP($D23,'2-4'!$D$4:$L$103,8))</f>
        <v>0</v>
      </c>
      <c r="Q23" s="279">
        <f>IF($R23=1,"",VLOOKUP($D23,'2-4'!$D$4:$L$103,9))</f>
        <v>0</v>
      </c>
      <c r="R23" s="25">
        <f>IF(AND(ISNA(MATCH($D23,'随時②-2'!$D$4:$D$18,0)),ISNA(MATCH($D23,'随時③-2'!$D$4:$D$18,0))),0,1)</f>
        <v>0</v>
      </c>
      <c r="S23" s="63">
        <f t="shared" si="8"/>
      </c>
      <c r="T23" s="63">
        <f t="shared" si="9"/>
      </c>
    </row>
    <row r="24" spans="1:20" ht="30" customHeight="1">
      <c r="A24" s="377">
        <f>'2-4'!A7</f>
        <v>1</v>
      </c>
      <c r="B24" s="378" t="str">
        <f>'2-4'!B7</f>
        <v>「学び」-(１)-イ</v>
      </c>
      <c r="C24" s="379" t="str">
        <f>'2-4'!C7</f>
        <v>新しい科目（サービスラーニング）の記録</v>
      </c>
      <c r="D24" s="254">
        <v>304</v>
      </c>
      <c r="E24" s="315" t="str">
        <f>IF($R24=1,"",VLOOKUP($D24,'2-4'!$D$4:$L$103,2))</f>
        <v>消耗需用費</v>
      </c>
      <c r="F24" s="315" t="str">
        <f>IF($R24=1,"取消し",VLOOKUP($D24,'2-4'!$D$4:$L$103,3))</f>
        <v>記録保管用ガラス引違書庫</v>
      </c>
      <c r="G24" s="224">
        <f>IF($R24=1,,VLOOKUP($D24,'2-4'!$D$4:$L$103,4))</f>
        <v>29581</v>
      </c>
      <c r="H24" s="316">
        <f>IF($R24=1,,VLOOKUP($D24,'2-4'!$D$4:$L$103,5))</f>
        <v>1</v>
      </c>
      <c r="I24" s="316">
        <f>IF($R24=1,,VLOOKUP($D24,'2-4'!$D$4:$L$103,6))</f>
        <v>1</v>
      </c>
      <c r="J24" s="224">
        <f>IF($R24=1,,VLOOKUP($D24,'2-4'!$D$4:$L$103,7))</f>
        <v>29581</v>
      </c>
      <c r="K24" s="318" t="str">
        <f t="shared" si="4"/>
        <v>記録保管用ガラス引違書庫</v>
      </c>
      <c r="L24" s="319">
        <v>25920</v>
      </c>
      <c r="M24" s="320">
        <f t="shared" si="6"/>
        <v>1</v>
      </c>
      <c r="N24" s="320">
        <f t="shared" si="7"/>
        <v>1</v>
      </c>
      <c r="O24" s="309">
        <f t="shared" si="10"/>
        <v>25920</v>
      </c>
      <c r="P24" s="381">
        <f>IF($R24=1,"",VLOOKUP($D24,'2-4'!$D$4:$L$103,8))</f>
        <v>0</v>
      </c>
      <c r="Q24" s="279">
        <f>IF($R24=1,"",VLOOKUP($D24,'2-4'!$D$4:$L$103,9))</f>
        <v>0</v>
      </c>
      <c r="R24" s="25">
        <f>IF(AND(ISNA(MATCH($D24,'随時②-2'!$D$4:$D$18,0)),ISNA(MATCH($D24,'随時③-2'!$D$4:$D$18,0))),0,1)</f>
        <v>0</v>
      </c>
      <c r="S24" s="63">
        <f t="shared" si="8"/>
      </c>
      <c r="T24" s="63">
        <f t="shared" si="9"/>
      </c>
    </row>
    <row r="25" spans="1:20" ht="30" customHeight="1">
      <c r="A25" s="377">
        <f>'2-4'!A8</f>
        <v>1</v>
      </c>
      <c r="B25" s="378" t="str">
        <f>'2-4'!B8</f>
        <v>「学び」-(１)-イ</v>
      </c>
      <c r="C25" s="379" t="str">
        <f>'2-4'!C8</f>
        <v>新しい科目（サービスラーニング）の記録</v>
      </c>
      <c r="D25" s="254">
        <v>305</v>
      </c>
      <c r="E25" s="315" t="str">
        <f>IF($R25=1,"",VLOOKUP($D25,'2-4'!$D$4:$L$103,2))</f>
        <v>消耗需用費</v>
      </c>
      <c r="F25" s="315" t="str">
        <f>IF($R25=1,"取消し",VLOOKUP($D25,'2-4'!$D$4:$L$103,3))</f>
        <v>個人情報処理用コンパクトタイプシュレッダ</v>
      </c>
      <c r="G25" s="224">
        <f>IF($R25=1,,VLOOKUP($D25,'2-4'!$D$4:$L$103,4))</f>
        <v>98000</v>
      </c>
      <c r="H25" s="316">
        <f>IF($R25=1,,VLOOKUP($D25,'2-4'!$D$4:$L$103,5))</f>
        <v>1</v>
      </c>
      <c r="I25" s="316">
        <f>IF($R25=1,,VLOOKUP($D25,'2-4'!$D$4:$L$103,6))</f>
        <v>1</v>
      </c>
      <c r="J25" s="224">
        <f>IF($R25=1,,VLOOKUP($D25,'2-4'!$D$4:$L$103,7))</f>
        <v>98000</v>
      </c>
      <c r="K25" s="318" t="str">
        <f t="shared" si="4"/>
        <v>個人情報処理用コンパクトタイプシュレッダ</v>
      </c>
      <c r="L25" s="319">
        <f t="shared" si="5"/>
        <v>98000</v>
      </c>
      <c r="M25" s="320">
        <f t="shared" si="6"/>
        <v>1</v>
      </c>
      <c r="N25" s="320">
        <f t="shared" si="7"/>
        <v>1</v>
      </c>
      <c r="O25" s="309">
        <f t="shared" si="10"/>
        <v>98000</v>
      </c>
      <c r="P25" s="381">
        <f>IF($R25=1,"",VLOOKUP($D25,'2-4'!$D$4:$L$103,8))</f>
        <v>0</v>
      </c>
      <c r="Q25" s="279">
        <f>IF($R25=1,"",VLOOKUP($D25,'2-4'!$D$4:$L$103,9))</f>
        <v>0</v>
      </c>
      <c r="R25" s="25">
        <f>IF(AND(ISNA(MATCH($D25,'随時②-2'!$D$4:$D$18,0)),ISNA(MATCH($D25,'随時③-2'!$D$4:$D$18,0))),0,1)</f>
        <v>0</v>
      </c>
      <c r="S25" s="63">
        <f t="shared" si="8"/>
      </c>
      <c r="T25" s="63">
        <f t="shared" si="9"/>
      </c>
    </row>
    <row r="26" spans="1:20" ht="30" customHeight="1">
      <c r="A26" s="377">
        <f>'2-4'!A9</f>
        <v>1</v>
      </c>
      <c r="B26" s="378" t="str">
        <f>'2-4'!B9</f>
        <v>「学び」-(１)-イ</v>
      </c>
      <c r="C26" s="379" t="str">
        <f>'2-4'!C9</f>
        <v>新しい科目（サービスラーニング）の事前準備 </v>
      </c>
      <c r="D26" s="254">
        <v>306</v>
      </c>
      <c r="E26" s="315" t="str">
        <f>IF($R26=1,"",VLOOKUP($D26,'2-4'!$D$4:$L$103,2))</f>
        <v>消耗需用費</v>
      </c>
      <c r="F26" s="315" t="str">
        <f>IF($R26=1,"取消し",VLOOKUP($D26,'2-4'!$D$4:$L$103,3))</f>
        <v>サービスラーニング授業用キャンプ用テント </v>
      </c>
      <c r="G26" s="224">
        <f>IF($R26=1,,VLOOKUP($D26,'2-4'!$D$4:$L$103,4))</f>
        <v>13824</v>
      </c>
      <c r="H26" s="316">
        <f>IF($R26=1,,VLOOKUP($D26,'2-4'!$D$4:$L$103,5))</f>
        <v>6</v>
      </c>
      <c r="I26" s="316">
        <f>IF($R26=1,,VLOOKUP($D26,'2-4'!$D$4:$L$103,6))</f>
        <v>1</v>
      </c>
      <c r="J26" s="224">
        <f>IF($R26=1,,VLOOKUP($D26,'2-4'!$D$4:$L$103,7))</f>
        <v>82944</v>
      </c>
      <c r="K26" s="318" t="str">
        <f t="shared" si="4"/>
        <v>サービスラーニング授業用キャンプ用テント </v>
      </c>
      <c r="L26" s="319">
        <v>8640</v>
      </c>
      <c r="M26" s="320">
        <f t="shared" si="6"/>
        <v>6</v>
      </c>
      <c r="N26" s="320">
        <f t="shared" si="7"/>
        <v>1</v>
      </c>
      <c r="O26" s="309">
        <f t="shared" si="10"/>
        <v>51840</v>
      </c>
      <c r="P26" s="381">
        <f>IF($R26=1,"",VLOOKUP($D26,'2-4'!$D$4:$L$103,8))</f>
        <v>0</v>
      </c>
      <c r="Q26" s="279">
        <f>IF($R26=1,"",VLOOKUP($D26,'2-4'!$D$4:$L$103,9))</f>
        <v>0</v>
      </c>
      <c r="R26" s="25">
        <f>IF(AND(ISNA(MATCH($D26,'随時②-2'!$D$4:$D$18,0)),ISNA(MATCH($D26,'随時③-2'!$D$4:$D$18,0))),0,1)</f>
        <v>0</v>
      </c>
      <c r="S26" s="63">
        <f t="shared" si="8"/>
      </c>
      <c r="T26" s="63">
        <f t="shared" si="9"/>
      </c>
    </row>
    <row r="27" spans="1:20" ht="30" customHeight="1">
      <c r="A27" s="377">
        <f>'2-4'!A10</f>
        <v>2</v>
      </c>
      <c r="B27" s="378" t="str">
        <f>'2-4'!B10</f>
        <v>「志」-(１)</v>
      </c>
      <c r="C27" s="379" t="str">
        <f>'2-4'!C10</f>
        <v>キャリア教育の推進</v>
      </c>
      <c r="D27" s="254">
        <v>307</v>
      </c>
      <c r="E27" s="315" t="str">
        <f>IF($R27=1,"",VLOOKUP($D27,'2-4'!$D$4:$L$103,2))</f>
        <v>旅費</v>
      </c>
      <c r="F27" s="315" t="str">
        <f>IF($R27=1,"取消し",VLOOKUP($D27,'2-4'!$D$4:$L$103,3))</f>
        <v>平成29年度教務研究会他府県研修</v>
      </c>
      <c r="G27" s="224">
        <f>IF($R27=1,,VLOOKUP($D27,'2-4'!$D$4:$L$103,4))</f>
        <v>39905</v>
      </c>
      <c r="H27" s="316">
        <f>IF($R27=1,,VLOOKUP($D27,'2-4'!$D$4:$L$103,5))</f>
        <v>1</v>
      </c>
      <c r="I27" s="316">
        <f>IF($R27=1,,VLOOKUP($D27,'2-4'!$D$4:$L$103,6))</f>
        <v>1</v>
      </c>
      <c r="J27" s="224">
        <f>IF($R27=1,,VLOOKUP($D27,'2-4'!$D$4:$L$103,7))</f>
        <v>39905</v>
      </c>
      <c r="K27" s="318" t="str">
        <f t="shared" si="4"/>
        <v>平成29年度教務研究会他府県研修</v>
      </c>
      <c r="L27" s="319">
        <v>39486</v>
      </c>
      <c r="M27" s="320">
        <f t="shared" si="6"/>
        <v>1</v>
      </c>
      <c r="N27" s="320">
        <f t="shared" si="7"/>
        <v>1</v>
      </c>
      <c r="O27" s="309">
        <f t="shared" si="10"/>
        <v>39486</v>
      </c>
      <c r="P27" s="381">
        <f>IF($R27=1,"",VLOOKUP($D27,'2-4'!$D$4:$L$103,8))</f>
        <v>0</v>
      </c>
      <c r="Q27" s="279" t="str">
        <f>IF($R27=1,"",VLOOKUP($D27,'2-4'!$D$4:$L$103,9))</f>
        <v>上半期NO.４再掲</v>
      </c>
      <c r="R27" s="25">
        <f>IF(AND(ISNA(MATCH($D27,'随時②-2'!$D$4:$D$18,0)),ISNA(MATCH($D27,'随時③-2'!$D$4:$D$18,0))),0,1)</f>
        <v>0</v>
      </c>
      <c r="S27" s="63">
        <f t="shared" si="8"/>
      </c>
      <c r="T27" s="63">
        <f t="shared" si="9"/>
      </c>
    </row>
    <row r="28" spans="1:20" ht="30" customHeight="1">
      <c r="A28" s="377">
        <f>'2-4'!A11</f>
        <v>2</v>
      </c>
      <c r="B28" s="378" t="str">
        <f>'2-4'!B11</f>
        <v>「志」-(１)-イ</v>
      </c>
      <c r="C28" s="379" t="str">
        <f>'2-4'!C11</f>
        <v>卒業後の進路実現を図る</v>
      </c>
      <c r="D28" s="254">
        <v>308</v>
      </c>
      <c r="E28" s="315" t="str">
        <f>IF($R28=1,"",VLOOKUP($D28,'2-4'!$D$4:$L$103,2))</f>
        <v>消耗需用費</v>
      </c>
      <c r="F28" s="315" t="str">
        <f>IF($R28=1,"取消し",VLOOKUP($D28,'2-4'!$D$4:$L$103,3))</f>
        <v>補修・進学講習用問題集</v>
      </c>
      <c r="G28" s="224">
        <f>IF($R28=1,,VLOOKUP($D28,'2-4'!$D$4:$L$103,4))</f>
        <v>4910</v>
      </c>
      <c r="H28" s="316">
        <f>IF($R28=1,,VLOOKUP($D28,'2-4'!$D$4:$L$103,5))</f>
        <v>15</v>
      </c>
      <c r="I28" s="316">
        <f>IF($R28=1,,VLOOKUP($D28,'2-4'!$D$4:$L$103,6))</f>
        <v>1</v>
      </c>
      <c r="J28" s="224">
        <f>IF($R28=1,,VLOOKUP($D28,'2-4'!$D$4:$L$103,7))</f>
        <v>73650</v>
      </c>
      <c r="K28" s="318" t="str">
        <f t="shared" si="4"/>
        <v>補修・進学講習用問題集</v>
      </c>
      <c r="L28" s="319">
        <v>4903.2</v>
      </c>
      <c r="M28" s="320">
        <f t="shared" si="6"/>
        <v>15</v>
      </c>
      <c r="N28" s="320">
        <f t="shared" si="7"/>
        <v>1</v>
      </c>
      <c r="O28" s="309">
        <f t="shared" si="10"/>
        <v>73548</v>
      </c>
      <c r="P28" s="381">
        <f>IF($R28=1,"",VLOOKUP($D28,'2-4'!$D$4:$L$103,8))</f>
        <v>0</v>
      </c>
      <c r="Q28" s="279">
        <f>IF($R28=1,"",VLOOKUP($D28,'2-4'!$D$4:$L$103,9))</f>
        <v>0</v>
      </c>
      <c r="R28" s="25">
        <f>IF(AND(ISNA(MATCH($D28,'随時②-2'!$D$4:$D$18,0)),ISNA(MATCH($D28,'随時③-2'!$D$4:$D$18,0))),0,1)</f>
        <v>0</v>
      </c>
      <c r="S28" s="63">
        <f t="shared" si="8"/>
      </c>
      <c r="T28" s="63">
        <f t="shared" si="9"/>
      </c>
    </row>
    <row r="29" spans="1:20" ht="30" customHeight="1">
      <c r="A29" s="377">
        <f>'2-4'!A12</f>
        <v>2</v>
      </c>
      <c r="B29" s="378" t="str">
        <f>'2-4'!B12</f>
        <v>「志」-(2)</v>
      </c>
      <c r="C29" s="379" t="str">
        <f>'2-4'!C12</f>
        <v>豊かな人間形成</v>
      </c>
      <c r="D29" s="254">
        <v>309</v>
      </c>
      <c r="E29" s="315" t="str">
        <f>IF($R29=1,"",VLOOKUP($D29,'2-4'!$D$4:$L$103,2))</f>
        <v>報償費</v>
      </c>
      <c r="F29" s="315" t="str">
        <f>IF($R29=1,"取消し",VLOOKUP($D29,'2-4'!$D$4:$L$103,3))</f>
        <v>性教育講演会講師謝礼（1年生）</v>
      </c>
      <c r="G29" s="224">
        <f>IF($R29=1,,VLOOKUP($D29,'2-4'!$D$4:$L$103,4))</f>
        <v>20000</v>
      </c>
      <c r="H29" s="316">
        <f>IF($R29=1,,VLOOKUP($D29,'2-4'!$D$4:$L$103,5))</f>
        <v>1</v>
      </c>
      <c r="I29" s="316">
        <f>IF($R29=1,,VLOOKUP($D29,'2-4'!$D$4:$L$103,6))</f>
        <v>1</v>
      </c>
      <c r="J29" s="224">
        <f>IF($R29=1,,VLOOKUP($D29,'2-4'!$D$4:$L$103,7))</f>
        <v>20000</v>
      </c>
      <c r="K29" s="318" t="str">
        <f t="shared" si="4"/>
        <v>性教育講演会講師謝礼（1年生）</v>
      </c>
      <c r="L29" s="319">
        <f t="shared" si="5"/>
        <v>20000</v>
      </c>
      <c r="M29" s="320">
        <f t="shared" si="6"/>
        <v>1</v>
      </c>
      <c r="N29" s="320">
        <v>0</v>
      </c>
      <c r="O29" s="309">
        <f t="shared" si="10"/>
        <v>0</v>
      </c>
      <c r="P29" s="381">
        <f>IF($R29=1,"",VLOOKUP($D29,'2-4'!$D$4:$L$103,8))</f>
        <v>0</v>
      </c>
      <c r="Q29" s="279" t="str">
        <f>IF($R29=1,"",VLOOKUP($D29,'2-4'!$D$4:$L$103,9))</f>
        <v>上半期NO.５再掲</v>
      </c>
      <c r="R29" s="25">
        <f>IF(AND(ISNA(MATCH($D29,'随時②-2'!$D$4:$D$18,0)),ISNA(MATCH($D29,'随時③-2'!$D$4:$D$18,0))),0,1)</f>
        <v>0</v>
      </c>
      <c r="S29" s="63">
        <f t="shared" si="8"/>
      </c>
      <c r="T29" s="63">
        <f t="shared" si="9"/>
      </c>
    </row>
    <row r="30" spans="1:20" ht="30" customHeight="1">
      <c r="A30" s="377">
        <f>'2-4'!A13</f>
        <v>3</v>
      </c>
      <c r="B30" s="378" t="str">
        <f>'2-4'!B13</f>
        <v>「志」-(2)</v>
      </c>
      <c r="C30" s="379" t="str">
        <f>'2-4'!C13</f>
        <v>豊かな人間形成</v>
      </c>
      <c r="D30" s="254">
        <v>310</v>
      </c>
      <c r="E30" s="315" t="str">
        <f>IF($R30=1,"",VLOOKUP($D30,'2-4'!$D$4:$L$103,2))</f>
        <v>報償費</v>
      </c>
      <c r="F30" s="315" t="str">
        <f>IF($R30=1,"取消し",VLOOKUP($D30,'2-4'!$D$4:$L$103,3))</f>
        <v>人権講演会講師謝礼</v>
      </c>
      <c r="G30" s="224">
        <f>IF($R30=1,,VLOOKUP($D30,'2-4'!$D$4:$L$103,4))</f>
        <v>20000</v>
      </c>
      <c r="H30" s="316">
        <f>IF($R30=1,,VLOOKUP($D30,'2-4'!$D$4:$L$103,5))</f>
        <v>1</v>
      </c>
      <c r="I30" s="316">
        <f>IF($R30=1,,VLOOKUP($D30,'2-4'!$D$4:$L$103,6))</f>
        <v>1</v>
      </c>
      <c r="J30" s="224">
        <f>IF($R30=1,,VLOOKUP($D30,'2-4'!$D$4:$L$103,7))</f>
        <v>20000</v>
      </c>
      <c r="K30" s="318" t="str">
        <f t="shared" si="4"/>
        <v>人権講演会講師謝礼</v>
      </c>
      <c r="L30" s="319">
        <f t="shared" si="5"/>
        <v>20000</v>
      </c>
      <c r="M30" s="320">
        <f t="shared" si="6"/>
        <v>1</v>
      </c>
      <c r="N30" s="320">
        <v>0</v>
      </c>
      <c r="O30" s="309">
        <f t="shared" si="10"/>
        <v>0</v>
      </c>
      <c r="P30" s="381">
        <f>IF($R30=1,"",VLOOKUP($D30,'2-4'!$D$4:$L$103,8))</f>
        <v>0</v>
      </c>
      <c r="Q30" s="279" t="str">
        <f>IF($R30=1,"",VLOOKUP($D30,'2-4'!$D$4:$L$103,9))</f>
        <v>上半期NO.６再掲</v>
      </c>
      <c r="R30" s="25">
        <f>IF(AND(ISNA(MATCH($D30,'随時②-2'!$D$4:$D$18,0)),ISNA(MATCH($D30,'随時③-2'!$D$4:$D$18,0))),0,1)</f>
        <v>0</v>
      </c>
      <c r="S30" s="63">
        <f t="shared" si="8"/>
      </c>
      <c r="T30" s="63">
        <f t="shared" si="9"/>
      </c>
    </row>
    <row r="31" spans="1:20" ht="30" customHeight="1">
      <c r="A31" s="377">
        <f>'2-4'!A14</f>
        <v>3</v>
      </c>
      <c r="B31" s="378" t="str">
        <f>'2-4'!B14</f>
        <v>「地域」-(1)-ア</v>
      </c>
      <c r="C31" s="379" t="str">
        <f>'2-4'!C14</f>
        <v>広報用資材の改定</v>
      </c>
      <c r="D31" s="254">
        <v>311</v>
      </c>
      <c r="E31" s="315" t="str">
        <f>IF($R31=1,"",VLOOKUP($D31,'2-4'!$D$4:$L$103,2))</f>
        <v>役務費</v>
      </c>
      <c r="F31" s="315" t="str">
        <f>IF($R31=1,"取消し",VLOOKUP($D31,'2-4'!$D$4:$L$103,3))</f>
        <v>学校案内郵送料</v>
      </c>
      <c r="G31" s="224">
        <f>IF($R31=1,,VLOOKUP($D31,'2-4'!$D$4:$L$103,4))</f>
        <v>230</v>
      </c>
      <c r="H31" s="316">
        <f>IF($R31=1,,VLOOKUP($D31,'2-4'!$D$4:$L$103,5))</f>
        <v>130</v>
      </c>
      <c r="I31" s="316">
        <f>IF($R31=1,,VLOOKUP($D31,'2-4'!$D$4:$L$103,6))</f>
        <v>3</v>
      </c>
      <c r="J31" s="224">
        <f>IF($R31=1,,VLOOKUP($D31,'2-4'!$D$4:$L$103,7))</f>
        <v>89700</v>
      </c>
      <c r="K31" s="318" t="str">
        <f t="shared" si="4"/>
        <v>学校案内郵送料</v>
      </c>
      <c r="L31" s="319">
        <v>205.3313953</v>
      </c>
      <c r="M31" s="320">
        <v>86</v>
      </c>
      <c r="N31" s="320">
        <v>2</v>
      </c>
      <c r="O31" s="309">
        <f t="shared" si="10"/>
        <v>35316.9999916</v>
      </c>
      <c r="P31" s="381">
        <f>IF($R31=1,"",VLOOKUP($D31,'2-4'!$D$4:$L$103,8))</f>
        <v>0</v>
      </c>
      <c r="Q31" s="279" t="str">
        <f>IF($R31=1,"",VLOOKUP($D31,'2-4'!$D$4:$L$103,9))</f>
        <v>上半期NO.８再掲</v>
      </c>
      <c r="R31" s="25">
        <f>IF(AND(ISNA(MATCH($D31,'随時②-2'!$D$4:$D$18,0)),ISNA(MATCH($D31,'随時③-2'!$D$4:$D$18,0))),0,1)</f>
        <v>0</v>
      </c>
      <c r="S31" s="63">
        <f t="shared" si="8"/>
      </c>
      <c r="T31" s="63">
        <f t="shared" si="9"/>
      </c>
    </row>
    <row r="32" spans="1:20" ht="30" customHeight="1">
      <c r="A32" s="377">
        <f>'2-4'!A15</f>
        <v>3</v>
      </c>
      <c r="B32" s="378" t="str">
        <f>'2-4'!B15</f>
        <v>「地域」-(1)-ア</v>
      </c>
      <c r="C32" s="379" t="str">
        <f>'2-4'!C15</f>
        <v>広報用資材の改定</v>
      </c>
      <c r="D32" s="254">
        <v>312</v>
      </c>
      <c r="E32" s="315" t="str">
        <f>IF($R32=1,"",VLOOKUP($D32,'2-4'!$D$4:$L$103,2))</f>
        <v>消耗需用費</v>
      </c>
      <c r="F32" s="315" t="str">
        <f>IF($R32=1,"取消し",VLOOKUP($D32,'2-4'!$D$4:$L$103,3))</f>
        <v>広報用学校説明会ホワイトボード</v>
      </c>
      <c r="G32" s="224">
        <f>IF($R32=1,,VLOOKUP($D32,'2-4'!$D$4:$L$103,4))</f>
        <v>37260</v>
      </c>
      <c r="H32" s="316">
        <f>IF($R32=1,,VLOOKUP($D32,'2-4'!$D$4:$L$103,5))</f>
        <v>2</v>
      </c>
      <c r="I32" s="316">
        <f>IF($R32=1,,VLOOKUP($D32,'2-4'!$D$4:$L$103,6))</f>
        <v>1</v>
      </c>
      <c r="J32" s="224">
        <f>IF($R32=1,,VLOOKUP($D32,'2-4'!$D$4:$L$103,7))</f>
        <v>74520</v>
      </c>
      <c r="K32" s="318" t="str">
        <f t="shared" si="4"/>
        <v>広報用学校説明会ホワイトボード</v>
      </c>
      <c r="L32" s="319">
        <v>37260</v>
      </c>
      <c r="M32" s="320">
        <f t="shared" si="6"/>
        <v>2</v>
      </c>
      <c r="N32" s="320">
        <f t="shared" si="7"/>
        <v>1</v>
      </c>
      <c r="O32" s="309">
        <f t="shared" si="10"/>
        <v>74520</v>
      </c>
      <c r="P32" s="381">
        <f>IF($R32=1,"",VLOOKUP($D32,'2-4'!$D$4:$L$103,8))</f>
        <v>0</v>
      </c>
      <c r="Q32" s="279" t="str">
        <f>IF($R32=1,"",VLOOKUP($D32,'2-4'!$D$4:$L$103,9))</f>
        <v>上半期NO.１３再掲</v>
      </c>
      <c r="R32" s="25">
        <f>IF(AND(ISNA(MATCH($D32,'随時②-2'!$D$4:$D$18,0)),ISNA(MATCH($D32,'随時③-2'!$D$4:$D$18,0))),0,1)</f>
        <v>0</v>
      </c>
      <c r="S32" s="63">
        <f t="shared" si="8"/>
      </c>
      <c r="T32" s="63">
        <f t="shared" si="9"/>
      </c>
    </row>
    <row r="33" spans="1:20" ht="30" customHeight="1">
      <c r="A33" s="377">
        <f>'2-4'!A16</f>
        <v>3</v>
      </c>
      <c r="B33" s="378" t="str">
        <f>'2-4'!B16</f>
        <v>「地域」-(1)-ア</v>
      </c>
      <c r="C33" s="379" t="str">
        <f>'2-4'!C16</f>
        <v>広報用資材の改定</v>
      </c>
      <c r="D33" s="254">
        <v>313</v>
      </c>
      <c r="E33" s="315" t="str">
        <f>IF($R33=1,"",VLOOKUP($D33,'2-4'!$D$4:$L$103,2))</f>
        <v>消耗需用費</v>
      </c>
      <c r="F33" s="315" t="str">
        <f>IF($R33=1,"取消し",VLOOKUP($D33,'2-4'!$D$4:$L$103,3))</f>
        <v>広報用学校説明会受付テーブル</v>
      </c>
      <c r="G33" s="224">
        <f>IF($R33=1,,VLOOKUP($D33,'2-4'!$D$4:$L$103,4))</f>
        <v>18360</v>
      </c>
      <c r="H33" s="316">
        <f>IF($R33=1,,VLOOKUP($D33,'2-4'!$D$4:$L$103,5))</f>
        <v>2</v>
      </c>
      <c r="I33" s="316">
        <f>IF($R33=1,,VLOOKUP($D33,'2-4'!$D$4:$L$103,6))</f>
        <v>1</v>
      </c>
      <c r="J33" s="224">
        <f>IF($R33=1,,VLOOKUP($D33,'2-4'!$D$4:$L$103,7))</f>
        <v>36720</v>
      </c>
      <c r="K33" s="318" t="str">
        <f t="shared" si="4"/>
        <v>広報用学校説明会受付テーブル</v>
      </c>
      <c r="L33" s="319">
        <f t="shared" si="5"/>
        <v>18360</v>
      </c>
      <c r="M33" s="320">
        <f t="shared" si="6"/>
        <v>2</v>
      </c>
      <c r="N33" s="320">
        <f t="shared" si="7"/>
        <v>1</v>
      </c>
      <c r="O33" s="309">
        <f t="shared" si="10"/>
        <v>36720</v>
      </c>
      <c r="P33" s="381">
        <f>IF($R33=1,"",VLOOKUP($D33,'2-4'!$D$4:$L$103,8))</f>
        <v>0</v>
      </c>
      <c r="Q33" s="279" t="str">
        <f>IF($R33=1,"",VLOOKUP($D33,'2-4'!$D$4:$L$103,9))</f>
        <v>上半期NO.１５再掲</v>
      </c>
      <c r="R33" s="25">
        <f>IF(AND(ISNA(MATCH($D33,'随時②-2'!$D$4:$D$18,0)),ISNA(MATCH($D33,'随時③-2'!$D$4:$D$18,0))),0,1)</f>
        <v>0</v>
      </c>
      <c r="S33" s="63">
        <f t="shared" si="8"/>
      </c>
      <c r="T33" s="63">
        <f t="shared" si="9"/>
      </c>
    </row>
    <row r="34" spans="1:20" ht="30" customHeight="1" thickBot="1">
      <c r="A34" s="377">
        <f>'2-4'!A17</f>
        <v>3</v>
      </c>
      <c r="B34" s="378" t="str">
        <f>'2-4'!B17</f>
        <v>「地域」-(1)-イ</v>
      </c>
      <c r="C34" s="379" t="str">
        <f>'2-4'!C17</f>
        <v>中学校訪問広報活動の充実</v>
      </c>
      <c r="D34" s="254">
        <v>314</v>
      </c>
      <c r="E34" s="315" t="str">
        <f>IF($R34=1,"",VLOOKUP($D34,'2-4'!$D$4:$L$103,2))</f>
        <v>旅費</v>
      </c>
      <c r="F34" s="315" t="str">
        <f>IF($R34=1,"取消し",VLOOKUP($D34,'2-4'!$D$4:$L$103,3))</f>
        <v>中学校訪問等による広報活動のさらなる充実</v>
      </c>
      <c r="G34" s="224">
        <f>IF($R34=1,,VLOOKUP($D34,'2-4'!$D$4:$L$103,4))</f>
        <v>1000</v>
      </c>
      <c r="H34" s="316">
        <f>IF($R34=1,,VLOOKUP($D34,'2-4'!$D$4:$L$103,5))</f>
        <v>17</v>
      </c>
      <c r="I34" s="316">
        <f>IF($R34=1,,VLOOKUP($D34,'2-4'!$D$4:$L$103,6))</f>
        <v>2</v>
      </c>
      <c r="J34" s="224">
        <f>IF($R34=1,,VLOOKUP($D34,'2-4'!$D$4:$L$103,7))</f>
        <v>34000</v>
      </c>
      <c r="K34" s="318" t="str">
        <f t="shared" si="4"/>
        <v>中学校訪問等による広報活動のさらなる充実</v>
      </c>
      <c r="L34" s="319">
        <v>1978</v>
      </c>
      <c r="M34" s="320">
        <v>5</v>
      </c>
      <c r="N34" s="320">
        <v>1</v>
      </c>
      <c r="O34" s="309">
        <f t="shared" si="10"/>
        <v>9890</v>
      </c>
      <c r="P34" s="381">
        <f>IF($R34=1,"",VLOOKUP($D34,'2-4'!$D$4:$L$103,8))</f>
        <v>0</v>
      </c>
      <c r="Q34" s="279" t="str">
        <f>IF($R34=1,"",VLOOKUP($D34,'2-4'!$D$4:$L$103,9))</f>
        <v>上半期NO.１６再掲</v>
      </c>
      <c r="R34" s="25">
        <f>IF(AND(ISNA(MATCH($D34,'随時②-2'!$D$4:$D$18,0)),ISNA(MATCH($D34,'随時③-2'!$D$4:$D$18,0))),0,1)</f>
        <v>0</v>
      </c>
      <c r="S34" s="63">
        <f t="shared" si="8"/>
      </c>
      <c r="T34" s="63">
        <f t="shared" si="9"/>
      </c>
    </row>
    <row r="35" spans="1:17" ht="13.5">
      <c r="A35" s="51"/>
      <c r="B35" s="51"/>
      <c r="C35" s="51"/>
      <c r="D35" s="73"/>
      <c r="E35" s="64"/>
      <c r="F35" s="64"/>
      <c r="G35" s="49"/>
      <c r="H35" s="65"/>
      <c r="I35" s="65"/>
      <c r="J35" s="52">
        <f>G35*H35*I35</f>
        <v>0</v>
      </c>
      <c r="K35" s="64"/>
      <c r="L35" s="36"/>
      <c r="M35" s="68"/>
      <c r="N35" s="68"/>
      <c r="O35" s="36"/>
      <c r="P35" s="37"/>
      <c r="Q35" s="69"/>
    </row>
    <row r="36" spans="6:10" ht="24" customHeight="1" thickBot="1">
      <c r="F36" s="28"/>
      <c r="G36" s="28"/>
      <c r="I36" s="524" t="s">
        <v>15</v>
      </c>
      <c r="J36" s="524"/>
    </row>
    <row r="37" spans="4:15" ht="24" customHeight="1" thickBot="1">
      <c r="D37" s="5"/>
      <c r="F37" s="24"/>
      <c r="G37" s="24"/>
      <c r="I37" s="538" t="s">
        <v>96</v>
      </c>
      <c r="J37" s="539"/>
      <c r="K37" s="38" t="s">
        <v>191</v>
      </c>
      <c r="L37" s="525" t="s">
        <v>176</v>
      </c>
      <c r="M37" s="526"/>
      <c r="N37" s="527" t="s">
        <v>192</v>
      </c>
      <c r="O37" s="528"/>
    </row>
    <row r="38" spans="4:15" ht="14.25" thickTop="1">
      <c r="D38" s="5"/>
      <c r="I38" s="540" t="s">
        <v>85</v>
      </c>
      <c r="J38" s="541"/>
      <c r="K38" s="348">
        <f aca="true" t="shared" si="11" ref="K38:K46">SUMIF($E$4:$E$34,$I38,$O$4:$O$34)</f>
        <v>0</v>
      </c>
      <c r="L38" s="534">
        <f aca="true" t="shared" si="12" ref="L38:L45">SUMIF($E$4:$E$34,$I38,$T$4:$T$34)</f>
        <v>0</v>
      </c>
      <c r="M38" s="535">
        <f aca="true" t="shared" si="13" ref="M38:M46">SUMIF($E$4:$E$34,$I38,$O$4:$O$34)</f>
        <v>0</v>
      </c>
      <c r="N38" s="536">
        <f>K38-L38</f>
        <v>0</v>
      </c>
      <c r="O38" s="537"/>
    </row>
    <row r="39" spans="4:15" ht="13.5">
      <c r="D39" s="5"/>
      <c r="I39" s="546" t="s">
        <v>86</v>
      </c>
      <c r="J39" s="547"/>
      <c r="K39" s="351">
        <f t="shared" si="11"/>
        <v>63716</v>
      </c>
      <c r="L39" s="542">
        <f t="shared" si="12"/>
        <v>0</v>
      </c>
      <c r="M39" s="543">
        <f t="shared" si="13"/>
        <v>63716</v>
      </c>
      <c r="N39" s="544">
        <f aca="true" t="shared" si="14" ref="N39:N46">K39-L39</f>
        <v>63716</v>
      </c>
      <c r="O39" s="545"/>
    </row>
    <row r="40" spans="4:15" ht="13.5">
      <c r="D40" s="5"/>
      <c r="I40" s="546" t="s">
        <v>125</v>
      </c>
      <c r="J40" s="547"/>
      <c r="K40" s="347">
        <f t="shared" si="11"/>
        <v>829676</v>
      </c>
      <c r="L40" s="542">
        <f t="shared" si="12"/>
        <v>0</v>
      </c>
      <c r="M40" s="543">
        <f t="shared" si="13"/>
        <v>829676</v>
      </c>
      <c r="N40" s="544">
        <f t="shared" si="14"/>
        <v>829676</v>
      </c>
      <c r="O40" s="545"/>
    </row>
    <row r="41" spans="4:15" ht="13.5">
      <c r="D41" s="5"/>
      <c r="I41" s="546" t="s">
        <v>126</v>
      </c>
      <c r="J41" s="547"/>
      <c r="K41" s="347">
        <f t="shared" si="11"/>
        <v>0</v>
      </c>
      <c r="L41" s="542">
        <f t="shared" si="12"/>
        <v>0</v>
      </c>
      <c r="M41" s="543">
        <f t="shared" si="13"/>
        <v>0</v>
      </c>
      <c r="N41" s="544">
        <f t="shared" si="14"/>
        <v>0</v>
      </c>
      <c r="O41" s="545"/>
    </row>
    <row r="42" spans="4:15" ht="13.5">
      <c r="D42" s="5"/>
      <c r="I42" s="546" t="s">
        <v>87</v>
      </c>
      <c r="J42" s="547"/>
      <c r="K42" s="347">
        <f t="shared" si="11"/>
        <v>35316.9999916</v>
      </c>
      <c r="L42" s="542">
        <f t="shared" si="12"/>
        <v>0</v>
      </c>
      <c r="M42" s="543">
        <f t="shared" si="13"/>
        <v>35316.9999916</v>
      </c>
      <c r="N42" s="544">
        <f t="shared" si="14"/>
        <v>35316.9999916</v>
      </c>
      <c r="O42" s="545"/>
    </row>
    <row r="43" spans="4:15" ht="13.5">
      <c r="D43" s="5"/>
      <c r="I43" s="546" t="s">
        <v>88</v>
      </c>
      <c r="J43" s="547"/>
      <c r="K43" s="347">
        <f t="shared" si="11"/>
        <v>36774</v>
      </c>
      <c r="L43" s="542">
        <f t="shared" si="12"/>
        <v>0</v>
      </c>
      <c r="M43" s="543">
        <f t="shared" si="13"/>
        <v>36774</v>
      </c>
      <c r="N43" s="544">
        <f t="shared" si="14"/>
        <v>36774</v>
      </c>
      <c r="O43" s="545"/>
    </row>
    <row r="44" spans="4:15" ht="13.5">
      <c r="D44" s="5"/>
      <c r="I44" s="546" t="s">
        <v>89</v>
      </c>
      <c r="J44" s="547"/>
      <c r="K44" s="347">
        <f t="shared" si="11"/>
        <v>0</v>
      </c>
      <c r="L44" s="542">
        <f t="shared" si="12"/>
        <v>0</v>
      </c>
      <c r="M44" s="543">
        <f t="shared" si="13"/>
        <v>0</v>
      </c>
      <c r="N44" s="544">
        <f t="shared" si="14"/>
        <v>0</v>
      </c>
      <c r="O44" s="545"/>
    </row>
    <row r="45" spans="4:15" ht="13.5">
      <c r="D45" s="5"/>
      <c r="I45" s="546" t="s">
        <v>90</v>
      </c>
      <c r="J45" s="547"/>
      <c r="K45" s="347">
        <f t="shared" si="11"/>
        <v>0</v>
      </c>
      <c r="L45" s="542">
        <f t="shared" si="12"/>
        <v>0</v>
      </c>
      <c r="M45" s="543">
        <f t="shared" si="13"/>
        <v>0</v>
      </c>
      <c r="N45" s="544">
        <f t="shared" si="14"/>
        <v>0</v>
      </c>
      <c r="O45" s="545"/>
    </row>
    <row r="46" spans="4:15" ht="14.25" thickBot="1">
      <c r="D46" s="5"/>
      <c r="I46" s="556" t="s">
        <v>138</v>
      </c>
      <c r="J46" s="557"/>
      <c r="K46" s="347">
        <f t="shared" si="11"/>
        <v>46330</v>
      </c>
      <c r="L46" s="552">
        <f>SUMIF($E$4:$E$34,$I46,$T$4:$T$34)+'3-3'!F20</f>
        <v>11000</v>
      </c>
      <c r="M46" s="553">
        <f t="shared" si="13"/>
        <v>46330</v>
      </c>
      <c r="N46" s="554">
        <f t="shared" si="14"/>
        <v>35330</v>
      </c>
      <c r="O46" s="555"/>
    </row>
    <row r="47" spans="4:15" ht="15" thickBot="1" thickTop="1">
      <c r="D47" s="5"/>
      <c r="I47" s="558" t="s">
        <v>15</v>
      </c>
      <c r="J47" s="559"/>
      <c r="K47" s="354">
        <f>SUM(K38:K46)</f>
        <v>1011812.9999916</v>
      </c>
      <c r="L47" s="548">
        <f>SUM(L38:L46)</f>
        <v>11000</v>
      </c>
      <c r="M47" s="549"/>
      <c r="N47" s="550">
        <f>SUM(N38:N46)</f>
        <v>1000812.9999916</v>
      </c>
      <c r="O47" s="551"/>
    </row>
  </sheetData>
  <sheetProtection formatCells="0" selectLockedCells="1"/>
  <mergeCells count="36">
    <mergeCell ref="I45:J45"/>
    <mergeCell ref="L47:M47"/>
    <mergeCell ref="N47:O47"/>
    <mergeCell ref="L45:M45"/>
    <mergeCell ref="N45:O45"/>
    <mergeCell ref="L46:M46"/>
    <mergeCell ref="N46:O46"/>
    <mergeCell ref="I46:J46"/>
    <mergeCell ref="I47:J47"/>
    <mergeCell ref="L43:M43"/>
    <mergeCell ref="N43:O43"/>
    <mergeCell ref="L44:M44"/>
    <mergeCell ref="N44:O44"/>
    <mergeCell ref="I43:J43"/>
    <mergeCell ref="I44:J44"/>
    <mergeCell ref="L41:M41"/>
    <mergeCell ref="N41:O41"/>
    <mergeCell ref="L42:M42"/>
    <mergeCell ref="N42:O42"/>
    <mergeCell ref="I41:J41"/>
    <mergeCell ref="I42:J42"/>
    <mergeCell ref="L39:M39"/>
    <mergeCell ref="N39:O39"/>
    <mergeCell ref="L40:M40"/>
    <mergeCell ref="N40:O40"/>
    <mergeCell ref="I39:J39"/>
    <mergeCell ref="I40:J40"/>
    <mergeCell ref="I36:J36"/>
    <mergeCell ref="L37:M37"/>
    <mergeCell ref="N37:O37"/>
    <mergeCell ref="K2:O2"/>
    <mergeCell ref="F2:J2"/>
    <mergeCell ref="L38:M38"/>
    <mergeCell ref="N38:O38"/>
    <mergeCell ref="I37:J37"/>
    <mergeCell ref="I38:J38"/>
  </mergeCells>
  <conditionalFormatting sqref="B2:E2 J35 J4:J20">
    <cfRule type="cellIs" priority="32" dxfId="28" operator="equal" stopIfTrue="1">
      <formula>0</formula>
    </cfRule>
  </conditionalFormatting>
  <conditionalFormatting sqref="O4:O20 K21:O35">
    <cfRule type="cellIs" priority="30" dxfId="16" operator="notEqual" stopIfTrue="1">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265</v>
      </c>
      <c r="B1" s="560"/>
      <c r="C1" s="560"/>
      <c r="D1" s="560"/>
      <c r="E1" s="560"/>
      <c r="F1" s="560"/>
    </row>
    <row r="2" spans="1:6" ht="15" customHeight="1" thickBot="1">
      <c r="A2" s="8"/>
      <c r="B2" s="7" t="s">
        <v>244</v>
      </c>
      <c r="C2" s="87"/>
      <c r="E2" s="72" t="s">
        <v>220</v>
      </c>
      <c r="F2" s="184">
        <f>SUM(E4:E17)</f>
        <v>46330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8">
        <v>97</v>
      </c>
      <c r="B17" s="129" t="str">
        <f>IF('1-3'!B100="","",'1-3'!B100)</f>
        <v>大阪</v>
      </c>
      <c r="C17" s="129">
        <f>IF('1-3'!C100="","",'1-3'!C100)</f>
      </c>
      <c r="D17" s="488" t="str">
        <f>IF('1-3'!D100="","",'1-3'!D100)</f>
        <v>大阪府高等学校生活指導研究会</v>
      </c>
      <c r="E17" s="213">
        <f>IF('2-3'!H101="",'2-3'!E101,'2-3'!H101)</f>
        <v>4000</v>
      </c>
      <c r="F17" s="85">
        <f>IF('2-3'!I101="",'2-3'!G101,'2-3'!I101)</f>
      </c>
    </row>
    <row r="18" spans="4:6" ht="15" customHeight="1" thickBot="1">
      <c r="D18" s="80"/>
      <c r="E18" s="80"/>
      <c r="F18" s="81"/>
    </row>
    <row r="19" spans="4:6" ht="15" customHeight="1">
      <c r="D19" s="80"/>
      <c r="E19" s="10" t="s">
        <v>220</v>
      </c>
      <c r="F19" s="181">
        <f>SUM(E4:E17)</f>
        <v>46330</v>
      </c>
    </row>
    <row r="20" spans="4:6" ht="15" customHeight="1">
      <c r="D20" s="80"/>
      <c r="E20" s="39" t="s">
        <v>176</v>
      </c>
      <c r="F20" s="182">
        <f>SUMIF($F$4:$F$17,"◎",$E$4:$E$17)</f>
        <v>11000</v>
      </c>
    </row>
    <row r="21" spans="4:6" ht="15" customHeight="1" thickBot="1">
      <c r="D21" s="80"/>
      <c r="E21" s="82" t="s">
        <v>13</v>
      </c>
      <c r="F21" s="183">
        <f>F19-F20</f>
        <v>35330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0" t="s">
        <v>272</v>
      </c>
      <c r="I1" s="510"/>
      <c r="J1" s="510"/>
      <c r="K1" s="510"/>
    </row>
    <row r="2" spans="8:11" s="1" customFormat="1" ht="18" customHeight="1">
      <c r="H2" s="510" t="s">
        <v>273</v>
      </c>
      <c r="I2" s="510"/>
      <c r="J2" s="510"/>
      <c r="K2" s="510"/>
    </row>
    <row r="3" s="1" customFormat="1" ht="18" customHeight="1">
      <c r="K3" s="2"/>
    </row>
    <row r="4" spans="8:11" s="1" customFormat="1" ht="18" customHeight="1">
      <c r="H4" s="511" t="s">
        <v>305</v>
      </c>
      <c r="I4" s="511"/>
      <c r="J4" s="511"/>
      <c r="K4" s="511"/>
    </row>
    <row r="5" spans="8:11" s="1" customFormat="1" ht="18" customHeight="1">
      <c r="H5" s="512">
        <v>42857</v>
      </c>
      <c r="I5" s="511"/>
      <c r="J5" s="511"/>
      <c r="K5" s="511"/>
    </row>
    <row r="6" spans="1:11" s="1" customFormat="1" ht="18" customHeight="1">
      <c r="A6" s="3" t="s">
        <v>2</v>
      </c>
      <c r="H6" s="4"/>
      <c r="K6" s="11"/>
    </row>
    <row r="7" spans="1:11" s="1" customFormat="1" ht="18" customHeight="1">
      <c r="A7" s="4"/>
      <c r="H7" s="511" t="s">
        <v>274</v>
      </c>
      <c r="I7" s="511"/>
      <c r="J7" s="511"/>
      <c r="K7" s="511"/>
    </row>
    <row r="8" spans="1:11" s="1" customFormat="1" ht="18" customHeight="1">
      <c r="A8" s="4"/>
      <c r="H8" s="511" t="s">
        <v>275</v>
      </c>
      <c r="I8" s="511"/>
      <c r="J8" s="511"/>
      <c r="K8" s="511"/>
    </row>
    <row r="9" spans="1:11" s="1" customFormat="1" ht="42" customHeight="1">
      <c r="A9" s="4"/>
      <c r="H9" s="2"/>
      <c r="K9" s="46"/>
    </row>
    <row r="10" spans="1:11" ht="24" customHeight="1">
      <c r="A10" s="513" t="s">
        <v>256</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40000</v>
      </c>
      <c r="C18" s="321">
        <f>'1-2'!G108</f>
        <v>92000</v>
      </c>
      <c r="D18" s="321">
        <f>'1-2'!G109</f>
        <v>564400</v>
      </c>
      <c r="E18" s="321">
        <f>'1-2'!G110</f>
        <v>0</v>
      </c>
      <c r="F18" s="321">
        <f>'1-2'!G111</f>
        <v>89700</v>
      </c>
      <c r="G18" s="321">
        <f>'1-2'!G112</f>
        <v>0</v>
      </c>
      <c r="H18" s="321">
        <f>'1-2'!G113</f>
        <v>0</v>
      </c>
      <c r="I18" s="321">
        <f>'1-2'!G114</f>
        <v>0</v>
      </c>
      <c r="J18" s="436">
        <f>'1-2'!G115</f>
        <v>46330</v>
      </c>
      <c r="K18" s="437">
        <f t="shared" si="0"/>
        <v>832430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40000</v>
      </c>
      <c r="C20" s="443">
        <f>C18-C19</f>
        <v>92000</v>
      </c>
      <c r="D20" s="443">
        <f aca="true" t="shared" si="1" ref="D20:J20">D18-D19</f>
        <v>564400</v>
      </c>
      <c r="E20" s="443">
        <f t="shared" si="1"/>
        <v>0</v>
      </c>
      <c r="F20" s="443">
        <f t="shared" si="1"/>
        <v>89700</v>
      </c>
      <c r="G20" s="443">
        <f t="shared" si="1"/>
        <v>0</v>
      </c>
      <c r="H20" s="443">
        <f t="shared" si="1"/>
        <v>0</v>
      </c>
      <c r="I20" s="443">
        <f t="shared" si="1"/>
        <v>0</v>
      </c>
      <c r="J20" s="443">
        <f t="shared" si="1"/>
        <v>35330</v>
      </c>
      <c r="K20" s="444">
        <f t="shared" si="0"/>
        <v>821430</v>
      </c>
    </row>
    <row r="21" spans="1:11" ht="58.5" customHeight="1" thickBot="1">
      <c r="A21" s="32" t="s">
        <v>102</v>
      </c>
      <c r="B21" s="442">
        <f>B16+B18</f>
        <v>40000</v>
      </c>
      <c r="C21" s="442">
        <f aca="true" t="shared" si="2" ref="C21:J21">C16+C18</f>
        <v>92000</v>
      </c>
      <c r="D21" s="442">
        <f t="shared" si="2"/>
        <v>564400</v>
      </c>
      <c r="E21" s="442">
        <f t="shared" si="2"/>
        <v>0</v>
      </c>
      <c r="F21" s="442">
        <f t="shared" si="2"/>
        <v>89700</v>
      </c>
      <c r="G21" s="442">
        <f t="shared" si="2"/>
        <v>0</v>
      </c>
      <c r="H21" s="442">
        <f t="shared" si="2"/>
        <v>0</v>
      </c>
      <c r="I21" s="442">
        <f t="shared" si="2"/>
        <v>0</v>
      </c>
      <c r="J21" s="442">
        <f t="shared" si="2"/>
        <v>46330</v>
      </c>
      <c r="K21" s="444">
        <f t="shared" si="0"/>
        <v>832430</v>
      </c>
    </row>
    <row r="22" spans="1:11" ht="58.5" customHeight="1">
      <c r="A22" s="30" t="s">
        <v>163</v>
      </c>
      <c r="B22" s="445"/>
      <c r="C22" s="340"/>
      <c r="D22" s="340"/>
      <c r="E22" s="340"/>
      <c r="F22" s="340"/>
      <c r="G22" s="340"/>
      <c r="H22" s="340"/>
      <c r="I22" s="340"/>
      <c r="J22" s="446"/>
      <c r="K22" s="434">
        <f t="shared" si="0"/>
        <v>0</v>
      </c>
    </row>
    <row r="23" spans="1:11" ht="58.5" customHeight="1" thickBot="1">
      <c r="A23" s="22" t="s">
        <v>164</v>
      </c>
      <c r="B23" s="219">
        <f>B21+B22</f>
        <v>40000</v>
      </c>
      <c r="C23" s="220">
        <f>C21+C22</f>
        <v>92000</v>
      </c>
      <c r="D23" s="220">
        <f aca="true" t="shared" si="3" ref="D23:J23">D21+D22</f>
        <v>564400</v>
      </c>
      <c r="E23" s="220">
        <f t="shared" si="3"/>
        <v>0</v>
      </c>
      <c r="F23" s="220">
        <f t="shared" si="3"/>
        <v>89700</v>
      </c>
      <c r="G23" s="220">
        <f t="shared" si="3"/>
        <v>0</v>
      </c>
      <c r="H23" s="220">
        <f t="shared" si="3"/>
        <v>0</v>
      </c>
      <c r="I23" s="220">
        <f t="shared" si="3"/>
        <v>0</v>
      </c>
      <c r="J23" s="220">
        <f t="shared" si="3"/>
        <v>46330</v>
      </c>
      <c r="K23" s="222">
        <f t="shared" si="0"/>
        <v>832430</v>
      </c>
    </row>
    <row r="24" spans="1:11" ht="39" customHeight="1" thickBot="1">
      <c r="A24" s="32" t="s">
        <v>104</v>
      </c>
      <c r="B24" s="561" t="s">
        <v>303</v>
      </c>
      <c r="C24" s="561"/>
      <c r="D24" s="561"/>
      <c r="E24" s="561"/>
      <c r="F24" s="561"/>
      <c r="G24" s="561"/>
      <c r="H24" s="561"/>
      <c r="I24" s="561"/>
      <c r="J24" s="561"/>
      <c r="K24" s="56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5" sqref="B5: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277</v>
      </c>
      <c r="F4" s="245" t="s">
        <v>225</v>
      </c>
      <c r="G4" s="246">
        <v>46330</v>
      </c>
      <c r="H4" s="247">
        <v>1</v>
      </c>
      <c r="I4" s="247">
        <v>1</v>
      </c>
      <c r="J4" s="248">
        <f>G4*H4*I4</f>
        <v>46330</v>
      </c>
      <c r="K4" s="249"/>
      <c r="L4" s="250" t="s">
        <v>226</v>
      </c>
      <c r="M4" s="29">
        <f aca="true" t="shared" si="0" ref="M4:M67">IF(K4="◎",J4,"")</f>
      </c>
    </row>
    <row r="5" spans="1:13" ht="13.5" customHeight="1">
      <c r="A5" s="251">
        <v>1</v>
      </c>
      <c r="B5" s="252" t="s">
        <v>279</v>
      </c>
      <c r="C5" s="486" t="s">
        <v>304</v>
      </c>
      <c r="D5" s="254">
        <v>2</v>
      </c>
      <c r="E5" s="255" t="s">
        <v>125</v>
      </c>
      <c r="F5" s="256" t="s">
        <v>280</v>
      </c>
      <c r="G5" s="257">
        <v>3500</v>
      </c>
      <c r="H5" s="258">
        <v>1</v>
      </c>
      <c r="I5" s="258">
        <v>1</v>
      </c>
      <c r="J5" s="259">
        <f>G5*H5*I5</f>
        <v>3500</v>
      </c>
      <c r="K5" s="260"/>
      <c r="L5" s="261"/>
      <c r="M5" s="29">
        <f t="shared" si="0"/>
      </c>
    </row>
    <row r="6" spans="1:13" ht="13.5" customHeight="1">
      <c r="A6" s="251">
        <v>1</v>
      </c>
      <c r="B6" s="252" t="s">
        <v>279</v>
      </c>
      <c r="C6" s="486" t="s">
        <v>304</v>
      </c>
      <c r="D6" s="254">
        <v>3</v>
      </c>
      <c r="E6" s="255" t="s">
        <v>125</v>
      </c>
      <c r="F6" s="256" t="s">
        <v>297</v>
      </c>
      <c r="G6" s="257">
        <v>3240</v>
      </c>
      <c r="H6" s="258">
        <v>30</v>
      </c>
      <c r="I6" s="258">
        <v>1</v>
      </c>
      <c r="J6" s="259">
        <f aca="true" t="shared" si="1" ref="J6:J69">G6*H6*I6</f>
        <v>97200</v>
      </c>
      <c r="K6" s="260"/>
      <c r="L6" s="261"/>
      <c r="M6" s="29">
        <f t="shared" si="0"/>
      </c>
    </row>
    <row r="7" spans="1:13" ht="13.5" customHeight="1">
      <c r="A7" s="251">
        <v>2</v>
      </c>
      <c r="B7" s="252" t="s">
        <v>301</v>
      </c>
      <c r="C7" s="253" t="s">
        <v>302</v>
      </c>
      <c r="D7" s="254">
        <v>4</v>
      </c>
      <c r="E7" s="255" t="s">
        <v>86</v>
      </c>
      <c r="F7" s="256" t="s">
        <v>278</v>
      </c>
      <c r="G7" s="257">
        <v>42000</v>
      </c>
      <c r="H7" s="258">
        <v>1</v>
      </c>
      <c r="I7" s="258">
        <v>1</v>
      </c>
      <c r="J7" s="259">
        <f t="shared" si="1"/>
        <v>42000</v>
      </c>
      <c r="K7" s="260"/>
      <c r="L7" s="261" t="s">
        <v>281</v>
      </c>
      <c r="M7" s="29">
        <f t="shared" si="0"/>
      </c>
    </row>
    <row r="8" spans="1:13" ht="13.5" customHeight="1">
      <c r="A8" s="251">
        <v>2</v>
      </c>
      <c r="B8" s="252" t="s">
        <v>293</v>
      </c>
      <c r="C8" s="253" t="s">
        <v>294</v>
      </c>
      <c r="D8" s="263">
        <v>5</v>
      </c>
      <c r="E8" s="256" t="s">
        <v>85</v>
      </c>
      <c r="F8" s="256" t="s">
        <v>295</v>
      </c>
      <c r="G8" s="257">
        <v>20000</v>
      </c>
      <c r="H8" s="258">
        <v>1</v>
      </c>
      <c r="I8" s="258">
        <v>1</v>
      </c>
      <c r="J8" s="259">
        <f t="shared" si="1"/>
        <v>20000</v>
      </c>
      <c r="K8" s="260"/>
      <c r="L8" s="261"/>
      <c r="M8" s="29">
        <f t="shared" si="0"/>
      </c>
    </row>
    <row r="9" spans="1:13" ht="13.5" customHeight="1">
      <c r="A9" s="251">
        <v>2</v>
      </c>
      <c r="B9" s="252" t="s">
        <v>293</v>
      </c>
      <c r="C9" s="253" t="s">
        <v>294</v>
      </c>
      <c r="D9" s="254">
        <v>6</v>
      </c>
      <c r="E9" s="256" t="s">
        <v>85</v>
      </c>
      <c r="F9" s="256" t="s">
        <v>296</v>
      </c>
      <c r="G9" s="257">
        <v>20000</v>
      </c>
      <c r="H9" s="258">
        <v>1</v>
      </c>
      <c r="I9" s="258">
        <v>1</v>
      </c>
      <c r="J9" s="259">
        <f t="shared" si="1"/>
        <v>20000</v>
      </c>
      <c r="K9" s="260"/>
      <c r="L9" s="261"/>
      <c r="M9" s="29">
        <f t="shared" si="0"/>
      </c>
    </row>
    <row r="10" spans="1:13" ht="13.5" customHeight="1">
      <c r="A10" s="251">
        <v>3</v>
      </c>
      <c r="B10" s="252" t="s">
        <v>282</v>
      </c>
      <c r="C10" s="253" t="s">
        <v>283</v>
      </c>
      <c r="D10" s="254">
        <v>7</v>
      </c>
      <c r="E10" s="255" t="s">
        <v>125</v>
      </c>
      <c r="F10" s="256" t="s">
        <v>284</v>
      </c>
      <c r="G10" s="257">
        <v>20000</v>
      </c>
      <c r="H10" s="258">
        <v>1</v>
      </c>
      <c r="I10" s="258">
        <v>1</v>
      </c>
      <c r="J10" s="259">
        <f t="shared" si="1"/>
        <v>20000</v>
      </c>
      <c r="K10" s="260"/>
      <c r="L10" s="261"/>
      <c r="M10" s="29">
        <f t="shared" si="0"/>
      </c>
    </row>
    <row r="11" spans="1:13" ht="13.5" customHeight="1">
      <c r="A11" s="251">
        <v>3</v>
      </c>
      <c r="B11" s="252" t="s">
        <v>282</v>
      </c>
      <c r="C11" s="253" t="s">
        <v>283</v>
      </c>
      <c r="D11" s="263">
        <v>8</v>
      </c>
      <c r="E11" s="256" t="s">
        <v>87</v>
      </c>
      <c r="F11" s="264" t="s">
        <v>285</v>
      </c>
      <c r="G11" s="265">
        <v>230</v>
      </c>
      <c r="H11" s="266">
        <v>130</v>
      </c>
      <c r="I11" s="266">
        <v>3</v>
      </c>
      <c r="J11" s="259">
        <f t="shared" si="1"/>
        <v>89700</v>
      </c>
      <c r="K11" s="267"/>
      <c r="L11" s="268"/>
      <c r="M11" s="29">
        <f t="shared" si="0"/>
      </c>
    </row>
    <row r="12" spans="1:13" ht="13.5" customHeight="1">
      <c r="A12" s="251">
        <v>3</v>
      </c>
      <c r="B12" s="252" t="s">
        <v>282</v>
      </c>
      <c r="C12" s="253" t="s">
        <v>283</v>
      </c>
      <c r="D12" s="263">
        <v>9</v>
      </c>
      <c r="E12" s="264" t="s">
        <v>125</v>
      </c>
      <c r="F12" s="255" t="s">
        <v>286</v>
      </c>
      <c r="G12" s="269">
        <v>50</v>
      </c>
      <c r="H12" s="270">
        <v>2000</v>
      </c>
      <c r="I12" s="270">
        <v>1</v>
      </c>
      <c r="J12" s="259">
        <f t="shared" si="1"/>
        <v>100000</v>
      </c>
      <c r="K12" s="271"/>
      <c r="L12" s="272"/>
      <c r="M12" s="29">
        <f t="shared" si="0"/>
      </c>
    </row>
    <row r="13" spans="1:13" ht="13.5" customHeight="1">
      <c r="A13" s="251">
        <v>3</v>
      </c>
      <c r="B13" s="252" t="s">
        <v>282</v>
      </c>
      <c r="C13" s="253" t="s">
        <v>283</v>
      </c>
      <c r="D13" s="273">
        <v>10</v>
      </c>
      <c r="E13" s="255" t="s">
        <v>125</v>
      </c>
      <c r="F13" s="255" t="s">
        <v>287</v>
      </c>
      <c r="G13" s="269">
        <v>50</v>
      </c>
      <c r="H13" s="270">
        <v>500</v>
      </c>
      <c r="I13" s="270">
        <v>1</v>
      </c>
      <c r="J13" s="259">
        <f t="shared" si="1"/>
        <v>25000</v>
      </c>
      <c r="K13" s="260"/>
      <c r="L13" s="261"/>
      <c r="M13" s="29">
        <f t="shared" si="0"/>
      </c>
    </row>
    <row r="14" spans="1:13" ht="13.5" customHeight="1">
      <c r="A14" s="251">
        <v>3</v>
      </c>
      <c r="B14" s="252" t="s">
        <v>282</v>
      </c>
      <c r="C14" s="253" t="s">
        <v>283</v>
      </c>
      <c r="D14" s="254">
        <v>11</v>
      </c>
      <c r="E14" s="255" t="s">
        <v>125</v>
      </c>
      <c r="F14" s="256" t="s">
        <v>288</v>
      </c>
      <c r="G14" s="257">
        <v>139</v>
      </c>
      <c r="H14" s="258">
        <v>500</v>
      </c>
      <c r="I14" s="258">
        <v>1</v>
      </c>
      <c r="J14" s="259">
        <f t="shared" si="1"/>
        <v>69500</v>
      </c>
      <c r="K14" s="274"/>
      <c r="L14" s="261"/>
      <c r="M14" s="29">
        <f t="shared" si="0"/>
      </c>
    </row>
    <row r="15" spans="1:13" ht="13.5" customHeight="1">
      <c r="A15" s="251">
        <v>3</v>
      </c>
      <c r="B15" s="252" t="s">
        <v>282</v>
      </c>
      <c r="C15" s="253" t="s">
        <v>283</v>
      </c>
      <c r="D15" s="254">
        <v>12</v>
      </c>
      <c r="E15" s="256" t="s">
        <v>125</v>
      </c>
      <c r="F15" s="275" t="s">
        <v>289</v>
      </c>
      <c r="G15" s="276">
        <v>324</v>
      </c>
      <c r="H15" s="277">
        <v>150</v>
      </c>
      <c r="I15" s="277">
        <v>1</v>
      </c>
      <c r="J15" s="259">
        <f t="shared" si="1"/>
        <v>48600</v>
      </c>
      <c r="K15" s="278"/>
      <c r="L15" s="279"/>
      <c r="M15" s="29">
        <f t="shared" si="0"/>
      </c>
    </row>
    <row r="16" spans="1:13" ht="13.5" customHeight="1">
      <c r="A16" s="251">
        <v>3</v>
      </c>
      <c r="B16" s="252" t="s">
        <v>282</v>
      </c>
      <c r="C16" s="253" t="s">
        <v>283</v>
      </c>
      <c r="D16" s="254">
        <v>13</v>
      </c>
      <c r="E16" s="275" t="s">
        <v>125</v>
      </c>
      <c r="F16" s="256" t="s">
        <v>290</v>
      </c>
      <c r="G16" s="257">
        <v>41000</v>
      </c>
      <c r="H16" s="258">
        <v>2</v>
      </c>
      <c r="I16" s="258">
        <v>1</v>
      </c>
      <c r="J16" s="259">
        <f t="shared" si="1"/>
        <v>82000</v>
      </c>
      <c r="K16" s="260"/>
      <c r="L16" s="261"/>
      <c r="M16" s="29">
        <f t="shared" si="0"/>
      </c>
    </row>
    <row r="17" spans="1:13" ht="13.5" customHeight="1">
      <c r="A17" s="251">
        <v>3</v>
      </c>
      <c r="B17" s="252" t="s">
        <v>282</v>
      </c>
      <c r="C17" s="253" t="s">
        <v>283</v>
      </c>
      <c r="D17" s="254">
        <v>14</v>
      </c>
      <c r="E17" s="256" t="s">
        <v>125</v>
      </c>
      <c r="F17" s="256" t="s">
        <v>291</v>
      </c>
      <c r="G17" s="257">
        <v>42000</v>
      </c>
      <c r="H17" s="258">
        <v>2</v>
      </c>
      <c r="I17" s="258">
        <v>1</v>
      </c>
      <c r="J17" s="259">
        <f t="shared" si="1"/>
        <v>84000</v>
      </c>
      <c r="K17" s="260"/>
      <c r="L17" s="261"/>
      <c r="M17" s="29">
        <f t="shared" si="0"/>
      </c>
    </row>
    <row r="18" spans="1:13" ht="13.5" customHeight="1">
      <c r="A18" s="251">
        <v>3</v>
      </c>
      <c r="B18" s="252" t="s">
        <v>282</v>
      </c>
      <c r="C18" s="253" t="s">
        <v>283</v>
      </c>
      <c r="D18" s="254">
        <v>15</v>
      </c>
      <c r="E18" s="256" t="s">
        <v>125</v>
      </c>
      <c r="F18" s="256" t="s">
        <v>292</v>
      </c>
      <c r="G18" s="257">
        <v>17300</v>
      </c>
      <c r="H18" s="258">
        <v>2</v>
      </c>
      <c r="I18" s="258">
        <v>1</v>
      </c>
      <c r="J18" s="259">
        <f t="shared" si="1"/>
        <v>34600</v>
      </c>
      <c r="K18" s="260"/>
      <c r="L18" s="261"/>
      <c r="M18" s="29">
        <f t="shared" si="0"/>
      </c>
    </row>
    <row r="19" spans="1:13" ht="13.5" customHeight="1">
      <c r="A19" s="251">
        <v>3</v>
      </c>
      <c r="B19" s="252" t="s">
        <v>298</v>
      </c>
      <c r="C19" s="486" t="s">
        <v>300</v>
      </c>
      <c r="D19" s="254">
        <v>16</v>
      </c>
      <c r="E19" s="256" t="s">
        <v>86</v>
      </c>
      <c r="F19" s="256" t="s">
        <v>299</v>
      </c>
      <c r="G19" s="257">
        <v>1000</v>
      </c>
      <c r="H19" s="258">
        <v>25</v>
      </c>
      <c r="I19" s="258">
        <v>2</v>
      </c>
      <c r="J19" s="259">
        <f t="shared" si="1"/>
        <v>50000</v>
      </c>
      <c r="K19" s="260"/>
      <c r="L19" s="261"/>
      <c r="M19" s="29">
        <f t="shared" si="0"/>
      </c>
    </row>
    <row r="20" spans="1:13" ht="13.5" customHeight="1">
      <c r="A20" s="251"/>
      <c r="B20" s="252"/>
      <c r="C20" s="486"/>
      <c r="D20" s="254">
        <v>17</v>
      </c>
      <c r="E20" s="255"/>
      <c r="F20" s="256"/>
      <c r="G20" s="257"/>
      <c r="H20" s="258"/>
      <c r="I20" s="258"/>
      <c r="J20" s="259">
        <f>G20*H20*I20</f>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G22*H22*I22</f>
        <v>0</v>
      </c>
      <c r="K22" s="260"/>
      <c r="L22" s="261"/>
      <c r="M22" s="29">
        <f t="shared" si="0"/>
      </c>
    </row>
    <row r="23" spans="1:13" ht="13.5" customHeight="1">
      <c r="A23" s="251"/>
      <c r="B23" s="252"/>
      <c r="C23" s="253"/>
      <c r="D23" s="254">
        <v>20</v>
      </c>
      <c r="E23" s="255"/>
      <c r="F23" s="256"/>
      <c r="G23" s="257"/>
      <c r="H23" s="258"/>
      <c r="I23" s="258"/>
      <c r="J23" s="259">
        <f t="shared" si="1"/>
        <v>0</v>
      </c>
      <c r="K23" s="260"/>
      <c r="L23" s="261"/>
      <c r="M23" s="29">
        <f t="shared" si="0"/>
      </c>
    </row>
    <row r="24" spans="1:13" ht="13.5" customHeight="1">
      <c r="A24" s="251"/>
      <c r="B24" s="252"/>
      <c r="C24" s="486"/>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1" t="s">
        <v>176</v>
      </c>
      <c r="I106" s="571"/>
      <c r="J106" s="571" t="s">
        <v>173</v>
      </c>
      <c r="K106" s="576"/>
    </row>
    <row r="107" spans="4:11" ht="14.25" thickTop="1">
      <c r="D107" s="67"/>
      <c r="F107" s="296" t="s">
        <v>85</v>
      </c>
      <c r="G107" s="226">
        <f>SUMIF($E$4:$E$103,F107,$J$4:$J$103)</f>
        <v>40000</v>
      </c>
      <c r="H107" s="572">
        <f>SUMIF($E$4:$E$103,F107,$M$4:$M$103)</f>
        <v>0</v>
      </c>
      <c r="I107" s="572"/>
      <c r="J107" s="572">
        <f aca="true" t="shared" si="5" ref="J107:J115">G107-H107</f>
        <v>40000</v>
      </c>
      <c r="K107" s="577"/>
    </row>
    <row r="108" spans="4:11" ht="13.5">
      <c r="D108" s="67"/>
      <c r="F108" s="297" t="s">
        <v>86</v>
      </c>
      <c r="G108" s="226">
        <f aca="true" t="shared" si="6" ref="G108:G115">SUMIF($E$4:$E$103,F108,$J$4:$J$103)</f>
        <v>92000</v>
      </c>
      <c r="H108" s="573">
        <f aca="true" t="shared" si="7" ref="H108:H114">SUMIF($E$4:$E$103,F108,$M$4:$M$103)</f>
        <v>0</v>
      </c>
      <c r="I108" s="573"/>
      <c r="J108" s="573">
        <f t="shared" si="5"/>
        <v>92000</v>
      </c>
      <c r="K108" s="578"/>
    </row>
    <row r="109" spans="4:11" ht="13.5">
      <c r="D109" s="67"/>
      <c r="F109" s="297" t="s">
        <v>125</v>
      </c>
      <c r="G109" s="226">
        <f t="shared" si="6"/>
        <v>564400</v>
      </c>
      <c r="H109" s="573">
        <f t="shared" si="7"/>
        <v>0</v>
      </c>
      <c r="I109" s="573"/>
      <c r="J109" s="573">
        <f t="shared" si="5"/>
        <v>564400</v>
      </c>
      <c r="K109" s="578"/>
    </row>
    <row r="110" spans="4:11" ht="13.5">
      <c r="D110" s="67"/>
      <c r="F110" s="297" t="s">
        <v>126</v>
      </c>
      <c r="G110" s="226">
        <f t="shared" si="6"/>
        <v>0</v>
      </c>
      <c r="H110" s="573">
        <f t="shared" si="7"/>
        <v>0</v>
      </c>
      <c r="I110" s="573"/>
      <c r="J110" s="573">
        <f t="shared" si="5"/>
        <v>0</v>
      </c>
      <c r="K110" s="578"/>
    </row>
    <row r="111" spans="4:11" ht="13.5">
      <c r="D111" s="67"/>
      <c r="F111" s="297" t="s">
        <v>87</v>
      </c>
      <c r="G111" s="226">
        <f t="shared" si="6"/>
        <v>89700</v>
      </c>
      <c r="H111" s="573">
        <f t="shared" si="7"/>
        <v>0</v>
      </c>
      <c r="I111" s="573"/>
      <c r="J111" s="573">
        <f t="shared" si="5"/>
        <v>89700</v>
      </c>
      <c r="K111" s="578"/>
    </row>
    <row r="112" spans="4:11" ht="13.5">
      <c r="D112" s="67"/>
      <c r="F112" s="297" t="s">
        <v>88</v>
      </c>
      <c r="G112" s="226">
        <f t="shared" si="6"/>
        <v>0</v>
      </c>
      <c r="H112" s="573">
        <f t="shared" si="7"/>
        <v>0</v>
      </c>
      <c r="I112" s="573"/>
      <c r="J112" s="573">
        <f t="shared" si="5"/>
        <v>0</v>
      </c>
      <c r="K112" s="578"/>
    </row>
    <row r="113" spans="4:11" ht="13.5">
      <c r="D113" s="67"/>
      <c r="F113" s="297" t="s">
        <v>89</v>
      </c>
      <c r="G113" s="226">
        <f t="shared" si="6"/>
        <v>0</v>
      </c>
      <c r="H113" s="573">
        <f t="shared" si="7"/>
        <v>0</v>
      </c>
      <c r="I113" s="573"/>
      <c r="J113" s="573">
        <f t="shared" si="5"/>
        <v>0</v>
      </c>
      <c r="K113" s="578"/>
    </row>
    <row r="114" spans="4:11" ht="13.5">
      <c r="D114" s="67"/>
      <c r="F114" s="297" t="s">
        <v>90</v>
      </c>
      <c r="G114" s="226">
        <f t="shared" si="6"/>
        <v>0</v>
      </c>
      <c r="H114" s="573">
        <f t="shared" si="7"/>
        <v>0</v>
      </c>
      <c r="I114" s="573"/>
      <c r="J114" s="573">
        <f t="shared" si="5"/>
        <v>0</v>
      </c>
      <c r="K114" s="578"/>
    </row>
    <row r="115" spans="4:11" ht="14.25" thickBot="1">
      <c r="D115" s="67"/>
      <c r="F115" s="429" t="s">
        <v>138</v>
      </c>
      <c r="G115" s="430">
        <f t="shared" si="6"/>
        <v>46330</v>
      </c>
      <c r="H115" s="574">
        <f>SUMIF($E$4:$E$103,F115,$M$4:$M$103)+'1-3'!F121</f>
        <v>11000</v>
      </c>
      <c r="I115" s="574"/>
      <c r="J115" s="574">
        <f t="shared" si="5"/>
        <v>35330</v>
      </c>
      <c r="K115" s="579"/>
    </row>
    <row r="116" spans="4:11" ht="15" thickBot="1" thickTop="1">
      <c r="D116" s="47"/>
      <c r="F116" s="427" t="s">
        <v>15</v>
      </c>
      <c r="G116" s="428">
        <f>SUM(G107:G115)</f>
        <v>832430</v>
      </c>
      <c r="H116" s="575">
        <f>SUM(H107:I115)</f>
        <v>11000</v>
      </c>
      <c r="I116" s="575"/>
      <c r="J116" s="575">
        <f>SUM(J107:K115)</f>
        <v>821430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3" activePane="bottomLeft" state="frozen"/>
      <selection pane="topLeft" activeCell="B16" sqref="B16:K23"/>
      <selection pane="bottomLeft" activeCell="E48" sqref="E4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258</v>
      </c>
      <c r="B1" s="560"/>
      <c r="C1" s="560"/>
      <c r="D1" s="560"/>
      <c r="E1" s="560"/>
      <c r="F1" s="560"/>
    </row>
    <row r="2" spans="1:6" ht="15" customHeight="1" thickBot="1">
      <c r="A2" s="8"/>
      <c r="B2" s="7" t="s">
        <v>244</v>
      </c>
      <c r="C2" s="87"/>
      <c r="E2" s="72" t="s">
        <v>185</v>
      </c>
      <c r="F2" s="465">
        <f>SUM(E4:E118)</f>
        <v>46330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276</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484">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276</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485">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46330</v>
      </c>
    </row>
    <row r="121" spans="4:6" ht="15" customHeight="1">
      <c r="D121" s="80"/>
      <c r="E121" s="39" t="s">
        <v>176</v>
      </c>
      <c r="F121" s="182">
        <f>SUMIF(F4:F118,"◎",E4:E118)</f>
        <v>11000</v>
      </c>
    </row>
    <row r="122" spans="4:6" ht="15" customHeight="1" thickBot="1">
      <c r="D122" s="80"/>
      <c r="E122" s="82" t="s">
        <v>13</v>
      </c>
      <c r="F122" s="183">
        <f>F120-F121</f>
        <v>35330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0" t="s">
        <v>307</v>
      </c>
      <c r="I1" s="510"/>
      <c r="J1" s="510"/>
      <c r="K1" s="510"/>
    </row>
    <row r="2" spans="8:11" s="1" customFormat="1" ht="18" customHeight="1">
      <c r="H2" s="510" t="s">
        <v>339</v>
      </c>
      <c r="I2" s="510"/>
      <c r="J2" s="510"/>
      <c r="K2" s="510"/>
    </row>
    <row r="3" s="1" customFormat="1" ht="18" customHeight="1">
      <c r="K3" s="2"/>
    </row>
    <row r="4" spans="8:11" s="1" customFormat="1" ht="18" customHeight="1">
      <c r="H4" s="511" t="s">
        <v>340</v>
      </c>
      <c r="I4" s="511"/>
      <c r="J4" s="511"/>
      <c r="K4" s="511"/>
    </row>
    <row r="5" spans="8:11" s="1" customFormat="1" ht="18" customHeight="1">
      <c r="H5" s="512">
        <v>42969</v>
      </c>
      <c r="I5" s="511"/>
      <c r="J5" s="511"/>
      <c r="K5" s="511"/>
    </row>
    <row r="6" spans="1:11" s="1" customFormat="1" ht="18" customHeight="1">
      <c r="A6" s="3" t="s">
        <v>2</v>
      </c>
      <c r="H6" s="4"/>
      <c r="K6" s="11"/>
    </row>
    <row r="7" spans="1:11" s="1" customFormat="1" ht="18" customHeight="1">
      <c r="A7" s="4"/>
      <c r="H7" s="511" t="s">
        <v>274</v>
      </c>
      <c r="I7" s="511"/>
      <c r="J7" s="511"/>
      <c r="K7" s="511"/>
    </row>
    <row r="8" spans="1:11" s="1" customFormat="1" ht="18" customHeight="1">
      <c r="A8" s="4"/>
      <c r="H8" s="511" t="s">
        <v>341</v>
      </c>
      <c r="I8" s="511"/>
      <c r="J8" s="511"/>
      <c r="K8" s="511"/>
    </row>
    <row r="9" spans="1:11" s="1" customFormat="1" ht="42" customHeight="1">
      <c r="A9" s="4"/>
      <c r="H9" s="2"/>
      <c r="K9" s="46"/>
    </row>
    <row r="10" spans="1:11" ht="24" customHeight="1">
      <c r="A10" s="513" t="s">
        <v>259</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40000</v>
      </c>
      <c r="C16" s="224">
        <f>'随時②-1'!C20</f>
        <v>92000</v>
      </c>
      <c r="D16" s="224">
        <f>'随時②-1'!D20</f>
        <v>564400</v>
      </c>
      <c r="E16" s="224">
        <f>'随時②-1'!E20</f>
        <v>0</v>
      </c>
      <c r="F16" s="224">
        <f>'随時②-1'!F20</f>
        <v>89700</v>
      </c>
      <c r="G16" s="224">
        <f>'随時②-1'!G20</f>
        <v>36774</v>
      </c>
      <c r="H16" s="224">
        <f>'随時②-1'!H20</f>
        <v>0</v>
      </c>
      <c r="I16" s="224">
        <f>'随時②-1'!I20</f>
        <v>0</v>
      </c>
      <c r="J16" s="225">
        <f>'随時②-1'!J20</f>
        <v>46330</v>
      </c>
      <c r="K16" s="434">
        <f aca="true" t="shared" si="0" ref="K16:K26">SUM(B16:J16)</f>
        <v>869204</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40000</v>
      </c>
      <c r="C18" s="224">
        <f>C16-C17</f>
        <v>92000</v>
      </c>
      <c r="D18" s="224">
        <f aca="true" t="shared" si="1" ref="D18:J18">D16-D17</f>
        <v>564400</v>
      </c>
      <c r="E18" s="224">
        <f t="shared" si="1"/>
        <v>0</v>
      </c>
      <c r="F18" s="224">
        <f t="shared" si="1"/>
        <v>89700</v>
      </c>
      <c r="G18" s="224">
        <f t="shared" si="1"/>
        <v>36774</v>
      </c>
      <c r="H18" s="224">
        <f t="shared" si="1"/>
        <v>0</v>
      </c>
      <c r="I18" s="224">
        <f t="shared" si="1"/>
        <v>0</v>
      </c>
      <c r="J18" s="224">
        <f t="shared" si="1"/>
        <v>35330</v>
      </c>
      <c r="K18" s="434">
        <f t="shared" si="0"/>
        <v>858204</v>
      </c>
    </row>
    <row r="19" spans="1:11" ht="39" customHeight="1" thickBot="1">
      <c r="A19" s="32" t="s">
        <v>174</v>
      </c>
      <c r="B19" s="442">
        <f>'2-2'!K142</f>
        <v>0</v>
      </c>
      <c r="C19" s="443">
        <f>'2-2'!K143</f>
        <v>14340</v>
      </c>
      <c r="D19" s="443">
        <f>'2-2'!K144</f>
        <v>393636</v>
      </c>
      <c r="E19" s="443">
        <f>'2-2'!K145</f>
        <v>0</v>
      </c>
      <c r="F19" s="443">
        <f>'2-2'!K146</f>
        <v>0</v>
      </c>
      <c r="G19" s="443">
        <f>'2-2'!K147</f>
        <v>0</v>
      </c>
      <c r="H19" s="443">
        <f>'2-2'!K148</f>
        <v>0</v>
      </c>
      <c r="I19" s="443">
        <f>'2-2'!K149</f>
        <v>0</v>
      </c>
      <c r="J19" s="447">
        <f>'2-2'!K150</f>
        <v>46330</v>
      </c>
      <c r="K19" s="444">
        <f t="shared" si="0"/>
        <v>454306</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0</v>
      </c>
      <c r="C21" s="321">
        <f>C19-C20</f>
        <v>14340</v>
      </c>
      <c r="D21" s="321">
        <f aca="true" t="shared" si="2" ref="D21:J21">D19-D20</f>
        <v>393636</v>
      </c>
      <c r="E21" s="321">
        <f t="shared" si="2"/>
        <v>0</v>
      </c>
      <c r="F21" s="321">
        <f t="shared" si="2"/>
        <v>0</v>
      </c>
      <c r="G21" s="321">
        <f t="shared" si="2"/>
        <v>0</v>
      </c>
      <c r="H21" s="321">
        <f t="shared" si="2"/>
        <v>0</v>
      </c>
      <c r="I21" s="321">
        <f t="shared" si="2"/>
        <v>0</v>
      </c>
      <c r="J21" s="321">
        <f t="shared" si="2"/>
        <v>35330</v>
      </c>
      <c r="K21" s="437">
        <f t="shared" si="0"/>
        <v>443306</v>
      </c>
    </row>
    <row r="22" spans="1:11" ht="39" customHeight="1" thickBot="1">
      <c r="A22" s="32" t="s">
        <v>117</v>
      </c>
      <c r="B22" s="442">
        <f>B18-B21</f>
        <v>40000</v>
      </c>
      <c r="C22" s="442">
        <f aca="true" t="shared" si="3" ref="C22:J22">C18-C21</f>
        <v>77660</v>
      </c>
      <c r="D22" s="442">
        <f t="shared" si="3"/>
        <v>170764</v>
      </c>
      <c r="E22" s="442">
        <f t="shared" si="3"/>
        <v>0</v>
      </c>
      <c r="F22" s="442">
        <f t="shared" si="3"/>
        <v>89700</v>
      </c>
      <c r="G22" s="442">
        <f t="shared" si="3"/>
        <v>36774</v>
      </c>
      <c r="H22" s="442">
        <f t="shared" si="3"/>
        <v>0</v>
      </c>
      <c r="I22" s="442">
        <f t="shared" si="3"/>
        <v>0</v>
      </c>
      <c r="J22" s="442">
        <f t="shared" si="3"/>
        <v>0</v>
      </c>
      <c r="K22" s="444">
        <f t="shared" si="0"/>
        <v>414898</v>
      </c>
    </row>
    <row r="23" spans="1:11" ht="39" customHeight="1">
      <c r="A23" s="30" t="s">
        <v>167</v>
      </c>
      <c r="B23" s="224">
        <f>'2-4'!G107</f>
        <v>40000</v>
      </c>
      <c r="C23" s="224">
        <f>'2-4'!G108</f>
        <v>73905</v>
      </c>
      <c r="D23" s="224">
        <f>'2-4'!G109</f>
        <v>495315</v>
      </c>
      <c r="E23" s="224">
        <f>'2-4'!G110</f>
        <v>0</v>
      </c>
      <c r="F23" s="224">
        <f>'2-4'!G111</f>
        <v>89700</v>
      </c>
      <c r="G23" s="224">
        <f>'2-4'!G112</f>
        <v>36774</v>
      </c>
      <c r="H23" s="224">
        <f>'2-4'!G113</f>
        <v>0</v>
      </c>
      <c r="I23" s="224">
        <f>'2-4'!G114</f>
        <v>0</v>
      </c>
      <c r="J23" s="224">
        <f>'2-4'!G115</f>
        <v>0</v>
      </c>
      <c r="K23" s="434">
        <f t="shared" si="0"/>
        <v>735694</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0</v>
      </c>
      <c r="C25" s="435">
        <f aca="true" t="shared" si="4" ref="C25:J25">C23-C24-C22</f>
        <v>-3755</v>
      </c>
      <c r="D25" s="435">
        <f t="shared" si="4"/>
        <v>324551</v>
      </c>
      <c r="E25" s="435">
        <f t="shared" si="4"/>
        <v>0</v>
      </c>
      <c r="F25" s="435">
        <f t="shared" si="4"/>
        <v>0</v>
      </c>
      <c r="G25" s="435">
        <f t="shared" si="4"/>
        <v>0</v>
      </c>
      <c r="H25" s="435">
        <f t="shared" si="4"/>
        <v>0</v>
      </c>
      <c r="I25" s="435">
        <f t="shared" si="4"/>
        <v>0</v>
      </c>
      <c r="J25" s="435">
        <f t="shared" si="4"/>
        <v>0</v>
      </c>
      <c r="K25" s="437">
        <f t="shared" si="0"/>
        <v>320796</v>
      </c>
    </row>
    <row r="26" spans="1:11" ht="39" customHeight="1" thickBot="1">
      <c r="A26" s="22" t="s">
        <v>118</v>
      </c>
      <c r="B26" s="219">
        <f>B19+B23</f>
        <v>40000</v>
      </c>
      <c r="C26" s="219">
        <f aca="true" t="shared" si="5" ref="C26:J26">C19+C23</f>
        <v>88245</v>
      </c>
      <c r="D26" s="219">
        <f t="shared" si="5"/>
        <v>888951</v>
      </c>
      <c r="E26" s="219">
        <f t="shared" si="5"/>
        <v>0</v>
      </c>
      <c r="F26" s="219">
        <f t="shared" si="5"/>
        <v>89700</v>
      </c>
      <c r="G26" s="219">
        <f t="shared" si="5"/>
        <v>36774</v>
      </c>
      <c r="H26" s="219">
        <f t="shared" si="5"/>
        <v>0</v>
      </c>
      <c r="I26" s="219">
        <f t="shared" si="5"/>
        <v>0</v>
      </c>
      <c r="J26" s="219">
        <f t="shared" si="5"/>
        <v>46330</v>
      </c>
      <c r="K26" s="222">
        <f t="shared" si="0"/>
        <v>1190000</v>
      </c>
    </row>
    <row r="27" spans="1:11" ht="39" customHeight="1" thickBot="1">
      <c r="A27" s="32" t="s">
        <v>104</v>
      </c>
      <c r="B27" s="561" t="s">
        <v>338</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Q19" sqref="Q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32" t="s">
        <v>115</v>
      </c>
      <c r="L2" s="530"/>
      <c r="M2" s="530"/>
      <c r="N2" s="530"/>
      <c r="O2" s="531"/>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46330</v>
      </c>
      <c r="H4" s="304">
        <f>IF($R4=1,,VLOOKUP($D4,'1-2'!$D$4:$L$103,5))</f>
        <v>1</v>
      </c>
      <c r="I4" s="304">
        <f>IF($R4=1,,VLOOKUP($D4,'1-2'!$D$4:$L$103,6))</f>
        <v>1</v>
      </c>
      <c r="J4" s="305">
        <f>IF($R4=1,,VLOOKUP($D4,'1-2'!$D$4:$L$103,7))</f>
        <v>46330</v>
      </c>
      <c r="K4" s="306" t="str">
        <f>F4</f>
        <v>各種団体負担金（会費）</v>
      </c>
      <c r="L4" s="307">
        <f aca="true" t="shared" si="0" ref="K4:N5">G4</f>
        <v>46330</v>
      </c>
      <c r="M4" s="308">
        <f t="shared" si="0"/>
        <v>1</v>
      </c>
      <c r="N4" s="308">
        <f t="shared" si="0"/>
        <v>1</v>
      </c>
      <c r="O4" s="309">
        <f>L4*M4*N4</f>
        <v>46330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「学び」ｰ(2)-ｲ</v>
      </c>
      <c r="C5" s="480" t="str">
        <f>'1-2'!C5</f>
        <v>授業改善取組を推進する</v>
      </c>
      <c r="D5" s="254">
        <v>2</v>
      </c>
      <c r="E5" s="314" t="str">
        <f>IF($R5=1,"",VLOOKUP($D5,'1-2'!$D$4:$L$103,2))</f>
        <v>消耗需用費</v>
      </c>
      <c r="F5" s="315" t="str">
        <f>IF($R5=1,"取消し",VLOOKUP($D5,'1-2'!$D$4:$L$103,3))</f>
        <v>A3モノクロプリンター用トナー</v>
      </c>
      <c r="G5" s="224">
        <f>IF($R5=1,,VLOOKUP($D5,'1-2'!$D$4:$L$103,4))</f>
        <v>3500</v>
      </c>
      <c r="H5" s="316">
        <f>IF($R5=1,,VLOOKUP($D5,'1-2'!$D$4:$L$103,5))</f>
        <v>1</v>
      </c>
      <c r="I5" s="316">
        <f>IF($R5=1,,VLOOKUP($D5,'1-2'!$D$4:$L$103,6))</f>
        <v>1</v>
      </c>
      <c r="J5" s="317">
        <f>IF($R5=1,,VLOOKUP($D5,'1-2'!$D$4:$L$103,7))</f>
        <v>3500</v>
      </c>
      <c r="K5" s="318" t="str">
        <f t="shared" si="0"/>
        <v>A3モノクロプリンター用トナー</v>
      </c>
      <c r="L5" s="319">
        <f t="shared" si="0"/>
        <v>3500</v>
      </c>
      <c r="M5" s="320">
        <v>1</v>
      </c>
      <c r="N5" s="320">
        <v>0</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1</v>
      </c>
      <c r="B6" s="313" t="str">
        <f>'1-2'!B6</f>
        <v>「学び」ｰ(2)-ｲ</v>
      </c>
      <c r="C6" s="480" t="str">
        <f>'1-2'!C6</f>
        <v>授業改善取組を推進する</v>
      </c>
      <c r="D6" s="254">
        <v>3</v>
      </c>
      <c r="E6" s="314" t="str">
        <f>IF($R6=1,"",VLOOKUP($D6,'1-2'!$D$4:$L$103,2))</f>
        <v>消耗需用費</v>
      </c>
      <c r="F6" s="315" t="str">
        <f>IF($R6=1,"取消し",VLOOKUP($D6,'1-2'!$D$4:$L$103,3))</f>
        <v>まなボード(教室黒板に貼り付け使用 )</v>
      </c>
      <c r="G6" s="224">
        <f>IF($R6=1,,VLOOKUP($D6,'1-2'!$D$4:$L$103,4))</f>
        <v>3240</v>
      </c>
      <c r="H6" s="316">
        <f>IF($R6=1,,VLOOKUP($D6,'1-2'!$D$4:$L$103,5))</f>
        <v>30</v>
      </c>
      <c r="I6" s="316">
        <f>IF($R6=1,,VLOOKUP($D6,'1-2'!$D$4:$L$103,6))</f>
        <v>1</v>
      </c>
      <c r="J6" s="317">
        <f>IF($R6=1,,VLOOKUP($D6,'1-2'!$D$4:$L$103,7))</f>
        <v>97200</v>
      </c>
      <c r="K6" s="318" t="str">
        <f aca="true" t="shared" si="5" ref="K6:K69">F6</f>
        <v>まなボード(教室黒板に貼り付け使用 )</v>
      </c>
      <c r="L6" s="319">
        <v>3088</v>
      </c>
      <c r="M6" s="320">
        <f aca="true" t="shared" si="6" ref="L6:N10">H6</f>
        <v>30</v>
      </c>
      <c r="N6" s="320">
        <f t="shared" si="6"/>
        <v>1</v>
      </c>
      <c r="O6" s="309">
        <f t="shared" si="2"/>
        <v>92640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2</v>
      </c>
      <c r="B7" s="313" t="str">
        <f>'1-2'!B7</f>
        <v>「志」ｰ（１）</v>
      </c>
      <c r="C7" s="480" t="str">
        <f>'1-2'!C7</f>
        <v>キャリア教育の推進</v>
      </c>
      <c r="D7" s="254">
        <v>4</v>
      </c>
      <c r="E7" s="314" t="str">
        <f>IF($R7=1,"",VLOOKUP($D7,'1-2'!$D$4:$L$103,2))</f>
        <v>旅費</v>
      </c>
      <c r="F7" s="315" t="str">
        <f>IF($R7=1,"取消し",VLOOKUP($D7,'1-2'!$D$4:$L$103,3))</f>
        <v>平成２９年度教務研究会他府県研修</v>
      </c>
      <c r="G7" s="224">
        <f>IF($R7=1,,VLOOKUP($D7,'1-2'!$D$4:$L$103,4))</f>
        <v>42000</v>
      </c>
      <c r="H7" s="316">
        <f>IF($R7=1,,VLOOKUP($D7,'1-2'!$D$4:$L$103,5))</f>
        <v>1</v>
      </c>
      <c r="I7" s="316">
        <f>IF($R7=1,,VLOOKUP($D7,'1-2'!$D$4:$L$103,6))</f>
        <v>1</v>
      </c>
      <c r="J7" s="317">
        <f>IF($R7=1,,VLOOKUP($D7,'1-2'!$D$4:$L$103,7))</f>
        <v>42000</v>
      </c>
      <c r="K7" s="318" t="str">
        <f t="shared" si="5"/>
        <v>平成２９年度教務研究会他府県研修</v>
      </c>
      <c r="L7" s="319">
        <f t="shared" si="6"/>
        <v>42000</v>
      </c>
      <c r="M7" s="320">
        <f t="shared" si="6"/>
        <v>1</v>
      </c>
      <c r="N7" s="320">
        <v>0</v>
      </c>
      <c r="O7" s="309">
        <f t="shared" si="2"/>
        <v>0</v>
      </c>
      <c r="P7" s="310">
        <f>IF($R7=1,"",VLOOKUP($D7,'1-2'!$D$4:$L$103,8))</f>
        <v>0</v>
      </c>
      <c r="Q7" s="311" t="str">
        <f>IF($R7=1,"",VLOOKUP($D7,'1-2'!$D$4:$L$103,9))</f>
        <v>横浜市</v>
      </c>
      <c r="R7" s="25">
        <f>IF(ISNA(MATCH($D7,'随時②-2'!$D$4:$D$18,0)),0,1)</f>
        <v>0</v>
      </c>
      <c r="S7" s="63">
        <f t="shared" si="1"/>
      </c>
      <c r="T7" s="63">
        <f t="shared" si="3"/>
      </c>
      <c r="U7" s="5">
        <f t="shared" si="4"/>
        <v>2</v>
      </c>
      <c r="V7" s="5" t="s">
        <v>154</v>
      </c>
      <c r="W7" s="5">
        <v>7</v>
      </c>
    </row>
    <row r="8" spans="1:23" ht="13.5" customHeight="1">
      <c r="A8" s="312">
        <f>'1-2'!A8</f>
        <v>2</v>
      </c>
      <c r="B8" s="313" t="str">
        <f>'1-2'!B8</f>
        <v>「志」ｰ（２）</v>
      </c>
      <c r="C8" s="480" t="str">
        <f>'1-2'!C8</f>
        <v>豊かな人間形成</v>
      </c>
      <c r="D8" s="263">
        <v>5</v>
      </c>
      <c r="E8" s="314" t="str">
        <f>IF($R8=1,"",VLOOKUP($D8,'1-2'!$D$4:$L$103,2))</f>
        <v>報償費</v>
      </c>
      <c r="F8" s="315" t="str">
        <f>IF($R8=1,"取消し",VLOOKUP($D8,'1-2'!$D$4:$L$103,3))</f>
        <v>性教育講演会講師謝礼金（１年生）</v>
      </c>
      <c r="G8" s="224">
        <f>IF($R8=1,,VLOOKUP($D8,'1-2'!$D$4:$L$103,4))</f>
        <v>20000</v>
      </c>
      <c r="H8" s="316">
        <f>IF($R8=1,,VLOOKUP($D8,'1-2'!$D$4:$L$103,5))</f>
        <v>1</v>
      </c>
      <c r="I8" s="316">
        <f>IF($R8=1,,VLOOKUP($D8,'1-2'!$D$4:$L$103,6))</f>
        <v>1</v>
      </c>
      <c r="J8" s="317">
        <f>IF($R8=1,,VLOOKUP($D8,'1-2'!$D$4:$L$103,7))</f>
        <v>20000</v>
      </c>
      <c r="K8" s="318" t="str">
        <f t="shared" si="5"/>
        <v>性教育講演会講師謝礼金（１年生）</v>
      </c>
      <c r="L8" s="319">
        <f t="shared" si="6"/>
        <v>20000</v>
      </c>
      <c r="M8" s="320">
        <f t="shared" si="6"/>
        <v>1</v>
      </c>
      <c r="N8" s="320">
        <v>0</v>
      </c>
      <c r="O8" s="309">
        <f t="shared" si="2"/>
        <v>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'1-2'!A9</f>
        <v>2</v>
      </c>
      <c r="B9" s="313" t="str">
        <f>'1-2'!B9</f>
        <v>「志」ｰ（２）</v>
      </c>
      <c r="C9" s="480" t="str">
        <f>'1-2'!C9</f>
        <v>豊かな人間形成</v>
      </c>
      <c r="D9" s="254">
        <v>6</v>
      </c>
      <c r="E9" s="314" t="str">
        <f>IF($R9=1,"",VLOOKUP($D9,'1-2'!$D$4:$L$103,2))</f>
        <v>報償費</v>
      </c>
      <c r="F9" s="315" t="str">
        <f>IF($R9=1,"取消し",VLOOKUP($D9,'1-2'!$D$4:$L$103,3))</f>
        <v>人権講演会講師謝礼金</v>
      </c>
      <c r="G9" s="224">
        <f>IF($R9=1,,VLOOKUP($D9,'1-2'!$D$4:$L$103,4))</f>
        <v>20000</v>
      </c>
      <c r="H9" s="316">
        <f>IF($R9=1,,VLOOKUP($D9,'1-2'!$D$4:$L$103,5))</f>
        <v>1</v>
      </c>
      <c r="I9" s="316">
        <f>IF($R9=1,,VLOOKUP($D9,'1-2'!$D$4:$L$103,6))</f>
        <v>1</v>
      </c>
      <c r="J9" s="317">
        <f>IF($R9=1,,VLOOKUP($D9,'1-2'!$D$4:$L$103,7))</f>
        <v>20000</v>
      </c>
      <c r="K9" s="318" t="str">
        <f t="shared" si="5"/>
        <v>人権講演会講師謝礼金</v>
      </c>
      <c r="L9" s="319">
        <f t="shared" si="6"/>
        <v>20000</v>
      </c>
      <c r="M9" s="320">
        <f t="shared" si="6"/>
        <v>1</v>
      </c>
      <c r="N9" s="320">
        <v>0</v>
      </c>
      <c r="O9" s="309">
        <f t="shared" si="2"/>
        <v>0</v>
      </c>
      <c r="P9" s="310">
        <f>IF($R9=1,"",VLOOKUP($D9,'1-2'!$D$4:$L$103,8))</f>
        <v>0</v>
      </c>
      <c r="Q9" s="311">
        <f>IF($R9=1,"",VLOOKUP($D9,'1-2'!$D$4:$L$103,9))</f>
        <v>0</v>
      </c>
      <c r="R9" s="25">
        <f>IF(ISNA(MATCH($D9,'随時②-2'!$D$4:$D$18,0)),0,1)</f>
        <v>0</v>
      </c>
      <c r="S9" s="63">
        <f t="shared" si="1"/>
      </c>
      <c r="T9" s="63">
        <f t="shared" si="3"/>
      </c>
      <c r="U9" s="5">
        <f t="shared" si="4"/>
        <v>1</v>
      </c>
      <c r="V9" s="5" t="s">
        <v>156</v>
      </c>
      <c r="W9" s="5">
        <v>8</v>
      </c>
    </row>
    <row r="10" spans="1:23" ht="13.5" customHeight="1">
      <c r="A10" s="312">
        <f>'1-2'!A10</f>
        <v>3</v>
      </c>
      <c r="B10" s="313" t="str">
        <f>'1-2'!B10</f>
        <v>「地域」ｰ（１）－ア</v>
      </c>
      <c r="C10" s="480" t="str">
        <f>'1-2'!C10</f>
        <v>広報用資材の改定</v>
      </c>
      <c r="D10" s="254">
        <v>7</v>
      </c>
      <c r="E10" s="314" t="str">
        <f>IF($R10=1,"",VLOOKUP($D10,'1-2'!$D$4:$L$103,2))</f>
        <v>消耗需用費</v>
      </c>
      <c r="F10" s="315" t="str">
        <f>IF($R10=1,"取消し",VLOOKUP($D10,'1-2'!$D$4:$L$103,3))</f>
        <v>インクジェットプリンタ用インク</v>
      </c>
      <c r="G10" s="224">
        <f>IF($R10=1,,VLOOKUP($D10,'1-2'!$D$4:$L$103,4))</f>
        <v>20000</v>
      </c>
      <c r="H10" s="316">
        <f>IF($R10=1,,VLOOKUP($D10,'1-2'!$D$4:$L$103,5))</f>
        <v>1</v>
      </c>
      <c r="I10" s="316">
        <f>IF($R10=1,,VLOOKUP($D10,'1-2'!$D$4:$L$103,6))</f>
        <v>1</v>
      </c>
      <c r="J10" s="317">
        <f>IF($R10=1,,VLOOKUP($D10,'1-2'!$D$4:$L$103,7))</f>
        <v>20000</v>
      </c>
      <c r="K10" s="318" t="str">
        <f t="shared" si="5"/>
        <v>インクジェットプリンタ用インク</v>
      </c>
      <c r="L10" s="319">
        <f t="shared" si="6"/>
        <v>20000</v>
      </c>
      <c r="M10" s="320">
        <f t="shared" si="6"/>
        <v>1</v>
      </c>
      <c r="N10" s="320">
        <v>0</v>
      </c>
      <c r="O10" s="309">
        <f t="shared" si="2"/>
        <v>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3</v>
      </c>
      <c r="B11" s="313" t="str">
        <f>'1-2'!B11</f>
        <v>「地域」ｰ（１）－ア</v>
      </c>
      <c r="C11" s="480" t="str">
        <f>'1-2'!C11</f>
        <v>広報用資材の改定</v>
      </c>
      <c r="D11" s="263">
        <v>8</v>
      </c>
      <c r="E11" s="314" t="str">
        <f>IF($R11=1,"",VLOOKUP($D11,'1-2'!$D$4:$L$103,2))</f>
        <v>役務費</v>
      </c>
      <c r="F11" s="315" t="str">
        <f>IF($R11=1,"取消し",VLOOKUP($D11,'1-2'!$D$4:$L$103,3))</f>
        <v>学校案内郵送料</v>
      </c>
      <c r="G11" s="224">
        <f>IF($R11=1,,VLOOKUP($D11,'1-2'!$D$4:$L$103,4))</f>
        <v>230</v>
      </c>
      <c r="H11" s="316">
        <f>IF($R11=1,,VLOOKUP($D11,'1-2'!$D$4:$L$103,5))</f>
        <v>130</v>
      </c>
      <c r="I11" s="316">
        <f>IF($R11=1,,VLOOKUP($D11,'1-2'!$D$4:$L$103,6))</f>
        <v>3</v>
      </c>
      <c r="J11" s="317">
        <f>IF($R11=1,,VLOOKUP($D11,'1-2'!$D$4:$L$103,7))</f>
        <v>89700</v>
      </c>
      <c r="K11" s="318" t="str">
        <f t="shared" si="5"/>
        <v>学校案内郵送料</v>
      </c>
      <c r="L11" s="319">
        <f aca="true" t="shared" si="7" ref="L11:L74">G11</f>
        <v>230</v>
      </c>
      <c r="M11" s="320">
        <f aca="true" t="shared" si="8" ref="M11:M74">H11</f>
        <v>130</v>
      </c>
      <c r="N11" s="320">
        <v>0</v>
      </c>
      <c r="O11" s="309">
        <f t="shared" si="2"/>
        <v>0</v>
      </c>
      <c r="P11" s="310">
        <f>IF($R11=1,"",VLOOKUP($D11,'1-2'!$D$4:$L$103,8))</f>
        <v>0</v>
      </c>
      <c r="Q11" s="311">
        <f>IF($R11=1,"",VLOOKUP($D11,'1-2'!$D$4:$L$103,9))</f>
        <v>0</v>
      </c>
      <c r="R11" s="25">
        <f>IF(ISNA(MATCH($D11,'随時②-2'!$D$4:$D$18,0)),0,1)</f>
        <v>0</v>
      </c>
      <c r="S11" s="63">
        <f t="shared" si="1"/>
      </c>
      <c r="T11" s="63">
        <f t="shared" si="3"/>
      </c>
      <c r="U11" s="5">
        <f t="shared" si="4"/>
        <v>5</v>
      </c>
      <c r="V11" s="5" t="s">
        <v>157</v>
      </c>
      <c r="W11" s="5">
        <v>1</v>
      </c>
    </row>
    <row r="12" spans="1:23" ht="13.5" customHeight="1">
      <c r="A12" s="312">
        <f>'1-2'!A12</f>
        <v>3</v>
      </c>
      <c r="B12" s="313" t="str">
        <f>'1-2'!B12</f>
        <v>「地域」ｰ（１）－ア</v>
      </c>
      <c r="C12" s="480" t="str">
        <f>'1-2'!C12</f>
        <v>広報用資材の改定</v>
      </c>
      <c r="D12" s="263">
        <v>9</v>
      </c>
      <c r="E12" s="314" t="str">
        <f>IF($R12=1,"",VLOOKUP($D12,'1-2'!$D$4:$L$103,2))</f>
        <v>消耗需用費</v>
      </c>
      <c r="F12" s="315" t="str">
        <f>IF($R12=1,"取消し",VLOOKUP($D12,'1-2'!$D$4:$L$103,3))</f>
        <v>学校案内リーフレット</v>
      </c>
      <c r="G12" s="224">
        <f>IF($R12=1,,VLOOKUP($D12,'1-2'!$D$4:$L$103,4))</f>
        <v>50</v>
      </c>
      <c r="H12" s="316">
        <f>IF($R12=1,,VLOOKUP($D12,'1-2'!$D$4:$L$103,5))</f>
        <v>2000</v>
      </c>
      <c r="I12" s="316">
        <f>IF($R12=1,,VLOOKUP($D12,'1-2'!$D$4:$L$103,6))</f>
        <v>1</v>
      </c>
      <c r="J12" s="317">
        <f>IF($R12=1,,VLOOKUP($D12,'1-2'!$D$4:$L$103,7))</f>
        <v>100000</v>
      </c>
      <c r="K12" s="318" t="str">
        <f t="shared" si="5"/>
        <v>学校案内リーフレット</v>
      </c>
      <c r="L12" s="319">
        <v>46.44</v>
      </c>
      <c r="M12" s="320">
        <f t="shared" si="8"/>
        <v>2000</v>
      </c>
      <c r="N12" s="320">
        <f aca="true" t="shared" si="9" ref="N12:N74">I12</f>
        <v>1</v>
      </c>
      <c r="O12" s="309">
        <f t="shared" si="2"/>
        <v>92880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3</v>
      </c>
      <c r="B13" s="313" t="str">
        <f>'1-2'!B13</f>
        <v>「地域」ｰ（１）－ア</v>
      </c>
      <c r="C13" s="480" t="str">
        <f>'1-2'!C13</f>
        <v>広報用資材の改定</v>
      </c>
      <c r="D13" s="273">
        <v>10</v>
      </c>
      <c r="E13" s="314" t="str">
        <f>IF($R13=1,"",VLOOKUP($D13,'1-2'!$D$4:$L$103,2))</f>
        <v>消耗需用費</v>
      </c>
      <c r="F13" s="315" t="str">
        <f>IF($R13=1,"取消し",VLOOKUP($D13,'1-2'!$D$4:$L$103,3))</f>
        <v>学校案内ちらし</v>
      </c>
      <c r="G13" s="224">
        <f>IF($R13=1,,VLOOKUP($D13,'1-2'!$D$4:$L$103,4))</f>
        <v>50</v>
      </c>
      <c r="H13" s="316">
        <f>IF($R13=1,,VLOOKUP($D13,'1-2'!$D$4:$L$103,5))</f>
        <v>500</v>
      </c>
      <c r="I13" s="316">
        <f>IF($R13=1,,VLOOKUP($D13,'1-2'!$D$4:$L$103,6))</f>
        <v>1</v>
      </c>
      <c r="J13" s="317">
        <f>IF($R13=1,,VLOOKUP($D13,'1-2'!$D$4:$L$103,7))</f>
        <v>25000</v>
      </c>
      <c r="K13" s="318" t="str">
        <f t="shared" si="5"/>
        <v>学校案内ちらし</v>
      </c>
      <c r="L13" s="319">
        <v>49.68</v>
      </c>
      <c r="M13" s="320">
        <f t="shared" si="8"/>
        <v>500</v>
      </c>
      <c r="N13" s="320">
        <f t="shared" si="9"/>
        <v>1</v>
      </c>
      <c r="O13" s="309">
        <f t="shared" si="2"/>
        <v>24840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3</v>
      </c>
      <c r="B14" s="313" t="str">
        <f>'1-2'!B14</f>
        <v>「地域」ｰ（１）－ア</v>
      </c>
      <c r="C14" s="480" t="str">
        <f>'1-2'!C14</f>
        <v>広報用資材の改定</v>
      </c>
      <c r="D14" s="254">
        <v>11</v>
      </c>
      <c r="E14" s="314" t="str">
        <f>IF($R14=1,"",VLOOKUP($D14,'1-2'!$D$4:$L$103,2))</f>
        <v>消耗需用費</v>
      </c>
      <c r="F14" s="315" t="str">
        <f>IF($R14=1,"取消し",VLOOKUP($D14,'1-2'!$D$4:$L$103,3))</f>
        <v>学校案内クリアファイル</v>
      </c>
      <c r="G14" s="224">
        <f>IF($R14=1,,VLOOKUP($D14,'1-2'!$D$4:$L$103,4))</f>
        <v>139</v>
      </c>
      <c r="H14" s="316">
        <f>IF($R14=1,,VLOOKUP($D14,'1-2'!$D$4:$L$103,5))</f>
        <v>500</v>
      </c>
      <c r="I14" s="316">
        <f>IF($R14=1,,VLOOKUP($D14,'1-2'!$D$4:$L$103,6))</f>
        <v>1</v>
      </c>
      <c r="J14" s="317">
        <f>IF($R14=1,,VLOOKUP($D14,'1-2'!$D$4:$L$103,7))</f>
        <v>69500</v>
      </c>
      <c r="K14" s="318" t="str">
        <f t="shared" si="5"/>
        <v>学校案内クリアファイル</v>
      </c>
      <c r="L14" s="319">
        <v>133.92</v>
      </c>
      <c r="M14" s="320">
        <f t="shared" si="8"/>
        <v>500</v>
      </c>
      <c r="N14" s="320">
        <f t="shared" si="9"/>
        <v>1</v>
      </c>
      <c r="O14" s="309">
        <f t="shared" si="2"/>
        <v>66960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3</v>
      </c>
      <c r="B15" s="313" t="str">
        <f>'1-2'!B15</f>
        <v>「地域」ｰ（１）－ア</v>
      </c>
      <c r="C15" s="480" t="str">
        <f>'1-2'!C15</f>
        <v>広報用資材の改定</v>
      </c>
      <c r="D15" s="254">
        <v>12</v>
      </c>
      <c r="E15" s="314" t="str">
        <f>IF($R15=1,"",VLOOKUP($D15,'1-2'!$D$4:$L$103,2))</f>
        <v>消耗需用費</v>
      </c>
      <c r="F15" s="315" t="str">
        <f>IF($R15=1,"取消し",VLOOKUP($D15,'1-2'!$D$4:$L$103,3))</f>
        <v>学校案内ポスター</v>
      </c>
      <c r="G15" s="224">
        <f>IF($R15=1,,VLOOKUP($D15,'1-2'!$D$4:$L$103,4))</f>
        <v>324</v>
      </c>
      <c r="H15" s="316">
        <f>IF($R15=1,,VLOOKUP($D15,'1-2'!$D$4:$L$103,5))</f>
        <v>150</v>
      </c>
      <c r="I15" s="316">
        <f>IF($R15=1,,VLOOKUP($D15,'1-2'!$D$4:$L$103,6))</f>
        <v>1</v>
      </c>
      <c r="J15" s="317">
        <f>IF($R15=1,,VLOOKUP($D15,'1-2'!$D$4:$L$103,7))</f>
        <v>48600</v>
      </c>
      <c r="K15" s="318" t="str">
        <f t="shared" si="5"/>
        <v>学校案内ポスター</v>
      </c>
      <c r="L15" s="319">
        <v>270</v>
      </c>
      <c r="M15" s="320">
        <f t="shared" si="8"/>
        <v>150</v>
      </c>
      <c r="N15" s="320">
        <f t="shared" si="9"/>
        <v>1</v>
      </c>
      <c r="O15" s="309">
        <f t="shared" si="2"/>
        <v>40500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3</v>
      </c>
      <c r="B16" s="313" t="str">
        <f>'1-2'!B16</f>
        <v>「地域」ｰ（１）－ア</v>
      </c>
      <c r="C16" s="480" t="str">
        <f>'1-2'!C16</f>
        <v>広報用資材の改定</v>
      </c>
      <c r="D16" s="254">
        <v>13</v>
      </c>
      <c r="E16" s="314" t="str">
        <f>IF($R16=1,"",VLOOKUP($D16,'1-2'!$D$4:$L$103,2))</f>
        <v>消耗需用費</v>
      </c>
      <c r="F16" s="315" t="str">
        <f>IF($R16=1,"取消し",VLOOKUP($D16,'1-2'!$D$4:$L$103,3))</f>
        <v>広報用学校説明会ホワイトボード</v>
      </c>
      <c r="G16" s="224">
        <f>IF($R16=1,,VLOOKUP($D16,'1-2'!$D$4:$L$103,4))</f>
        <v>41000</v>
      </c>
      <c r="H16" s="316">
        <f>IF($R16=1,,VLOOKUP($D16,'1-2'!$D$4:$L$103,5))</f>
        <v>2</v>
      </c>
      <c r="I16" s="316">
        <f>IF($R16=1,,VLOOKUP($D16,'1-2'!$D$4:$L$103,6))</f>
        <v>1</v>
      </c>
      <c r="J16" s="317">
        <f>IF($R16=1,,VLOOKUP($D16,'1-2'!$D$4:$L$103,7))</f>
        <v>82000</v>
      </c>
      <c r="K16" s="318" t="str">
        <f t="shared" si="5"/>
        <v>広報用学校説明会ホワイトボード</v>
      </c>
      <c r="L16" s="319">
        <f t="shared" si="7"/>
        <v>41000</v>
      </c>
      <c r="M16" s="320">
        <v>2</v>
      </c>
      <c r="N16" s="320">
        <v>0</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3</v>
      </c>
      <c r="B17" s="313" t="str">
        <f>'1-2'!B17</f>
        <v>「地域」ｰ（１）－ア</v>
      </c>
      <c r="C17" s="480" t="str">
        <f>'1-2'!C17</f>
        <v>広報用資材の改定</v>
      </c>
      <c r="D17" s="254">
        <v>14</v>
      </c>
      <c r="E17" s="314" t="str">
        <f>IF($R17=1,"",VLOOKUP($D17,'1-2'!$D$4:$L$103,2))</f>
        <v>消耗需用費</v>
      </c>
      <c r="F17" s="315" t="str">
        <f>IF($R17=1,"取消し",VLOOKUP($D17,'1-2'!$D$4:$L$103,3))</f>
        <v>広報用学校説明会掲示板</v>
      </c>
      <c r="G17" s="224">
        <f>IF($R17=1,,VLOOKUP($D17,'1-2'!$D$4:$L$103,4))</f>
        <v>42000</v>
      </c>
      <c r="H17" s="316">
        <f>IF($R17=1,,VLOOKUP($D17,'1-2'!$D$4:$L$103,5))</f>
        <v>2</v>
      </c>
      <c r="I17" s="316">
        <f>IF($R17=1,,VLOOKUP($D17,'1-2'!$D$4:$L$103,6))</f>
        <v>1</v>
      </c>
      <c r="J17" s="317">
        <f>IF($R17=1,,VLOOKUP($D17,'1-2'!$D$4:$L$103,7))</f>
        <v>84000</v>
      </c>
      <c r="K17" s="318" t="str">
        <f t="shared" si="5"/>
        <v>広報用学校説明会掲示板</v>
      </c>
      <c r="L17" s="319">
        <v>37908</v>
      </c>
      <c r="M17" s="320">
        <f t="shared" si="8"/>
        <v>2</v>
      </c>
      <c r="N17" s="320">
        <f t="shared" si="9"/>
        <v>1</v>
      </c>
      <c r="O17" s="309">
        <f t="shared" si="2"/>
        <v>75816</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3</v>
      </c>
      <c r="B18" s="313" t="str">
        <f>'1-2'!B18</f>
        <v>「地域」ｰ（１）－ア</v>
      </c>
      <c r="C18" s="480" t="str">
        <f>'1-2'!C18</f>
        <v>広報用資材の改定</v>
      </c>
      <c r="D18" s="254">
        <v>15</v>
      </c>
      <c r="E18" s="314" t="str">
        <f>IF($R18=1,"",VLOOKUP($D18,'1-2'!$D$4:$L$103,2))</f>
        <v>消耗需用費</v>
      </c>
      <c r="F18" s="315" t="str">
        <f>IF($R18=1,"取消し",VLOOKUP($D18,'1-2'!$D$4:$L$103,3))</f>
        <v>広報用学校説明会受付テーブル</v>
      </c>
      <c r="G18" s="224">
        <f>IF($R18=1,,VLOOKUP($D18,'1-2'!$D$4:$L$103,4))</f>
        <v>17300</v>
      </c>
      <c r="H18" s="316">
        <f>IF($R18=1,,VLOOKUP($D18,'1-2'!$D$4:$L$103,5))</f>
        <v>2</v>
      </c>
      <c r="I18" s="316">
        <f>IF($R18=1,,VLOOKUP($D18,'1-2'!$D$4:$L$103,6))</f>
        <v>1</v>
      </c>
      <c r="J18" s="317">
        <f>IF($R18=1,,VLOOKUP($D18,'1-2'!$D$4:$L$103,7))</f>
        <v>34600</v>
      </c>
      <c r="K18" s="318" t="str">
        <f t="shared" si="5"/>
        <v>広報用学校説明会受付テーブル</v>
      </c>
      <c r="L18" s="319">
        <f t="shared" si="7"/>
        <v>17300</v>
      </c>
      <c r="M18" s="320">
        <v>2</v>
      </c>
      <c r="N18" s="320">
        <v>0</v>
      </c>
      <c r="O18" s="309">
        <f t="shared" si="2"/>
        <v>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3</v>
      </c>
      <c r="B19" s="313" t="str">
        <f>'1-2'!B19</f>
        <v>「地域」ｰ（１）ｰイ</v>
      </c>
      <c r="C19" s="480" t="str">
        <f>'1-2'!C19</f>
        <v>中学校訪問広報活動の充実</v>
      </c>
      <c r="D19" s="254">
        <v>16</v>
      </c>
      <c r="E19" s="314" t="str">
        <f>IF($R19=1,"",VLOOKUP($D19,'1-2'!$D$4:$L$103,2))</f>
        <v>旅費</v>
      </c>
      <c r="F19" s="315" t="str">
        <f>IF($R19=1,"取消し",VLOOKUP($D19,'1-2'!$D$4:$L$103,3))</f>
        <v>中学校訪問による広報活動のさらなる充実</v>
      </c>
      <c r="G19" s="224">
        <f>IF($R19=1,,VLOOKUP($D19,'1-2'!$D$4:$L$103,4))</f>
        <v>1000</v>
      </c>
      <c r="H19" s="316">
        <f>IF($R19=1,,VLOOKUP($D19,'1-2'!$D$4:$L$103,5))</f>
        <v>25</v>
      </c>
      <c r="I19" s="316">
        <f>IF($R19=1,,VLOOKUP($D19,'1-2'!$D$4:$L$103,6))</f>
        <v>2</v>
      </c>
      <c r="J19" s="317">
        <f>IF($R19=1,,VLOOKUP($D19,'1-2'!$D$4:$L$103,7))</f>
        <v>50000</v>
      </c>
      <c r="K19" s="318" t="str">
        <f t="shared" si="5"/>
        <v>中学校訪問による広報活動のさらなる充実</v>
      </c>
      <c r="L19" s="319">
        <v>896.25</v>
      </c>
      <c r="M19" s="320">
        <v>8</v>
      </c>
      <c r="N19" s="320">
        <f t="shared" si="9"/>
        <v>2</v>
      </c>
      <c r="O19" s="309">
        <f t="shared" si="2"/>
        <v>14340</v>
      </c>
      <c r="P19" s="310">
        <f>IF($R19=1,"",VLOOKUP($D19,'1-2'!$D$4:$L$103,8))</f>
        <v>0</v>
      </c>
      <c r="Q19" s="311">
        <f>IF($R19=1,"",VLOOKUP($D19,'1-2'!$D$4:$L$103,9))</f>
        <v>0</v>
      </c>
      <c r="R19" s="25">
        <f>IF(ISNA(MATCH($D19,'随時②-2'!$D$4:$D$18,0)),0,1)</f>
        <v>0</v>
      </c>
      <c r="S19" s="63">
        <f t="shared" si="1"/>
      </c>
      <c r="T19" s="63">
        <f t="shared" si="3"/>
      </c>
      <c r="U19" s="5">
        <f t="shared" si="4"/>
        <v>2</v>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I30</f>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1</v>
      </c>
      <c r="B124" s="338" t="str">
        <f>'随時②-2'!B21</f>
        <v>「学び」ｰ(2)-ｲ</v>
      </c>
      <c r="C124" s="482" t="str">
        <f>'随時②-2'!C21</f>
        <v>授業改善取組を推進する</v>
      </c>
      <c r="D124" s="263">
        <v>201</v>
      </c>
      <c r="E124" s="315" t="str">
        <f>IF($R124=1,"",VLOOKUP($D124,'随時②-2'!$D$21:$L$35,2))</f>
        <v>委託料</v>
      </c>
      <c r="F124" s="315" t="str">
        <f>IF($R124=1,"取消し",VLOOKUP($D124,'随時②-2'!$D$21:$L$35,3))</f>
        <v>授業アンケートシステム運用業務委託</v>
      </c>
      <c r="G124" s="224">
        <f>IF($R124=1,,VLOOKUP($D124,'随時②-2'!$D$21:$L$35,4))</f>
        <v>36774</v>
      </c>
      <c r="H124" s="316">
        <f>IF($R124=1,,VLOOKUP($D124,'随時②-2'!$D$21:$L$35,5))</f>
        <v>1</v>
      </c>
      <c r="I124" s="316">
        <f>IF($R124=1,,VLOOKUP($D124,'随時②-2'!$D$21:$L$35,6))</f>
        <v>1</v>
      </c>
      <c r="J124" s="317">
        <f>IF($R124=1,,VLOOKUP($D124,'随時②-2'!$D$21:$L$35,7))</f>
        <v>36774</v>
      </c>
      <c r="K124" s="339" t="str">
        <f t="shared" si="14"/>
        <v>授業アンケートシステム運用業務委託</v>
      </c>
      <c r="L124" s="340">
        <f t="shared" si="15"/>
        <v>36774</v>
      </c>
      <c r="M124" s="308">
        <f t="shared" si="16"/>
        <v>1</v>
      </c>
      <c r="N124" s="308">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9" t="s">
        <v>178</v>
      </c>
      <c r="I141" s="600"/>
      <c r="J141" s="38" t="s">
        <v>113</v>
      </c>
      <c r="K141" s="38" t="s">
        <v>175</v>
      </c>
      <c r="L141" s="525" t="s">
        <v>176</v>
      </c>
      <c r="M141" s="601"/>
      <c r="N141" s="602" t="s">
        <v>177</v>
      </c>
      <c r="O141" s="603"/>
      <c r="P141" s="590" t="s">
        <v>114</v>
      </c>
      <c r="Q141" s="591"/>
    </row>
    <row r="142" spans="6:17" ht="14.25" thickTop="1">
      <c r="F142" s="346" t="s">
        <v>85</v>
      </c>
      <c r="G142" s="347">
        <f>SUMIF($E$4:$E$138,$F142,$J$4:$J$138)</f>
        <v>40000</v>
      </c>
      <c r="H142" s="604">
        <f>SUMIF($E$4:$E$138,$F142,$S$4:$S$138)</f>
        <v>0</v>
      </c>
      <c r="I142" s="605"/>
      <c r="J142" s="348">
        <f>G142-H142</f>
        <v>40000</v>
      </c>
      <c r="K142" s="347">
        <f>SUMIF($E$4:$E$138,$F142,$O$4:$O$138)</f>
        <v>0</v>
      </c>
      <c r="L142" s="604">
        <f>SUMIF($E$4:$E$138,$F142,$T$4:$T$138)</f>
        <v>0</v>
      </c>
      <c r="M142" s="606"/>
      <c r="N142" s="607">
        <f>K142-L142</f>
        <v>0</v>
      </c>
      <c r="O142" s="608"/>
      <c r="P142" s="552">
        <f>J142-N142</f>
        <v>40000</v>
      </c>
      <c r="Q142" s="592"/>
    </row>
    <row r="143" spans="6:17" ht="13.5">
      <c r="F143" s="346" t="s">
        <v>86</v>
      </c>
      <c r="G143" s="349">
        <f aca="true" t="shared" si="22" ref="G143:G150">SUMIF($E$4:$E$138,$F143,$J$4:$J$138)</f>
        <v>92000</v>
      </c>
      <c r="H143" s="543">
        <f>SUMIF($E$4:$E$138,$F143,$S$4:$S$138)</f>
        <v>0</v>
      </c>
      <c r="I143" s="597"/>
      <c r="J143" s="350">
        <f>G143-H143</f>
        <v>92000</v>
      </c>
      <c r="K143" s="347">
        <f aca="true" t="shared" si="23" ref="K143:K150">SUMIF($E$4:$E$138,$F143,$O$4:$O$138)</f>
        <v>14340</v>
      </c>
      <c r="L143" s="542">
        <f aca="true" t="shared" si="24" ref="L143:L149">SUMIF($E$4:$E$138,$F143,$T$4:$T$138)</f>
        <v>0</v>
      </c>
      <c r="M143" s="545"/>
      <c r="N143" s="598">
        <f>K143-L143</f>
        <v>14340</v>
      </c>
      <c r="O143" s="597"/>
      <c r="P143" s="542">
        <f aca="true" t="shared" si="25" ref="P143:P150">J143-N143</f>
        <v>77660</v>
      </c>
      <c r="Q143" s="545"/>
    </row>
    <row r="144" spans="6:17" ht="13.5">
      <c r="F144" s="346" t="s">
        <v>125</v>
      </c>
      <c r="G144" s="347">
        <f t="shared" si="22"/>
        <v>564400</v>
      </c>
      <c r="H144" s="543">
        <f aca="true" t="shared" si="26" ref="H144:H149">SUMIF($E$4:$E$138,$F144,$S$4:$S$138)</f>
        <v>0</v>
      </c>
      <c r="I144" s="597"/>
      <c r="J144" s="350">
        <f aca="true" t="shared" si="27" ref="J144:J150">G144-H144</f>
        <v>564400</v>
      </c>
      <c r="K144" s="347">
        <f t="shared" si="23"/>
        <v>393636</v>
      </c>
      <c r="L144" s="542">
        <f t="shared" si="24"/>
        <v>0</v>
      </c>
      <c r="M144" s="545"/>
      <c r="N144" s="598">
        <f aca="true" t="shared" si="28" ref="N144:N150">K144-L144</f>
        <v>393636</v>
      </c>
      <c r="O144" s="597"/>
      <c r="P144" s="542">
        <f t="shared" si="25"/>
        <v>170764</v>
      </c>
      <c r="Q144" s="545"/>
    </row>
    <row r="145" spans="6:17" ht="13.5">
      <c r="F145" s="346" t="s">
        <v>126</v>
      </c>
      <c r="G145" s="347">
        <f t="shared" si="22"/>
        <v>0</v>
      </c>
      <c r="H145" s="543">
        <f t="shared" si="26"/>
        <v>0</v>
      </c>
      <c r="I145" s="597"/>
      <c r="J145" s="350">
        <f t="shared" si="27"/>
        <v>0</v>
      </c>
      <c r="K145" s="347">
        <f t="shared" si="23"/>
        <v>0</v>
      </c>
      <c r="L145" s="542">
        <f t="shared" si="24"/>
        <v>0</v>
      </c>
      <c r="M145" s="545"/>
      <c r="N145" s="598">
        <f t="shared" si="28"/>
        <v>0</v>
      </c>
      <c r="O145" s="597"/>
      <c r="P145" s="542">
        <f t="shared" si="25"/>
        <v>0</v>
      </c>
      <c r="Q145" s="545"/>
    </row>
    <row r="146" spans="6:17" ht="13.5">
      <c r="F146" s="346" t="s">
        <v>87</v>
      </c>
      <c r="G146" s="347">
        <f t="shared" si="22"/>
        <v>89700</v>
      </c>
      <c r="H146" s="543">
        <f t="shared" si="26"/>
        <v>0</v>
      </c>
      <c r="I146" s="597"/>
      <c r="J146" s="350">
        <f t="shared" si="27"/>
        <v>89700</v>
      </c>
      <c r="K146" s="347">
        <f t="shared" si="23"/>
        <v>0</v>
      </c>
      <c r="L146" s="542">
        <f t="shared" si="24"/>
        <v>0</v>
      </c>
      <c r="M146" s="545"/>
      <c r="N146" s="598">
        <f t="shared" si="28"/>
        <v>0</v>
      </c>
      <c r="O146" s="597"/>
      <c r="P146" s="542">
        <f t="shared" si="25"/>
        <v>89700</v>
      </c>
      <c r="Q146" s="545"/>
    </row>
    <row r="147" spans="6:17" ht="13.5">
      <c r="F147" s="346" t="s">
        <v>88</v>
      </c>
      <c r="G147" s="347">
        <f t="shared" si="22"/>
        <v>36774</v>
      </c>
      <c r="H147" s="543">
        <f t="shared" si="26"/>
        <v>0</v>
      </c>
      <c r="I147" s="597"/>
      <c r="J147" s="350">
        <f t="shared" si="27"/>
        <v>36774</v>
      </c>
      <c r="K147" s="347">
        <f t="shared" si="23"/>
        <v>0</v>
      </c>
      <c r="L147" s="542">
        <f t="shared" si="24"/>
        <v>0</v>
      </c>
      <c r="M147" s="545"/>
      <c r="N147" s="598">
        <f t="shared" si="28"/>
        <v>0</v>
      </c>
      <c r="O147" s="597"/>
      <c r="P147" s="542">
        <f t="shared" si="25"/>
        <v>36774</v>
      </c>
      <c r="Q147" s="545"/>
    </row>
    <row r="148" spans="6:17" ht="13.5">
      <c r="F148" s="346" t="s">
        <v>89</v>
      </c>
      <c r="G148" s="347">
        <f t="shared" si="22"/>
        <v>0</v>
      </c>
      <c r="H148" s="543">
        <f t="shared" si="26"/>
        <v>0</v>
      </c>
      <c r="I148" s="597"/>
      <c r="J148" s="350">
        <f t="shared" si="27"/>
        <v>0</v>
      </c>
      <c r="K148" s="347">
        <f t="shared" si="23"/>
        <v>0</v>
      </c>
      <c r="L148" s="542">
        <f t="shared" si="24"/>
        <v>0</v>
      </c>
      <c r="M148" s="545"/>
      <c r="N148" s="598">
        <f t="shared" si="28"/>
        <v>0</v>
      </c>
      <c r="O148" s="597"/>
      <c r="P148" s="542">
        <f t="shared" si="25"/>
        <v>0</v>
      </c>
      <c r="Q148" s="545"/>
    </row>
    <row r="149" spans="6:17" ht="13.5">
      <c r="F149" s="346" t="s">
        <v>90</v>
      </c>
      <c r="G149" s="347">
        <f t="shared" si="22"/>
        <v>0</v>
      </c>
      <c r="H149" s="543">
        <f t="shared" si="26"/>
        <v>0</v>
      </c>
      <c r="I149" s="597"/>
      <c r="J149" s="350">
        <f t="shared" si="27"/>
        <v>0</v>
      </c>
      <c r="K149" s="347">
        <f t="shared" si="23"/>
        <v>0</v>
      </c>
      <c r="L149" s="542">
        <f t="shared" si="24"/>
        <v>0</v>
      </c>
      <c r="M149" s="545"/>
      <c r="N149" s="598">
        <f t="shared" si="28"/>
        <v>0</v>
      </c>
      <c r="O149" s="597"/>
      <c r="P149" s="542">
        <f t="shared" si="25"/>
        <v>0</v>
      </c>
      <c r="Q149" s="545"/>
    </row>
    <row r="150" spans="6:17" ht="14.25" thickBot="1">
      <c r="F150" s="346" t="s">
        <v>138</v>
      </c>
      <c r="G150" s="347">
        <f t="shared" si="22"/>
        <v>46330</v>
      </c>
      <c r="H150" s="543">
        <f>SUMIF($E$4:$E$138,$F150,$S$4:$S$138)+'2-3'!G122</f>
        <v>11000</v>
      </c>
      <c r="I150" s="597"/>
      <c r="J150" s="350">
        <f t="shared" si="27"/>
        <v>35330</v>
      </c>
      <c r="K150" s="347">
        <f t="shared" si="23"/>
        <v>46330</v>
      </c>
      <c r="L150" s="586">
        <f>SUMIF($E$4:$E$138,$F150,$T$4:$T$138)+'2-3'!E122</f>
        <v>11000</v>
      </c>
      <c r="M150" s="587"/>
      <c r="N150" s="598">
        <f t="shared" si="28"/>
        <v>35330</v>
      </c>
      <c r="O150" s="597"/>
      <c r="P150" s="586">
        <f t="shared" si="25"/>
        <v>0</v>
      </c>
      <c r="Q150" s="587"/>
    </row>
    <row r="151" spans="6:17" ht="15" thickBot="1" thickTop="1">
      <c r="F151" s="353" t="s">
        <v>15</v>
      </c>
      <c r="G151" s="354">
        <f>SUM(G142:G150)</f>
        <v>869204</v>
      </c>
      <c r="H151" s="549">
        <f>SUM(H142:I150)</f>
        <v>11000</v>
      </c>
      <c r="I151" s="595"/>
      <c r="J151" s="354">
        <f>SUM(J142:J150)</f>
        <v>858204</v>
      </c>
      <c r="K151" s="354">
        <f>SUM(K142:K150)</f>
        <v>454306</v>
      </c>
      <c r="L151" s="588">
        <f>SUM(L142:M150)</f>
        <v>11000</v>
      </c>
      <c r="M151" s="589"/>
      <c r="N151" s="595">
        <f>SUM(N142:O150)</f>
        <v>443306</v>
      </c>
      <c r="O151" s="596"/>
      <c r="P151" s="588">
        <f>SUM(P142:Q150)</f>
        <v>414898</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1"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261</v>
      </c>
      <c r="B1" s="613"/>
      <c r="C1" s="613"/>
      <c r="D1" s="613"/>
      <c r="E1" s="613"/>
      <c r="F1" s="613"/>
      <c r="G1" s="614"/>
      <c r="H1" s="614"/>
      <c r="I1" s="614"/>
    </row>
    <row r="2" spans="1:9" ht="15" customHeight="1" thickBot="1">
      <c r="A2" s="8"/>
      <c r="B2" s="7" t="s">
        <v>244</v>
      </c>
      <c r="C2" s="87"/>
      <c r="E2" s="116"/>
      <c r="F2" s="117" t="s">
        <v>112</v>
      </c>
      <c r="G2" s="208">
        <f>SUM(E5:E119)</f>
        <v>46330</v>
      </c>
      <c r="H2" s="72" t="s">
        <v>188</v>
      </c>
      <c r="I2" s="208">
        <f>SUM(H5:H119)</f>
        <v>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46330</v>
      </c>
      <c r="F121" s="118" t="s">
        <v>186</v>
      </c>
      <c r="G121" s="181">
        <f>SUM(F5:F119)</f>
        <v>46330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35330</v>
      </c>
      <c r="F123" s="120" t="s">
        <v>187</v>
      </c>
      <c r="G123" s="183">
        <f>G121-G122</f>
        <v>35330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2018-06-25T09:02:58Z</cp:lastPrinted>
  <dcterms:created xsi:type="dcterms:W3CDTF">2007-02-21T01:05:33Z</dcterms:created>
  <dcterms:modified xsi:type="dcterms:W3CDTF">2018-06-25T09:03:47Z</dcterms:modified>
  <cp:category/>
  <cp:version/>
  <cp:contentType/>
  <cp:contentStatus/>
</cp:coreProperties>
</file>