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30" windowWidth="11205" windowHeight="4455" tabRatio="837"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<sst xmlns="http://schemas.openxmlformats.org/spreadsheetml/2006/main" count="862" uniqueCount="336">
  <si>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</si>
  <si>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</si>
  <si>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</si>
  <si>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</si>
  <si>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</si>
  <si>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</si>
  <si>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</si>
  <si>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</si>
  <si>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</si>
  <si>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</si>
  <si>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</si>
  <si>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</si>
  <si>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</si>
  <si>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</si>
  <si>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</si>
  <si>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</si>
  <si>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</si>
  <si>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</si>
  <si>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</si>
  <si>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</si>
  <si>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</si>
  <si>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</si>
  <si>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</si>
  <si>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</si>
  <si>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</si>
  <si>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</si>
  <si>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</si>
  <si>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</si>
  <si>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</si>
  <si>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</si>
  <si>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</si>
  <si>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</si>
  <si>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</si>
  <si>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</si>
  <si>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</si>
  <si>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</si>
  <si>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</si>
  <si>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</si>
  <si>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</si>
  <si>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</si>
  <si>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</si>
  <si>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</si>
  <si>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</si>
  <si>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</si>
  <si>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</si>
  <si>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</si>
  <si>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</si>
  <si>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</si>
  <si>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</si>
  <si>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</si>
  <si>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</si>
  <si>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</si>
  <si>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</si>
  <si>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</si>
  <si>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</si>
  <si>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</si>
  <si>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</si>
  <si>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</si>
  <si>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</si>
  <si>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</si>
  <si>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</si>
  <si>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</si>
  <si>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</si>
  <si>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</si>
  <si>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</si>
  <si>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</si>
  <si>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</si>
  <si>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</si>
  <si>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</si>
  <si>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</si>
  <si>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</si>
  <si>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</si>
  <si>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</si>
  <si>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</si>
  <si>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</si>
  <si>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</si>
  <si>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</si>
  <si>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</si>
  <si>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</si>
  <si>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</si>
  <si>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</si>
  <si>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</si>
  <si>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</si>
  <si>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</si>
  <si>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</si>
  <si>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</si>
  <si>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</si>
  <si>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</si>
  <si>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</si>
  <si>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</si>
  <si>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</si>
  <si>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</si>
  <si>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</si>
  <si>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</si>
  <si>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</si>
  <si>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</si>
  <si>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</si>
  <si>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</si>
  <si>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</si>
  <si>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</si>
  <si>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</si>
  <si>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</si>
  <si>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</si>
  <si>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</si>
  <si>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</si>
  <si>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</si>
  <si>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</si>
  <si>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</si>
  <si>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</si>
  <si>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</si>
  <si>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</si>
  <si>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</si>
  <si>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</si>
  <si>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</si>
  <si>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</si>
  <si>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</si>
  <si>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</si>
  <si>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</si>
  <si>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</si>
  <si>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</si>
  <si>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</si>
  <si>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</si>
  <si>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</si>
  <si>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</si>
  <si>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</si>
  <si>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</si>
  <si>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</si>
  <si>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</si>
  <si>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</si>
  <si>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</si>
  <si>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</si>
  <si>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</si>
  <si>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</si>
  <si>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</si>
  <si>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</si>
  <si>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</si>
  <si>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</si>
  <si>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</si>
  <si>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</si>
  <si>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</si>
  <si>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</si>
  <si>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</si>
  <si>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</si>
  <si>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</si>
  <si>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</si>
  <si>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</si>
  <si>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</si>
  <si>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</si>
  <si>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</si>
  <si>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</si>
  <si>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</si>
  <si>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</si>
  <si>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</si>
  <si>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</si>
  <si>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</si>
  <si>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</si>
  <si>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</si>
  <si>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</si>
  <si>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</si>
  <si>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</si>
  <si>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</si>
  <si>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</si>
  <si>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</si>
  <si>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</si>
  <si>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</si>
  <si>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</si>
  <si>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</si>
  <si>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</si>
  <si>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</si>
  <si>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</si>
  <si>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</si>
  <si>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</si>
  <si>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</si>
  <si>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</si>
  <si>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</si>
  <si>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</si>
  <si>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</si>
  <si>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</si>
  <si>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</si>
  <si>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</si>
  <si>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</si>
  <si>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</si>
  <si>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</si>
  <si>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</si>
  <si>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</si>
  <si>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</si>
  <si>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</si>
  <si>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</si>
  <si>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</si>
  <si>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</si>
  <si>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</si>
  <si>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</si>
  <si>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</si>
  <si>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</si>
  <si>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</si>
  <si>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</si>
  <si>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</si>
  <si>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</si>
  <si>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</si>
  <si>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</si>
  <si>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</si>
  <si>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</si>
  <si>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</si>
  <si>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</si>
  <si>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</si>
  <si>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</si>
  <si>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</si>
  <si>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</si>
  <si>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</si>
  <si>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</si>
  <si>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</si>
  <si>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</si>
  <si>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</si>
  <si>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</si>
  <si>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</si>
  <si>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</si>
  <si>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</si>
  <si>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</si>
  <si>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</si>
  <si>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</si>
  <si>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</si>
  <si>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</si>
  <si>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</si>
  <si>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</si>
  <si>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</si>
  <si>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</si>
  <si>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</si>
  <si>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</si>
  <si>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</si>
  <si>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</si>
  <si>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</si>
  <si>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</si>
  <si>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</si>
  <si>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</si>
  <si>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</si>
  <si>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</si>
  <si>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</si>
  <si>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</si>
  <si>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</si>
  <si>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</si>
  <si>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</si>
  <si>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</si>
  <si>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</si>
  <si>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</si>
  <si>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</si>
  <si>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</si>
  <si>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</si>
  <si>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</si>
  <si>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</si>
  <si>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</si>
  <si>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</si>
  <si>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</si>
  <si>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</si>
  <si>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</si>
  <si>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</si>
  <si>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</si>
  <si>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</si>
  <si>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</si>
  <si>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</si>
  <si>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</si>
  <si>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</si>
  <si>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</si>
  <si>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</si>
  <si>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</si>
  <si>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</si>
  <si>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</si>
  <si>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</si>
  <si>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</si>
  <si>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</si>
  <si>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</si>
  <si>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</si>
  <si>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</si>
  <si>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</si>
  <si>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（学校番号：307）</t>
  </si>
  <si>
    <t>府立東住吉高等学校　</t>
  </si>
  <si>
    <t>　校長　湯峯　郁子　</t>
  </si>
  <si>
    <t>ホームページデザイン制作</t>
  </si>
  <si>
    <t>芸能文化科チラシ　　3,000部</t>
  </si>
  <si>
    <t>芸能文化科卒業発表会衣装借上げ代</t>
  </si>
  <si>
    <t>広報用不織布バッグ校名入り　1,000枚</t>
  </si>
  <si>
    <t>人権教育の充実</t>
  </si>
  <si>
    <t>人権研修参加資料代</t>
  </si>
  <si>
    <t>授業アンケート集計業務委託</t>
  </si>
  <si>
    <t>教務研究会先進校視察</t>
  </si>
  <si>
    <t>先進校視察</t>
  </si>
  <si>
    <t>　　平成２９年　５月　２日</t>
  </si>
  <si>
    <t>広報用椅子カバー</t>
  </si>
  <si>
    <t>芸能文化科教育推進</t>
  </si>
  <si>
    <t>中学生体験授業材料費</t>
  </si>
  <si>
    <t>（財務会計コード番号：10355）</t>
  </si>
  <si>
    <t>　東住高第36号　</t>
  </si>
  <si>
    <t>学校案内パンフレット　　10,000部</t>
  </si>
  <si>
    <t>2-4</t>
  </si>
  <si>
    <t>全国校長会大学入試対策研究協議会</t>
  </si>
  <si>
    <t>全国高等学校長協会総会資料</t>
  </si>
  <si>
    <t>大阪府高等学校図書館研究会</t>
  </si>
  <si>
    <t>教務研究会先進校視察</t>
  </si>
  <si>
    <t>広報用不織布バッグ校名入り　1,000枚</t>
  </si>
  <si>
    <t>〃</t>
  </si>
  <si>
    <t>〃</t>
  </si>
  <si>
    <t>〃</t>
  </si>
  <si>
    <t>全国高等学校長協会人権教育研究協議会</t>
  </si>
  <si>
    <t>授業アンケート集計業務委託</t>
  </si>
  <si>
    <t>小中学生理科実験教室材料費</t>
  </si>
  <si>
    <t>高大接続及び授業改善研修参加資料代</t>
  </si>
  <si>
    <t>人権教育研修参加資料代</t>
  </si>
  <si>
    <t>先進校視察</t>
  </si>
  <si>
    <t>　 東住第 36-2号　</t>
  </si>
  <si>
    <t>小中学生理科実験教室材料費</t>
  </si>
  <si>
    <t>全国高等学校長協会人権教育研究協議会</t>
  </si>
  <si>
    <t>高大接続及び授業改善研修参加資料代</t>
  </si>
  <si>
    <t>〃</t>
  </si>
  <si>
    <t>　東住高 第124号　</t>
  </si>
  <si>
    <t>府立東住吉高等学校　</t>
  </si>
  <si>
    <t>　校長　湯峯 郁子　</t>
  </si>
  <si>
    <t>3－５－(１)</t>
  </si>
  <si>
    <t>情報発信の刷新</t>
  </si>
  <si>
    <t>ホームページデザインリニュアル、学校案内、芸文科チラシ作成、学校説明会用椅子カバーほか作製、中学生体験授業材料費ほか</t>
  </si>
  <si>
    <t>２－４</t>
  </si>
  <si>
    <t>芸能文化科卒業発表会衣装借り上げ</t>
  </si>
  <si>
    <t>3－１－(１)</t>
  </si>
  <si>
    <t>魅力ある授業づくり</t>
  </si>
  <si>
    <t>先進校視察、授業アンケート集計業務委託</t>
  </si>
  <si>
    <t>全国校長協会大学入試対策研究協議会出席、全国校長会総会資料代</t>
  </si>
  <si>
    <t>3－３－(１)</t>
  </si>
  <si>
    <t>人権教育研修資料代</t>
  </si>
  <si>
    <t>3-5-(1)</t>
  </si>
  <si>
    <t>3-3-(1)</t>
  </si>
  <si>
    <t>3-1-(1)</t>
  </si>
  <si>
    <t>3-1-(2)</t>
  </si>
  <si>
    <t>学校案内パンフレット　　7,000部</t>
  </si>
  <si>
    <t>進路実現への取組</t>
  </si>
  <si>
    <t>3－1－(2)</t>
  </si>
  <si>
    <t>　 東住高第 36-4号　</t>
  </si>
  <si>
    <t>　標記につきまして、平成29年度の執行状況及び実施内容を、下記のとおり報告します。</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</si>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</sst>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 numFmtId="186" formatCode="0.E+0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medium"/>
      <top style="hair"/>
      <bottom>
        <color indexed="63"/>
      </bottom>
    </border>
    <border>
      <left style="medium"/>
      <right style="medium"/>
      <top>
        <color indexed="63"/>
      </top>
      <bottom>
        <color indexed="63"/>
      </bottom>
    </border>
    <border>
      <left style="medium"/>
      <right style="hair"/>
      <top>
        <color indexed="63"/>
      </top>
      <bottom>
        <color indexed="63"/>
      </bottom>
    </border>
    <border>
      <left style="medium"/>
      <right style="hair"/>
      <top style="hair"/>
      <bottom>
        <color indexed="63"/>
      </botto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41">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center" vertical="center"/>
      <protection locked="0"/>
    </xf>
    <xf numFmtId="0" fontId="7" fillId="6" borderId="174" xfId="0" applyFont="1" applyFill="1" applyBorder="1" applyAlignment="1" applyProtection="1">
      <alignment horizontal="center" vertical="center"/>
      <protection locked="0"/>
    </xf>
    <xf numFmtId="49" fontId="7" fillId="6" borderId="175" xfId="0" applyNumberFormat="1" applyFont="1" applyFill="1" applyBorder="1" applyAlignment="1" applyProtection="1">
      <alignment horizontal="left" vertical="center" shrinkToFit="1"/>
      <protection locked="0"/>
    </xf>
    <xf numFmtId="0" fontId="7" fillId="6" borderId="111" xfId="0" applyFont="1" applyFill="1" applyBorder="1" applyAlignment="1" applyProtection="1">
      <alignment horizontal="left" vertical="center" wrapText="1"/>
      <protection locked="0"/>
    </xf>
    <xf numFmtId="0" fontId="7" fillId="6" borderId="113" xfId="0" applyFont="1" applyFill="1" applyBorder="1" applyAlignment="1" applyProtection="1">
      <alignment horizontal="left" vertical="center" wrapText="1"/>
      <protection locked="0"/>
    </xf>
    <xf numFmtId="49" fontId="7" fillId="6" borderId="176" xfId="0" applyNumberFormat="1" applyFont="1" applyFill="1" applyBorder="1" applyAlignment="1" applyProtection="1">
      <alignment horizontal="left" vertical="center" shrinkToFit="1"/>
      <protection locked="0"/>
    </xf>
    <xf numFmtId="49" fontId="7" fillId="6" borderId="80" xfId="0" applyNumberFormat="1" applyFont="1" applyFill="1" applyBorder="1" applyAlignment="1" applyProtection="1">
      <alignment horizontal="left" vertical="center" shrinkToFit="1"/>
      <protection locked="0"/>
    </xf>
    <xf numFmtId="49" fontId="7" fillId="6" borderId="81" xfId="0" applyNumberFormat="1" applyFont="1" applyFill="1" applyBorder="1" applyAlignment="1" applyProtection="1">
      <alignment horizontal="left" vertical="center" shrinkToFit="1"/>
      <protection locked="0"/>
    </xf>
    <xf numFmtId="0" fontId="7" fillId="6" borderId="173" xfId="0" applyFont="1" applyFill="1" applyBorder="1" applyAlignment="1" applyProtection="1">
      <alignment horizontal="center" vertical="center" shrinkToFit="1"/>
      <protection locked="0"/>
    </xf>
    <xf numFmtId="0" fontId="7" fillId="6" borderId="174" xfId="0" applyFont="1" applyFill="1" applyBorder="1" applyAlignment="1" applyProtection="1">
      <alignment horizontal="center" vertical="center" shrinkToFit="1"/>
      <protection locked="0"/>
    </xf>
    <xf numFmtId="183" fontId="7" fillId="6" borderId="83" xfId="0" applyNumberFormat="1"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protection locked="0"/>
    </xf>
    <xf numFmtId="5" fontId="0" fillId="0" borderId="57" xfId="0" applyNumberFormat="1" applyFill="1" applyBorder="1" applyAlignment="1" applyProtection="1">
      <alignment horizontal="left" vertical="center" shrinkToFit="1"/>
      <protection/>
    </xf>
    <xf numFmtId="0" fontId="7" fillId="6" borderId="177"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49" fontId="7" fillId="6" borderId="179" xfId="0" applyNumberFormat="1" applyFont="1" applyFill="1" applyBorder="1" applyAlignment="1" applyProtection="1">
      <alignment horizontal="left" vertical="center" wrapText="1" shrinkToFit="1"/>
      <protection locked="0"/>
    </xf>
    <xf numFmtId="49" fontId="7" fillId="6" borderId="71" xfId="0" applyNumberFormat="1"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3"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5" xfId="57" applyFont="1" applyFill="1" applyBorder="1" applyAlignment="1" applyProtection="1">
      <alignment horizontal="center" vertical="center"/>
      <protection/>
    </xf>
    <xf numFmtId="0" fontId="7" fillId="6" borderId="177" xfId="0" applyFont="1" applyFill="1" applyBorder="1" applyAlignment="1" applyProtection="1">
      <alignment horizontal="left" vertical="center" wrapText="1"/>
      <protection locked="0"/>
    </xf>
    <xf numFmtId="0" fontId="7" fillId="6" borderId="186"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7"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8" xfId="0" applyFont="1" applyBorder="1" applyAlignment="1" applyProtection="1">
      <alignment horizontal="center" vertical="center" wrapText="1" shrinkToFit="1"/>
      <protection/>
    </xf>
    <xf numFmtId="0" fontId="0" fillId="0" borderId="18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5"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4"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192" xfId="0" applyFont="1" applyBorder="1" applyAlignment="1" applyProtection="1">
      <alignment horizontal="center" vertical="center"/>
      <protection/>
    </xf>
    <xf numFmtId="0" fontId="7" fillId="0" borderId="193" xfId="0" applyFont="1" applyBorder="1" applyAlignment="1" applyProtection="1">
      <alignment horizontal="center" vertical="center"/>
      <protection/>
    </xf>
    <xf numFmtId="0" fontId="7" fillId="0" borderId="190" xfId="0" applyFont="1" applyBorder="1" applyAlignment="1" applyProtection="1">
      <alignment horizontal="left" vertical="center" shrinkToFit="1"/>
      <protection/>
    </xf>
    <xf numFmtId="0" fontId="7" fillId="0" borderId="194"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9"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5"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00" xfId="0" applyFont="1" applyBorder="1" applyAlignment="1" applyProtection="1">
      <alignment horizontal="left" vertical="center" shrinkToFit="1"/>
      <protection/>
    </xf>
    <xf numFmtId="0" fontId="7" fillId="0" borderId="201" xfId="0" applyFont="1" applyBorder="1" applyAlignment="1" applyProtection="1">
      <alignment horizontal="left" vertical="center" shrinkToFit="1"/>
      <protection/>
    </xf>
    <xf numFmtId="0" fontId="7" fillId="0" borderId="196" xfId="0" applyFont="1" applyBorder="1" applyAlignment="1" applyProtection="1">
      <alignment horizontal="left" vertical="center"/>
      <protection/>
    </xf>
    <xf numFmtId="0" fontId="7" fillId="0" borderId="202"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5"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5"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8" xfId="0" applyFont="1" applyBorder="1" applyAlignment="1" applyProtection="1">
      <alignment horizontal="center" vertical="center" shrinkToFit="1"/>
      <protection/>
    </xf>
    <xf numFmtId="6" fontId="3" fillId="0" borderId="203"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4" xfId="57" applyFont="1" applyBorder="1" applyAlignment="1" applyProtection="1">
      <alignment horizontal="right" vertical="center" shrinkToFit="1"/>
      <protection/>
    </xf>
    <xf numFmtId="6" fontId="3" fillId="0" borderId="205"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5" xfId="57" applyFont="1" applyFill="1" applyBorder="1" applyAlignment="1" applyProtection="1">
      <alignment horizontal="center" vertical="center"/>
      <protection/>
    </xf>
    <xf numFmtId="0" fontId="3" fillId="0" borderId="206"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8"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7"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7" xfId="0" applyFont="1" applyBorder="1" applyAlignment="1" applyProtection="1">
      <alignment horizontal="center" vertical="center" wrapText="1" shrinkToFit="1"/>
      <protection/>
    </xf>
    <xf numFmtId="0" fontId="7" fillId="0" borderId="208" xfId="0" applyFont="1" applyBorder="1" applyAlignment="1" applyProtection="1">
      <alignment horizontal="center" vertical="center" shrinkToFit="1"/>
      <protection/>
    </xf>
    <xf numFmtId="0" fontId="7" fillId="0" borderId="209" xfId="0" applyFont="1" applyBorder="1" applyAlignment="1" applyProtection="1">
      <alignment horizontal="center" vertical="center" wrapText="1" shrinkToFit="1"/>
      <protection/>
    </xf>
    <xf numFmtId="0" fontId="7" fillId="0" borderId="210" xfId="0" applyFont="1" applyBorder="1" applyAlignment="1" applyProtection="1">
      <alignment horizontal="center" vertical="center" wrapText="1"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5" xfId="0" applyBorder="1" applyAlignment="1">
      <alignment vertical="center"/>
    </xf>
    <xf numFmtId="0" fontId="0" fillId="0" borderId="185"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3"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58" fontId="7" fillId="6" borderId="158" xfId="0" applyNumberFormat="1" applyFont="1" applyFill="1" applyBorder="1" applyAlignment="1" applyProtection="1">
      <alignment horizontal="left" vertical="center"/>
      <protection locked="0"/>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3" xfId="0" applyFont="1" applyBorder="1" applyAlignment="1" applyProtection="1">
      <alignment horizontal="center" vertical="center" wrapText="1" shrinkToFit="1"/>
      <protection/>
    </xf>
    <xf numFmtId="6" fontId="7" fillId="0" borderId="217" xfId="57" applyFont="1" applyBorder="1" applyAlignment="1" applyProtection="1">
      <alignment horizontal="right" vertical="center" shrinkToFit="1"/>
      <protection/>
    </xf>
    <xf numFmtId="0" fontId="7" fillId="6" borderId="218"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9"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6">
      <selection activeCell="F21" sqref="F21:J2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20" t="s">
        <v>273</v>
      </c>
      <c r="I1" s="520"/>
      <c r="J1" s="520"/>
      <c r="K1" s="520"/>
    </row>
    <row r="2" spans="2:11" s="1" customFormat="1" ht="18" customHeight="1">
      <c r="B2" s="146"/>
      <c r="H2" s="520" t="s">
        <v>289</v>
      </c>
      <c r="I2" s="520"/>
      <c r="J2" s="520"/>
      <c r="K2" s="520"/>
    </row>
    <row r="3" spans="2:11" s="1" customFormat="1" ht="18" customHeight="1">
      <c r="B3" s="146"/>
      <c r="K3" s="2"/>
    </row>
    <row r="4" spans="2:11" s="1" customFormat="1" ht="18" customHeight="1">
      <c r="B4" s="146"/>
      <c r="H4" s="521" t="s">
        <v>333</v>
      </c>
      <c r="I4" s="521"/>
      <c r="J4" s="521"/>
      <c r="K4" s="521"/>
    </row>
    <row r="5" spans="2:11" s="1" customFormat="1" ht="18" customHeight="1">
      <c r="B5" s="146"/>
      <c r="H5" s="522">
        <v>43187</v>
      </c>
      <c r="I5" s="521"/>
      <c r="J5" s="521"/>
      <c r="K5" s="521"/>
    </row>
    <row r="6" spans="1:11" s="1" customFormat="1" ht="18" customHeight="1">
      <c r="A6" s="3" t="s">
        <v>2</v>
      </c>
      <c r="B6" s="146"/>
      <c r="H6" s="4"/>
      <c r="K6" s="11"/>
    </row>
    <row r="7" spans="1:11" s="1" customFormat="1" ht="18" customHeight="1">
      <c r="A7" s="4"/>
      <c r="B7" s="146"/>
      <c r="H7" s="521" t="s">
        <v>274</v>
      </c>
      <c r="I7" s="521"/>
      <c r="J7" s="521"/>
      <c r="K7" s="521"/>
    </row>
    <row r="8" spans="1:11" s="1" customFormat="1" ht="18" customHeight="1">
      <c r="A8" s="4"/>
      <c r="B8" s="146"/>
      <c r="H8" s="521" t="s">
        <v>275</v>
      </c>
      <c r="I8" s="521"/>
      <c r="J8" s="521"/>
      <c r="K8" s="521"/>
    </row>
    <row r="9" spans="1:11" s="1" customFormat="1" ht="42" customHeight="1">
      <c r="A9" s="4"/>
      <c r="B9" s="146"/>
      <c r="H9" s="2"/>
      <c r="K9" s="46"/>
    </row>
    <row r="10" spans="1:11" s="5" customFormat="1" ht="24" customHeight="1">
      <c r="A10" s="523" t="s">
        <v>263</v>
      </c>
      <c r="B10" s="523"/>
      <c r="C10" s="523"/>
      <c r="D10" s="523"/>
      <c r="E10" s="523"/>
      <c r="F10" s="523"/>
      <c r="G10" s="523"/>
      <c r="H10" s="523"/>
      <c r="I10" s="523"/>
      <c r="J10" s="523"/>
      <c r="K10" s="523"/>
    </row>
    <row r="11" spans="1:11" s="5" customFormat="1" ht="24" customHeight="1">
      <c r="A11" s="524"/>
      <c r="B11" s="524"/>
      <c r="C11" s="524"/>
      <c r="D11" s="524"/>
      <c r="E11" s="524"/>
      <c r="F11" s="524"/>
      <c r="G11" s="524"/>
      <c r="H11" s="524"/>
      <c r="I11" s="524"/>
      <c r="J11" s="524"/>
      <c r="K11" s="524"/>
    </row>
    <row r="12" spans="1:11" s="5" customFormat="1" ht="24" customHeight="1">
      <c r="A12" s="14" t="s">
        <v>334</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25" t="s">
        <v>223</v>
      </c>
      <c r="B14" s="526"/>
      <c r="C14" s="527"/>
      <c r="D14" s="528">
        <f>'1-1'!D14:F14</f>
        <v>1190000</v>
      </c>
      <c r="E14" s="529"/>
      <c r="F14" s="530"/>
      <c r="G14" s="510" t="s">
        <v>1</v>
      </c>
      <c r="H14" s="511"/>
      <c r="I14" s="512">
        <v>43187</v>
      </c>
      <c r="J14" s="513"/>
      <c r="K14" s="514"/>
    </row>
    <row r="15" spans="1:11" s="5" customFormat="1" ht="39" customHeight="1" thickBot="1">
      <c r="A15" s="19"/>
      <c r="B15" s="18" t="s">
        <v>8</v>
      </c>
      <c r="C15" s="17" t="s">
        <v>9</v>
      </c>
      <c r="D15" s="16" t="s">
        <v>124</v>
      </c>
      <c r="E15" s="16" t="s">
        <v>123</v>
      </c>
      <c r="F15" s="17" t="s">
        <v>10</v>
      </c>
      <c r="G15" s="17" t="s">
        <v>11</v>
      </c>
      <c r="H15" s="449" t="s">
        <v>249</v>
      </c>
      <c r="I15" s="16" t="s">
        <v>12</v>
      </c>
      <c r="J15" s="448" t="s">
        <v>253</v>
      </c>
      <c r="K15" s="23" t="s">
        <v>15</v>
      </c>
    </row>
    <row r="16" spans="1:11" s="5" customFormat="1" ht="58.5" customHeight="1" thickBot="1" thickTop="1">
      <c r="A16" s="22" t="s">
        <v>119</v>
      </c>
      <c r="B16" s="219">
        <f>'3-2'!K38</f>
        <v>0</v>
      </c>
      <c r="C16" s="220">
        <f>'3-2'!K39</f>
        <v>188618</v>
      </c>
      <c r="D16" s="220">
        <f>'3-2'!K40</f>
        <v>322469</v>
      </c>
      <c r="E16" s="220">
        <f>'3-2'!K41</f>
        <v>0</v>
      </c>
      <c r="F16" s="220">
        <f>'3-2'!K42</f>
        <v>0</v>
      </c>
      <c r="G16" s="220">
        <f>'3-2'!K43</f>
        <v>347328</v>
      </c>
      <c r="H16" s="220">
        <f>'3-2'!K44</f>
        <v>280000</v>
      </c>
      <c r="I16" s="220">
        <f>'3-2'!K45</f>
        <v>0</v>
      </c>
      <c r="J16" s="221">
        <f>'3-2'!K46</f>
        <v>46330</v>
      </c>
      <c r="K16" s="222">
        <f>SUM(B16:J16)</f>
        <v>1184745</v>
      </c>
    </row>
    <row r="17" spans="6:7" ht="24" customHeight="1" thickBot="1">
      <c r="F17" s="12"/>
      <c r="G17" s="12"/>
    </row>
    <row r="18" spans="1:11" ht="24" customHeight="1" thickBot="1">
      <c r="A18" s="144" t="s">
        <v>141</v>
      </c>
      <c r="B18" s="515" t="s">
        <v>142</v>
      </c>
      <c r="C18" s="516"/>
      <c r="D18" s="515" t="s">
        <v>224</v>
      </c>
      <c r="E18" s="517"/>
      <c r="F18" s="516" t="s">
        <v>219</v>
      </c>
      <c r="G18" s="516"/>
      <c r="H18" s="516"/>
      <c r="I18" s="516"/>
      <c r="J18" s="517"/>
      <c r="K18" s="145" t="s">
        <v>140</v>
      </c>
    </row>
    <row r="19" spans="1:11" ht="48" customHeight="1">
      <c r="A19" s="149">
        <v>1</v>
      </c>
      <c r="B19" s="518" t="s">
        <v>315</v>
      </c>
      <c r="C19" s="519"/>
      <c r="D19" s="506" t="s">
        <v>316</v>
      </c>
      <c r="E19" s="507"/>
      <c r="F19" s="509" t="s">
        <v>317</v>
      </c>
      <c r="G19" s="509"/>
      <c r="H19" s="509"/>
      <c r="I19" s="509"/>
      <c r="J19" s="507"/>
      <c r="K19" s="474" t="s">
        <v>272</v>
      </c>
    </row>
    <row r="20" spans="1:11" ht="48" customHeight="1">
      <c r="A20" s="150">
        <v>2</v>
      </c>
      <c r="B20" s="504" t="s">
        <v>318</v>
      </c>
      <c r="C20" s="505"/>
      <c r="D20" s="502" t="s">
        <v>287</v>
      </c>
      <c r="E20" s="503"/>
      <c r="F20" s="508" t="s">
        <v>319</v>
      </c>
      <c r="G20" s="508"/>
      <c r="H20" s="508"/>
      <c r="I20" s="508"/>
      <c r="J20" s="503"/>
      <c r="K20" s="474" t="s">
        <v>335</v>
      </c>
    </row>
    <row r="21" spans="1:11" ht="48" customHeight="1">
      <c r="A21" s="150">
        <v>3</v>
      </c>
      <c r="B21" s="499" t="s">
        <v>324</v>
      </c>
      <c r="C21" s="500"/>
      <c r="D21" s="502" t="s">
        <v>280</v>
      </c>
      <c r="E21" s="503"/>
      <c r="F21" s="508" t="s">
        <v>325</v>
      </c>
      <c r="G21" s="508"/>
      <c r="H21" s="508"/>
      <c r="I21" s="508"/>
      <c r="J21" s="503"/>
      <c r="K21" s="474" t="s">
        <v>272</v>
      </c>
    </row>
    <row r="22" spans="1:11" ht="48" customHeight="1">
      <c r="A22" s="150">
        <v>4</v>
      </c>
      <c r="B22" s="499" t="s">
        <v>320</v>
      </c>
      <c r="C22" s="500"/>
      <c r="D22" s="502" t="s">
        <v>321</v>
      </c>
      <c r="E22" s="503"/>
      <c r="F22" s="508" t="s">
        <v>322</v>
      </c>
      <c r="G22" s="508"/>
      <c r="H22" s="508"/>
      <c r="I22" s="508"/>
      <c r="J22" s="503"/>
      <c r="K22" s="474" t="s">
        <v>272</v>
      </c>
    </row>
    <row r="23" spans="1:11" ht="48" customHeight="1">
      <c r="A23" s="150">
        <v>5</v>
      </c>
      <c r="B23" s="499" t="s">
        <v>332</v>
      </c>
      <c r="C23" s="500"/>
      <c r="D23" s="502" t="s">
        <v>331</v>
      </c>
      <c r="E23" s="503"/>
      <c r="F23" s="508" t="s">
        <v>323</v>
      </c>
      <c r="G23" s="508"/>
      <c r="H23" s="508"/>
      <c r="I23" s="508"/>
      <c r="J23" s="503"/>
      <c r="K23" s="474" t="s">
        <v>272</v>
      </c>
    </row>
    <row r="24" spans="1:11" ht="48" customHeight="1">
      <c r="A24" s="150"/>
      <c r="B24" s="499"/>
      <c r="C24" s="500"/>
      <c r="D24" s="502"/>
      <c r="E24" s="503"/>
      <c r="F24" s="508"/>
      <c r="G24" s="508"/>
      <c r="H24" s="508"/>
      <c r="I24" s="508"/>
      <c r="J24" s="503"/>
      <c r="K24" s="474"/>
    </row>
    <row r="25" spans="1:11" ht="48" customHeight="1">
      <c r="A25" s="150"/>
      <c r="B25" s="499"/>
      <c r="C25" s="501"/>
      <c r="D25" s="502"/>
      <c r="E25" s="503"/>
      <c r="F25" s="508"/>
      <c r="G25" s="508"/>
      <c r="H25" s="508"/>
      <c r="I25" s="508"/>
      <c r="J25" s="503"/>
      <c r="K25" s="474"/>
    </row>
    <row r="26" spans="1:11" ht="48" customHeight="1">
      <c r="A26" s="150"/>
      <c r="B26" s="499"/>
      <c r="C26" s="501"/>
      <c r="D26" s="502"/>
      <c r="E26" s="503"/>
      <c r="F26" s="508"/>
      <c r="G26" s="508"/>
      <c r="H26" s="508"/>
      <c r="I26" s="508"/>
      <c r="J26" s="503"/>
      <c r="K26" s="474"/>
    </row>
    <row r="27" spans="1:11" ht="48" customHeight="1">
      <c r="A27" s="150"/>
      <c r="B27" s="499"/>
      <c r="C27" s="500"/>
      <c r="D27" s="502"/>
      <c r="E27" s="503"/>
      <c r="F27" s="508"/>
      <c r="G27" s="508"/>
      <c r="H27" s="508"/>
      <c r="I27" s="508"/>
      <c r="J27" s="503"/>
      <c r="K27" s="474"/>
    </row>
    <row r="28" spans="1:11" ht="48" customHeight="1">
      <c r="A28" s="150"/>
      <c r="B28" s="499"/>
      <c r="C28" s="500"/>
      <c r="D28" s="502"/>
      <c r="E28" s="503"/>
      <c r="F28" s="508"/>
      <c r="G28" s="508"/>
      <c r="H28" s="508"/>
      <c r="I28" s="508"/>
      <c r="J28" s="503"/>
      <c r="K28" s="474"/>
    </row>
    <row r="29" spans="1:11" ht="48" customHeight="1">
      <c r="A29" s="150"/>
      <c r="B29" s="499"/>
      <c r="C29" s="500"/>
      <c r="D29" s="502"/>
      <c r="E29" s="503"/>
      <c r="F29" s="508"/>
      <c r="G29" s="508"/>
      <c r="H29" s="508"/>
      <c r="I29" s="508"/>
      <c r="J29" s="503"/>
      <c r="K29" s="474"/>
    </row>
    <row r="30" spans="1:11" ht="48" customHeight="1">
      <c r="A30" s="157"/>
      <c r="B30" s="499"/>
      <c r="C30" s="501"/>
      <c r="D30" s="502"/>
      <c r="E30" s="503"/>
      <c r="F30" s="508"/>
      <c r="G30" s="508"/>
      <c r="H30" s="508"/>
      <c r="I30" s="508"/>
      <c r="J30" s="503"/>
      <c r="K30" s="474"/>
    </row>
    <row r="31" spans="1:11" ht="48" customHeight="1">
      <c r="A31" s="157"/>
      <c r="B31" s="499"/>
      <c r="C31" s="501"/>
      <c r="D31" s="502"/>
      <c r="E31" s="503"/>
      <c r="F31" s="508"/>
      <c r="G31" s="508"/>
      <c r="H31" s="508"/>
      <c r="I31" s="508"/>
      <c r="J31" s="503"/>
      <c r="K31" s="474"/>
    </row>
    <row r="32" spans="1:11" ht="48" customHeight="1">
      <c r="A32" s="157"/>
      <c r="B32" s="499"/>
      <c r="C32" s="501"/>
      <c r="D32" s="502"/>
      <c r="E32" s="503"/>
      <c r="F32" s="508"/>
      <c r="G32" s="508"/>
      <c r="H32" s="508"/>
      <c r="I32" s="508"/>
      <c r="J32" s="503"/>
      <c r="K32" s="474"/>
    </row>
    <row r="33" spans="1:11" ht="48" customHeight="1">
      <c r="A33" s="157"/>
      <c r="B33" s="499"/>
      <c r="C33" s="501"/>
      <c r="D33" s="502"/>
      <c r="E33" s="503"/>
      <c r="F33" s="508"/>
      <c r="G33" s="508"/>
      <c r="H33" s="508"/>
      <c r="I33" s="508"/>
      <c r="J33" s="503"/>
      <c r="K33" s="474"/>
    </row>
    <row r="34" spans="1:11" ht="48" customHeight="1">
      <c r="A34" s="157"/>
      <c r="B34" s="499"/>
      <c r="C34" s="501"/>
      <c r="D34" s="502"/>
      <c r="E34" s="503"/>
      <c r="F34" s="508"/>
      <c r="G34" s="508"/>
      <c r="H34" s="508"/>
      <c r="I34" s="508"/>
      <c r="J34" s="503"/>
      <c r="K34" s="474"/>
    </row>
    <row r="35" spans="1:11" ht="48" customHeight="1" thickBot="1">
      <c r="A35" s="151"/>
      <c r="B35" s="497"/>
      <c r="C35" s="498"/>
      <c r="D35" s="531"/>
      <c r="E35" s="532"/>
      <c r="F35" s="533"/>
      <c r="G35" s="533"/>
      <c r="H35" s="533"/>
      <c r="I35" s="533"/>
      <c r="J35" s="532"/>
      <c r="K35" s="474"/>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C13" sqref="C1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3" t="s">
        <v>141</v>
      </c>
      <c r="B3" s="299" t="s">
        <v>142</v>
      </c>
      <c r="C3" s="59" t="s">
        <v>144</v>
      </c>
      <c r="D3" s="96" t="s">
        <v>146</v>
      </c>
      <c r="E3" s="96" t="s">
        <v>0</v>
      </c>
      <c r="F3" s="96" t="s">
        <v>197</v>
      </c>
      <c r="G3" s="96" t="s">
        <v>91</v>
      </c>
      <c r="H3" s="475" t="s">
        <v>246</v>
      </c>
      <c r="I3" s="96" t="s">
        <v>92</v>
      </c>
      <c r="J3" s="96" t="s">
        <v>93</v>
      </c>
      <c r="K3" s="227" t="s">
        <v>111</v>
      </c>
      <c r="L3" s="295" t="s">
        <v>94</v>
      </c>
      <c r="M3" s="29" t="s">
        <v>99</v>
      </c>
    </row>
    <row r="4" spans="1:13" ht="13.5" customHeight="1">
      <c r="A4" s="360"/>
      <c r="B4" s="494"/>
      <c r="C4" s="242"/>
      <c r="D4" s="243">
        <v>301</v>
      </c>
      <c r="E4" s="244" t="s">
        <v>138</v>
      </c>
      <c r="F4" s="245" t="s">
        <v>225</v>
      </c>
      <c r="G4" s="246"/>
      <c r="H4" s="247"/>
      <c r="I4" s="247"/>
      <c r="J4" s="248">
        <f>G4*H4*I4</f>
        <v>0</v>
      </c>
      <c r="K4" s="249"/>
      <c r="L4" s="250" t="s">
        <v>227</v>
      </c>
      <c r="M4" s="29">
        <f aca="true" t="shared" si="0" ref="M4:M67">IF(K4="◎",J4,"")</f>
      </c>
    </row>
    <row r="5" spans="1:13" ht="14.25">
      <c r="A5" s="495">
        <v>1</v>
      </c>
      <c r="B5" s="491" t="s">
        <v>326</v>
      </c>
      <c r="C5" s="253" t="s">
        <v>316</v>
      </c>
      <c r="D5" s="254">
        <v>302</v>
      </c>
      <c r="E5" s="255" t="s">
        <v>125</v>
      </c>
      <c r="F5" s="256" t="s">
        <v>288</v>
      </c>
      <c r="G5" s="257">
        <v>34000</v>
      </c>
      <c r="H5" s="258">
        <v>1</v>
      </c>
      <c r="I5" s="258">
        <v>1</v>
      </c>
      <c r="J5" s="259">
        <f>G5*H5*I5</f>
        <v>34000</v>
      </c>
      <c r="K5" s="260"/>
      <c r="L5" s="261"/>
      <c r="M5" s="29">
        <f t="shared" si="0"/>
      </c>
    </row>
    <row r="6" spans="1:13" ht="14.25">
      <c r="A6" s="495"/>
      <c r="B6" s="252" t="s">
        <v>311</v>
      </c>
      <c r="C6" s="253" t="s">
        <v>311</v>
      </c>
      <c r="D6" s="254">
        <v>303</v>
      </c>
      <c r="E6" s="255" t="s">
        <v>125</v>
      </c>
      <c r="F6" s="256" t="s">
        <v>308</v>
      </c>
      <c r="G6" s="257">
        <v>25000</v>
      </c>
      <c r="H6" s="258">
        <v>1</v>
      </c>
      <c r="I6" s="258">
        <v>1</v>
      </c>
      <c r="J6" s="259">
        <f aca="true" t="shared" si="1" ref="J6:J69">G6*H6*I6</f>
        <v>25000</v>
      </c>
      <c r="K6" s="260"/>
      <c r="L6" s="261"/>
      <c r="M6" s="29">
        <f t="shared" si="0"/>
      </c>
    </row>
    <row r="7" spans="1:13" ht="14.25">
      <c r="A7" s="251">
        <v>2</v>
      </c>
      <c r="B7" s="491" t="s">
        <v>327</v>
      </c>
      <c r="C7" s="253" t="s">
        <v>280</v>
      </c>
      <c r="D7" s="254">
        <v>304</v>
      </c>
      <c r="E7" s="255" t="s">
        <v>86</v>
      </c>
      <c r="F7" s="256" t="s">
        <v>309</v>
      </c>
      <c r="G7" s="257">
        <v>30000</v>
      </c>
      <c r="H7" s="258">
        <v>1</v>
      </c>
      <c r="I7" s="258">
        <v>1</v>
      </c>
      <c r="J7" s="259">
        <f t="shared" si="1"/>
        <v>30000</v>
      </c>
      <c r="K7" s="260"/>
      <c r="L7" s="261"/>
      <c r="M7" s="29">
        <f t="shared" si="0"/>
      </c>
    </row>
    <row r="8" spans="1:13" ht="14.25">
      <c r="A8" s="251"/>
      <c r="B8" s="252" t="s">
        <v>311</v>
      </c>
      <c r="C8" s="253" t="s">
        <v>311</v>
      </c>
      <c r="D8" s="254">
        <v>305</v>
      </c>
      <c r="E8" s="255" t="s">
        <v>125</v>
      </c>
      <c r="F8" s="256" t="s">
        <v>305</v>
      </c>
      <c r="G8" s="257">
        <v>5000</v>
      </c>
      <c r="H8" s="258">
        <v>1</v>
      </c>
      <c r="I8" s="258">
        <v>1</v>
      </c>
      <c r="J8" s="259">
        <f t="shared" si="1"/>
        <v>5000</v>
      </c>
      <c r="K8" s="260"/>
      <c r="L8" s="261"/>
      <c r="M8" s="29">
        <f t="shared" si="0"/>
      </c>
    </row>
    <row r="9" spans="1:13" ht="14.25">
      <c r="A9" s="251">
        <v>3</v>
      </c>
      <c r="B9" s="491" t="s">
        <v>328</v>
      </c>
      <c r="C9" s="253" t="s">
        <v>321</v>
      </c>
      <c r="D9" s="254">
        <v>306</v>
      </c>
      <c r="E9" s="255" t="s">
        <v>125</v>
      </c>
      <c r="F9" s="256" t="s">
        <v>310</v>
      </c>
      <c r="G9" s="257">
        <v>5000</v>
      </c>
      <c r="H9" s="258">
        <v>1</v>
      </c>
      <c r="I9" s="258">
        <v>1</v>
      </c>
      <c r="J9" s="259">
        <f t="shared" si="1"/>
        <v>5000</v>
      </c>
      <c r="K9" s="260"/>
      <c r="L9" s="261"/>
      <c r="M9" s="29">
        <f t="shared" si="0"/>
      </c>
    </row>
    <row r="10" spans="1:13" ht="14.25">
      <c r="A10" s="251"/>
      <c r="B10" s="252" t="s">
        <v>311</v>
      </c>
      <c r="C10" s="253" t="s">
        <v>311</v>
      </c>
      <c r="D10" s="254">
        <v>307</v>
      </c>
      <c r="E10" s="256" t="s">
        <v>86</v>
      </c>
      <c r="F10" s="256" t="s">
        <v>284</v>
      </c>
      <c r="G10" s="257">
        <v>2500</v>
      </c>
      <c r="H10" s="258">
        <v>2</v>
      </c>
      <c r="I10" s="258">
        <v>1</v>
      </c>
      <c r="J10" s="259">
        <f t="shared" si="1"/>
        <v>5000</v>
      </c>
      <c r="K10" s="260"/>
      <c r="L10" s="261"/>
      <c r="M10" s="29">
        <f t="shared" si="0"/>
      </c>
    </row>
    <row r="11" spans="1:13" ht="13.5" customHeight="1">
      <c r="A11" s="251"/>
      <c r="B11" s="252"/>
      <c r="C11" s="253"/>
      <c r="D11" s="254">
        <v>308</v>
      </c>
      <c r="E11" s="264"/>
      <c r="F11" s="264"/>
      <c r="G11" s="265"/>
      <c r="H11" s="266"/>
      <c r="I11" s="266"/>
      <c r="J11" s="259">
        <f t="shared" si="1"/>
        <v>0</v>
      </c>
      <c r="K11" s="267"/>
      <c r="L11" s="268"/>
      <c r="M11" s="29">
        <f t="shared" si="0"/>
      </c>
    </row>
    <row r="12" spans="1:13" ht="14.25">
      <c r="A12" s="251"/>
      <c r="B12" s="252"/>
      <c r="C12" s="253"/>
      <c r="D12" s="254">
        <v>309</v>
      </c>
      <c r="E12" s="255"/>
      <c r="F12" s="255"/>
      <c r="G12" s="269"/>
      <c r="H12" s="270"/>
      <c r="I12" s="270"/>
      <c r="J12" s="259">
        <f t="shared" si="1"/>
        <v>0</v>
      </c>
      <c r="K12" s="271"/>
      <c r="L12" s="272"/>
      <c r="M12" s="29">
        <f t="shared" si="0"/>
      </c>
    </row>
    <row r="13" spans="1:13" ht="14.25">
      <c r="A13" s="251"/>
      <c r="B13" s="252"/>
      <c r="C13" s="253"/>
      <c r="D13" s="254">
        <v>310</v>
      </c>
      <c r="E13" s="255"/>
      <c r="F13" s="255"/>
      <c r="G13" s="269"/>
      <c r="H13" s="270"/>
      <c r="I13" s="270"/>
      <c r="J13" s="259">
        <f t="shared" si="1"/>
        <v>0</v>
      </c>
      <c r="K13" s="260"/>
      <c r="L13" s="261"/>
      <c r="M13" s="29">
        <f t="shared" si="0"/>
      </c>
    </row>
    <row r="14" spans="1:13" ht="13.5" customHeight="1">
      <c r="A14" s="251"/>
      <c r="B14" s="252"/>
      <c r="C14" s="253"/>
      <c r="D14" s="254">
        <v>311</v>
      </c>
      <c r="E14" s="256"/>
      <c r="F14" s="256"/>
      <c r="G14" s="257"/>
      <c r="H14" s="258"/>
      <c r="I14" s="258"/>
      <c r="J14" s="259">
        <f t="shared" si="1"/>
        <v>0</v>
      </c>
      <c r="K14" s="274"/>
      <c r="L14" s="261"/>
      <c r="M14" s="29">
        <f t="shared" si="0"/>
      </c>
    </row>
    <row r="15" spans="1:13" ht="13.5">
      <c r="A15" s="251"/>
      <c r="B15" s="252"/>
      <c r="C15" s="253"/>
      <c r="D15" s="254">
        <v>312</v>
      </c>
      <c r="E15" s="275"/>
      <c r="F15" s="275"/>
      <c r="G15" s="276"/>
      <c r="H15" s="277"/>
      <c r="I15" s="277"/>
      <c r="J15" s="259">
        <f t="shared" si="1"/>
        <v>0</v>
      </c>
      <c r="K15" s="278"/>
      <c r="L15" s="279"/>
      <c r="M15" s="29">
        <f t="shared" si="0"/>
      </c>
    </row>
    <row r="16" spans="1:13" ht="13.5">
      <c r="A16" s="251"/>
      <c r="B16" s="252"/>
      <c r="C16" s="253"/>
      <c r="D16" s="254">
        <v>313</v>
      </c>
      <c r="E16" s="256"/>
      <c r="F16" s="256"/>
      <c r="G16" s="257"/>
      <c r="H16" s="258"/>
      <c r="I16" s="258"/>
      <c r="J16" s="259">
        <f t="shared" si="1"/>
        <v>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3"/>
      <c r="D54" s="254">
        <v>351</v>
      </c>
      <c r="E54" s="256"/>
      <c r="F54" s="256"/>
      <c r="G54" s="257"/>
      <c r="H54" s="258"/>
      <c r="I54" s="258"/>
      <c r="J54" s="259">
        <f t="shared" si="1"/>
        <v>0</v>
      </c>
      <c r="K54" s="260"/>
      <c r="L54" s="261"/>
      <c r="M54" s="29">
        <f t="shared" si="0"/>
      </c>
    </row>
    <row r="55" spans="1:13" ht="13.5">
      <c r="A55" s="281"/>
      <c r="B55" s="282"/>
      <c r="C55" s="483"/>
      <c r="D55" s="254">
        <v>352</v>
      </c>
      <c r="E55" s="256"/>
      <c r="F55" s="256"/>
      <c r="G55" s="257"/>
      <c r="H55" s="258"/>
      <c r="I55" s="258"/>
      <c r="J55" s="259">
        <f t="shared" si="1"/>
        <v>0</v>
      </c>
      <c r="K55" s="260"/>
      <c r="L55" s="261"/>
      <c r="M55" s="29">
        <f t="shared" si="0"/>
      </c>
    </row>
    <row r="56" spans="1:13" ht="13.5">
      <c r="A56" s="281"/>
      <c r="B56" s="282"/>
      <c r="C56" s="483"/>
      <c r="D56" s="254">
        <v>353</v>
      </c>
      <c r="E56" s="256"/>
      <c r="F56" s="256"/>
      <c r="G56" s="257"/>
      <c r="H56" s="258"/>
      <c r="I56" s="258"/>
      <c r="J56" s="259">
        <f t="shared" si="1"/>
        <v>0</v>
      </c>
      <c r="K56" s="260"/>
      <c r="L56" s="261"/>
      <c r="M56" s="29">
        <f t="shared" si="0"/>
      </c>
    </row>
    <row r="57" spans="1:13" ht="13.5">
      <c r="A57" s="281"/>
      <c r="B57" s="282"/>
      <c r="C57" s="483"/>
      <c r="D57" s="254">
        <v>354</v>
      </c>
      <c r="E57" s="256"/>
      <c r="F57" s="256"/>
      <c r="G57" s="257"/>
      <c r="H57" s="258"/>
      <c r="I57" s="258"/>
      <c r="J57" s="259">
        <f t="shared" si="1"/>
        <v>0</v>
      </c>
      <c r="K57" s="260"/>
      <c r="L57" s="261"/>
      <c r="M57" s="29">
        <f t="shared" si="0"/>
      </c>
    </row>
    <row r="58" spans="1:13" ht="13.5">
      <c r="A58" s="281"/>
      <c r="B58" s="282"/>
      <c r="C58" s="483"/>
      <c r="D58" s="254">
        <v>355</v>
      </c>
      <c r="E58" s="256"/>
      <c r="F58" s="256"/>
      <c r="G58" s="257"/>
      <c r="H58" s="258"/>
      <c r="I58" s="258"/>
      <c r="J58" s="259">
        <f t="shared" si="1"/>
        <v>0</v>
      </c>
      <c r="K58" s="260"/>
      <c r="L58" s="261"/>
      <c r="M58" s="29">
        <f t="shared" si="0"/>
      </c>
    </row>
    <row r="59" spans="1:13" ht="13.5">
      <c r="A59" s="281"/>
      <c r="B59" s="282"/>
      <c r="C59" s="483"/>
      <c r="D59" s="254">
        <v>356</v>
      </c>
      <c r="E59" s="256"/>
      <c r="F59" s="256"/>
      <c r="G59" s="257"/>
      <c r="H59" s="258"/>
      <c r="I59" s="258"/>
      <c r="J59" s="259">
        <f t="shared" si="1"/>
        <v>0</v>
      </c>
      <c r="K59" s="260"/>
      <c r="L59" s="261"/>
      <c r="M59" s="29">
        <f t="shared" si="0"/>
      </c>
    </row>
    <row r="60" spans="1:13" ht="13.5">
      <c r="A60" s="281"/>
      <c r="B60" s="282"/>
      <c r="C60" s="483"/>
      <c r="D60" s="254">
        <v>357</v>
      </c>
      <c r="E60" s="256"/>
      <c r="F60" s="256"/>
      <c r="G60" s="257"/>
      <c r="H60" s="258"/>
      <c r="I60" s="258"/>
      <c r="J60" s="259">
        <f t="shared" si="1"/>
        <v>0</v>
      </c>
      <c r="K60" s="260"/>
      <c r="L60" s="261"/>
      <c r="M60" s="29">
        <f t="shared" si="0"/>
      </c>
    </row>
    <row r="61" spans="1:13" ht="13.5">
      <c r="A61" s="281"/>
      <c r="B61" s="282"/>
      <c r="C61" s="483"/>
      <c r="D61" s="254">
        <v>358</v>
      </c>
      <c r="E61" s="256"/>
      <c r="F61" s="256"/>
      <c r="G61" s="257"/>
      <c r="H61" s="258"/>
      <c r="I61" s="258"/>
      <c r="J61" s="259">
        <f t="shared" si="1"/>
        <v>0</v>
      </c>
      <c r="K61" s="260"/>
      <c r="L61" s="261"/>
      <c r="M61" s="29">
        <f t="shared" si="0"/>
      </c>
    </row>
    <row r="62" spans="1:13" ht="13.5">
      <c r="A62" s="281"/>
      <c r="B62" s="282"/>
      <c r="C62" s="483"/>
      <c r="D62" s="254">
        <v>359</v>
      </c>
      <c r="E62" s="256"/>
      <c r="F62" s="256"/>
      <c r="G62" s="257"/>
      <c r="H62" s="258"/>
      <c r="I62" s="258"/>
      <c r="J62" s="259">
        <f t="shared" si="1"/>
        <v>0</v>
      </c>
      <c r="K62" s="260"/>
      <c r="L62" s="261"/>
      <c r="M62" s="29">
        <f t="shared" si="0"/>
      </c>
    </row>
    <row r="63" spans="1:13" ht="13.5">
      <c r="A63" s="281"/>
      <c r="B63" s="282"/>
      <c r="C63" s="483"/>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8"/>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29" t="s">
        <v>97</v>
      </c>
      <c r="H106" s="581" t="s">
        <v>176</v>
      </c>
      <c r="I106" s="581"/>
      <c r="J106" s="581" t="s">
        <v>98</v>
      </c>
      <c r="K106" s="586"/>
    </row>
    <row r="107" spans="4:11" ht="14.25" thickTop="1">
      <c r="D107" s="230"/>
      <c r="F107" s="296" t="s">
        <v>85</v>
      </c>
      <c r="G107" s="358">
        <f>SUMIF($E$4:$E$103,F107,$J$4:$J$103)</f>
        <v>0</v>
      </c>
      <c r="H107" s="544">
        <f>SUMIF($E$4:$E$103,F107,$M$4:$M$103)</f>
        <v>0</v>
      </c>
      <c r="I107" s="544"/>
      <c r="J107" s="544">
        <f aca="true" t="shared" si="4" ref="J107:J115">G107-H107</f>
        <v>0</v>
      </c>
      <c r="K107" s="625"/>
    </row>
    <row r="108" spans="4:11" ht="13.5">
      <c r="D108" s="230"/>
      <c r="F108" s="297" t="s">
        <v>86</v>
      </c>
      <c r="G108" s="357">
        <f aca="true" t="shared" si="5" ref="G108:G115">SUMIF($E$4:$E$103,F108,$J$4:$J$103)</f>
        <v>35000</v>
      </c>
      <c r="H108" s="552">
        <f aca="true" t="shared" si="6" ref="H108:H114">SUMIF($E$4:$E$103,F108,$M$4:$M$103)</f>
        <v>0</v>
      </c>
      <c r="I108" s="552"/>
      <c r="J108" s="552">
        <f t="shared" si="4"/>
        <v>35000</v>
      </c>
      <c r="K108" s="555"/>
    </row>
    <row r="109" spans="4:11" ht="13.5">
      <c r="D109" s="230"/>
      <c r="F109" s="297" t="s">
        <v>125</v>
      </c>
      <c r="G109" s="357">
        <f t="shared" si="5"/>
        <v>69000</v>
      </c>
      <c r="H109" s="552">
        <f t="shared" si="6"/>
        <v>0</v>
      </c>
      <c r="I109" s="552"/>
      <c r="J109" s="552">
        <f t="shared" si="4"/>
        <v>69000</v>
      </c>
      <c r="K109" s="555"/>
    </row>
    <row r="110" spans="4:11" ht="13.5">
      <c r="D110" s="230"/>
      <c r="F110" s="297" t="s">
        <v>126</v>
      </c>
      <c r="G110" s="357">
        <f t="shared" si="5"/>
        <v>0</v>
      </c>
      <c r="H110" s="552">
        <f t="shared" si="6"/>
        <v>0</v>
      </c>
      <c r="I110" s="552"/>
      <c r="J110" s="552">
        <f t="shared" si="4"/>
        <v>0</v>
      </c>
      <c r="K110" s="555"/>
    </row>
    <row r="111" spans="4:11" ht="13.5">
      <c r="D111" s="230"/>
      <c r="F111" s="297" t="s">
        <v>87</v>
      </c>
      <c r="G111" s="357">
        <f t="shared" si="5"/>
        <v>0</v>
      </c>
      <c r="H111" s="552">
        <f t="shared" si="6"/>
        <v>0</v>
      </c>
      <c r="I111" s="552"/>
      <c r="J111" s="552">
        <f t="shared" si="4"/>
        <v>0</v>
      </c>
      <c r="K111" s="555"/>
    </row>
    <row r="112" spans="4:11" ht="13.5">
      <c r="D112" s="230"/>
      <c r="F112" s="297" t="s">
        <v>88</v>
      </c>
      <c r="G112" s="357">
        <f t="shared" si="5"/>
        <v>0</v>
      </c>
      <c r="H112" s="552">
        <f t="shared" si="6"/>
        <v>0</v>
      </c>
      <c r="I112" s="552"/>
      <c r="J112" s="552">
        <f t="shared" si="4"/>
        <v>0</v>
      </c>
      <c r="K112" s="555"/>
    </row>
    <row r="113" spans="4:11" ht="13.5">
      <c r="D113" s="230"/>
      <c r="F113" s="297" t="s">
        <v>89</v>
      </c>
      <c r="G113" s="357">
        <f t="shared" si="5"/>
        <v>0</v>
      </c>
      <c r="H113" s="552">
        <f t="shared" si="6"/>
        <v>0</v>
      </c>
      <c r="I113" s="552"/>
      <c r="J113" s="552">
        <f t="shared" si="4"/>
        <v>0</v>
      </c>
      <c r="K113" s="555"/>
    </row>
    <row r="114" spans="4:11" ht="13.5">
      <c r="D114" s="230"/>
      <c r="F114" s="297" t="s">
        <v>90</v>
      </c>
      <c r="G114" s="357">
        <f t="shared" si="5"/>
        <v>0</v>
      </c>
      <c r="H114" s="552">
        <f t="shared" si="6"/>
        <v>0</v>
      </c>
      <c r="I114" s="552"/>
      <c r="J114" s="552">
        <f t="shared" si="4"/>
        <v>0</v>
      </c>
      <c r="K114" s="555"/>
    </row>
    <row r="115" spans="4:11" ht="14.25" thickBot="1">
      <c r="D115" s="230"/>
      <c r="F115" s="296" t="s">
        <v>138</v>
      </c>
      <c r="G115" s="357">
        <f t="shared" si="5"/>
        <v>0</v>
      </c>
      <c r="H115" s="596">
        <f>SUMIF($E$4:$E$103,F115,$M$4:$M$103)+'2-3'!I122</f>
        <v>0</v>
      </c>
      <c r="I115" s="596"/>
      <c r="J115" s="596">
        <f t="shared" si="4"/>
        <v>0</v>
      </c>
      <c r="K115" s="597"/>
    </row>
    <row r="116" spans="4:11" ht="15" thickBot="1" thickTop="1">
      <c r="D116" s="388"/>
      <c r="F116" s="298" t="s">
        <v>15</v>
      </c>
      <c r="G116" s="359">
        <f>SUM(G107:G115)</f>
        <v>104000</v>
      </c>
      <c r="H116" s="598">
        <f>SUM(H107:I115)</f>
        <v>0</v>
      </c>
      <c r="I116" s="598"/>
      <c r="J116" s="598">
        <f>SUM(J107:K115)</f>
        <v>104000</v>
      </c>
      <c r="K116" s="599"/>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0">
      <selection activeCell="H2" sqref="H2: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20" t="s">
        <v>14</v>
      </c>
      <c r="I1" s="520"/>
      <c r="J1" s="520"/>
      <c r="K1" s="520"/>
    </row>
    <row r="2" spans="8:11" s="1" customFormat="1" ht="18" customHeight="1">
      <c r="H2" s="520" t="s">
        <v>7</v>
      </c>
      <c r="I2" s="520"/>
      <c r="J2" s="520"/>
      <c r="K2" s="520"/>
    </row>
    <row r="3" s="1" customFormat="1" ht="18" customHeight="1">
      <c r="K3" s="2"/>
    </row>
    <row r="4" spans="8:11" s="1" customFormat="1" ht="18" customHeight="1">
      <c r="H4" s="521" t="s">
        <v>6</v>
      </c>
      <c r="I4" s="521"/>
      <c r="J4" s="521"/>
      <c r="K4" s="521"/>
    </row>
    <row r="5" spans="8:11" s="1" customFormat="1" ht="18" customHeight="1">
      <c r="H5" s="521" t="s">
        <v>145</v>
      </c>
      <c r="I5" s="521"/>
      <c r="J5" s="521"/>
      <c r="K5" s="521"/>
    </row>
    <row r="6" spans="1:11" s="1" customFormat="1" ht="18" customHeight="1">
      <c r="A6" s="3" t="s">
        <v>2</v>
      </c>
      <c r="H6" s="4"/>
      <c r="K6" s="11"/>
    </row>
    <row r="7" spans="1:11" s="1" customFormat="1" ht="18" customHeight="1">
      <c r="A7" s="4"/>
      <c r="H7" s="521" t="s">
        <v>3</v>
      </c>
      <c r="I7" s="521"/>
      <c r="J7" s="521"/>
      <c r="K7" s="521"/>
    </row>
    <row r="8" spans="1:11" s="1" customFormat="1" ht="18" customHeight="1">
      <c r="A8" s="4"/>
      <c r="H8" s="521" t="s">
        <v>4</v>
      </c>
      <c r="I8" s="521"/>
      <c r="J8" s="521"/>
      <c r="K8" s="521"/>
    </row>
    <row r="9" spans="1:11" s="1" customFormat="1" ht="42" customHeight="1">
      <c r="A9" s="4"/>
      <c r="H9" s="2"/>
      <c r="K9" s="46"/>
    </row>
    <row r="10" spans="1:11" ht="24" customHeight="1">
      <c r="A10" s="523" t="s">
        <v>266</v>
      </c>
      <c r="B10" s="523"/>
      <c r="C10" s="523"/>
      <c r="D10" s="523"/>
      <c r="E10" s="523"/>
      <c r="F10" s="523"/>
      <c r="G10" s="523"/>
      <c r="H10" s="523"/>
      <c r="I10" s="523"/>
      <c r="J10" s="523"/>
      <c r="K10" s="523"/>
    </row>
    <row r="11" spans="1:11" ht="24" customHeight="1">
      <c r="A11" s="524"/>
      <c r="B11" s="524"/>
      <c r="C11" s="524"/>
      <c r="D11" s="524"/>
      <c r="E11" s="524"/>
      <c r="F11" s="524"/>
      <c r="G11" s="524"/>
      <c r="H11" s="524"/>
      <c r="I11" s="524"/>
      <c r="J11" s="524"/>
      <c r="K11" s="524"/>
    </row>
    <row r="12" spans="1:11" ht="24" customHeight="1">
      <c r="A12" s="14" t="s">
        <v>5</v>
      </c>
      <c r="B12" s="14"/>
      <c r="C12" s="14"/>
      <c r="D12" s="14"/>
      <c r="E12" s="14"/>
      <c r="F12" s="14"/>
      <c r="G12" s="14"/>
      <c r="H12" s="6"/>
      <c r="I12" s="6"/>
      <c r="J12" s="6"/>
      <c r="K12" s="6"/>
    </row>
    <row r="13" spans="1:11" s="24" customFormat="1" ht="24" customHeight="1" thickBot="1">
      <c r="A13" s="626"/>
      <c r="B13" s="595"/>
      <c r="C13" s="595"/>
      <c r="D13" s="595"/>
      <c r="E13" s="595"/>
      <c r="F13" s="595"/>
      <c r="G13" s="595"/>
      <c r="H13" s="595"/>
      <c r="I13" s="595"/>
      <c r="J13" s="595"/>
      <c r="K13" s="595"/>
    </row>
    <row r="14" spans="1:11" ht="39" customHeight="1" thickBot="1">
      <c r="A14" s="19"/>
      <c r="B14" s="18" t="s">
        <v>8</v>
      </c>
      <c r="C14" s="17" t="s">
        <v>9</v>
      </c>
      <c r="D14" s="16" t="s">
        <v>124</v>
      </c>
      <c r="E14" s="16" t="s">
        <v>123</v>
      </c>
      <c r="F14" s="17" t="s">
        <v>10</v>
      </c>
      <c r="G14" s="17" t="s">
        <v>11</v>
      </c>
      <c r="H14" s="449" t="s">
        <v>249</v>
      </c>
      <c r="I14" s="16" t="s">
        <v>12</v>
      </c>
      <c r="J14" s="448" t="s">
        <v>253</v>
      </c>
      <c r="K14" s="23" t="s">
        <v>15</v>
      </c>
    </row>
    <row r="15" spans="1:11" ht="58.5" customHeight="1" thickTop="1">
      <c r="A15" s="30" t="s">
        <v>100</v>
      </c>
      <c r="B15" s="455">
        <f>'随時①-2'!G27</f>
        <v>0</v>
      </c>
      <c r="C15" s="456">
        <f>'随時①-2'!G28</f>
        <v>0</v>
      </c>
      <c r="D15" s="456">
        <f>'随時①-2'!G29</f>
        <v>0</v>
      </c>
      <c r="E15" s="456">
        <f>'随時①-2'!G30</f>
        <v>0</v>
      </c>
      <c r="F15" s="456">
        <f>'随時①-2'!G31</f>
        <v>0</v>
      </c>
      <c r="G15" s="456">
        <f>'随時①-2'!G32</f>
        <v>0</v>
      </c>
      <c r="H15" s="456">
        <f>'随時①-2'!G33</f>
        <v>0</v>
      </c>
      <c r="I15" s="456">
        <f>'随時①-2'!G34</f>
        <v>0</v>
      </c>
      <c r="J15" s="457">
        <f>'随時①-2'!G35</f>
        <v>0</v>
      </c>
      <c r="K15" s="458">
        <f>SUM(B15:J15)</f>
        <v>0</v>
      </c>
    </row>
    <row r="16" spans="1:11" ht="58.5" customHeight="1">
      <c r="A16" s="21" t="s">
        <v>178</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0</v>
      </c>
      <c r="E17" s="463">
        <f t="shared" si="0"/>
        <v>0</v>
      </c>
      <c r="F17" s="463">
        <f t="shared" si="0"/>
        <v>0</v>
      </c>
      <c r="G17" s="463">
        <f t="shared" si="0"/>
        <v>0</v>
      </c>
      <c r="H17" s="463">
        <f t="shared" si="0"/>
        <v>0</v>
      </c>
      <c r="I17" s="463">
        <f t="shared" si="0"/>
        <v>0</v>
      </c>
      <c r="J17" s="463">
        <f t="shared" si="0"/>
        <v>0</v>
      </c>
      <c r="K17" s="464">
        <f>K15-K16</f>
        <v>0</v>
      </c>
    </row>
    <row r="18" spans="1:11" ht="39" customHeight="1" thickBot="1">
      <c r="A18" s="32" t="s">
        <v>104</v>
      </c>
      <c r="B18" s="627" t="s">
        <v>136</v>
      </c>
      <c r="C18" s="628"/>
      <c r="D18" s="628"/>
      <c r="E18" s="628"/>
      <c r="F18" s="628"/>
      <c r="G18" s="628"/>
      <c r="H18" s="628"/>
      <c r="I18" s="628"/>
      <c r="J18" s="628"/>
      <c r="K18" s="629"/>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3">
      <selection activeCell="E4" sqref="E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299" t="s">
        <v>142</v>
      </c>
      <c r="C3" s="59" t="s">
        <v>144</v>
      </c>
      <c r="D3" s="389" t="s">
        <v>147</v>
      </c>
      <c r="E3" s="96" t="s">
        <v>0</v>
      </c>
      <c r="F3" s="96" t="s">
        <v>197</v>
      </c>
      <c r="G3" s="96" t="s">
        <v>91</v>
      </c>
      <c r="H3" s="475" t="s">
        <v>246</v>
      </c>
      <c r="I3" s="96" t="s">
        <v>92</v>
      </c>
      <c r="J3" s="96" t="s">
        <v>93</v>
      </c>
      <c r="K3" s="227" t="s">
        <v>111</v>
      </c>
      <c r="L3" s="295" t="s">
        <v>107</v>
      </c>
      <c r="M3" s="29" t="s">
        <v>99</v>
      </c>
    </row>
    <row r="4" spans="1:13" ht="13.5" customHeight="1">
      <c r="A4" s="360"/>
      <c r="B4" s="390"/>
      <c r="C4" s="391"/>
      <c r="D4" s="243">
        <v>101</v>
      </c>
      <c r="E4" s="244"/>
      <c r="F4" s="245"/>
      <c r="G4" s="246"/>
      <c r="H4" s="247"/>
      <c r="I4" s="247"/>
      <c r="J4" s="248">
        <f>G4*H4*I4</f>
        <v>0</v>
      </c>
      <c r="K4" s="249"/>
      <c r="L4" s="250"/>
      <c r="M4" s="29">
        <f aca="true" t="shared" si="0" ref="M4:M23">IF(K4="◎",J4,"")</f>
      </c>
    </row>
    <row r="5" spans="1:13" ht="13.5" customHeight="1">
      <c r="A5" s="251"/>
      <c r="B5" s="392"/>
      <c r="C5" s="393"/>
      <c r="D5" s="254">
        <v>102</v>
      </c>
      <c r="E5" s="255"/>
      <c r="F5" s="256"/>
      <c r="G5" s="257"/>
      <c r="H5" s="258"/>
      <c r="I5" s="258"/>
      <c r="J5" s="259">
        <f>G5*H5*I5</f>
        <v>0</v>
      </c>
      <c r="K5" s="260"/>
      <c r="L5" s="261"/>
      <c r="M5" s="29">
        <f t="shared" si="0"/>
      </c>
    </row>
    <row r="6" spans="1:13" ht="13.5" customHeight="1">
      <c r="A6" s="251"/>
      <c r="B6" s="394"/>
      <c r="C6" s="393"/>
      <c r="D6" s="254">
        <v>103</v>
      </c>
      <c r="E6" s="255"/>
      <c r="F6" s="256"/>
      <c r="G6" s="257"/>
      <c r="H6" s="258"/>
      <c r="I6" s="258"/>
      <c r="J6" s="259">
        <f aca="true" t="shared" si="1" ref="J6:J23">G6*H6*I6</f>
        <v>0</v>
      </c>
      <c r="K6" s="260"/>
      <c r="L6" s="261"/>
      <c r="M6" s="29">
        <f t="shared" si="0"/>
      </c>
    </row>
    <row r="7" spans="1:13" ht="13.5" customHeight="1">
      <c r="A7" s="251"/>
      <c r="B7" s="394"/>
      <c r="C7" s="393"/>
      <c r="D7" s="254">
        <v>104</v>
      </c>
      <c r="E7" s="255"/>
      <c r="F7" s="256"/>
      <c r="G7" s="257"/>
      <c r="H7" s="258"/>
      <c r="I7" s="258"/>
      <c r="J7" s="259">
        <f t="shared" si="1"/>
        <v>0</v>
      </c>
      <c r="K7" s="260"/>
      <c r="L7" s="261"/>
      <c r="M7" s="29">
        <f t="shared" si="0"/>
      </c>
    </row>
    <row r="8" spans="1:13" ht="13.5" customHeight="1">
      <c r="A8" s="251"/>
      <c r="B8" s="394"/>
      <c r="C8" s="393"/>
      <c r="D8" s="254">
        <v>105</v>
      </c>
      <c r="E8" s="255"/>
      <c r="F8" s="256"/>
      <c r="G8" s="257"/>
      <c r="H8" s="258"/>
      <c r="I8" s="258"/>
      <c r="J8" s="259">
        <f t="shared" si="1"/>
        <v>0</v>
      </c>
      <c r="K8" s="260"/>
      <c r="L8" s="261"/>
      <c r="M8" s="29">
        <f t="shared" si="0"/>
      </c>
    </row>
    <row r="9" spans="1:13" ht="13.5" customHeight="1">
      <c r="A9" s="251"/>
      <c r="B9" s="394"/>
      <c r="C9" s="393"/>
      <c r="D9" s="254">
        <v>106</v>
      </c>
      <c r="E9" s="255"/>
      <c r="F9" s="256"/>
      <c r="G9" s="257"/>
      <c r="H9" s="258"/>
      <c r="I9" s="258"/>
      <c r="J9" s="259">
        <f t="shared" si="1"/>
        <v>0</v>
      </c>
      <c r="K9" s="260"/>
      <c r="L9" s="261"/>
      <c r="M9" s="29">
        <f t="shared" si="0"/>
      </c>
    </row>
    <row r="10" spans="1:13" ht="13.5" customHeight="1">
      <c r="A10" s="251"/>
      <c r="B10" s="394"/>
      <c r="C10" s="393"/>
      <c r="D10" s="254">
        <v>107</v>
      </c>
      <c r="E10" s="256"/>
      <c r="F10" s="256"/>
      <c r="G10" s="257"/>
      <c r="H10" s="258"/>
      <c r="I10" s="258"/>
      <c r="J10" s="259">
        <f t="shared" si="1"/>
        <v>0</v>
      </c>
      <c r="K10" s="260"/>
      <c r="L10" s="261"/>
      <c r="M10" s="29">
        <f t="shared" si="0"/>
      </c>
    </row>
    <row r="11" spans="1:13" ht="13.5" customHeight="1">
      <c r="A11" s="251"/>
      <c r="B11" s="394"/>
      <c r="C11" s="395"/>
      <c r="D11" s="254">
        <v>108</v>
      </c>
      <c r="E11" s="256"/>
      <c r="F11" s="264"/>
      <c r="G11" s="257"/>
      <c r="H11" s="258"/>
      <c r="I11" s="258"/>
      <c r="J11" s="259">
        <f t="shared" si="1"/>
        <v>0</v>
      </c>
      <c r="K11" s="267"/>
      <c r="L11" s="268"/>
      <c r="M11" s="29">
        <f t="shared" si="0"/>
      </c>
    </row>
    <row r="12" spans="1:13" ht="13.5" customHeight="1">
      <c r="A12" s="251"/>
      <c r="B12" s="394"/>
      <c r="C12" s="393"/>
      <c r="D12" s="254">
        <v>109</v>
      </c>
      <c r="E12" s="256"/>
      <c r="F12" s="255"/>
      <c r="G12" s="257"/>
      <c r="H12" s="258"/>
      <c r="I12" s="258"/>
      <c r="J12" s="259">
        <f t="shared" si="1"/>
        <v>0</v>
      </c>
      <c r="K12" s="271"/>
      <c r="L12" s="272"/>
      <c r="M12" s="29">
        <f t="shared" si="0"/>
      </c>
    </row>
    <row r="13" spans="1:13" ht="13.5" customHeight="1">
      <c r="A13" s="251"/>
      <c r="B13" s="394"/>
      <c r="C13" s="393"/>
      <c r="D13" s="254">
        <v>110</v>
      </c>
      <c r="E13" s="256"/>
      <c r="F13" s="255"/>
      <c r="G13" s="257"/>
      <c r="H13" s="258"/>
      <c r="I13" s="258"/>
      <c r="J13" s="259">
        <f t="shared" si="1"/>
        <v>0</v>
      </c>
      <c r="K13" s="260"/>
      <c r="L13" s="261"/>
      <c r="M13" s="29">
        <f t="shared" si="0"/>
      </c>
    </row>
    <row r="14" spans="1:13" ht="13.5" customHeight="1">
      <c r="A14" s="251"/>
      <c r="B14" s="394"/>
      <c r="C14" s="393"/>
      <c r="D14" s="254">
        <v>111</v>
      </c>
      <c r="E14" s="255"/>
      <c r="F14" s="256"/>
      <c r="G14" s="257"/>
      <c r="H14" s="258"/>
      <c r="I14" s="258"/>
      <c r="J14" s="259">
        <f t="shared" si="1"/>
        <v>0</v>
      </c>
      <c r="K14" s="260"/>
      <c r="L14" s="261"/>
      <c r="M14" s="29">
        <f t="shared" si="0"/>
      </c>
    </row>
    <row r="15" spans="1:13" ht="13.5" customHeight="1">
      <c r="A15" s="251"/>
      <c r="B15" s="394"/>
      <c r="C15" s="393"/>
      <c r="D15" s="254">
        <v>112</v>
      </c>
      <c r="E15" s="255"/>
      <c r="F15" s="256"/>
      <c r="G15" s="257"/>
      <c r="H15" s="258"/>
      <c r="I15" s="258"/>
      <c r="J15" s="259">
        <f t="shared" si="1"/>
        <v>0</v>
      </c>
      <c r="K15" s="260"/>
      <c r="L15" s="261"/>
      <c r="M15" s="29">
        <f t="shared" si="0"/>
      </c>
    </row>
    <row r="16" spans="1:13" ht="13.5" customHeight="1">
      <c r="A16" s="251"/>
      <c r="B16" s="394"/>
      <c r="C16" s="393"/>
      <c r="D16" s="254">
        <v>113</v>
      </c>
      <c r="E16" s="255"/>
      <c r="F16" s="256"/>
      <c r="G16" s="257"/>
      <c r="H16" s="258"/>
      <c r="I16" s="258"/>
      <c r="J16" s="259">
        <f t="shared" si="1"/>
        <v>0</v>
      </c>
      <c r="K16" s="260"/>
      <c r="L16" s="261"/>
      <c r="M16" s="29">
        <f t="shared" si="0"/>
      </c>
    </row>
    <row r="17" spans="1:13" ht="13.5" customHeight="1">
      <c r="A17" s="251"/>
      <c r="B17" s="394"/>
      <c r="C17" s="393"/>
      <c r="D17" s="254">
        <v>114</v>
      </c>
      <c r="E17" s="255"/>
      <c r="F17" s="256"/>
      <c r="G17" s="257"/>
      <c r="H17" s="258"/>
      <c r="I17" s="258"/>
      <c r="J17" s="259">
        <f t="shared" si="1"/>
        <v>0</v>
      </c>
      <c r="K17" s="260"/>
      <c r="L17" s="261"/>
      <c r="M17" s="29">
        <f t="shared" si="0"/>
      </c>
    </row>
    <row r="18" spans="1:13" ht="13.5" customHeight="1">
      <c r="A18" s="251"/>
      <c r="B18" s="394"/>
      <c r="C18" s="393"/>
      <c r="D18" s="254">
        <v>115</v>
      </c>
      <c r="E18" s="255"/>
      <c r="F18" s="256"/>
      <c r="G18" s="257"/>
      <c r="H18" s="258"/>
      <c r="I18" s="258"/>
      <c r="J18" s="259">
        <f t="shared" si="1"/>
        <v>0</v>
      </c>
      <c r="K18" s="260"/>
      <c r="L18" s="261"/>
      <c r="M18" s="29">
        <f t="shared" si="0"/>
      </c>
    </row>
    <row r="19" spans="1:13" ht="13.5" customHeight="1">
      <c r="A19" s="251"/>
      <c r="B19" s="394"/>
      <c r="C19" s="393"/>
      <c r="D19" s="254">
        <v>116</v>
      </c>
      <c r="E19" s="256"/>
      <c r="F19" s="256"/>
      <c r="G19" s="257"/>
      <c r="H19" s="258"/>
      <c r="I19" s="258"/>
      <c r="J19" s="259">
        <f t="shared" si="1"/>
        <v>0</v>
      </c>
      <c r="K19" s="260"/>
      <c r="L19" s="261"/>
      <c r="M19" s="29">
        <f t="shared" si="0"/>
      </c>
    </row>
    <row r="20" spans="1:13" ht="13.5" customHeight="1">
      <c r="A20" s="251"/>
      <c r="B20" s="394"/>
      <c r="C20" s="393"/>
      <c r="D20" s="254">
        <v>117</v>
      </c>
      <c r="E20" s="264"/>
      <c r="F20" s="256"/>
      <c r="G20" s="265"/>
      <c r="H20" s="266"/>
      <c r="I20" s="266"/>
      <c r="J20" s="259">
        <f t="shared" si="1"/>
        <v>0</v>
      </c>
      <c r="K20" s="260"/>
      <c r="L20" s="261"/>
      <c r="M20" s="29">
        <f t="shared" si="0"/>
      </c>
    </row>
    <row r="21" spans="1:13" ht="13.5" customHeight="1">
      <c r="A21" s="251"/>
      <c r="B21" s="394"/>
      <c r="C21" s="393"/>
      <c r="D21" s="254">
        <v>118</v>
      </c>
      <c r="E21" s="255"/>
      <c r="F21" s="256"/>
      <c r="G21" s="257"/>
      <c r="H21" s="258"/>
      <c r="I21" s="258"/>
      <c r="J21" s="259">
        <f t="shared" si="1"/>
        <v>0</v>
      </c>
      <c r="K21" s="260"/>
      <c r="L21" s="261"/>
      <c r="M21" s="29">
        <f t="shared" si="0"/>
      </c>
    </row>
    <row r="22" spans="1:13" ht="13.5" customHeight="1">
      <c r="A22" s="251"/>
      <c r="B22" s="394"/>
      <c r="C22" s="393"/>
      <c r="D22" s="254">
        <v>119</v>
      </c>
      <c r="E22" s="256"/>
      <c r="F22" s="256"/>
      <c r="G22" s="257"/>
      <c r="H22" s="258"/>
      <c r="I22" s="258"/>
      <c r="J22" s="259">
        <f t="shared" si="1"/>
        <v>0</v>
      </c>
      <c r="K22" s="260"/>
      <c r="L22" s="261"/>
      <c r="M22" s="29">
        <f t="shared" si="0"/>
      </c>
    </row>
    <row r="23" spans="1:13" ht="13.5" customHeight="1" thickBot="1">
      <c r="A23" s="396"/>
      <c r="B23" s="397"/>
      <c r="C23" s="398"/>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81" t="s">
        <v>176</v>
      </c>
      <c r="I26" s="581"/>
      <c r="J26" s="581" t="s">
        <v>173</v>
      </c>
      <c r="K26" s="586"/>
    </row>
    <row r="27" spans="2:11" ht="13.5" customHeight="1" thickTop="1">
      <c r="B27" s="53"/>
      <c r="C27" s="53"/>
      <c r="D27" s="67"/>
      <c r="F27" s="296" t="s">
        <v>85</v>
      </c>
      <c r="G27" s="347">
        <f>SUMIF($E$4:$E$23,F27,$J$4:$J$23)</f>
        <v>0</v>
      </c>
      <c r="H27" s="544">
        <f>SUMIF($E$4:$E$23,F27,$M$4:$M$23)</f>
        <v>0</v>
      </c>
      <c r="I27" s="544"/>
      <c r="J27" s="544">
        <f aca="true" t="shared" si="2" ref="J27:J35">G27-H27</f>
        <v>0</v>
      </c>
      <c r="K27" s="625"/>
    </row>
    <row r="28" spans="2:11" ht="13.5" customHeight="1">
      <c r="B28" s="53"/>
      <c r="C28" s="53"/>
      <c r="D28" s="67"/>
      <c r="F28" s="297" t="s">
        <v>86</v>
      </c>
      <c r="G28" s="347">
        <f aca="true" t="shared" si="3" ref="G28:G35">SUMIF($E$4:$E$23,F28,$J$4:$J$23)</f>
        <v>0</v>
      </c>
      <c r="H28" s="552">
        <f aca="true" t="shared" si="4" ref="H28:H35">SUMIF($E$4:$E$23,F28,$M$4:$M$23)</f>
        <v>0</v>
      </c>
      <c r="I28" s="552"/>
      <c r="J28" s="552">
        <f t="shared" si="2"/>
        <v>0</v>
      </c>
      <c r="K28" s="555"/>
    </row>
    <row r="29" spans="2:11" ht="13.5" customHeight="1">
      <c r="B29" s="53"/>
      <c r="C29" s="53"/>
      <c r="D29" s="67"/>
      <c r="F29" s="297" t="s">
        <v>125</v>
      </c>
      <c r="G29" s="347">
        <f t="shared" si="3"/>
        <v>0</v>
      </c>
      <c r="H29" s="552">
        <f t="shared" si="4"/>
        <v>0</v>
      </c>
      <c r="I29" s="552"/>
      <c r="J29" s="552">
        <f t="shared" si="2"/>
        <v>0</v>
      </c>
      <c r="K29" s="555"/>
    </row>
    <row r="30" spans="2:11" ht="13.5" customHeight="1">
      <c r="B30" s="53"/>
      <c r="C30" s="53"/>
      <c r="D30" s="67"/>
      <c r="F30" s="297" t="s">
        <v>126</v>
      </c>
      <c r="G30" s="347">
        <f t="shared" si="3"/>
        <v>0</v>
      </c>
      <c r="H30" s="552">
        <f t="shared" si="4"/>
        <v>0</v>
      </c>
      <c r="I30" s="552"/>
      <c r="J30" s="552">
        <f t="shared" si="2"/>
        <v>0</v>
      </c>
      <c r="K30" s="555"/>
    </row>
    <row r="31" spans="2:11" ht="13.5" customHeight="1">
      <c r="B31" s="53"/>
      <c r="C31" s="53"/>
      <c r="D31" s="67"/>
      <c r="F31" s="297" t="s">
        <v>87</v>
      </c>
      <c r="G31" s="347">
        <f t="shared" si="3"/>
        <v>0</v>
      </c>
      <c r="H31" s="552">
        <f t="shared" si="4"/>
        <v>0</v>
      </c>
      <c r="I31" s="552"/>
      <c r="J31" s="552">
        <f t="shared" si="2"/>
        <v>0</v>
      </c>
      <c r="K31" s="555"/>
    </row>
    <row r="32" spans="2:11" ht="13.5" customHeight="1">
      <c r="B32" s="53"/>
      <c r="C32" s="53"/>
      <c r="D32" s="67"/>
      <c r="F32" s="297" t="s">
        <v>88</v>
      </c>
      <c r="G32" s="347">
        <f t="shared" si="3"/>
        <v>0</v>
      </c>
      <c r="H32" s="552">
        <f t="shared" si="4"/>
        <v>0</v>
      </c>
      <c r="I32" s="552"/>
      <c r="J32" s="552">
        <f t="shared" si="2"/>
        <v>0</v>
      </c>
      <c r="K32" s="555"/>
    </row>
    <row r="33" spans="2:11" ht="13.5" customHeight="1">
      <c r="B33" s="53"/>
      <c r="C33" s="53"/>
      <c r="D33" s="67"/>
      <c r="F33" s="297" t="s">
        <v>89</v>
      </c>
      <c r="G33" s="347">
        <f t="shared" si="3"/>
        <v>0</v>
      </c>
      <c r="H33" s="552">
        <f t="shared" si="4"/>
        <v>0</v>
      </c>
      <c r="I33" s="552"/>
      <c r="J33" s="552">
        <f t="shared" si="2"/>
        <v>0</v>
      </c>
      <c r="K33" s="555"/>
    </row>
    <row r="34" spans="2:11" ht="13.5" customHeight="1">
      <c r="B34" s="53"/>
      <c r="C34" s="53"/>
      <c r="D34" s="67"/>
      <c r="F34" s="297" t="s">
        <v>90</v>
      </c>
      <c r="G34" s="347">
        <f t="shared" si="3"/>
        <v>0</v>
      </c>
      <c r="H34" s="552">
        <f t="shared" si="4"/>
        <v>0</v>
      </c>
      <c r="I34" s="552"/>
      <c r="J34" s="552">
        <f t="shared" si="2"/>
        <v>0</v>
      </c>
      <c r="K34" s="555"/>
    </row>
    <row r="35" spans="2:11" ht="13.5" customHeight="1" thickBot="1">
      <c r="B35" s="53"/>
      <c r="C35" s="53"/>
      <c r="D35" s="67"/>
      <c r="F35" s="429" t="s">
        <v>138</v>
      </c>
      <c r="G35" s="431">
        <f t="shared" si="3"/>
        <v>0</v>
      </c>
      <c r="H35" s="596">
        <f t="shared" si="4"/>
        <v>0</v>
      </c>
      <c r="I35" s="596"/>
      <c r="J35" s="596">
        <f t="shared" si="2"/>
        <v>0</v>
      </c>
      <c r="K35" s="597"/>
    </row>
    <row r="36" spans="2:11" ht="13.5" customHeight="1" thickBot="1" thickTop="1">
      <c r="B36" s="53"/>
      <c r="C36" s="53"/>
      <c r="D36" s="47"/>
      <c r="F36" s="427" t="s">
        <v>15</v>
      </c>
      <c r="G36" s="356">
        <f>SUM(G27:G35)</f>
        <v>0</v>
      </c>
      <c r="H36" s="598">
        <f>SUM(H27:H35)</f>
        <v>0</v>
      </c>
      <c r="I36" s="598"/>
      <c r="J36" s="598">
        <f>SUM(J27:J35)</f>
        <v>0</v>
      </c>
      <c r="K36" s="599"/>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7">
      <selection activeCell="B23" sqref="B23:K23"/>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20" t="s">
        <v>273</v>
      </c>
      <c r="I1" s="520"/>
      <c r="J1" s="520"/>
      <c r="K1" s="520"/>
    </row>
    <row r="2" spans="8:11" s="1" customFormat="1" ht="18" customHeight="1">
      <c r="H2" s="520" t="s">
        <v>289</v>
      </c>
      <c r="I2" s="520"/>
      <c r="J2" s="520"/>
      <c r="K2" s="520"/>
    </row>
    <row r="3" s="1" customFormat="1" ht="18" customHeight="1">
      <c r="K3" s="2"/>
    </row>
    <row r="4" spans="8:11" s="1" customFormat="1" ht="18" customHeight="1">
      <c r="H4" s="521" t="s">
        <v>307</v>
      </c>
      <c r="I4" s="521"/>
      <c r="J4" s="521"/>
      <c r="K4" s="521"/>
    </row>
    <row r="5" spans="8:11" s="1" customFormat="1" ht="18" customHeight="1">
      <c r="H5" s="522">
        <v>42927</v>
      </c>
      <c r="I5" s="521"/>
      <c r="J5" s="521"/>
      <c r="K5" s="521"/>
    </row>
    <row r="6" spans="1:11" s="1" customFormat="1" ht="18" customHeight="1">
      <c r="A6" s="3" t="s">
        <v>2</v>
      </c>
      <c r="H6" s="4"/>
      <c r="K6" s="11"/>
    </row>
    <row r="7" spans="1:11" s="1" customFormat="1" ht="18" customHeight="1">
      <c r="A7" s="4"/>
      <c r="H7" s="521" t="s">
        <v>274</v>
      </c>
      <c r="I7" s="521"/>
      <c r="J7" s="521"/>
      <c r="K7" s="521"/>
    </row>
    <row r="8" spans="1:11" s="1" customFormat="1" ht="18" customHeight="1">
      <c r="A8" s="4"/>
      <c r="H8" s="521" t="s">
        <v>275</v>
      </c>
      <c r="I8" s="521"/>
      <c r="J8" s="521"/>
      <c r="K8" s="521"/>
    </row>
    <row r="9" spans="1:11" s="1" customFormat="1" ht="42" customHeight="1">
      <c r="A9" s="4"/>
      <c r="H9" s="2"/>
      <c r="K9" s="46"/>
    </row>
    <row r="10" spans="1:11" ht="24" customHeight="1">
      <c r="A10" s="523" t="s">
        <v>268</v>
      </c>
      <c r="B10" s="523"/>
      <c r="C10" s="523"/>
      <c r="D10" s="523"/>
      <c r="E10" s="523"/>
      <c r="F10" s="523"/>
      <c r="G10" s="523"/>
      <c r="H10" s="523"/>
      <c r="I10" s="523"/>
      <c r="J10" s="523"/>
      <c r="K10" s="523"/>
    </row>
    <row r="11" spans="1:11" ht="24" customHeight="1">
      <c r="A11" s="524"/>
      <c r="B11" s="524"/>
      <c r="C11" s="524"/>
      <c r="D11" s="524"/>
      <c r="E11" s="524"/>
      <c r="F11" s="524"/>
      <c r="G11" s="524"/>
      <c r="H11" s="524"/>
      <c r="I11" s="524"/>
      <c r="J11" s="524"/>
      <c r="K11" s="52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5" t="s">
        <v>84</v>
      </c>
      <c r="B14" s="526"/>
      <c r="C14" s="527"/>
      <c r="D14" s="528">
        <f>'1-1'!D14:F14</f>
        <v>1190000</v>
      </c>
      <c r="E14" s="529"/>
      <c r="F14" s="530"/>
      <c r="G14" s="594"/>
      <c r="H14" s="595"/>
      <c r="I14" s="595"/>
      <c r="J14" s="595"/>
      <c r="K14" s="97">
        <f>'1-1'!K14</f>
        <v>0</v>
      </c>
    </row>
    <row r="15" spans="1:11" ht="39" customHeight="1" thickBot="1">
      <c r="A15" s="19"/>
      <c r="B15" s="18" t="s">
        <v>8</v>
      </c>
      <c r="C15" s="17" t="s">
        <v>9</v>
      </c>
      <c r="D15" s="16" t="s">
        <v>124</v>
      </c>
      <c r="E15" s="16" t="s">
        <v>123</v>
      </c>
      <c r="F15" s="17" t="s">
        <v>10</v>
      </c>
      <c r="G15" s="17" t="s">
        <v>11</v>
      </c>
      <c r="H15" s="449" t="s">
        <v>249</v>
      </c>
      <c r="I15" s="16" t="s">
        <v>12</v>
      </c>
      <c r="J15" s="448" t="s">
        <v>255</v>
      </c>
      <c r="K15" s="23" t="s">
        <v>15</v>
      </c>
    </row>
    <row r="16" spans="1:11" ht="39" customHeight="1" thickTop="1">
      <c r="A16" s="21" t="s">
        <v>102</v>
      </c>
      <c r="B16" s="435">
        <f>'1-1'!B21</f>
        <v>0</v>
      </c>
      <c r="C16" s="321">
        <f>'1-1'!C21</f>
        <v>160000</v>
      </c>
      <c r="D16" s="321">
        <f>'1-1'!D21</f>
        <v>343000</v>
      </c>
      <c r="E16" s="321">
        <f>'1-1'!E21</f>
        <v>0</v>
      </c>
      <c r="F16" s="321">
        <f>'1-1'!F21</f>
        <v>0</v>
      </c>
      <c r="G16" s="321">
        <f>'1-1'!G21</f>
        <v>360000</v>
      </c>
      <c r="H16" s="321">
        <f>'1-1'!H21</f>
        <v>280000</v>
      </c>
      <c r="I16" s="321">
        <f>'1-1'!I21</f>
        <v>0</v>
      </c>
      <c r="J16" s="436">
        <f>'1-1'!J21</f>
        <v>43330</v>
      </c>
      <c r="K16" s="437">
        <f aca="true" t="shared" si="0" ref="K16:K22">SUM(B16:J16)</f>
        <v>1186330</v>
      </c>
    </row>
    <row r="17" spans="1:11" ht="39" customHeight="1">
      <c r="A17" s="21" t="s">
        <v>16</v>
      </c>
      <c r="B17" s="435">
        <f>'随時②-2'!G38</f>
        <v>0</v>
      </c>
      <c r="C17" s="321">
        <f>'随時②-2'!G39</f>
        <v>32800</v>
      </c>
      <c r="D17" s="321">
        <f>'随時②-2'!G40</f>
        <v>-32000</v>
      </c>
      <c r="E17" s="321">
        <f>'随時②-2'!G41</f>
        <v>0</v>
      </c>
      <c r="F17" s="321">
        <f>'随時②-2'!G42</f>
        <v>0</v>
      </c>
      <c r="G17" s="321">
        <f>'随時②-2'!G43</f>
        <v>-4000</v>
      </c>
      <c r="H17" s="321">
        <f>'随時②-2'!G44</f>
        <v>0</v>
      </c>
      <c r="I17" s="321">
        <f>'随時②-2'!G45</f>
        <v>0</v>
      </c>
      <c r="J17" s="436">
        <f>'随時②-2'!G46</f>
        <v>3000</v>
      </c>
      <c r="K17" s="437">
        <f t="shared" si="0"/>
        <v>-200</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32800</v>
      </c>
      <c r="D19" s="452">
        <f t="shared" si="1"/>
        <v>-32000</v>
      </c>
      <c r="E19" s="452">
        <f t="shared" si="1"/>
        <v>0</v>
      </c>
      <c r="F19" s="452">
        <f t="shared" si="1"/>
        <v>0</v>
      </c>
      <c r="G19" s="452">
        <f t="shared" si="1"/>
        <v>-4000</v>
      </c>
      <c r="H19" s="452">
        <f t="shared" si="1"/>
        <v>0</v>
      </c>
      <c r="I19" s="452">
        <f t="shared" si="1"/>
        <v>0</v>
      </c>
      <c r="J19" s="452">
        <f t="shared" si="1"/>
        <v>3000</v>
      </c>
      <c r="K19" s="453">
        <f t="shared" si="0"/>
        <v>-200</v>
      </c>
    </row>
    <row r="20" spans="1:11" ht="39" customHeight="1" thickTop="1">
      <c r="A20" s="30" t="s">
        <v>165</v>
      </c>
      <c r="B20" s="223">
        <f>SUM(B16:B17)</f>
        <v>0</v>
      </c>
      <c r="C20" s="223">
        <f aca="true" t="shared" si="2" ref="C20:J20">SUM(C16:C17)</f>
        <v>192800</v>
      </c>
      <c r="D20" s="223">
        <f t="shared" si="2"/>
        <v>311000</v>
      </c>
      <c r="E20" s="223">
        <f t="shared" si="2"/>
        <v>0</v>
      </c>
      <c r="F20" s="223">
        <f t="shared" si="2"/>
        <v>0</v>
      </c>
      <c r="G20" s="223">
        <f t="shared" si="2"/>
        <v>356000</v>
      </c>
      <c r="H20" s="223">
        <f t="shared" si="2"/>
        <v>280000</v>
      </c>
      <c r="I20" s="223">
        <f t="shared" si="2"/>
        <v>0</v>
      </c>
      <c r="J20" s="223">
        <f t="shared" si="2"/>
        <v>46330</v>
      </c>
      <c r="K20" s="434">
        <f t="shared" si="0"/>
        <v>1186130</v>
      </c>
    </row>
    <row r="21" spans="1:11" ht="39" customHeight="1">
      <c r="A21" s="21" t="s">
        <v>166</v>
      </c>
      <c r="B21" s="454">
        <f>'1-1'!B22</f>
        <v>0</v>
      </c>
      <c r="C21" s="454">
        <f>'1-1'!C22</f>
        <v>0</v>
      </c>
      <c r="D21" s="454">
        <v>3870</v>
      </c>
      <c r="E21" s="454">
        <f>'1-1'!E22</f>
        <v>0</v>
      </c>
      <c r="F21" s="454">
        <f>'1-1'!F22</f>
        <v>0</v>
      </c>
      <c r="G21" s="454">
        <f>'1-1'!G22</f>
        <v>0</v>
      </c>
      <c r="H21" s="454">
        <f>'1-1'!H22</f>
        <v>0</v>
      </c>
      <c r="I21" s="454">
        <f>'1-1'!I22</f>
        <v>0</v>
      </c>
      <c r="J21" s="454">
        <f>'1-1'!J22</f>
        <v>0</v>
      </c>
      <c r="K21" s="437">
        <f t="shared" si="0"/>
        <v>3870</v>
      </c>
    </row>
    <row r="22" spans="1:11" ht="39" customHeight="1" thickBot="1">
      <c r="A22" s="22" t="s">
        <v>164</v>
      </c>
      <c r="B22" s="219">
        <f>SUM(B20:B21)</f>
        <v>0</v>
      </c>
      <c r="C22" s="219">
        <f aca="true" t="shared" si="3" ref="C22:J22">SUM(C20:C21)</f>
        <v>192800</v>
      </c>
      <c r="D22" s="219">
        <f t="shared" si="3"/>
        <v>314870</v>
      </c>
      <c r="E22" s="219">
        <f t="shared" si="3"/>
        <v>0</v>
      </c>
      <c r="F22" s="219">
        <f t="shared" si="3"/>
        <v>0</v>
      </c>
      <c r="G22" s="219">
        <f t="shared" si="3"/>
        <v>356000</v>
      </c>
      <c r="H22" s="219">
        <f t="shared" si="3"/>
        <v>280000</v>
      </c>
      <c r="I22" s="219">
        <f t="shared" si="3"/>
        <v>0</v>
      </c>
      <c r="J22" s="219">
        <f t="shared" si="3"/>
        <v>46330</v>
      </c>
      <c r="K22" s="222">
        <f t="shared" si="0"/>
        <v>1190000</v>
      </c>
    </row>
    <row r="23" spans="1:11" ht="39" customHeight="1" thickBot="1">
      <c r="A23" s="32" t="s">
        <v>104</v>
      </c>
      <c r="B23" s="630">
        <v>42927</v>
      </c>
      <c r="C23" s="628"/>
      <c r="D23" s="628"/>
      <c r="E23" s="628"/>
      <c r="F23" s="628"/>
      <c r="G23" s="628"/>
      <c r="H23" s="628"/>
      <c r="I23" s="628"/>
      <c r="J23" s="628"/>
      <c r="K23" s="629"/>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4">
      <selection activeCell="C27" sqref="C2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246</v>
      </c>
      <c r="I3" s="96" t="s">
        <v>92</v>
      </c>
      <c r="J3" s="96" t="s">
        <v>93</v>
      </c>
      <c r="K3" s="227" t="s">
        <v>111</v>
      </c>
      <c r="L3" s="409" t="s">
        <v>107</v>
      </c>
    </row>
    <row r="4" spans="1:13" ht="13.5" customHeight="1">
      <c r="A4" s="91"/>
      <c r="B4" s="67"/>
      <c r="C4" s="67"/>
      <c r="D4" s="410">
        <v>4</v>
      </c>
      <c r="E4" s="315" t="str">
        <f>IF($D4="","",IF($D4&lt;=100,VLOOKUP($D4,'1-2'!$D$4:$L$103,2),VLOOKUP($D4,'随時①-2'!$D$4:$L$23,2)))</f>
        <v>消耗需用費</v>
      </c>
      <c r="F4" s="315" t="str">
        <f>IF($D4="","",IF($D4&lt;=100,VLOOKUP($D4,'1-2'!$D$4:$L$103,3),VLOOKUP($D4,'随時①-2'!$D$4:$L$23,3)))</f>
        <v>学校案内パンフレット　　10,000部</v>
      </c>
      <c r="G4" s="224">
        <f>IF($D4="","",IF($D4&lt;=100,VLOOKUP($D4,'1-2'!$D$4:$L$103,4),VLOOKUP($D4,'随時①-2'!$D$4:$L$23,4)))</f>
        <v>100000</v>
      </c>
      <c r="H4" s="316">
        <f>IF($D4="","",IF($D4&lt;=100,VLOOKUP($D4,'1-2'!$D$4:$L$103,5),VLOOKUP($D4,'随時①-2'!$D$4:$L$23,5)))</f>
        <v>1</v>
      </c>
      <c r="I4" s="316">
        <f>IF($D4="","",IF($D4&lt;=100,VLOOKUP($D4,'1-2'!$D$4:$L$103,6),VLOOKUP($D4,'随時①-2'!$D$4:$L$23,6)))</f>
        <v>1</v>
      </c>
      <c r="J4" s="224">
        <f>IF($D4="","",IF($D4&lt;=100,VLOOKUP($D4,'1-2'!$D$4:$L$103,7),VLOOKUP($D4,'随時①-2'!$D$4:$L$23,7)))</f>
        <v>100000</v>
      </c>
      <c r="K4" s="411">
        <f>IF($D4="","",IF($D4&lt;=100,VLOOKUP($D4,'1-2'!$D$4:$L$103,8),VLOOKUP($D4,'随時①-2'!$D$4:$L$23,8)))</f>
        <v>0</v>
      </c>
      <c r="L4" s="412">
        <f>IF($D4="","",IF($D4&lt;=100,VLOOKUP($D4,'1-2'!$D$4:$L$103,9),VLOOKUP($D4,'随時①-2'!$D$4:$L$23,9)))</f>
        <v>0</v>
      </c>
      <c r="M4" s="5">
        <f aca="true" t="shared" si="0" ref="M4:M17">IF(K4="◎",J4,"")</f>
      </c>
    </row>
    <row r="5" spans="1:13" ht="14.25">
      <c r="A5" s="91"/>
      <c r="B5" s="67"/>
      <c r="C5" s="67"/>
      <c r="D5" s="413">
        <v>6</v>
      </c>
      <c r="E5" s="315" t="str">
        <f>IF($D5="","",IF($D5&lt;=100,VLOOKUP($D5,'1-2'!$D$4:$L$103,2),VLOOKUP($D5,'随時①-2'!$D$4:$L$23,2)))</f>
        <v>消耗需用費</v>
      </c>
      <c r="F5" s="315" t="str">
        <f>IF($D5="","",IF($D5&lt;=100,VLOOKUP($D5,'1-2'!$D$4:$L$103,3),VLOOKUP($D5,'随時①-2'!$D$4:$L$23,3)))</f>
        <v>広報用不織布バッグ校名入り　1,000枚</v>
      </c>
      <c r="G5" s="224">
        <f>IF($D5="","",IF($D5&lt;=100,VLOOKUP($D5,'1-2'!$D$4:$L$103,4),VLOOKUP($D5,'随時①-2'!$D$4:$L$23,4)))</f>
        <v>120000</v>
      </c>
      <c r="H5" s="316">
        <f>IF($D5="","",IF($D5&lt;=100,VLOOKUP($D5,'1-2'!$D$4:$L$103,5),VLOOKUP($D5,'随時①-2'!$D$4:$L$23,5)))</f>
        <v>1</v>
      </c>
      <c r="I5" s="316">
        <f>IF($D5="","",IF($D5&lt;=100,VLOOKUP($D5,'1-2'!$D$4:$L$103,6),VLOOKUP($D5,'随時①-2'!$D$4:$L$23,6)))</f>
        <v>1</v>
      </c>
      <c r="J5" s="224">
        <f>IF($D5="","",IF($D5&lt;=100,VLOOKUP($D5,'1-2'!$D$4:$L$103,7),VLOOKUP($D5,'随時①-2'!$D$4:$L$23,7)))</f>
        <v>120000</v>
      </c>
      <c r="K5" s="411">
        <f>IF($D5="","",IF($D5&lt;=100,VLOOKUP($D5,'1-2'!$D$4:$L$103,8),VLOOKUP($D5,'随時①-2'!$D$4:$L$23,8)))</f>
        <v>0</v>
      </c>
      <c r="L5" s="412">
        <f>IF($D5="","",IF($D5&lt;=100,VLOOKUP($D5,'1-2'!$D$4:$L$103,9),VLOOKUP($D5,'随時①-2'!$D$4:$L$23,9)))</f>
        <v>0</v>
      </c>
      <c r="M5" s="5">
        <f t="shared" si="0"/>
      </c>
    </row>
    <row r="6" spans="1:13" ht="14.25">
      <c r="A6" s="91"/>
      <c r="B6" s="67"/>
      <c r="C6" s="67"/>
      <c r="D6" s="413">
        <v>10</v>
      </c>
      <c r="E6" s="315" t="str">
        <f>IF($D6="","",IF($D6&lt;=100,VLOOKUP($D6,'1-2'!$D$4:$L$103,2),VLOOKUP($D6,'随時①-2'!$D$4:$L$23,2)))</f>
        <v>旅費</v>
      </c>
      <c r="F6" s="315" t="str">
        <f>IF($D6="","",IF($D6&lt;=100,VLOOKUP($D6,'1-2'!$D$4:$L$103,3),VLOOKUP($D6,'随時①-2'!$D$4:$L$23,3)))</f>
        <v>教務研究会先進校視察</v>
      </c>
      <c r="G6" s="224">
        <f>IF($D6="","",IF($D6&lt;=100,VLOOKUP($D6,'1-2'!$D$4:$L$103,4),VLOOKUP($D6,'随時①-2'!$D$4:$L$23,4)))</f>
        <v>40000</v>
      </c>
      <c r="H6" s="316">
        <f>IF($D6="","",IF($D6&lt;=100,VLOOKUP($D6,'1-2'!$D$4:$L$103,5),VLOOKUP($D6,'随時①-2'!$D$4:$L$23,5)))</f>
        <v>2</v>
      </c>
      <c r="I6" s="316">
        <f>IF($D6="","",IF($D6&lt;=100,VLOOKUP($D6,'1-2'!$D$4:$L$103,6),VLOOKUP($D6,'随時①-2'!$D$4:$L$23,6)))</f>
        <v>1</v>
      </c>
      <c r="J6" s="224">
        <f>IF($D6="","",IF($D6&lt;=100,VLOOKUP($D6,'1-2'!$D$4:$L$103,7),VLOOKUP($D6,'随時①-2'!$D$4:$L$23,7)))</f>
        <v>80000</v>
      </c>
      <c r="K6" s="411">
        <f>IF($D6="","",IF($D6&lt;=100,VLOOKUP($D6,'1-2'!$D$4:$L$103,8),VLOOKUP($D6,'随時①-2'!$D$4:$L$23,8)))</f>
        <v>0</v>
      </c>
      <c r="L6" s="412">
        <f>IF($D6="","",IF($D6&lt;=100,VLOOKUP($D6,'1-2'!$D$4:$L$103,9),VLOOKUP($D6,'随時①-2'!$D$4:$L$23,9)))</f>
        <v>0</v>
      </c>
      <c r="M6" s="5">
        <f t="shared" si="0"/>
      </c>
    </row>
    <row r="7" spans="1:13" ht="14.25">
      <c r="A7" s="91"/>
      <c r="B7" s="67"/>
      <c r="C7" s="67"/>
      <c r="D7" s="413">
        <v>11</v>
      </c>
      <c r="E7" s="315" t="str">
        <f>IF($D7="","",IF($D7&lt;=100,VLOOKUP($D7,'1-2'!$D$4:$L$103,2),VLOOKUP($D7,'随時①-2'!$D$4:$L$23,2)))</f>
        <v>旅費</v>
      </c>
      <c r="F7" s="315" t="str">
        <f>IF($D7="","",IF($D7&lt;=100,VLOOKUP($D7,'1-2'!$D$4:$L$103,3),VLOOKUP($D7,'随時①-2'!$D$4:$L$23,3)))</f>
        <v>先進校視察</v>
      </c>
      <c r="G7" s="224">
        <f>IF($D7="","",IF($D7&lt;=100,VLOOKUP($D7,'1-2'!$D$4:$L$103,4),VLOOKUP($D7,'随時①-2'!$D$4:$L$23,4)))</f>
        <v>10000</v>
      </c>
      <c r="H7" s="316">
        <f>IF($D7="","",IF($D7&lt;=100,VLOOKUP($D7,'1-2'!$D$4:$L$103,5),VLOOKUP($D7,'随時①-2'!$D$4:$L$23,5)))</f>
        <v>5</v>
      </c>
      <c r="I7" s="316">
        <f>IF($D7="","",IF($D7&lt;=100,VLOOKUP($D7,'1-2'!$D$4:$L$103,6),VLOOKUP($D7,'随時①-2'!$D$4:$L$23,6)))</f>
        <v>1</v>
      </c>
      <c r="J7" s="224">
        <f>IF($D7="","",IF($D7&lt;=100,VLOOKUP($D7,'1-2'!$D$4:$L$103,7),VLOOKUP($D7,'随時①-2'!$D$4:$L$23,7)))</f>
        <v>50000</v>
      </c>
      <c r="K7" s="411">
        <f>IF($D7="","",IF($D7&lt;=100,VLOOKUP($D7,'1-2'!$D$4:$L$103,8),VLOOKUP($D7,'随時①-2'!$D$4:$L$23,8)))</f>
        <v>0</v>
      </c>
      <c r="L7" s="412">
        <f>IF($D7="","",IF($D7&lt;=100,VLOOKUP($D7,'1-2'!$D$4:$L$103,9),VLOOKUP($D7,'随時①-2'!$D$4:$L$23,9)))</f>
        <v>0</v>
      </c>
      <c r="M7" s="5">
        <f t="shared" si="0"/>
      </c>
    </row>
    <row r="8" spans="1:13" ht="14.25">
      <c r="A8" s="91"/>
      <c r="B8" s="67"/>
      <c r="C8" s="67"/>
      <c r="D8" s="413">
        <v>12</v>
      </c>
      <c r="E8" s="315" t="str">
        <f>IF($D8="","",IF($D8&lt;=100,VLOOKUP($D8,'1-2'!$D$4:$L$103,2),VLOOKUP($D8,'随時①-2'!$D$4:$L$23,2)))</f>
        <v>委託料</v>
      </c>
      <c r="F8" s="315" t="str">
        <f>IF($D8="","",IF($D8&lt;=100,VLOOKUP($D8,'1-2'!$D$4:$L$103,3),VLOOKUP($D8,'随時①-2'!$D$4:$L$23,3)))</f>
        <v>授業アンケート集計業務委託</v>
      </c>
      <c r="G8" s="224">
        <f>IF($D8="","",IF($D8&lt;=100,VLOOKUP($D8,'1-2'!$D$4:$L$103,4),VLOOKUP($D8,'随時①-2'!$D$4:$L$23,4)))</f>
        <v>60000</v>
      </c>
      <c r="H8" s="316">
        <f>IF($D8="","",IF($D8&lt;=100,VLOOKUP($D8,'1-2'!$D$4:$L$103,5),VLOOKUP($D8,'随時①-2'!$D$4:$L$23,5)))</f>
        <v>1</v>
      </c>
      <c r="I8" s="316">
        <f>IF($D8="","",IF($D8&lt;=100,VLOOKUP($D8,'1-2'!$D$4:$L$103,6),VLOOKUP($D8,'随時①-2'!$D$4:$L$23,6)))</f>
        <v>1</v>
      </c>
      <c r="J8" s="224">
        <f>IF($D8="","",IF($D8&lt;=100,VLOOKUP($D8,'1-2'!$D$4:$L$103,7),VLOOKUP($D8,'随時①-2'!$D$4:$L$23,7)))</f>
        <v>60000</v>
      </c>
      <c r="K8" s="411">
        <f>IF($D8="","",IF($D8&lt;=100,VLOOKUP($D8,'1-2'!$D$4:$L$103,8),VLOOKUP($D8,'随時①-2'!$D$4:$L$23,8)))</f>
        <v>0</v>
      </c>
      <c r="L8" s="412">
        <f>IF($D8="","",IF($D8&lt;=100,VLOOKUP($D8,'1-2'!$D$4:$L$103,9),VLOOKUP($D8,'随時①-2'!$D$4:$L$23,9)))</f>
        <v>0</v>
      </c>
      <c r="M8" s="5">
        <f t="shared" si="0"/>
      </c>
    </row>
    <row r="9" spans="1:13" ht="14.25">
      <c r="A9" s="91"/>
      <c r="B9" s="67"/>
      <c r="C9" s="67"/>
      <c r="D9" s="413"/>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5">
        <f>IF($D18="","",IF($D18&lt;=100,VLOOKUP($D18,'1-2'!$D$4:$L$103,2),VLOOKUP($D18,'随時①-2'!$D$4:$L$23,2)))</f>
      </c>
      <c r="F18" s="345">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246</v>
      </c>
      <c r="I20" s="96" t="s">
        <v>92</v>
      </c>
      <c r="J20" s="96" t="s">
        <v>93</v>
      </c>
      <c r="K20" s="227" t="s">
        <v>111</v>
      </c>
      <c r="L20" s="409" t="s">
        <v>107</v>
      </c>
    </row>
    <row r="21" spans="1:13" ht="14.25">
      <c r="A21" s="360"/>
      <c r="B21" s="241"/>
      <c r="C21" s="262"/>
      <c r="D21" s="401">
        <v>201</v>
      </c>
      <c r="E21" s="275" t="s">
        <v>138</v>
      </c>
      <c r="F21" s="275" t="s">
        <v>295</v>
      </c>
      <c r="G21" s="276">
        <v>3000</v>
      </c>
      <c r="H21" s="277">
        <v>1</v>
      </c>
      <c r="I21" s="277">
        <v>1</v>
      </c>
      <c r="J21" s="402">
        <f>G21*H21*I21</f>
        <v>3000</v>
      </c>
      <c r="K21" s="278"/>
      <c r="L21" s="279"/>
      <c r="M21" s="5">
        <f aca="true" t="shared" si="1" ref="M21:M35">IF(K21="◎",J21,"")</f>
      </c>
    </row>
    <row r="22" spans="1:13" ht="14.25">
      <c r="A22" s="251">
        <v>1</v>
      </c>
      <c r="B22" s="491" t="s">
        <v>326</v>
      </c>
      <c r="C22" s="253" t="s">
        <v>316</v>
      </c>
      <c r="D22" s="403">
        <v>202</v>
      </c>
      <c r="E22" s="275" t="s">
        <v>125</v>
      </c>
      <c r="F22" s="256" t="s">
        <v>330</v>
      </c>
      <c r="G22" s="257">
        <v>69000</v>
      </c>
      <c r="H22" s="258">
        <v>1</v>
      </c>
      <c r="I22" s="258">
        <v>1</v>
      </c>
      <c r="J22" s="259">
        <f>G22*H22*I22</f>
        <v>69000</v>
      </c>
      <c r="K22" s="260"/>
      <c r="L22" s="261"/>
      <c r="M22" s="5">
        <f t="shared" si="1"/>
      </c>
    </row>
    <row r="23" spans="1:13" ht="14.25">
      <c r="A23" s="251"/>
      <c r="B23" s="491" t="s">
        <v>298</v>
      </c>
      <c r="C23" s="253" t="s">
        <v>299</v>
      </c>
      <c r="D23" s="403">
        <v>203</v>
      </c>
      <c r="E23" s="275" t="s">
        <v>125</v>
      </c>
      <c r="F23" s="256" t="s">
        <v>297</v>
      </c>
      <c r="G23" s="257">
        <v>97000</v>
      </c>
      <c r="H23" s="258">
        <v>1</v>
      </c>
      <c r="I23" s="258">
        <v>1</v>
      </c>
      <c r="J23" s="259">
        <f aca="true" t="shared" si="2" ref="J23:J35">G23*H23*I23</f>
        <v>97000</v>
      </c>
      <c r="K23" s="260"/>
      <c r="L23" s="261"/>
      <c r="M23" s="5">
        <f t="shared" si="1"/>
      </c>
    </row>
    <row r="24" spans="1:13" ht="14.25">
      <c r="A24" s="251"/>
      <c r="B24" s="491" t="s">
        <v>299</v>
      </c>
      <c r="C24" s="253" t="s">
        <v>300</v>
      </c>
      <c r="D24" s="403">
        <v>204</v>
      </c>
      <c r="E24" s="275" t="s">
        <v>125</v>
      </c>
      <c r="F24" s="256" t="s">
        <v>303</v>
      </c>
      <c r="G24" s="257">
        <v>10000</v>
      </c>
      <c r="H24" s="258">
        <v>1</v>
      </c>
      <c r="I24" s="258">
        <v>1</v>
      </c>
      <c r="J24" s="259">
        <f t="shared" si="2"/>
        <v>10000</v>
      </c>
      <c r="K24" s="260"/>
      <c r="L24" s="261"/>
      <c r="M24" s="5">
        <f t="shared" si="1"/>
      </c>
    </row>
    <row r="25" spans="1:13" ht="14.25">
      <c r="A25" s="251">
        <v>3</v>
      </c>
      <c r="B25" s="491" t="s">
        <v>327</v>
      </c>
      <c r="C25" s="253" t="s">
        <v>280</v>
      </c>
      <c r="D25" s="403">
        <v>205</v>
      </c>
      <c r="E25" s="275" t="s">
        <v>86</v>
      </c>
      <c r="F25" s="256" t="s">
        <v>301</v>
      </c>
      <c r="G25" s="257">
        <v>30000</v>
      </c>
      <c r="H25" s="258">
        <v>1</v>
      </c>
      <c r="I25" s="258">
        <v>1</v>
      </c>
      <c r="J25" s="259">
        <f t="shared" si="2"/>
        <v>30000</v>
      </c>
      <c r="K25" s="260"/>
      <c r="L25" s="261"/>
      <c r="M25" s="5">
        <f t="shared" si="1"/>
      </c>
    </row>
    <row r="26" spans="1:13" ht="14.25">
      <c r="A26" s="251">
        <v>4</v>
      </c>
      <c r="B26" s="252" t="s">
        <v>328</v>
      </c>
      <c r="C26" s="253" t="s">
        <v>321</v>
      </c>
      <c r="D26" s="403">
        <v>206</v>
      </c>
      <c r="E26" s="275" t="s">
        <v>86</v>
      </c>
      <c r="F26" s="256" t="s">
        <v>296</v>
      </c>
      <c r="G26" s="257">
        <v>40000</v>
      </c>
      <c r="H26" s="258">
        <v>3</v>
      </c>
      <c r="I26" s="258">
        <v>1</v>
      </c>
      <c r="J26" s="259">
        <f t="shared" si="2"/>
        <v>120000</v>
      </c>
      <c r="K26" s="260"/>
      <c r="L26" s="261"/>
      <c r="M26" s="5">
        <f t="shared" si="1"/>
      </c>
    </row>
    <row r="27" spans="1:13" ht="14.25">
      <c r="A27" s="251"/>
      <c r="B27" s="252" t="s">
        <v>298</v>
      </c>
      <c r="C27" s="253" t="s">
        <v>298</v>
      </c>
      <c r="D27" s="403">
        <v>207</v>
      </c>
      <c r="E27" s="275" t="s">
        <v>86</v>
      </c>
      <c r="F27" s="256" t="s">
        <v>306</v>
      </c>
      <c r="G27" s="257">
        <v>3200</v>
      </c>
      <c r="H27" s="258">
        <v>4</v>
      </c>
      <c r="I27" s="258">
        <v>1</v>
      </c>
      <c r="J27" s="259">
        <f t="shared" si="2"/>
        <v>12800</v>
      </c>
      <c r="K27" s="260"/>
      <c r="L27" s="261"/>
      <c r="M27" s="5">
        <f t="shared" si="1"/>
      </c>
    </row>
    <row r="28" spans="1:13" ht="14.25">
      <c r="A28" s="251"/>
      <c r="B28" s="252" t="s">
        <v>299</v>
      </c>
      <c r="C28" s="253" t="s">
        <v>298</v>
      </c>
      <c r="D28" s="403">
        <v>208</v>
      </c>
      <c r="E28" s="275" t="s">
        <v>88</v>
      </c>
      <c r="F28" s="256" t="s">
        <v>302</v>
      </c>
      <c r="G28" s="257">
        <v>56000</v>
      </c>
      <c r="H28" s="258">
        <v>1</v>
      </c>
      <c r="I28" s="258">
        <v>1</v>
      </c>
      <c r="J28" s="259">
        <f t="shared" si="2"/>
        <v>56000</v>
      </c>
      <c r="K28" s="260"/>
      <c r="L28" s="261"/>
      <c r="M28" s="5">
        <f t="shared" si="1"/>
      </c>
    </row>
    <row r="29" spans="1:13" ht="14.25">
      <c r="A29" s="251"/>
      <c r="B29" s="252" t="s">
        <v>298</v>
      </c>
      <c r="C29" s="253" t="s">
        <v>298</v>
      </c>
      <c r="D29" s="403">
        <v>209</v>
      </c>
      <c r="E29" s="275" t="s">
        <v>125</v>
      </c>
      <c r="F29" s="256" t="s">
        <v>304</v>
      </c>
      <c r="G29" s="257">
        <v>10000</v>
      </c>
      <c r="H29" s="258">
        <v>1</v>
      </c>
      <c r="I29" s="258">
        <v>1</v>
      </c>
      <c r="J29" s="259">
        <f t="shared" si="2"/>
        <v>10000</v>
      </c>
      <c r="K29" s="260"/>
      <c r="L29" s="261"/>
      <c r="M29" s="5">
        <f t="shared" si="1"/>
      </c>
    </row>
    <row r="30" spans="1:13" ht="13.5">
      <c r="A30" s="251">
        <v>3</v>
      </c>
      <c r="B30" s="491" t="s">
        <v>327</v>
      </c>
      <c r="C30" s="253" t="s">
        <v>280</v>
      </c>
      <c r="D30" s="403">
        <v>210</v>
      </c>
      <c r="E30" s="275" t="s">
        <v>125</v>
      </c>
      <c r="F30" s="256" t="s">
        <v>305</v>
      </c>
      <c r="G30" s="257">
        <v>1000</v>
      </c>
      <c r="H30" s="258">
        <v>1</v>
      </c>
      <c r="I30" s="258">
        <v>2</v>
      </c>
      <c r="J30" s="259">
        <f t="shared" si="2"/>
        <v>2000</v>
      </c>
      <c r="K30" s="260"/>
      <c r="L30" s="261"/>
      <c r="M30" s="5">
        <f t="shared" si="1"/>
      </c>
    </row>
    <row r="31" spans="1:13" ht="13.5">
      <c r="A31" s="251"/>
      <c r="B31" s="252"/>
      <c r="C31" s="253"/>
      <c r="D31" s="403">
        <v>211</v>
      </c>
      <c r="E31" s="275"/>
      <c r="F31" s="256"/>
      <c r="G31" s="257"/>
      <c r="H31" s="258"/>
      <c r="I31" s="258"/>
      <c r="J31" s="259">
        <f t="shared" si="2"/>
        <v>0</v>
      </c>
      <c r="K31" s="260"/>
      <c r="L31" s="261"/>
      <c r="M31" s="5">
        <f t="shared" si="1"/>
      </c>
    </row>
    <row r="32" spans="1:13" ht="13.5">
      <c r="A32" s="251"/>
      <c r="B32" s="252"/>
      <c r="C32" s="253"/>
      <c r="D32" s="403">
        <v>212</v>
      </c>
      <c r="E32" s="275"/>
      <c r="F32" s="256"/>
      <c r="G32" s="257"/>
      <c r="H32" s="258"/>
      <c r="I32" s="258"/>
      <c r="J32" s="259">
        <f t="shared" si="2"/>
        <v>0</v>
      </c>
      <c r="K32" s="260"/>
      <c r="L32" s="261"/>
      <c r="M32" s="5">
        <f t="shared" si="1"/>
      </c>
    </row>
    <row r="33" spans="1:13" ht="13.5">
      <c r="A33" s="251"/>
      <c r="B33" s="252"/>
      <c r="C33" s="253"/>
      <c r="D33" s="403">
        <v>213</v>
      </c>
      <c r="E33" s="275"/>
      <c r="F33" s="256"/>
      <c r="G33" s="257"/>
      <c r="H33" s="258"/>
      <c r="I33" s="258"/>
      <c r="J33" s="259">
        <f t="shared" si="2"/>
        <v>0</v>
      </c>
      <c r="K33" s="260"/>
      <c r="L33" s="261"/>
      <c r="M33" s="5">
        <f t="shared" si="1"/>
      </c>
    </row>
    <row r="34" spans="1:13" ht="13.5">
      <c r="A34" s="251"/>
      <c r="B34" s="252"/>
      <c r="C34" s="253"/>
      <c r="D34" s="403">
        <v>214</v>
      </c>
      <c r="E34" s="275"/>
      <c r="F34" s="256"/>
      <c r="G34" s="257"/>
      <c r="H34" s="258"/>
      <c r="I34" s="258"/>
      <c r="J34" s="259">
        <f t="shared" si="2"/>
        <v>0</v>
      </c>
      <c r="K34" s="260"/>
      <c r="L34" s="261"/>
      <c r="M34" s="5">
        <f t="shared" si="1"/>
      </c>
    </row>
    <row r="35" spans="1:13" ht="14.25" thickBot="1">
      <c r="A35" s="396"/>
      <c r="B35" s="404"/>
      <c r="C35" s="405"/>
      <c r="D35" s="406">
        <v>215</v>
      </c>
      <c r="E35" s="288"/>
      <c r="F35" s="288"/>
      <c r="G35" s="289"/>
      <c r="H35" s="290"/>
      <c r="I35" s="290"/>
      <c r="J35" s="291">
        <f t="shared" si="2"/>
        <v>0</v>
      </c>
      <c r="K35" s="407"/>
      <c r="L35" s="293"/>
      <c r="M35" s="5">
        <f t="shared" si="1"/>
      </c>
    </row>
    <row r="36" spans="1:7" ht="24" customHeight="1" thickBot="1">
      <c r="A36" s="53"/>
      <c r="B36" s="53"/>
      <c r="C36" s="53"/>
      <c r="D36" s="53"/>
      <c r="E36" s="28" t="s">
        <v>248</v>
      </c>
      <c r="F36" s="633"/>
      <c r="G36" s="633"/>
    </row>
    <row r="37" spans="1:12" ht="24" customHeight="1" thickBot="1">
      <c r="A37" s="53"/>
      <c r="B37" s="53"/>
      <c r="C37" s="53"/>
      <c r="D37" s="53"/>
      <c r="E37" s="239" t="s">
        <v>96</v>
      </c>
      <c r="F37" s="229" t="s">
        <v>109</v>
      </c>
      <c r="G37" s="156" t="s">
        <v>16</v>
      </c>
      <c r="H37" s="634" t="s">
        <v>245</v>
      </c>
      <c r="I37" s="635"/>
      <c r="J37" s="229" t="s">
        <v>108</v>
      </c>
      <c r="K37" s="535" t="s">
        <v>193</v>
      </c>
      <c r="L37" s="611"/>
    </row>
    <row r="38" spans="1:12" ht="14.25" thickTop="1">
      <c r="A38" s="53"/>
      <c r="B38" s="53"/>
      <c r="C38" s="53"/>
      <c r="D38" s="53"/>
      <c r="E38" s="296" t="s">
        <v>85</v>
      </c>
      <c r="F38" s="347">
        <f>'1-1'!B21</f>
        <v>0</v>
      </c>
      <c r="G38" s="349">
        <f aca="true" t="shared" si="3" ref="G38:G46">-SUMIF($E$4:$E$18,$E38,$J$4:$J$18)+SUMIF($E$21:$E$35,$E38,$J$21:$J$35)</f>
        <v>0</v>
      </c>
      <c r="H38" s="544">
        <f aca="true" t="shared" si="4" ref="H38:H46">-SUMIF($E$4:$E$18,$E38,$M$4:$M$18)+SUMIF($E$21:$E$35,$E38,$M$21:$M$35)</f>
        <v>0</v>
      </c>
      <c r="I38" s="544"/>
      <c r="J38" s="348">
        <f aca="true" t="shared" si="5" ref="J38:J46">G38-H38</f>
        <v>0</v>
      </c>
      <c r="K38" s="544">
        <f aca="true" t="shared" si="6" ref="K38:K46">F38+G38</f>
        <v>0</v>
      </c>
      <c r="L38" s="625"/>
    </row>
    <row r="39" spans="1:12" ht="13.5">
      <c r="A39" s="53"/>
      <c r="B39" s="53"/>
      <c r="C39" s="53"/>
      <c r="D39" s="53"/>
      <c r="E39" s="297" t="s">
        <v>86</v>
      </c>
      <c r="F39" s="351">
        <f>'1-1'!C21</f>
        <v>160000</v>
      </c>
      <c r="G39" s="349">
        <f t="shared" si="3"/>
        <v>32800</v>
      </c>
      <c r="H39" s="552">
        <f t="shared" si="4"/>
        <v>0</v>
      </c>
      <c r="I39" s="552"/>
      <c r="J39" s="351">
        <f t="shared" si="5"/>
        <v>32800</v>
      </c>
      <c r="K39" s="552">
        <f t="shared" si="6"/>
        <v>192800</v>
      </c>
      <c r="L39" s="555"/>
    </row>
    <row r="40" spans="1:12" ht="13.5">
      <c r="A40" s="53"/>
      <c r="B40" s="53"/>
      <c r="C40" s="53"/>
      <c r="D40" s="53"/>
      <c r="E40" s="297" t="s">
        <v>125</v>
      </c>
      <c r="F40" s="351">
        <f>'1-1'!D21</f>
        <v>343000</v>
      </c>
      <c r="G40" s="349">
        <f t="shared" si="3"/>
        <v>-32000</v>
      </c>
      <c r="H40" s="552">
        <f t="shared" si="4"/>
        <v>0</v>
      </c>
      <c r="I40" s="552"/>
      <c r="J40" s="351">
        <f t="shared" si="5"/>
        <v>-32000</v>
      </c>
      <c r="K40" s="552">
        <f t="shared" si="6"/>
        <v>311000</v>
      </c>
      <c r="L40" s="555"/>
    </row>
    <row r="41" spans="1:12" ht="13.5">
      <c r="A41" s="53"/>
      <c r="B41" s="53"/>
      <c r="C41" s="53"/>
      <c r="D41" s="53"/>
      <c r="E41" s="297" t="s">
        <v>126</v>
      </c>
      <c r="F41" s="351">
        <f>'1-1'!E21</f>
        <v>0</v>
      </c>
      <c r="G41" s="349">
        <f t="shared" si="3"/>
        <v>0</v>
      </c>
      <c r="H41" s="552">
        <f t="shared" si="4"/>
        <v>0</v>
      </c>
      <c r="I41" s="552"/>
      <c r="J41" s="351">
        <f t="shared" si="5"/>
        <v>0</v>
      </c>
      <c r="K41" s="552">
        <f t="shared" si="6"/>
        <v>0</v>
      </c>
      <c r="L41" s="555"/>
    </row>
    <row r="42" spans="1:12" ht="13.5">
      <c r="A42" s="53"/>
      <c r="B42" s="53"/>
      <c r="C42" s="53"/>
      <c r="D42" s="53"/>
      <c r="E42" s="297" t="s">
        <v>87</v>
      </c>
      <c r="F42" s="351">
        <f>'1-1'!F21</f>
        <v>0</v>
      </c>
      <c r="G42" s="349">
        <f t="shared" si="3"/>
        <v>0</v>
      </c>
      <c r="H42" s="552">
        <f t="shared" si="4"/>
        <v>0</v>
      </c>
      <c r="I42" s="552"/>
      <c r="J42" s="351">
        <f t="shared" si="5"/>
        <v>0</v>
      </c>
      <c r="K42" s="552">
        <f t="shared" si="6"/>
        <v>0</v>
      </c>
      <c r="L42" s="555"/>
    </row>
    <row r="43" spans="1:12" ht="13.5">
      <c r="A43" s="53"/>
      <c r="B43" s="53"/>
      <c r="C43" s="53"/>
      <c r="D43" s="53"/>
      <c r="E43" s="297" t="s">
        <v>88</v>
      </c>
      <c r="F43" s="351">
        <f>'1-1'!G21</f>
        <v>360000</v>
      </c>
      <c r="G43" s="349">
        <f t="shared" si="3"/>
        <v>-4000</v>
      </c>
      <c r="H43" s="552">
        <f t="shared" si="4"/>
        <v>0</v>
      </c>
      <c r="I43" s="552"/>
      <c r="J43" s="351">
        <f t="shared" si="5"/>
        <v>-4000</v>
      </c>
      <c r="K43" s="552">
        <f t="shared" si="6"/>
        <v>356000</v>
      </c>
      <c r="L43" s="555"/>
    </row>
    <row r="44" spans="1:12" ht="13.5">
      <c r="A44" s="53"/>
      <c r="B44" s="53"/>
      <c r="C44" s="53"/>
      <c r="D44" s="53"/>
      <c r="E44" s="297" t="s">
        <v>89</v>
      </c>
      <c r="F44" s="351">
        <f>'1-1'!H21</f>
        <v>280000</v>
      </c>
      <c r="G44" s="349">
        <f t="shared" si="3"/>
        <v>0</v>
      </c>
      <c r="H44" s="552">
        <f t="shared" si="4"/>
        <v>0</v>
      </c>
      <c r="I44" s="552"/>
      <c r="J44" s="351">
        <f t="shared" si="5"/>
        <v>0</v>
      </c>
      <c r="K44" s="552">
        <f t="shared" si="6"/>
        <v>280000</v>
      </c>
      <c r="L44" s="555"/>
    </row>
    <row r="45" spans="1:12" ht="13.5">
      <c r="A45" s="53"/>
      <c r="B45" s="53"/>
      <c r="C45" s="53"/>
      <c r="D45" s="53"/>
      <c r="E45" s="297" t="s">
        <v>90</v>
      </c>
      <c r="F45" s="351">
        <f>'1-1'!I21</f>
        <v>0</v>
      </c>
      <c r="G45" s="349">
        <f t="shared" si="3"/>
        <v>0</v>
      </c>
      <c r="H45" s="552">
        <f t="shared" si="4"/>
        <v>0</v>
      </c>
      <c r="I45" s="552"/>
      <c r="J45" s="351">
        <f t="shared" si="5"/>
        <v>0</v>
      </c>
      <c r="K45" s="552">
        <f t="shared" si="6"/>
        <v>0</v>
      </c>
      <c r="L45" s="555"/>
    </row>
    <row r="46" spans="1:12" ht="14.25" thickBot="1">
      <c r="A46" s="53"/>
      <c r="B46" s="53"/>
      <c r="C46" s="53"/>
      <c r="D46" s="53"/>
      <c r="E46" s="297" t="s">
        <v>138</v>
      </c>
      <c r="F46" s="399">
        <f>'1-1'!J21</f>
        <v>43330</v>
      </c>
      <c r="G46" s="349">
        <f t="shared" si="3"/>
        <v>3000</v>
      </c>
      <c r="H46" s="596">
        <f t="shared" si="4"/>
        <v>0</v>
      </c>
      <c r="I46" s="596"/>
      <c r="J46" s="352">
        <f t="shared" si="5"/>
        <v>3000</v>
      </c>
      <c r="K46" s="596">
        <f t="shared" si="6"/>
        <v>46330</v>
      </c>
      <c r="L46" s="597"/>
    </row>
    <row r="47" spans="1:12" ht="15" thickBot="1" thickTop="1">
      <c r="A47" s="53"/>
      <c r="B47" s="53"/>
      <c r="C47" s="53"/>
      <c r="D47" s="53"/>
      <c r="E47" s="400" t="s">
        <v>15</v>
      </c>
      <c r="F47" s="354">
        <f>SUM(F38:F46)</f>
        <v>1186330</v>
      </c>
      <c r="G47" s="355">
        <f>SUM(G38:G46)</f>
        <v>-200</v>
      </c>
      <c r="H47" s="631">
        <f>SUM(H38:I46)</f>
        <v>0</v>
      </c>
      <c r="I47" s="632"/>
      <c r="J47" s="356">
        <f>SUM(J38:J46)</f>
        <v>-200</v>
      </c>
      <c r="K47" s="631">
        <f>SUM(K38:L46)</f>
        <v>1186130</v>
      </c>
      <c r="L47" s="636"/>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8">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20" t="s">
        <v>14</v>
      </c>
      <c r="I1" s="520"/>
      <c r="J1" s="520"/>
      <c r="K1" s="520"/>
    </row>
    <row r="2" spans="8:11" s="1" customFormat="1" ht="18" customHeight="1">
      <c r="H2" s="520" t="s">
        <v>7</v>
      </c>
      <c r="I2" s="520"/>
      <c r="J2" s="520"/>
      <c r="K2" s="520"/>
    </row>
    <row r="3" s="1" customFormat="1" ht="18" customHeight="1">
      <c r="K3" s="2"/>
    </row>
    <row r="4" spans="8:11" s="1" customFormat="1" ht="18" customHeight="1">
      <c r="H4" s="521" t="s">
        <v>6</v>
      </c>
      <c r="I4" s="521"/>
      <c r="J4" s="521"/>
      <c r="K4" s="521"/>
    </row>
    <row r="5" spans="8:11" s="1" customFormat="1" ht="18" customHeight="1">
      <c r="H5" s="521" t="s">
        <v>145</v>
      </c>
      <c r="I5" s="521"/>
      <c r="J5" s="521"/>
      <c r="K5" s="521"/>
    </row>
    <row r="6" spans="1:11" s="1" customFormat="1" ht="18" customHeight="1">
      <c r="A6" s="3" t="s">
        <v>2</v>
      </c>
      <c r="H6" s="4"/>
      <c r="K6" s="11"/>
    </row>
    <row r="7" spans="1:11" s="1" customFormat="1" ht="18" customHeight="1">
      <c r="A7" s="4"/>
      <c r="H7" s="521" t="s">
        <v>3</v>
      </c>
      <c r="I7" s="521"/>
      <c r="J7" s="521"/>
      <c r="K7" s="521"/>
    </row>
    <row r="8" spans="1:11" s="1" customFormat="1" ht="18" customHeight="1">
      <c r="A8" s="4"/>
      <c r="H8" s="521" t="s">
        <v>4</v>
      </c>
      <c r="I8" s="521"/>
      <c r="J8" s="521"/>
      <c r="K8" s="521"/>
    </row>
    <row r="9" spans="1:11" s="1" customFormat="1" ht="42" customHeight="1">
      <c r="A9" s="4"/>
      <c r="H9" s="2"/>
      <c r="K9" s="46"/>
    </row>
    <row r="10" spans="1:11" ht="24" customHeight="1">
      <c r="A10" s="523" t="s">
        <v>270</v>
      </c>
      <c r="B10" s="523"/>
      <c r="C10" s="523"/>
      <c r="D10" s="523"/>
      <c r="E10" s="523"/>
      <c r="F10" s="523"/>
      <c r="G10" s="523"/>
      <c r="H10" s="523"/>
      <c r="I10" s="523"/>
      <c r="J10" s="523"/>
      <c r="K10" s="523"/>
    </row>
    <row r="11" spans="1:11" ht="24" customHeight="1">
      <c r="A11" s="524"/>
      <c r="B11" s="524"/>
      <c r="C11" s="524"/>
      <c r="D11" s="524"/>
      <c r="E11" s="524"/>
      <c r="F11" s="524"/>
      <c r="G11" s="524"/>
      <c r="H11" s="524"/>
      <c r="I11" s="524"/>
      <c r="J11" s="524"/>
      <c r="K11" s="52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5" t="s">
        <v>84</v>
      </c>
      <c r="B14" s="526"/>
      <c r="C14" s="527"/>
      <c r="D14" s="528">
        <f>'1-1'!D14:F14</f>
        <v>1190000</v>
      </c>
      <c r="E14" s="529"/>
      <c r="F14" s="530"/>
      <c r="G14" s="594"/>
      <c r="H14" s="595"/>
      <c r="I14" s="595"/>
      <c r="J14" s="595"/>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21" t="s">
        <v>168</v>
      </c>
      <c r="B16" s="435">
        <f>'2-1'!B23</f>
        <v>0</v>
      </c>
      <c r="C16" s="435">
        <f>'2-1'!C23</f>
        <v>35000</v>
      </c>
      <c r="D16" s="435">
        <f>'2-1'!D23</f>
        <v>69000</v>
      </c>
      <c r="E16" s="435">
        <f>'2-1'!E23</f>
        <v>0</v>
      </c>
      <c r="F16" s="435">
        <f>'2-1'!F23</f>
        <v>0</v>
      </c>
      <c r="G16" s="435">
        <f>'2-1'!G23</f>
        <v>0</v>
      </c>
      <c r="H16" s="435">
        <f>'2-1'!H23</f>
        <v>0</v>
      </c>
      <c r="I16" s="435">
        <f>'2-1'!I23</f>
        <v>0</v>
      </c>
      <c r="J16" s="435">
        <f>'2-1'!J23</f>
        <v>0</v>
      </c>
      <c r="K16" s="437">
        <f aca="true" t="shared" si="0" ref="K16:K23">SUM(B16:J16)</f>
        <v>104000</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0</v>
      </c>
      <c r="C18" s="438">
        <f aca="true" t="shared" si="1" ref="C18:J18">C16-C17</f>
        <v>35000</v>
      </c>
      <c r="D18" s="438">
        <f t="shared" si="1"/>
        <v>69000</v>
      </c>
      <c r="E18" s="438">
        <f t="shared" si="1"/>
        <v>0</v>
      </c>
      <c r="F18" s="438">
        <f t="shared" si="1"/>
        <v>0</v>
      </c>
      <c r="G18" s="438">
        <f t="shared" si="1"/>
        <v>0</v>
      </c>
      <c r="H18" s="438">
        <f t="shared" si="1"/>
        <v>0</v>
      </c>
      <c r="I18" s="438">
        <f t="shared" si="1"/>
        <v>0</v>
      </c>
      <c r="J18" s="438">
        <f t="shared" si="1"/>
        <v>0</v>
      </c>
      <c r="K18" s="441">
        <f t="shared" si="0"/>
        <v>104000</v>
      </c>
    </row>
    <row r="19" spans="1:11" ht="39" customHeight="1">
      <c r="A19" s="21" t="s">
        <v>16</v>
      </c>
      <c r="B19" s="435">
        <f>'随時③-2'!G38</f>
        <v>0</v>
      </c>
      <c r="C19" s="321">
        <f>'随時③-2'!G39</f>
        <v>0</v>
      </c>
      <c r="D19" s="321">
        <f>'随時③-2'!G40</f>
        <v>0</v>
      </c>
      <c r="E19" s="321">
        <f>'随時③-2'!G41</f>
        <v>0</v>
      </c>
      <c r="F19" s="321">
        <f>'随時③-2'!G42</f>
        <v>0</v>
      </c>
      <c r="G19" s="321">
        <f>'随時③-2'!G43</f>
        <v>0</v>
      </c>
      <c r="H19" s="321">
        <f>'随時③-2'!G44</f>
        <v>0</v>
      </c>
      <c r="I19" s="321">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3">
        <f>B16+B19</f>
        <v>0</v>
      </c>
      <c r="C22" s="223">
        <f aca="true" t="shared" si="3" ref="C22:J22">C16+C19</f>
        <v>35000</v>
      </c>
      <c r="D22" s="223">
        <f t="shared" si="3"/>
        <v>69000</v>
      </c>
      <c r="E22" s="223">
        <f t="shared" si="3"/>
        <v>0</v>
      </c>
      <c r="F22" s="223">
        <f t="shared" si="3"/>
        <v>0</v>
      </c>
      <c r="G22" s="223">
        <f t="shared" si="3"/>
        <v>0</v>
      </c>
      <c r="H22" s="223">
        <f t="shared" si="3"/>
        <v>0</v>
      </c>
      <c r="I22" s="223">
        <f t="shared" si="3"/>
        <v>0</v>
      </c>
      <c r="J22" s="223">
        <f t="shared" si="3"/>
        <v>0</v>
      </c>
      <c r="K22" s="434">
        <f t="shared" si="0"/>
        <v>104000</v>
      </c>
    </row>
    <row r="23" spans="1:11" ht="39" customHeight="1" thickBot="1">
      <c r="A23" s="22" t="s">
        <v>170</v>
      </c>
      <c r="B23" s="219">
        <f>'2-1'!B19+'随時③-1'!B22</f>
        <v>0</v>
      </c>
      <c r="C23" s="219">
        <f>'2-1'!C19+'随時③-1'!C22</f>
        <v>194438</v>
      </c>
      <c r="D23" s="219">
        <f>'2-1'!D19+'随時③-1'!D22</f>
        <v>341416</v>
      </c>
      <c r="E23" s="219">
        <f>'2-1'!E19+'随時③-1'!E22</f>
        <v>0</v>
      </c>
      <c r="F23" s="219">
        <f>'2-1'!F19+'随時③-1'!F22</f>
        <v>0</v>
      </c>
      <c r="G23" s="219">
        <f>'2-1'!G19+'随時③-1'!G22</f>
        <v>347328</v>
      </c>
      <c r="H23" s="219">
        <f>'2-1'!H19+'随時③-1'!H22</f>
        <v>280000</v>
      </c>
      <c r="I23" s="219">
        <f>'2-1'!I19+'随時③-1'!I22</f>
        <v>0</v>
      </c>
      <c r="J23" s="219">
        <f>'2-1'!J19+'随時③-1'!J22</f>
        <v>46330</v>
      </c>
      <c r="K23" s="222">
        <f t="shared" si="0"/>
        <v>1209512</v>
      </c>
    </row>
    <row r="24" spans="1:11" ht="39" customHeight="1" thickBot="1">
      <c r="A24" s="32" t="s">
        <v>104</v>
      </c>
      <c r="B24" s="637" t="s">
        <v>122</v>
      </c>
      <c r="C24" s="571"/>
      <c r="D24" s="571"/>
      <c r="E24" s="571"/>
      <c r="F24" s="571"/>
      <c r="G24" s="571"/>
      <c r="H24" s="571"/>
      <c r="I24" s="571"/>
      <c r="J24" s="571"/>
      <c r="K24" s="572"/>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4">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246</v>
      </c>
      <c r="I3" s="96" t="s">
        <v>92</v>
      </c>
      <c r="J3" s="96" t="s">
        <v>93</v>
      </c>
      <c r="K3" s="227" t="s">
        <v>111</v>
      </c>
      <c r="L3" s="295" t="s">
        <v>107</v>
      </c>
    </row>
    <row r="4" spans="1:13" ht="14.25">
      <c r="A4" s="91"/>
      <c r="B4" s="67"/>
      <c r="C4" s="67"/>
      <c r="D4" s="410"/>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5">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246</v>
      </c>
      <c r="I20" s="96" t="s">
        <v>92</v>
      </c>
      <c r="J20" s="96" t="s">
        <v>93</v>
      </c>
      <c r="K20" s="227" t="s">
        <v>111</v>
      </c>
      <c r="L20" s="409" t="s">
        <v>107</v>
      </c>
    </row>
    <row r="21" spans="1:13" s="467" customFormat="1" ht="13.5" customHeight="1">
      <c r="A21" s="360"/>
      <c r="B21" s="241"/>
      <c r="C21" s="262"/>
      <c r="D21" s="466">
        <v>401</v>
      </c>
      <c r="E21" s="275"/>
      <c r="F21" s="275"/>
      <c r="G21" s="340"/>
      <c r="H21" s="341"/>
      <c r="I21" s="341"/>
      <c r="J21" s="382">
        <f>G21*H21*I21</f>
        <v>0</v>
      </c>
      <c r="K21" s="278"/>
      <c r="L21" s="279"/>
      <c r="M21" s="467">
        <f aca="true" t="shared" si="1" ref="M21:M35">IF(K21="◎",J21,"")</f>
      </c>
    </row>
    <row r="22" spans="1:13" s="467" customFormat="1" ht="13.5" customHeight="1">
      <c r="A22" s="251"/>
      <c r="B22" s="252"/>
      <c r="C22" s="253"/>
      <c r="D22" s="468">
        <v>402</v>
      </c>
      <c r="E22" s="275"/>
      <c r="F22" s="256"/>
      <c r="G22" s="319"/>
      <c r="H22" s="320"/>
      <c r="I22" s="320"/>
      <c r="J22" s="382">
        <f aca="true" t="shared" si="2" ref="J22:J35">G22*H22*I22</f>
        <v>0</v>
      </c>
      <c r="K22" s="260"/>
      <c r="L22" s="261"/>
      <c r="M22" s="467">
        <f t="shared" si="1"/>
      </c>
    </row>
    <row r="23" spans="1:13" s="467" customFormat="1" ht="13.5" customHeight="1">
      <c r="A23" s="251"/>
      <c r="B23" s="252"/>
      <c r="C23" s="253"/>
      <c r="D23" s="468">
        <v>403</v>
      </c>
      <c r="E23" s="275"/>
      <c r="F23" s="256"/>
      <c r="G23" s="319"/>
      <c r="H23" s="320"/>
      <c r="I23" s="320"/>
      <c r="J23" s="382">
        <f t="shared" si="2"/>
        <v>0</v>
      </c>
      <c r="K23" s="260"/>
      <c r="L23" s="261"/>
      <c r="M23" s="467">
        <f t="shared" si="1"/>
      </c>
    </row>
    <row r="24" spans="1:13" s="467" customFormat="1" ht="13.5" customHeight="1">
      <c r="A24" s="251"/>
      <c r="B24" s="252"/>
      <c r="C24" s="253"/>
      <c r="D24" s="468">
        <v>404</v>
      </c>
      <c r="E24" s="275"/>
      <c r="F24" s="256"/>
      <c r="G24" s="319"/>
      <c r="H24" s="320"/>
      <c r="I24" s="320"/>
      <c r="J24" s="382">
        <f t="shared" si="2"/>
        <v>0</v>
      </c>
      <c r="K24" s="260"/>
      <c r="L24" s="261"/>
      <c r="M24" s="467">
        <f t="shared" si="1"/>
      </c>
    </row>
    <row r="25" spans="1:13" s="467" customFormat="1" ht="13.5" customHeight="1">
      <c r="A25" s="251"/>
      <c r="B25" s="252"/>
      <c r="C25" s="253"/>
      <c r="D25" s="468">
        <v>405</v>
      </c>
      <c r="E25" s="275"/>
      <c r="F25" s="256"/>
      <c r="G25" s="319"/>
      <c r="H25" s="320"/>
      <c r="I25" s="320"/>
      <c r="J25" s="382">
        <f t="shared" si="2"/>
        <v>0</v>
      </c>
      <c r="K25" s="260"/>
      <c r="L25" s="261"/>
      <c r="M25" s="467">
        <f t="shared" si="1"/>
      </c>
    </row>
    <row r="26" spans="1:13" s="467" customFormat="1" ht="13.5" customHeight="1">
      <c r="A26" s="251"/>
      <c r="B26" s="252"/>
      <c r="C26" s="253"/>
      <c r="D26" s="468">
        <v>406</v>
      </c>
      <c r="E26" s="275"/>
      <c r="F26" s="256"/>
      <c r="G26" s="319"/>
      <c r="H26" s="320"/>
      <c r="I26" s="320"/>
      <c r="J26" s="382">
        <f t="shared" si="2"/>
        <v>0</v>
      </c>
      <c r="K26" s="260"/>
      <c r="L26" s="261"/>
      <c r="M26" s="467">
        <f t="shared" si="1"/>
      </c>
    </row>
    <row r="27" spans="1:13" s="467" customFormat="1" ht="13.5" customHeight="1">
      <c r="A27" s="251"/>
      <c r="B27" s="252"/>
      <c r="C27" s="253"/>
      <c r="D27" s="468">
        <v>407</v>
      </c>
      <c r="E27" s="275"/>
      <c r="F27" s="256"/>
      <c r="G27" s="319"/>
      <c r="H27" s="320"/>
      <c r="I27" s="320"/>
      <c r="J27" s="382">
        <f t="shared" si="2"/>
        <v>0</v>
      </c>
      <c r="K27" s="260"/>
      <c r="L27" s="261"/>
      <c r="M27" s="467">
        <f t="shared" si="1"/>
      </c>
    </row>
    <row r="28" spans="1:13" s="467" customFormat="1" ht="13.5" customHeight="1">
      <c r="A28" s="251"/>
      <c r="B28" s="252"/>
      <c r="C28" s="253"/>
      <c r="D28" s="468">
        <v>408</v>
      </c>
      <c r="E28" s="275"/>
      <c r="F28" s="256"/>
      <c r="G28" s="319"/>
      <c r="H28" s="320"/>
      <c r="I28" s="320"/>
      <c r="J28" s="382">
        <f t="shared" si="2"/>
        <v>0</v>
      </c>
      <c r="K28" s="260"/>
      <c r="L28" s="261"/>
      <c r="M28" s="467">
        <f t="shared" si="1"/>
      </c>
    </row>
    <row r="29" spans="1:13" s="467" customFormat="1" ht="13.5" customHeight="1">
      <c r="A29" s="251"/>
      <c r="B29" s="252"/>
      <c r="C29" s="253"/>
      <c r="D29" s="468">
        <v>409</v>
      </c>
      <c r="E29" s="275"/>
      <c r="F29" s="275"/>
      <c r="G29" s="319"/>
      <c r="H29" s="320"/>
      <c r="I29" s="320"/>
      <c r="J29" s="382">
        <f t="shared" si="2"/>
        <v>0</v>
      </c>
      <c r="K29" s="260"/>
      <c r="L29" s="261"/>
      <c r="M29" s="467">
        <f t="shared" si="1"/>
      </c>
    </row>
    <row r="30" spans="1:13" s="467" customFormat="1" ht="13.5" customHeight="1">
      <c r="A30" s="251"/>
      <c r="B30" s="252"/>
      <c r="C30" s="253"/>
      <c r="D30" s="468">
        <v>410</v>
      </c>
      <c r="E30" s="275"/>
      <c r="F30" s="256"/>
      <c r="G30" s="319"/>
      <c r="H30" s="320"/>
      <c r="I30" s="320"/>
      <c r="J30" s="382">
        <f t="shared" si="2"/>
        <v>0</v>
      </c>
      <c r="K30" s="260"/>
      <c r="L30" s="261"/>
      <c r="M30" s="467">
        <f t="shared" si="1"/>
      </c>
    </row>
    <row r="31" spans="1:13" s="467" customFormat="1" ht="13.5" customHeight="1">
      <c r="A31" s="251"/>
      <c r="B31" s="252"/>
      <c r="C31" s="253"/>
      <c r="D31" s="468">
        <v>411</v>
      </c>
      <c r="E31" s="275"/>
      <c r="F31" s="256"/>
      <c r="G31" s="319"/>
      <c r="H31" s="320"/>
      <c r="I31" s="320"/>
      <c r="J31" s="382">
        <f t="shared" si="2"/>
        <v>0</v>
      </c>
      <c r="K31" s="260"/>
      <c r="L31" s="261"/>
      <c r="M31" s="467">
        <f t="shared" si="1"/>
      </c>
    </row>
    <row r="32" spans="1:13" s="467" customFormat="1" ht="13.5" customHeight="1">
      <c r="A32" s="251"/>
      <c r="B32" s="252"/>
      <c r="C32" s="253"/>
      <c r="D32" s="468">
        <v>412</v>
      </c>
      <c r="E32" s="275"/>
      <c r="F32" s="256"/>
      <c r="G32" s="319"/>
      <c r="H32" s="320"/>
      <c r="I32" s="320"/>
      <c r="J32" s="382">
        <f t="shared" si="2"/>
        <v>0</v>
      </c>
      <c r="K32" s="260"/>
      <c r="L32" s="261"/>
      <c r="M32" s="467">
        <f t="shared" si="1"/>
      </c>
    </row>
    <row r="33" spans="1:13" s="467" customFormat="1" ht="13.5" customHeight="1">
      <c r="A33" s="251"/>
      <c r="B33" s="252"/>
      <c r="C33" s="253"/>
      <c r="D33" s="468">
        <v>413</v>
      </c>
      <c r="E33" s="275"/>
      <c r="F33" s="256"/>
      <c r="G33" s="319"/>
      <c r="H33" s="320"/>
      <c r="I33" s="320"/>
      <c r="J33" s="382">
        <f t="shared" si="2"/>
        <v>0</v>
      </c>
      <c r="K33" s="260"/>
      <c r="L33" s="261"/>
      <c r="M33" s="467">
        <f t="shared" si="1"/>
      </c>
    </row>
    <row r="34" spans="1:13" s="467" customFormat="1" ht="13.5" customHeight="1">
      <c r="A34" s="251"/>
      <c r="B34" s="252"/>
      <c r="C34" s="253"/>
      <c r="D34" s="468">
        <v>414</v>
      </c>
      <c r="E34" s="275"/>
      <c r="F34" s="256"/>
      <c r="G34" s="319"/>
      <c r="H34" s="320"/>
      <c r="I34" s="320"/>
      <c r="J34" s="382">
        <f t="shared" si="2"/>
        <v>0</v>
      </c>
      <c r="K34" s="260"/>
      <c r="L34" s="261"/>
      <c r="M34" s="467">
        <f t="shared" si="1"/>
      </c>
    </row>
    <row r="35" spans="1:13" s="467" customFormat="1" ht="13.5" customHeight="1" thickBot="1">
      <c r="A35" s="396"/>
      <c r="B35" s="404"/>
      <c r="C35" s="405"/>
      <c r="D35" s="469">
        <v>415</v>
      </c>
      <c r="E35" s="288"/>
      <c r="F35" s="288"/>
      <c r="G35" s="470"/>
      <c r="H35" s="471"/>
      <c r="I35" s="471"/>
      <c r="J35" s="463">
        <f t="shared" si="2"/>
        <v>0</v>
      </c>
      <c r="K35" s="472"/>
      <c r="L35" s="473"/>
      <c r="M35" s="467">
        <f t="shared" si="1"/>
      </c>
    </row>
    <row r="36" spans="1:7" ht="24" customHeight="1" thickBot="1">
      <c r="A36" s="53"/>
      <c r="B36" s="53"/>
      <c r="C36" s="53"/>
      <c r="E36" s="432" t="s">
        <v>247</v>
      </c>
      <c r="F36" s="633"/>
      <c r="G36" s="633"/>
    </row>
    <row r="37" spans="1:12" ht="24" customHeight="1" thickBot="1">
      <c r="A37" s="53"/>
      <c r="B37" s="53"/>
      <c r="C37" s="53"/>
      <c r="E37" s="239" t="s">
        <v>96</v>
      </c>
      <c r="F37" s="229" t="s">
        <v>172</v>
      </c>
      <c r="G37" s="229" t="s">
        <v>16</v>
      </c>
      <c r="H37" s="634" t="s">
        <v>245</v>
      </c>
      <c r="I37" s="635"/>
      <c r="J37" s="156" t="s">
        <v>108</v>
      </c>
      <c r="K37" s="600" t="s">
        <v>194</v>
      </c>
      <c r="L37" s="601"/>
    </row>
    <row r="38" spans="1:12" ht="14.25" thickTop="1">
      <c r="A38" s="53"/>
      <c r="B38" s="53"/>
      <c r="C38" s="53"/>
      <c r="E38" s="297" t="s">
        <v>85</v>
      </c>
      <c r="F38" s="347">
        <f>'2-1'!B23</f>
        <v>0</v>
      </c>
      <c r="G38" s="347">
        <f aca="true" t="shared" si="3" ref="G38:G46">-SUMIF($E$4:$E$18,$E38,$J$4:$J$18)+SUMIF($E$21:$E$35,$E38,$J$21:$J$35)</f>
        <v>0</v>
      </c>
      <c r="H38" s="545">
        <f aca="true" t="shared" si="4" ref="H38:H46">-SUMIF($E$4:$E$18,$E38,$M$4:$M$18)+SUMIF($E$21:$E$35,$E38,$M$21:$M$35)</f>
        <v>0</v>
      </c>
      <c r="I38" s="618"/>
      <c r="J38" s="349">
        <f aca="true" t="shared" si="5" ref="J38:J46">G38-H38</f>
        <v>0</v>
      </c>
      <c r="K38" s="562">
        <f aca="true" t="shared" si="6" ref="K38:K46">F38+G38</f>
        <v>0</v>
      </c>
      <c r="L38" s="602"/>
    </row>
    <row r="39" spans="1:12" ht="13.5">
      <c r="A39" s="53"/>
      <c r="B39" s="53"/>
      <c r="C39" s="53"/>
      <c r="E39" s="297" t="s">
        <v>86</v>
      </c>
      <c r="F39" s="351">
        <f>'2-1'!C23</f>
        <v>35000</v>
      </c>
      <c r="G39" s="347">
        <f t="shared" si="3"/>
        <v>0</v>
      </c>
      <c r="H39" s="553">
        <f t="shared" si="4"/>
        <v>0</v>
      </c>
      <c r="I39" s="607"/>
      <c r="J39" s="349">
        <f t="shared" si="5"/>
        <v>0</v>
      </c>
      <c r="K39" s="562">
        <f t="shared" si="6"/>
        <v>35000</v>
      </c>
      <c r="L39" s="602"/>
    </row>
    <row r="40" spans="1:12" ht="13.5">
      <c r="A40" s="53"/>
      <c r="B40" s="53"/>
      <c r="C40" s="53"/>
      <c r="E40" s="297" t="s">
        <v>125</v>
      </c>
      <c r="F40" s="351">
        <f>'2-1'!D23</f>
        <v>69000</v>
      </c>
      <c r="G40" s="347">
        <f t="shared" si="3"/>
        <v>0</v>
      </c>
      <c r="H40" s="553">
        <f t="shared" si="4"/>
        <v>0</v>
      </c>
      <c r="I40" s="607"/>
      <c r="J40" s="349">
        <f t="shared" si="5"/>
        <v>0</v>
      </c>
      <c r="K40" s="562">
        <f t="shared" si="6"/>
        <v>69000</v>
      </c>
      <c r="L40" s="602"/>
    </row>
    <row r="41" spans="1:12" ht="13.5">
      <c r="A41" s="53"/>
      <c r="B41" s="53"/>
      <c r="C41" s="53"/>
      <c r="E41" s="297" t="s">
        <v>126</v>
      </c>
      <c r="F41" s="351">
        <f>'2-1'!E23</f>
        <v>0</v>
      </c>
      <c r="G41" s="347">
        <f t="shared" si="3"/>
        <v>0</v>
      </c>
      <c r="H41" s="553">
        <f t="shared" si="4"/>
        <v>0</v>
      </c>
      <c r="I41" s="607"/>
      <c r="J41" s="349">
        <f t="shared" si="5"/>
        <v>0</v>
      </c>
      <c r="K41" s="562">
        <f t="shared" si="6"/>
        <v>0</v>
      </c>
      <c r="L41" s="602"/>
    </row>
    <row r="42" spans="1:12" ht="13.5">
      <c r="A42" s="53"/>
      <c r="B42" s="53"/>
      <c r="C42" s="53"/>
      <c r="E42" s="297" t="s">
        <v>87</v>
      </c>
      <c r="F42" s="351">
        <f>'2-1'!F23</f>
        <v>0</v>
      </c>
      <c r="G42" s="347">
        <f t="shared" si="3"/>
        <v>0</v>
      </c>
      <c r="H42" s="553">
        <f t="shared" si="4"/>
        <v>0</v>
      </c>
      <c r="I42" s="607"/>
      <c r="J42" s="349">
        <f t="shared" si="5"/>
        <v>0</v>
      </c>
      <c r="K42" s="562">
        <f t="shared" si="6"/>
        <v>0</v>
      </c>
      <c r="L42" s="602"/>
    </row>
    <row r="43" spans="1:12" ht="13.5">
      <c r="A43" s="53"/>
      <c r="B43" s="53"/>
      <c r="C43" s="53"/>
      <c r="E43" s="297" t="s">
        <v>88</v>
      </c>
      <c r="F43" s="351">
        <f>'2-1'!G23</f>
        <v>0</v>
      </c>
      <c r="G43" s="347">
        <f t="shared" si="3"/>
        <v>0</v>
      </c>
      <c r="H43" s="553">
        <f t="shared" si="4"/>
        <v>0</v>
      </c>
      <c r="I43" s="607"/>
      <c r="J43" s="349">
        <f t="shared" si="5"/>
        <v>0</v>
      </c>
      <c r="K43" s="562">
        <f t="shared" si="6"/>
        <v>0</v>
      </c>
      <c r="L43" s="602"/>
    </row>
    <row r="44" spans="1:12" ht="13.5">
      <c r="A44" s="53"/>
      <c r="B44" s="53"/>
      <c r="C44" s="53"/>
      <c r="E44" s="297" t="s">
        <v>89</v>
      </c>
      <c r="F44" s="351">
        <f>'2-1'!H23</f>
        <v>0</v>
      </c>
      <c r="G44" s="347">
        <f t="shared" si="3"/>
        <v>0</v>
      </c>
      <c r="H44" s="553">
        <f t="shared" si="4"/>
        <v>0</v>
      </c>
      <c r="I44" s="607"/>
      <c r="J44" s="349">
        <f t="shared" si="5"/>
        <v>0</v>
      </c>
      <c r="K44" s="562">
        <f t="shared" si="6"/>
        <v>0</v>
      </c>
      <c r="L44" s="602"/>
    </row>
    <row r="45" spans="1:12" ht="13.5">
      <c r="A45" s="53"/>
      <c r="B45" s="53"/>
      <c r="C45" s="53"/>
      <c r="E45" s="297" t="s">
        <v>90</v>
      </c>
      <c r="F45" s="351">
        <f>'2-1'!I23</f>
        <v>0</v>
      </c>
      <c r="G45" s="347">
        <f t="shared" si="3"/>
        <v>0</v>
      </c>
      <c r="H45" s="553">
        <f t="shared" si="4"/>
        <v>0</v>
      </c>
      <c r="I45" s="607"/>
      <c r="J45" s="349">
        <f t="shared" si="5"/>
        <v>0</v>
      </c>
      <c r="K45" s="562">
        <f t="shared" si="6"/>
        <v>0</v>
      </c>
      <c r="L45" s="602"/>
    </row>
    <row r="46" spans="1:12" ht="14.25" thickBot="1">
      <c r="A46" s="53"/>
      <c r="B46" s="53"/>
      <c r="C46" s="53"/>
      <c r="E46" s="297" t="s">
        <v>138</v>
      </c>
      <c r="F46" s="399">
        <f>'2-1'!J23</f>
        <v>0</v>
      </c>
      <c r="G46" s="347">
        <f t="shared" si="3"/>
        <v>0</v>
      </c>
      <c r="H46" s="639">
        <f t="shared" si="4"/>
        <v>0</v>
      </c>
      <c r="I46" s="640"/>
      <c r="J46" s="349">
        <f t="shared" si="5"/>
        <v>0</v>
      </c>
      <c r="K46" s="596">
        <f t="shared" si="6"/>
        <v>0</v>
      </c>
      <c r="L46" s="597"/>
    </row>
    <row r="47" spans="1:12" ht="15" thickBot="1" thickTop="1">
      <c r="A47" s="53"/>
      <c r="B47" s="53"/>
      <c r="C47" s="53"/>
      <c r="E47" s="400" t="s">
        <v>15</v>
      </c>
      <c r="F47" s="354">
        <f>SUM(F38:F46)</f>
        <v>104000</v>
      </c>
      <c r="G47" s="354">
        <f>SUM(G38:G46)</f>
        <v>0</v>
      </c>
      <c r="H47" s="638">
        <f>SUM(H38:I46)</f>
        <v>0</v>
      </c>
      <c r="I47" s="632"/>
      <c r="J47" s="355">
        <f>SUM(J38:J46)</f>
        <v>0</v>
      </c>
      <c r="K47" s="598">
        <f>SUM(K38:L46)</f>
        <v>104000</v>
      </c>
      <c r="L47" s="599"/>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7"/>
  <sheetViews>
    <sheetView showZeros="0" view="pageBreakPreview" zoomScaleSheetLayoutView="100" workbookViewId="0" topLeftCell="A1">
      <pane xSplit="4" ySplit="3" topLeftCell="F34" activePane="bottomRight" state="frozen"/>
      <selection pane="topLeft" activeCell="F29" sqref="F29:J29"/>
      <selection pane="topRight" activeCell="F29" sqref="F29:J29"/>
      <selection pane="bottomLeft" activeCell="F29" sqref="F29:J29"/>
      <selection pane="bottomRight" activeCell="C42" sqref="C4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42" t="s">
        <v>143</v>
      </c>
      <c r="G2" s="540"/>
      <c r="H2" s="540"/>
      <c r="I2" s="540"/>
      <c r="J2" s="543"/>
      <c r="K2" s="539" t="s">
        <v>115</v>
      </c>
      <c r="L2" s="540"/>
      <c r="M2" s="540"/>
      <c r="N2" s="540"/>
      <c r="O2" s="541"/>
      <c r="P2" s="13"/>
    </row>
    <row r="3" spans="1:21" ht="30" customHeight="1">
      <c r="A3" s="423" t="s">
        <v>141</v>
      </c>
      <c r="B3" s="294" t="s">
        <v>142</v>
      </c>
      <c r="C3" s="60" t="s">
        <v>144</v>
      </c>
      <c r="D3" s="96" t="s">
        <v>161</v>
      </c>
      <c r="E3" s="96" t="s">
        <v>0</v>
      </c>
      <c r="F3" s="96" t="s">
        <v>197</v>
      </c>
      <c r="G3" s="96" t="s">
        <v>91</v>
      </c>
      <c r="H3" s="475" t="s">
        <v>246</v>
      </c>
      <c r="I3" s="96" t="s">
        <v>92</v>
      </c>
      <c r="J3" s="96" t="s">
        <v>93</v>
      </c>
      <c r="K3" s="384" t="s">
        <v>199</v>
      </c>
      <c r="L3" s="385" t="s">
        <v>91</v>
      </c>
      <c r="M3" s="475" t="s">
        <v>246</v>
      </c>
      <c r="N3" s="385" t="s">
        <v>92</v>
      </c>
      <c r="O3" s="386" t="s">
        <v>93</v>
      </c>
      <c r="P3" s="227" t="s">
        <v>111</v>
      </c>
      <c r="Q3" s="295" t="s">
        <v>107</v>
      </c>
      <c r="R3" s="62" t="s">
        <v>148</v>
      </c>
      <c r="S3" s="61" t="s">
        <v>149</v>
      </c>
      <c r="T3" s="61" t="s">
        <v>150</v>
      </c>
      <c r="U3" s="61" t="s">
        <v>151</v>
      </c>
    </row>
    <row r="4" spans="1:21" ht="30" customHeight="1">
      <c r="A4" s="361">
        <f>'1-2'!A4</f>
        <v>0</v>
      </c>
      <c r="B4" s="362">
        <f>'1-2'!B4</f>
        <v>0</v>
      </c>
      <c r="C4" s="363">
        <f>'1-2'!C4</f>
        <v>0</v>
      </c>
      <c r="D4" s="243">
        <v>1</v>
      </c>
      <c r="E4" s="302" t="str">
        <f>'2-2'!E4</f>
        <v>負担金、補助及び交付金</v>
      </c>
      <c r="F4" s="302" t="str">
        <f>'2-2'!F4</f>
        <v>各種団体負担金（会費）</v>
      </c>
      <c r="G4" s="303">
        <f>'2-2'!G4</f>
        <v>43330</v>
      </c>
      <c r="H4" s="304">
        <f>'2-2'!H4</f>
        <v>1</v>
      </c>
      <c r="I4" s="304">
        <f>'2-2'!I4</f>
        <v>1</v>
      </c>
      <c r="J4" s="364">
        <f>'2-2'!J4</f>
        <v>43330</v>
      </c>
      <c r="K4" s="365" t="str">
        <f>'2-2'!K4</f>
        <v>各種団体負担金（会費）</v>
      </c>
      <c r="L4" s="303">
        <f>'2-2'!L4</f>
        <v>43330</v>
      </c>
      <c r="M4" s="304">
        <f>'2-2'!M4</f>
        <v>1</v>
      </c>
      <c r="N4" s="304">
        <f>'2-2'!N4</f>
        <v>1</v>
      </c>
      <c r="O4" s="366">
        <f>L4*M4*N4</f>
        <v>43330</v>
      </c>
      <c r="P4" s="367">
        <f>'2-2'!P4</f>
        <v>0</v>
      </c>
      <c r="Q4" s="368">
        <f>'2-2'!Q4</f>
        <v>0</v>
      </c>
      <c r="R4" s="25">
        <f>IF(AND(ISNA(MATCH($D4,'随時②-2'!$D$4:$D$18,0)),ISNA(MATCH($D4,'随時③-2'!$D$4:$D$18,0))),0,1)</f>
        <v>0</v>
      </c>
      <c r="S4" s="63">
        <f aca="true" t="shared" si="0" ref="S4:S17">IF(P4="◎",J4,"")</f>
      </c>
      <c r="T4" s="63">
        <f aca="true" t="shared" si="1" ref="T4:T17">IF(P4="◎",O4,"")</f>
      </c>
      <c r="U4" s="5">
        <f>IF($E4=0,"",VLOOKUP($E4,$V$5:$X$13,2))</f>
        <v>9</v>
      </c>
    </row>
    <row r="5" spans="1:23" ht="30" customHeight="1">
      <c r="A5" s="369">
        <f>'1-2'!A5</f>
        <v>0</v>
      </c>
      <c r="B5" s="370">
        <f>'1-2'!B5</f>
        <v>0</v>
      </c>
      <c r="C5" s="371">
        <f>'1-2'!C5</f>
        <v>0</v>
      </c>
      <c r="D5" s="254">
        <v>2</v>
      </c>
      <c r="E5" s="314" t="str">
        <f>'2-2'!E5</f>
        <v>委託料</v>
      </c>
      <c r="F5" s="315" t="str">
        <f>'2-2'!F5</f>
        <v>ホームページデザイン制作</v>
      </c>
      <c r="G5" s="224">
        <f>'2-2'!G5</f>
        <v>300000</v>
      </c>
      <c r="H5" s="316">
        <f>'2-2'!H5</f>
        <v>1</v>
      </c>
      <c r="I5" s="316">
        <f>'2-2'!I5</f>
        <v>1</v>
      </c>
      <c r="J5" s="372">
        <f>'2-2'!J5</f>
        <v>300000</v>
      </c>
      <c r="K5" s="373" t="str">
        <f>'2-2'!K5</f>
        <v>ホームページデザイン制作</v>
      </c>
      <c r="L5" s="224">
        <f>'2-2'!L5</f>
        <v>291600</v>
      </c>
      <c r="M5" s="316">
        <f>'2-2'!M5</f>
        <v>1</v>
      </c>
      <c r="N5" s="316">
        <f>'2-2'!N5</f>
        <v>1</v>
      </c>
      <c r="O5" s="342">
        <f>L5*M5*N5</f>
        <v>291600</v>
      </c>
      <c r="P5" s="374">
        <f>'2-2'!P5</f>
        <v>0</v>
      </c>
      <c r="Q5" s="375">
        <f>'2-2'!Q5</f>
        <v>0</v>
      </c>
      <c r="R5" s="25">
        <f>IF(AND(ISNA(MATCH($D5,'随時②-2'!$D$4:$D$18,0)),ISNA(MATCH($D5,'随時③-2'!$D$4:$D$18,0))),0,1)</f>
        <v>0</v>
      </c>
      <c r="S5" s="63">
        <f t="shared" si="0"/>
      </c>
      <c r="T5" s="63">
        <f t="shared" si="1"/>
      </c>
      <c r="U5" s="5">
        <f aca="true" t="shared" si="2" ref="U5:U17">IF($E5=0,"",VLOOKUP($E5,$V$5:$X$13,2))</f>
        <v>6</v>
      </c>
      <c r="V5" s="5" t="s">
        <v>152</v>
      </c>
      <c r="W5" s="5">
        <v>6</v>
      </c>
    </row>
    <row r="6" spans="1:23" ht="30" customHeight="1">
      <c r="A6" s="369">
        <f>'1-2'!A6</f>
        <v>0</v>
      </c>
      <c r="B6" s="370">
        <f>'1-2'!B6</f>
        <v>0</v>
      </c>
      <c r="C6" s="371">
        <f>'1-2'!C6</f>
        <v>0</v>
      </c>
      <c r="D6" s="254">
        <v>3</v>
      </c>
      <c r="E6" s="314" t="str">
        <f>'2-2'!E6</f>
        <v>消耗需用費</v>
      </c>
      <c r="F6" s="315" t="str">
        <f>'2-2'!F6</f>
        <v>芸能文化科チラシ　　3,000部</v>
      </c>
      <c r="G6" s="224">
        <f>'2-2'!G6</f>
        <v>50000</v>
      </c>
      <c r="H6" s="316">
        <f>'2-2'!H6</f>
        <v>1</v>
      </c>
      <c r="I6" s="316">
        <f>'2-2'!I6</f>
        <v>1</v>
      </c>
      <c r="J6" s="372">
        <f>'2-2'!J6</f>
        <v>50000</v>
      </c>
      <c r="K6" s="373" t="str">
        <f>'2-2'!K6</f>
        <v>芸能文化科チラシ　　3,000部</v>
      </c>
      <c r="L6" s="224">
        <f>'2-2'!L6</f>
        <v>49896</v>
      </c>
      <c r="M6" s="316">
        <f>'2-2'!M6</f>
        <v>1</v>
      </c>
      <c r="N6" s="316">
        <f>'2-2'!N6</f>
        <v>1</v>
      </c>
      <c r="O6" s="342">
        <f aca="true" t="shared" si="3" ref="O6:O17">L6*M6*N6</f>
        <v>49896</v>
      </c>
      <c r="P6" s="374">
        <f>'2-2'!P6</f>
        <v>0</v>
      </c>
      <c r="Q6" s="375">
        <f>'2-2'!Q6</f>
        <v>0</v>
      </c>
      <c r="R6" s="25">
        <f>IF(AND(ISNA(MATCH($D6,'随時②-2'!$D$4:$D$18,0)),ISNA(MATCH($D6,'随時③-2'!$D$4:$D$18,0))),0,1)</f>
        <v>0</v>
      </c>
      <c r="S6" s="63">
        <f t="shared" si="0"/>
      </c>
      <c r="T6" s="63">
        <f t="shared" si="1"/>
      </c>
      <c r="U6" s="5">
        <f t="shared" si="2"/>
        <v>7</v>
      </c>
      <c r="V6" s="5" t="s">
        <v>153</v>
      </c>
      <c r="W6" s="5">
        <v>4</v>
      </c>
    </row>
    <row r="7" spans="1:23" ht="30" customHeight="1">
      <c r="A7" s="369">
        <f>'1-2'!A7</f>
        <v>1</v>
      </c>
      <c r="B7" s="370" t="str">
        <f>'1-2'!B7</f>
        <v>3-5-(1)</v>
      </c>
      <c r="C7" s="371" t="str">
        <f>'1-2'!C7</f>
        <v>情報発信の刷新</v>
      </c>
      <c r="D7" s="254">
        <v>4</v>
      </c>
      <c r="E7" s="314">
        <f>'2-2'!E7</f>
      </c>
      <c r="F7" s="315" t="str">
        <f>'2-2'!F7</f>
        <v>取消し</v>
      </c>
      <c r="G7" s="224">
        <f>'2-2'!G7</f>
        <v>0</v>
      </c>
      <c r="H7" s="316">
        <f>'2-2'!H7</f>
        <v>0</v>
      </c>
      <c r="I7" s="316">
        <f>'2-2'!I7</f>
        <v>0</v>
      </c>
      <c r="J7" s="372">
        <f>'2-2'!J7</f>
        <v>0</v>
      </c>
      <c r="K7" s="373" t="str">
        <f>'2-2'!K7</f>
        <v>取消し</v>
      </c>
      <c r="L7" s="224">
        <f>'2-2'!L7</f>
        <v>0</v>
      </c>
      <c r="M7" s="316">
        <f>'2-2'!M7</f>
        <v>0</v>
      </c>
      <c r="N7" s="316">
        <f>'2-2'!N7</f>
        <v>0</v>
      </c>
      <c r="O7" s="342">
        <f t="shared" si="3"/>
        <v>0</v>
      </c>
      <c r="P7" s="374">
        <f>'2-2'!P7</f>
      </c>
      <c r="Q7" s="375">
        <f>'2-2'!Q7</f>
        <v>0</v>
      </c>
      <c r="R7" s="25">
        <f>IF(AND(ISNA(MATCH($D7,'随時②-2'!$D$4:$D$18,0)),ISNA(MATCH($D7,'随時③-2'!$D$4:$D$18,0))),0,1)</f>
        <v>1</v>
      </c>
      <c r="S7" s="63">
        <f t="shared" si="0"/>
      </c>
      <c r="T7" s="63">
        <f t="shared" si="1"/>
      </c>
      <c r="U7" s="5" t="e">
        <f t="shared" si="2"/>
        <v>#N/A</v>
      </c>
      <c r="V7" s="5" t="s">
        <v>154</v>
      </c>
      <c r="W7" s="5">
        <v>7</v>
      </c>
    </row>
    <row r="8" spans="1:23" ht="30" customHeight="1">
      <c r="A8" s="369">
        <f>'1-2'!A8</f>
        <v>0</v>
      </c>
      <c r="B8" s="370">
        <f>'1-2'!B8</f>
        <v>0</v>
      </c>
      <c r="C8" s="371">
        <f>'1-2'!C8</f>
        <v>0</v>
      </c>
      <c r="D8" s="263">
        <v>5</v>
      </c>
      <c r="E8" s="314" t="str">
        <f>'2-2'!E8</f>
        <v>消耗需用費</v>
      </c>
      <c r="F8" s="315" t="str">
        <f>'2-2'!F8</f>
        <v>広報用椅子カバー</v>
      </c>
      <c r="G8" s="224">
        <f>'2-2'!G8</f>
        <v>25000</v>
      </c>
      <c r="H8" s="316">
        <f>'2-2'!H8</f>
        <v>1</v>
      </c>
      <c r="I8" s="316">
        <f>'2-2'!I8</f>
        <v>1</v>
      </c>
      <c r="J8" s="372">
        <f>'2-2'!J8</f>
        <v>25000</v>
      </c>
      <c r="K8" s="373" t="str">
        <f>'2-2'!K8</f>
        <v>広報用椅子カバー</v>
      </c>
      <c r="L8" s="224">
        <f>'2-2'!L8</f>
        <v>20520</v>
      </c>
      <c r="M8" s="316">
        <f>'2-2'!M8</f>
        <v>1</v>
      </c>
      <c r="N8" s="316">
        <f>'2-2'!N8</f>
        <v>1</v>
      </c>
      <c r="O8" s="342">
        <f t="shared" si="3"/>
        <v>20520</v>
      </c>
      <c r="P8" s="374">
        <f>'2-2'!P8</f>
        <v>0</v>
      </c>
      <c r="Q8" s="375">
        <f>'2-2'!Q8</f>
        <v>0</v>
      </c>
      <c r="R8" s="25">
        <f>IF(AND(ISNA(MATCH($D8,'随時②-2'!$D$4:$D$18,0)),ISNA(MATCH($D8,'随時③-2'!$D$4:$D$18,0))),0,1)</f>
        <v>0</v>
      </c>
      <c r="S8" s="63">
        <f t="shared" si="0"/>
      </c>
      <c r="T8" s="63">
        <f t="shared" si="1"/>
      </c>
      <c r="U8" s="5">
        <f t="shared" si="2"/>
        <v>7</v>
      </c>
      <c r="V8" s="5" t="s">
        <v>155</v>
      </c>
      <c r="W8" s="5">
        <v>3</v>
      </c>
    </row>
    <row r="9" spans="1:23" ht="30" customHeight="1">
      <c r="A9" s="369">
        <f>'1-2'!A9</f>
        <v>0</v>
      </c>
      <c r="B9" s="370">
        <f>'1-2'!B9</f>
        <v>0</v>
      </c>
      <c r="C9" s="371">
        <f>'1-2'!C9</f>
        <v>0</v>
      </c>
      <c r="D9" s="254">
        <v>6</v>
      </c>
      <c r="E9" s="314">
        <f>'2-2'!E9</f>
      </c>
      <c r="F9" s="315" t="str">
        <f>'2-2'!F9</f>
        <v>取消し</v>
      </c>
      <c r="G9" s="224">
        <f>'2-2'!G9</f>
        <v>0</v>
      </c>
      <c r="H9" s="316">
        <f>'2-2'!H9</f>
        <v>0</v>
      </c>
      <c r="I9" s="316">
        <f>'2-2'!I9</f>
        <v>0</v>
      </c>
      <c r="J9" s="372">
        <f>'2-2'!J9</f>
        <v>0</v>
      </c>
      <c r="K9" s="373" t="str">
        <f>'2-2'!K9</f>
        <v>取消し</v>
      </c>
      <c r="L9" s="224">
        <f>'2-2'!L9</f>
        <v>0</v>
      </c>
      <c r="M9" s="316">
        <f>'2-2'!M9</f>
        <v>0</v>
      </c>
      <c r="N9" s="316">
        <f>'2-2'!N9</f>
        <v>0</v>
      </c>
      <c r="O9" s="342">
        <f t="shared" si="3"/>
        <v>0</v>
      </c>
      <c r="P9" s="374">
        <f>'2-2'!P9</f>
      </c>
      <c r="Q9" s="375">
        <f>'2-2'!Q9</f>
        <v>0</v>
      </c>
      <c r="R9" s="25">
        <f>IF(AND(ISNA(MATCH($D9,'随時②-2'!$D$4:$D$18,0)),ISNA(MATCH($D9,'随時③-2'!$D$4:$D$18,0))),0,1)</f>
        <v>1</v>
      </c>
      <c r="S9" s="63">
        <f t="shared" si="0"/>
      </c>
      <c r="T9" s="63">
        <f t="shared" si="1"/>
      </c>
      <c r="U9" s="5" t="e">
        <f t="shared" si="2"/>
        <v>#N/A</v>
      </c>
      <c r="V9" s="5" t="s">
        <v>156</v>
      </c>
      <c r="W9" s="5">
        <v>8</v>
      </c>
    </row>
    <row r="10" spans="1:23" ht="30" customHeight="1">
      <c r="A10" s="369">
        <f>'1-2'!A10</f>
        <v>0</v>
      </c>
      <c r="B10" s="370">
        <f>'1-2'!B10</f>
        <v>0</v>
      </c>
      <c r="C10" s="371">
        <f>'1-2'!C10</f>
        <v>0</v>
      </c>
      <c r="D10" s="254">
        <v>7</v>
      </c>
      <c r="E10" s="314" t="str">
        <f>'2-2'!E10</f>
        <v>消耗需用費</v>
      </c>
      <c r="F10" s="315" t="str">
        <f>'2-2'!F10</f>
        <v>中学生体験授業材料費</v>
      </c>
      <c r="G10" s="224">
        <f>'2-2'!G10</f>
        <v>30000</v>
      </c>
      <c r="H10" s="316">
        <f>'2-2'!H10</f>
        <v>1</v>
      </c>
      <c r="I10" s="316">
        <f>'2-2'!I10</f>
        <v>1</v>
      </c>
      <c r="J10" s="372">
        <f>'2-2'!J10</f>
        <v>30000</v>
      </c>
      <c r="K10" s="373" t="str">
        <f>'2-2'!K10</f>
        <v>中学生体験授業材料費</v>
      </c>
      <c r="L10" s="224">
        <f>'2-2'!L10</f>
        <v>0</v>
      </c>
      <c r="M10" s="316">
        <f>'2-2'!M10</f>
        <v>1</v>
      </c>
      <c r="N10" s="316">
        <f>'2-2'!N10</f>
        <v>1</v>
      </c>
      <c r="O10" s="342">
        <f t="shared" si="3"/>
        <v>0</v>
      </c>
      <c r="P10" s="374">
        <f>'2-2'!P10</f>
        <v>0</v>
      </c>
      <c r="Q10" s="375">
        <f>'2-2'!Q10</f>
        <v>0</v>
      </c>
      <c r="R10" s="25">
        <f>IF(AND(ISNA(MATCH($D10,'随時②-2'!$D$4:$D$18,0)),ISNA(MATCH($D10,'随時③-2'!$D$4:$D$18,0))),0,1)</f>
        <v>0</v>
      </c>
      <c r="S10" s="63">
        <f t="shared" si="0"/>
      </c>
      <c r="T10" s="63">
        <f t="shared" si="1"/>
      </c>
      <c r="U10" s="5">
        <f t="shared" si="2"/>
        <v>7</v>
      </c>
      <c r="V10" s="5" t="s">
        <v>160</v>
      </c>
      <c r="W10" s="5">
        <v>9</v>
      </c>
    </row>
    <row r="11" spans="1:23" ht="30" customHeight="1">
      <c r="A11" s="369">
        <f>'1-2'!A11</f>
        <v>2</v>
      </c>
      <c r="B11" s="370" t="str">
        <f>'1-2'!B11</f>
        <v>2-4</v>
      </c>
      <c r="C11" s="371" t="str">
        <f>'1-2'!C11</f>
        <v>芸能文化科教育推進</v>
      </c>
      <c r="D11" s="263">
        <v>8</v>
      </c>
      <c r="E11" s="314" t="str">
        <f>'2-2'!E11</f>
        <v>使用料及び賃借料</v>
      </c>
      <c r="F11" s="315" t="str">
        <f>'2-2'!F11</f>
        <v>芸能文化科卒業発表会衣装借上げ代</v>
      </c>
      <c r="G11" s="224">
        <f>'2-2'!G11</f>
        <v>280000</v>
      </c>
      <c r="H11" s="316">
        <f>'2-2'!H11</f>
        <v>1</v>
      </c>
      <c r="I11" s="316">
        <f>'2-2'!I11</f>
        <v>1</v>
      </c>
      <c r="J11" s="372">
        <f>'2-2'!J11</f>
        <v>280000</v>
      </c>
      <c r="K11" s="373" t="str">
        <f>'2-2'!K11</f>
        <v>芸能文化科卒業発表会衣装借上げ代</v>
      </c>
      <c r="L11" s="224">
        <f>'2-2'!L11</f>
        <v>280000</v>
      </c>
      <c r="M11" s="316">
        <f>'2-2'!M11</f>
        <v>1</v>
      </c>
      <c r="N11" s="316">
        <f>'2-2'!N11</f>
        <v>1</v>
      </c>
      <c r="O11" s="342">
        <f t="shared" si="3"/>
        <v>280000</v>
      </c>
      <c r="P11" s="374">
        <f>'2-2'!P11</f>
        <v>0</v>
      </c>
      <c r="Q11" s="375">
        <f>'2-2'!Q11</f>
        <v>0</v>
      </c>
      <c r="R11" s="25">
        <f>IF(AND(ISNA(MATCH($D11,'随時②-2'!$D$4:$D$18,0)),ISNA(MATCH($D11,'随時③-2'!$D$4:$D$18,0))),0,1)</f>
        <v>0</v>
      </c>
      <c r="S11" s="63">
        <f t="shared" si="0"/>
      </c>
      <c r="T11" s="63">
        <f t="shared" si="1"/>
      </c>
      <c r="U11" s="5">
        <f t="shared" si="2"/>
        <v>7</v>
      </c>
      <c r="V11" s="5" t="s">
        <v>157</v>
      </c>
      <c r="W11" s="5">
        <v>1</v>
      </c>
    </row>
    <row r="12" spans="1:23" ht="30" customHeight="1">
      <c r="A12" s="369">
        <f>'1-2'!A12</f>
        <v>3</v>
      </c>
      <c r="B12" s="370" t="str">
        <f>'1-2'!B12</f>
        <v>3-3-(1)</v>
      </c>
      <c r="C12" s="371" t="str">
        <f>'1-2'!C12</f>
        <v>人権教育の充実</v>
      </c>
      <c r="D12" s="263">
        <v>9</v>
      </c>
      <c r="E12" s="314" t="str">
        <f>'2-2'!E12</f>
        <v>消耗需用費</v>
      </c>
      <c r="F12" s="315" t="str">
        <f>'2-2'!F12</f>
        <v>人権研修参加資料代</v>
      </c>
      <c r="G12" s="224">
        <f>'2-2'!G12</f>
        <v>15000</v>
      </c>
      <c r="H12" s="316">
        <f>'2-2'!H12</f>
        <v>1</v>
      </c>
      <c r="I12" s="316">
        <f>'2-2'!I12</f>
        <v>1</v>
      </c>
      <c r="J12" s="372">
        <f>'2-2'!J12</f>
        <v>15000</v>
      </c>
      <c r="K12" s="373" t="str">
        <f>'2-2'!K12</f>
        <v>人権研修参加資料代</v>
      </c>
      <c r="L12" s="224">
        <f>'2-2'!L12</f>
        <v>10000</v>
      </c>
      <c r="M12" s="316">
        <f>'2-2'!M12</f>
        <v>1</v>
      </c>
      <c r="N12" s="316">
        <f>'2-2'!N12</f>
        <v>1</v>
      </c>
      <c r="O12" s="342">
        <f t="shared" si="3"/>
        <v>10000</v>
      </c>
      <c r="P12" s="374">
        <f>'2-2'!P12</f>
        <v>0</v>
      </c>
      <c r="Q12" s="375">
        <f>'2-2'!Q12</f>
        <v>0</v>
      </c>
      <c r="R12" s="25">
        <f>IF(AND(ISNA(MATCH($D12,'随時②-2'!$D$4:$D$18,0)),ISNA(MATCH($D12,'随時③-2'!$D$4:$D$18,0))),0,1)</f>
        <v>0</v>
      </c>
      <c r="S12" s="63">
        <f t="shared" si="0"/>
      </c>
      <c r="T12" s="63">
        <f t="shared" si="1"/>
      </c>
      <c r="U12" s="5">
        <f t="shared" si="2"/>
        <v>7</v>
      </c>
      <c r="V12" s="5" t="s">
        <v>158</v>
      </c>
      <c r="W12" s="5">
        <v>5</v>
      </c>
    </row>
    <row r="13" spans="1:23" ht="30" customHeight="1">
      <c r="A13" s="369">
        <f>'1-2'!A13</f>
        <v>0</v>
      </c>
      <c r="B13" s="370">
        <f>'1-2'!B13</f>
        <v>0</v>
      </c>
      <c r="C13" s="371">
        <f>'1-2'!C13</f>
        <v>0</v>
      </c>
      <c r="D13" s="273">
        <v>10</v>
      </c>
      <c r="E13" s="314">
        <f>'2-2'!E13</f>
      </c>
      <c r="F13" s="315" t="str">
        <f>'2-2'!F13</f>
        <v>取消し</v>
      </c>
      <c r="G13" s="224">
        <f>'2-2'!G13</f>
        <v>0</v>
      </c>
      <c r="H13" s="316">
        <f>'2-2'!H13</f>
        <v>0</v>
      </c>
      <c r="I13" s="316">
        <f>'2-2'!I13</f>
        <v>0</v>
      </c>
      <c r="J13" s="372">
        <f>'2-2'!J13</f>
        <v>0</v>
      </c>
      <c r="K13" s="373" t="str">
        <f>'2-2'!K13</f>
        <v>取消し</v>
      </c>
      <c r="L13" s="224">
        <f>'2-2'!L13</f>
        <v>0</v>
      </c>
      <c r="M13" s="316">
        <f>'2-2'!M13</f>
        <v>0</v>
      </c>
      <c r="N13" s="316">
        <f>'2-2'!N13</f>
        <v>0</v>
      </c>
      <c r="O13" s="342">
        <f t="shared" si="3"/>
        <v>0</v>
      </c>
      <c r="P13" s="374">
        <f>'2-2'!P13</f>
      </c>
      <c r="Q13" s="375">
        <f>'2-2'!Q13</f>
        <v>0</v>
      </c>
      <c r="R13" s="25">
        <f>IF(AND(ISNA(MATCH($D13,'随時②-2'!$D$4:$D$18,0)),ISNA(MATCH($D13,'随時③-2'!$D$4:$D$18,0))),0,1)</f>
        <v>1</v>
      </c>
      <c r="S13" s="63">
        <f t="shared" si="0"/>
      </c>
      <c r="T13" s="63">
        <f t="shared" si="1"/>
      </c>
      <c r="U13" s="5" t="e">
        <f t="shared" si="2"/>
        <v>#N/A</v>
      </c>
      <c r="V13" s="5" t="s">
        <v>159</v>
      </c>
      <c r="W13" s="5">
        <v>2</v>
      </c>
    </row>
    <row r="14" spans="1:21" ht="30" customHeight="1">
      <c r="A14" s="369">
        <f>'1-2'!A14</f>
        <v>4</v>
      </c>
      <c r="B14" s="370" t="str">
        <f>'1-2'!B14</f>
        <v>3-1-(1)</v>
      </c>
      <c r="C14" s="371" t="str">
        <f>'1-2'!C14</f>
        <v>魅力ある授業づくり</v>
      </c>
      <c r="D14" s="254">
        <v>11</v>
      </c>
      <c r="E14" s="314">
        <f>'2-2'!E14</f>
      </c>
      <c r="F14" s="315" t="str">
        <f>'2-2'!F14</f>
        <v>取消し</v>
      </c>
      <c r="G14" s="224">
        <f>'2-2'!G14</f>
        <v>0</v>
      </c>
      <c r="H14" s="316">
        <f>'2-2'!H14</f>
        <v>0</v>
      </c>
      <c r="I14" s="316">
        <f>'2-2'!I14</f>
        <v>0</v>
      </c>
      <c r="J14" s="372">
        <f>'2-2'!J14</f>
        <v>0</v>
      </c>
      <c r="K14" s="373" t="str">
        <f>'2-2'!K14</f>
        <v>取消し</v>
      </c>
      <c r="L14" s="224">
        <f>'2-2'!L14</f>
        <v>0</v>
      </c>
      <c r="M14" s="316">
        <f>'2-2'!M14</f>
        <v>0</v>
      </c>
      <c r="N14" s="316">
        <f>'2-2'!N14</f>
        <v>0</v>
      </c>
      <c r="O14" s="342">
        <f t="shared" si="3"/>
        <v>0</v>
      </c>
      <c r="P14" s="374">
        <f>'2-2'!P14</f>
      </c>
      <c r="Q14" s="375">
        <f>'2-2'!Q14</f>
        <v>0</v>
      </c>
      <c r="R14" s="25">
        <f>IF(AND(ISNA(MATCH($D14,'随時②-2'!$D$4:$D$18,0)),ISNA(MATCH($D14,'随時③-2'!$D$4:$D$18,0))),0,1)</f>
        <v>1</v>
      </c>
      <c r="S14" s="63">
        <f t="shared" si="0"/>
      </c>
      <c r="T14" s="63">
        <f t="shared" si="1"/>
      </c>
      <c r="U14" s="5" t="e">
        <f t="shared" si="2"/>
        <v>#N/A</v>
      </c>
    </row>
    <row r="15" spans="1:21" ht="30" customHeight="1">
      <c r="A15" s="369">
        <f>'1-2'!A15</f>
        <v>0</v>
      </c>
      <c r="B15" s="370">
        <f>'1-2'!B15</f>
        <v>0</v>
      </c>
      <c r="C15" s="371">
        <f>'1-2'!C15</f>
        <v>0</v>
      </c>
      <c r="D15" s="254">
        <v>12</v>
      </c>
      <c r="E15" s="314">
        <f>'2-2'!E15</f>
      </c>
      <c r="F15" s="315" t="str">
        <f>'2-2'!F15</f>
        <v>取消し</v>
      </c>
      <c r="G15" s="224">
        <f>'2-2'!G15</f>
        <v>0</v>
      </c>
      <c r="H15" s="316">
        <f>'2-2'!H15</f>
        <v>0</v>
      </c>
      <c r="I15" s="316">
        <f>'2-2'!I15</f>
        <v>0</v>
      </c>
      <c r="J15" s="372">
        <f>'2-2'!J15</f>
        <v>0</v>
      </c>
      <c r="K15" s="373" t="str">
        <f>'2-2'!K15</f>
        <v>取消し</v>
      </c>
      <c r="L15" s="224">
        <f>'2-2'!L15</f>
        <v>0</v>
      </c>
      <c r="M15" s="316">
        <f>'2-2'!M15</f>
        <v>0</v>
      </c>
      <c r="N15" s="316">
        <f>'2-2'!N15</f>
        <v>0</v>
      </c>
      <c r="O15" s="342">
        <f t="shared" si="3"/>
        <v>0</v>
      </c>
      <c r="P15" s="374">
        <f>'2-2'!P15</f>
      </c>
      <c r="Q15" s="375">
        <f>'2-2'!Q15</f>
        <v>0</v>
      </c>
      <c r="R15" s="25">
        <f>IF(AND(ISNA(MATCH($D15,'随時②-2'!$D$4:$D$18,0)),ISNA(MATCH($D15,'随時③-2'!$D$4:$D$18,0))),0,1)</f>
        <v>1</v>
      </c>
      <c r="S15" s="63">
        <f t="shared" si="0"/>
      </c>
      <c r="T15" s="63">
        <f t="shared" si="1"/>
      </c>
      <c r="U15" s="5" t="e">
        <f t="shared" si="2"/>
        <v>#N/A</v>
      </c>
    </row>
    <row r="16" spans="1:21" ht="30" customHeight="1">
      <c r="A16" s="369">
        <f>'1-2'!A16</f>
        <v>5</v>
      </c>
      <c r="B16" s="370" t="str">
        <f>'1-2'!B16</f>
        <v>3-1-(2)</v>
      </c>
      <c r="C16" s="371" t="str">
        <f>'1-2'!C16</f>
        <v>進路実現への取組</v>
      </c>
      <c r="D16" s="254">
        <v>13</v>
      </c>
      <c r="E16" s="314" t="str">
        <f>'2-2'!E16</f>
        <v>旅費</v>
      </c>
      <c r="F16" s="315" t="str">
        <f>'2-2'!F16</f>
        <v>全国校長会大学入試対策研究協議会</v>
      </c>
      <c r="G16" s="224">
        <f>'2-2'!G16</f>
        <v>30000</v>
      </c>
      <c r="H16" s="316">
        <f>'2-2'!H16</f>
        <v>1</v>
      </c>
      <c r="I16" s="316">
        <f>'2-2'!I16</f>
        <v>1</v>
      </c>
      <c r="J16" s="372">
        <f>'2-2'!J16</f>
        <v>30000</v>
      </c>
      <c r="K16" s="373" t="str">
        <f>'2-2'!K16</f>
        <v>全国校長会大学入試対策研究協議会</v>
      </c>
      <c r="L16" s="224">
        <f>'2-2'!L16</f>
        <v>29460</v>
      </c>
      <c r="M16" s="316">
        <f>'2-2'!M16</f>
        <v>1</v>
      </c>
      <c r="N16" s="316">
        <f>'2-2'!N16</f>
        <v>1</v>
      </c>
      <c r="O16" s="342">
        <f t="shared" si="3"/>
        <v>29460</v>
      </c>
      <c r="P16" s="374">
        <f>'2-2'!P16</f>
        <v>0</v>
      </c>
      <c r="Q16" s="375">
        <f>'2-2'!Q16</f>
        <v>0</v>
      </c>
      <c r="R16" s="25">
        <f>IF(AND(ISNA(MATCH($D16,'随時②-2'!$D$4:$D$18,0)),ISNA(MATCH($D16,'随時③-2'!$D$4:$D$18,0))),0,1)</f>
        <v>0</v>
      </c>
      <c r="S16" s="63">
        <f t="shared" si="0"/>
      </c>
      <c r="T16" s="63">
        <f t="shared" si="1"/>
      </c>
      <c r="U16" s="5">
        <f t="shared" si="2"/>
        <v>2</v>
      </c>
    </row>
    <row r="17" spans="1:21" ht="30" customHeight="1">
      <c r="A17" s="369">
        <f>'1-2'!A17</f>
        <v>0</v>
      </c>
      <c r="B17" s="370">
        <f>'1-2'!B17</f>
        <v>0</v>
      </c>
      <c r="C17" s="371">
        <f>'1-2'!C17</f>
        <v>0</v>
      </c>
      <c r="D17" s="254">
        <v>14</v>
      </c>
      <c r="E17" s="314" t="str">
        <f>'2-2'!E17</f>
        <v>消耗需用費</v>
      </c>
      <c r="F17" s="315" t="str">
        <f>'2-2'!F17</f>
        <v>全国高等学校長協会総会資料</v>
      </c>
      <c r="G17" s="224">
        <f>'2-2'!G17</f>
        <v>3000</v>
      </c>
      <c r="H17" s="316">
        <f>'2-2'!H17</f>
        <v>1</v>
      </c>
      <c r="I17" s="316">
        <f>'2-2'!I17</f>
        <v>1</v>
      </c>
      <c r="J17" s="372">
        <f>'2-2'!J17</f>
        <v>3000</v>
      </c>
      <c r="K17" s="373" t="str">
        <f>'2-2'!K17</f>
        <v>全国高等学校長協会総会資料</v>
      </c>
      <c r="L17" s="224">
        <f>'2-2'!L17</f>
        <v>3000</v>
      </c>
      <c r="M17" s="316">
        <f>'2-2'!M17</f>
        <v>1</v>
      </c>
      <c r="N17" s="316">
        <f>'2-2'!N17</f>
        <v>1</v>
      </c>
      <c r="O17" s="342">
        <f t="shared" si="3"/>
        <v>3000</v>
      </c>
      <c r="P17" s="374">
        <f>'2-2'!P17</f>
        <v>0</v>
      </c>
      <c r="Q17" s="375">
        <f>'2-2'!Q17</f>
        <v>0</v>
      </c>
      <c r="R17" s="25">
        <f>IF(AND(ISNA(MATCH($D17,'随時②-2'!$D$4:$D$18,0)),ISNA(MATCH($D17,'随時③-2'!$D$4:$D$18,0))),0,1)</f>
        <v>0</v>
      </c>
      <c r="S17" s="63">
        <f t="shared" si="0"/>
      </c>
      <c r="T17" s="63">
        <f t="shared" si="1"/>
      </c>
      <c r="U17" s="5">
        <f t="shared" si="2"/>
        <v>7</v>
      </c>
    </row>
    <row r="18" spans="1:21" ht="30" customHeight="1">
      <c r="A18" s="369">
        <f>'随時②-2'!A21</f>
        <v>0</v>
      </c>
      <c r="B18" s="370">
        <f>'随時②-2'!B21</f>
        <v>0</v>
      </c>
      <c r="C18" s="371">
        <f>'随時②-2'!C21</f>
        <v>0</v>
      </c>
      <c r="D18" s="263">
        <v>201</v>
      </c>
      <c r="E18" s="315" t="str">
        <f>'2-2'!E124</f>
        <v>負担金、補助及び交付金</v>
      </c>
      <c r="F18" s="315" t="str">
        <f>'2-2'!F124</f>
        <v>大阪府高等学校図書館研究会</v>
      </c>
      <c r="G18" s="224">
        <f>'2-2'!G124</f>
        <v>3000</v>
      </c>
      <c r="H18" s="316">
        <f>'2-2'!H124</f>
        <v>1</v>
      </c>
      <c r="I18" s="316">
        <f>'2-2'!I124</f>
        <v>1</v>
      </c>
      <c r="J18" s="364">
        <f>'2-2'!J124</f>
        <v>3000</v>
      </c>
      <c r="K18" s="380" t="str">
        <f>'2-2'!K124</f>
        <v>大阪府高等学校図書館研究会</v>
      </c>
      <c r="L18" s="303">
        <f>'2-2'!L124</f>
        <v>3000</v>
      </c>
      <c r="M18" s="304">
        <f>'2-2'!M124</f>
        <v>1</v>
      </c>
      <c r="N18" s="304">
        <f>'2-2'!N124</f>
        <v>1</v>
      </c>
      <c r="O18" s="366">
        <f aca="true" t="shared" si="4" ref="O18:O27">L18*M18*N18</f>
        <v>3000</v>
      </c>
      <c r="P18" s="367">
        <f>'2-2'!P124</f>
        <v>0</v>
      </c>
      <c r="Q18" s="368">
        <f>'2-2'!Q124</f>
        <v>0</v>
      </c>
      <c r="R18" s="25">
        <f>IF(AND(ISNA(MATCH($D18,'随時②-2'!$D$4:$D$18,0)),ISNA(MATCH($D18,'随時③-2'!$D$4:$D$18,0))),0,1)</f>
        <v>0</v>
      </c>
      <c r="S18" s="63">
        <f aca="true" t="shared" si="5" ref="S18:S25">IF(P18="◎",J18,"")</f>
      </c>
      <c r="T18" s="63">
        <f aca="true" t="shared" si="6" ref="T18:T25">IF(P18="◎",O18,"")</f>
      </c>
      <c r="U18" s="5">
        <f aca="true" t="shared" si="7" ref="U18:U26">IF($E18=0,"",VLOOKUP($E18,$V$5:$X$13,2))</f>
        <v>9</v>
      </c>
    </row>
    <row r="19" spans="1:21" ht="30" customHeight="1">
      <c r="A19" s="376">
        <f>'随時②-2'!A22</f>
        <v>1</v>
      </c>
      <c r="B19" s="377" t="str">
        <f>'随時②-2'!B22</f>
        <v>3-5-(1)</v>
      </c>
      <c r="C19" s="378" t="str">
        <f>'随時②-2'!C22</f>
        <v>情報発信の刷新</v>
      </c>
      <c r="D19" s="254">
        <v>202</v>
      </c>
      <c r="E19" s="314" t="str">
        <f>'2-2'!E125</f>
        <v>消耗需用費</v>
      </c>
      <c r="F19" s="314" t="str">
        <f>'2-2'!F125</f>
        <v>学校案内パンフレット　　7,000部</v>
      </c>
      <c r="G19" s="321">
        <f>'2-2'!G125</f>
        <v>69000</v>
      </c>
      <c r="H19" s="322">
        <f>'2-2'!H125</f>
        <v>1</v>
      </c>
      <c r="I19" s="322">
        <f>'2-2'!I125</f>
        <v>1</v>
      </c>
      <c r="J19" s="379">
        <f>'2-2'!J125</f>
        <v>69000</v>
      </c>
      <c r="K19" s="373" t="str">
        <f>'2-2'!K125</f>
        <v>学校案内パンフレット　　7,000部</v>
      </c>
      <c r="L19" s="224">
        <f>'2-2'!L125</f>
        <v>102600</v>
      </c>
      <c r="M19" s="316">
        <f>'2-2'!M125</f>
        <v>1</v>
      </c>
      <c r="N19" s="316">
        <f>'2-2'!N125</f>
        <v>1</v>
      </c>
      <c r="O19" s="309">
        <f t="shared" si="4"/>
        <v>102600</v>
      </c>
      <c r="P19" s="374">
        <f>'2-2'!P125</f>
        <v>0</v>
      </c>
      <c r="Q19" s="375">
        <f>'2-2'!Q125</f>
        <v>0</v>
      </c>
      <c r="R19" s="25">
        <f>IF(AND(ISNA(MATCH($D19,'随時②-2'!$D$4:$D$18,0)),ISNA(MATCH($D19,'随時③-2'!$D$4:$D$18,0))),0,1)</f>
        <v>0</v>
      </c>
      <c r="S19" s="63">
        <f t="shared" si="5"/>
      </c>
      <c r="T19" s="63">
        <f t="shared" si="6"/>
      </c>
      <c r="U19" s="5">
        <f t="shared" si="7"/>
        <v>7</v>
      </c>
    </row>
    <row r="20" spans="1:21" ht="30" customHeight="1">
      <c r="A20" s="376">
        <f>'随時②-2'!A23</f>
        <v>0</v>
      </c>
      <c r="B20" s="377" t="str">
        <f>'随時②-2'!B23</f>
        <v>〃</v>
      </c>
      <c r="C20" s="378" t="str">
        <f>'随時②-2'!C23</f>
        <v>〃</v>
      </c>
      <c r="D20" s="254">
        <v>203</v>
      </c>
      <c r="E20" s="314" t="str">
        <f>'2-2'!E126</f>
        <v>消耗需用費</v>
      </c>
      <c r="F20" s="314" t="str">
        <f>'2-2'!F126</f>
        <v>広報用不織布バッグ校名入り　1,000枚</v>
      </c>
      <c r="G20" s="321">
        <f>'2-2'!G126</f>
        <v>97000</v>
      </c>
      <c r="H20" s="322">
        <f>'2-2'!H126</f>
        <v>1</v>
      </c>
      <c r="I20" s="322">
        <f>'2-2'!I126</f>
        <v>1</v>
      </c>
      <c r="J20" s="379">
        <f>'2-2'!J126</f>
        <v>97000</v>
      </c>
      <c r="K20" s="373" t="str">
        <f>'2-2'!K126</f>
        <v>広報用不織布バッグ校名入り　1,000枚</v>
      </c>
      <c r="L20" s="224">
        <f>'2-2'!L126</f>
        <v>86400</v>
      </c>
      <c r="M20" s="316">
        <f>'2-2'!M126</f>
        <v>1</v>
      </c>
      <c r="N20" s="316">
        <f>'2-2'!N126</f>
        <v>1</v>
      </c>
      <c r="O20" s="309">
        <f t="shared" si="4"/>
        <v>86400</v>
      </c>
      <c r="P20" s="374">
        <f>'2-2'!P126</f>
        <v>0</v>
      </c>
      <c r="Q20" s="375">
        <f>'2-2'!Q126</f>
        <v>0</v>
      </c>
      <c r="R20" s="25">
        <f>IF(AND(ISNA(MATCH($D20,'随時②-2'!$D$4:$D$18,0)),ISNA(MATCH($D20,'随時③-2'!$D$4:$D$18,0))),0,1)</f>
        <v>0</v>
      </c>
      <c r="S20" s="63">
        <f t="shared" si="5"/>
      </c>
      <c r="T20" s="63">
        <f t="shared" si="6"/>
      </c>
      <c r="U20" s="5">
        <f t="shared" si="7"/>
        <v>7</v>
      </c>
    </row>
    <row r="21" spans="1:21" ht="30" customHeight="1">
      <c r="A21" s="376">
        <f>'随時②-2'!A24</f>
        <v>0</v>
      </c>
      <c r="B21" s="377" t="str">
        <f>'随時②-2'!B24</f>
        <v>〃</v>
      </c>
      <c r="C21" s="378" t="str">
        <f>'随時②-2'!C24</f>
        <v>〃</v>
      </c>
      <c r="D21" s="254">
        <v>204</v>
      </c>
      <c r="E21" s="314" t="str">
        <f>'2-2'!E127</f>
        <v>消耗需用費</v>
      </c>
      <c r="F21" s="314" t="str">
        <f>'2-2'!F127</f>
        <v>小中学生理科実験教室材料費</v>
      </c>
      <c r="G21" s="321">
        <f>'2-2'!G127</f>
        <v>10000</v>
      </c>
      <c r="H21" s="322">
        <f>'2-2'!H127</f>
        <v>1</v>
      </c>
      <c r="I21" s="322">
        <f>'2-2'!I127</f>
        <v>1</v>
      </c>
      <c r="J21" s="379">
        <f>'2-2'!J127</f>
        <v>10000</v>
      </c>
      <c r="K21" s="373" t="str">
        <f>'2-2'!K127</f>
        <v>小中学生理科実験教室材料費</v>
      </c>
      <c r="L21" s="224">
        <f>'2-2'!L127</f>
        <v>0</v>
      </c>
      <c r="M21" s="316">
        <f>'2-2'!M127</f>
        <v>1</v>
      </c>
      <c r="N21" s="316">
        <f>'2-2'!N127</f>
        <v>1</v>
      </c>
      <c r="O21" s="309">
        <f t="shared" si="4"/>
        <v>0</v>
      </c>
      <c r="P21" s="374">
        <f>'2-2'!P127</f>
        <v>0</v>
      </c>
      <c r="Q21" s="375">
        <f>'2-2'!Q127</f>
        <v>0</v>
      </c>
      <c r="R21" s="25">
        <f>IF(AND(ISNA(MATCH($D21,'随時②-2'!$D$4:$D$18,0)),ISNA(MATCH($D21,'随時③-2'!$D$4:$D$18,0))),0,1)</f>
        <v>0</v>
      </c>
      <c r="S21" s="63">
        <f t="shared" si="5"/>
      </c>
      <c r="T21" s="63">
        <f t="shared" si="6"/>
      </c>
      <c r="U21" s="5">
        <f t="shared" si="7"/>
        <v>7</v>
      </c>
    </row>
    <row r="22" spans="1:21" ht="30" customHeight="1">
      <c r="A22" s="376">
        <f>'随時②-2'!A25</f>
        <v>3</v>
      </c>
      <c r="B22" s="377" t="str">
        <f>'随時②-2'!B25</f>
        <v>3-3-(1)</v>
      </c>
      <c r="C22" s="378" t="str">
        <f>'随時②-2'!C25</f>
        <v>人権教育の充実</v>
      </c>
      <c r="D22" s="254">
        <v>205</v>
      </c>
      <c r="E22" s="314" t="str">
        <f>'2-2'!E128</f>
        <v>旅費</v>
      </c>
      <c r="F22" s="314" t="str">
        <f>'2-2'!F128</f>
        <v>全国高等学校長協会人権教育研究協議会</v>
      </c>
      <c r="G22" s="321">
        <f>'2-2'!G128</f>
        <v>30000</v>
      </c>
      <c r="H22" s="322">
        <f>'2-2'!H128</f>
        <v>1</v>
      </c>
      <c r="I22" s="322">
        <f>'2-2'!I128</f>
        <v>1</v>
      </c>
      <c r="J22" s="379">
        <f>'2-2'!J128</f>
        <v>30000</v>
      </c>
      <c r="K22" s="373" t="str">
        <f>'2-2'!K128</f>
        <v>全国高等学校長協会人権教育研究協議会</v>
      </c>
      <c r="L22" s="224">
        <f>'2-2'!L128</f>
        <v>0</v>
      </c>
      <c r="M22" s="316">
        <f>'2-2'!M128</f>
        <v>1</v>
      </c>
      <c r="N22" s="316">
        <f>'2-2'!N128</f>
        <v>1</v>
      </c>
      <c r="O22" s="309">
        <f t="shared" si="4"/>
        <v>0</v>
      </c>
      <c r="P22" s="374">
        <f>'2-2'!P128</f>
        <v>0</v>
      </c>
      <c r="Q22" s="375">
        <f>'2-2'!Q128</f>
        <v>0</v>
      </c>
      <c r="R22" s="25">
        <f>IF(AND(ISNA(MATCH($D22,'随時②-2'!$D$4:$D$18,0)),ISNA(MATCH($D22,'随時③-2'!$D$4:$D$18,0))),0,1)</f>
        <v>0</v>
      </c>
      <c r="S22" s="63">
        <f t="shared" si="5"/>
      </c>
      <c r="T22" s="63">
        <f t="shared" si="6"/>
      </c>
      <c r="U22" s="5">
        <f t="shared" si="7"/>
        <v>2</v>
      </c>
    </row>
    <row r="23" spans="1:21" ht="30" customHeight="1">
      <c r="A23" s="376">
        <f>'随時②-2'!A26</f>
        <v>4</v>
      </c>
      <c r="B23" s="377" t="str">
        <f>'随時②-2'!B26</f>
        <v>3-1-(1)</v>
      </c>
      <c r="C23" s="378" t="str">
        <f>'随時②-2'!C26</f>
        <v>魅力ある授業づくり</v>
      </c>
      <c r="D23" s="254">
        <v>206</v>
      </c>
      <c r="E23" s="314" t="str">
        <f>'2-2'!E129</f>
        <v>旅費</v>
      </c>
      <c r="F23" s="314" t="str">
        <f>'2-2'!F129</f>
        <v>教務研究会先進校視察</v>
      </c>
      <c r="G23" s="321">
        <f>'2-2'!G129</f>
        <v>40000</v>
      </c>
      <c r="H23" s="322">
        <f>'2-2'!H129</f>
        <v>3</v>
      </c>
      <c r="I23" s="322">
        <f>'2-2'!I129</f>
        <v>1</v>
      </c>
      <c r="J23" s="379">
        <f>'2-2'!J129</f>
        <v>120000</v>
      </c>
      <c r="K23" s="373" t="str">
        <f>'2-2'!K129</f>
        <v>教務研究会先進校視察</v>
      </c>
      <c r="L23" s="224">
        <f>'2-2'!L129</f>
        <v>115818</v>
      </c>
      <c r="M23" s="316">
        <f>'2-2'!M129</f>
        <v>1</v>
      </c>
      <c r="N23" s="316">
        <f>'2-2'!N129</f>
        <v>1</v>
      </c>
      <c r="O23" s="309">
        <f t="shared" si="4"/>
        <v>115818</v>
      </c>
      <c r="P23" s="374">
        <f>'2-2'!P129</f>
        <v>0</v>
      </c>
      <c r="Q23" s="375">
        <f>'2-2'!Q129</f>
        <v>0</v>
      </c>
      <c r="R23" s="25">
        <f>IF(AND(ISNA(MATCH($D23,'随時②-2'!$D$4:$D$18,0)),ISNA(MATCH($D23,'随時③-2'!$D$4:$D$18,0))),0,1)</f>
        <v>0</v>
      </c>
      <c r="S23" s="63">
        <f t="shared" si="5"/>
      </c>
      <c r="T23" s="63">
        <f t="shared" si="6"/>
      </c>
      <c r="U23" s="5">
        <f t="shared" si="7"/>
        <v>2</v>
      </c>
    </row>
    <row r="24" spans="1:21" ht="30" customHeight="1">
      <c r="A24" s="376">
        <f>'随時②-2'!A27</f>
        <v>0</v>
      </c>
      <c r="B24" s="377" t="str">
        <f>'随時②-2'!B27</f>
        <v>〃</v>
      </c>
      <c r="C24" s="378" t="str">
        <f>'随時②-2'!C27</f>
        <v>〃</v>
      </c>
      <c r="D24" s="254">
        <v>207</v>
      </c>
      <c r="E24" s="314" t="str">
        <f>'2-2'!E130</f>
        <v>旅費</v>
      </c>
      <c r="F24" s="314" t="str">
        <f>'2-2'!F130</f>
        <v>先進校視察</v>
      </c>
      <c r="G24" s="321">
        <f>'2-2'!G130</f>
        <v>3200</v>
      </c>
      <c r="H24" s="322">
        <f>'2-2'!H130</f>
        <v>4</v>
      </c>
      <c r="I24" s="322">
        <f>'2-2'!I130</f>
        <v>1</v>
      </c>
      <c r="J24" s="379">
        <f>'2-2'!J130</f>
        <v>12800</v>
      </c>
      <c r="K24" s="373" t="str">
        <f>'2-2'!K130</f>
        <v>先進校視察</v>
      </c>
      <c r="L24" s="224">
        <f>'2-2'!L130</f>
        <v>14160</v>
      </c>
      <c r="M24" s="316">
        <f>'2-2'!M130</f>
        <v>1</v>
      </c>
      <c r="N24" s="316">
        <f>'2-2'!N130</f>
        <v>1</v>
      </c>
      <c r="O24" s="309">
        <f t="shared" si="4"/>
        <v>14160</v>
      </c>
      <c r="P24" s="374">
        <f>'2-2'!P130</f>
        <v>0</v>
      </c>
      <c r="Q24" s="375">
        <f>'2-2'!Q130</f>
        <v>0</v>
      </c>
      <c r="R24" s="25">
        <f>IF(AND(ISNA(MATCH($D24,'随時②-2'!$D$4:$D$18,0)),ISNA(MATCH($D24,'随時③-2'!$D$4:$D$18,0))),0,1)</f>
        <v>0</v>
      </c>
      <c r="S24" s="63">
        <f t="shared" si="5"/>
      </c>
      <c r="T24" s="63">
        <f t="shared" si="6"/>
      </c>
      <c r="U24" s="5">
        <f t="shared" si="7"/>
        <v>2</v>
      </c>
    </row>
    <row r="25" spans="1:21" ht="30" customHeight="1">
      <c r="A25" s="376">
        <f>'随時②-2'!A28</f>
        <v>0</v>
      </c>
      <c r="B25" s="377" t="str">
        <f>'随時②-2'!B28</f>
        <v>〃</v>
      </c>
      <c r="C25" s="378" t="str">
        <f>'随時②-2'!C28</f>
        <v>〃</v>
      </c>
      <c r="D25" s="254">
        <v>208</v>
      </c>
      <c r="E25" s="314" t="str">
        <f>'2-2'!E131</f>
        <v>委託料</v>
      </c>
      <c r="F25" s="314" t="str">
        <f>'2-2'!F131</f>
        <v>授業アンケート集計業務委託</v>
      </c>
      <c r="G25" s="321">
        <f>'2-2'!G131</f>
        <v>56000</v>
      </c>
      <c r="H25" s="322">
        <f>'2-2'!H131</f>
        <v>1</v>
      </c>
      <c r="I25" s="322">
        <f>'2-2'!I131</f>
        <v>1</v>
      </c>
      <c r="J25" s="379">
        <f>'2-2'!J131</f>
        <v>56000</v>
      </c>
      <c r="K25" s="373" t="str">
        <f>'2-2'!K131</f>
        <v>授業アンケート集計業務委託</v>
      </c>
      <c r="L25" s="224">
        <f>'2-2'!L131</f>
        <v>55728</v>
      </c>
      <c r="M25" s="316">
        <f>'2-2'!M131</f>
        <v>1</v>
      </c>
      <c r="N25" s="316">
        <f>'2-2'!N131</f>
        <v>1</v>
      </c>
      <c r="O25" s="309">
        <f t="shared" si="4"/>
        <v>55728</v>
      </c>
      <c r="P25" s="374">
        <f>'2-2'!P131</f>
        <v>0</v>
      </c>
      <c r="Q25" s="375">
        <f>'2-2'!Q131</f>
        <v>0</v>
      </c>
      <c r="R25" s="25">
        <f>IF(AND(ISNA(MATCH($D25,'随時②-2'!$D$4:$D$18,0)),ISNA(MATCH($D25,'随時③-2'!$D$4:$D$18,0))),0,1)</f>
        <v>0</v>
      </c>
      <c r="S25" s="63">
        <f t="shared" si="5"/>
      </c>
      <c r="T25" s="63">
        <f t="shared" si="6"/>
      </c>
      <c r="U25" s="5">
        <f t="shared" si="7"/>
        <v>6</v>
      </c>
    </row>
    <row r="26" spans="1:21" ht="30" customHeight="1">
      <c r="A26" s="376">
        <f>'随時②-2'!A29</f>
        <v>0</v>
      </c>
      <c r="B26" s="377" t="str">
        <f>'随時②-2'!B29</f>
        <v>〃</v>
      </c>
      <c r="C26" s="378" t="str">
        <f>'随時②-2'!C29</f>
        <v>〃</v>
      </c>
      <c r="D26" s="254">
        <v>209</v>
      </c>
      <c r="E26" s="314" t="str">
        <f>'2-2'!E132</f>
        <v>消耗需用費</v>
      </c>
      <c r="F26" s="314" t="str">
        <f>'2-2'!F132</f>
        <v>高大接続及び授業改善研修参加資料代</v>
      </c>
      <c r="G26" s="321">
        <f>'2-2'!G132</f>
        <v>10000</v>
      </c>
      <c r="H26" s="322">
        <f>'2-2'!H132</f>
        <v>1</v>
      </c>
      <c r="I26" s="322">
        <f>'2-2'!I132</f>
        <v>1</v>
      </c>
      <c r="J26" s="379">
        <f>'2-2'!J132</f>
        <v>10000</v>
      </c>
      <c r="K26" s="373" t="str">
        <f>'2-2'!K132</f>
        <v>高大接続及び授業改善研修参加資料代</v>
      </c>
      <c r="L26" s="224">
        <f>'2-2'!L132</f>
        <v>0</v>
      </c>
      <c r="M26" s="316">
        <f>'2-2'!M132</f>
        <v>1</v>
      </c>
      <c r="N26" s="316">
        <f>'2-2'!N132</f>
        <v>1</v>
      </c>
      <c r="O26" s="309">
        <f t="shared" si="4"/>
        <v>0</v>
      </c>
      <c r="P26" s="374">
        <f>'2-2'!P132</f>
        <v>0</v>
      </c>
      <c r="Q26" s="375">
        <f>'2-2'!Q132</f>
        <v>0</v>
      </c>
      <c r="R26" s="25">
        <f>IF(AND(ISNA(MATCH($D26,'随時②-2'!$D$4:$D$18,0)),ISNA(MATCH($D26,'随時③-2'!$D$4:$D$18,0))),0,1)</f>
        <v>0</v>
      </c>
      <c r="S26" s="63">
        <f aca="true" t="shared" si="8" ref="S26:S34">IF(P26="◎",J26,"")</f>
      </c>
      <c r="T26" s="63">
        <f aca="true" t="shared" si="9" ref="T26:T34">IF(P26="◎",O26,"")</f>
      </c>
      <c r="U26" s="5">
        <f t="shared" si="7"/>
        <v>7</v>
      </c>
    </row>
    <row r="27" spans="1:21" ht="30" customHeight="1">
      <c r="A27" s="376">
        <f>'随時②-2'!A30</f>
        <v>3</v>
      </c>
      <c r="B27" s="377" t="str">
        <f>'随時②-2'!B30</f>
        <v>3-3-(1)</v>
      </c>
      <c r="C27" s="378" t="str">
        <f>'随時②-2'!C30</f>
        <v>人権教育の充実</v>
      </c>
      <c r="D27" s="254">
        <v>210</v>
      </c>
      <c r="E27" s="314" t="str">
        <f>'2-2'!E133</f>
        <v>消耗需用費</v>
      </c>
      <c r="F27" s="314" t="str">
        <f>'2-2'!F133</f>
        <v>人権教育研修参加資料代</v>
      </c>
      <c r="G27" s="321">
        <f>'2-2'!G133</f>
        <v>1000</v>
      </c>
      <c r="H27" s="322">
        <f>'2-2'!H133</f>
        <v>1</v>
      </c>
      <c r="I27" s="322">
        <f>'2-2'!I133</f>
        <v>2</v>
      </c>
      <c r="J27" s="379">
        <f>'2-2'!J133</f>
        <v>2000</v>
      </c>
      <c r="K27" s="373" t="str">
        <f>'2-2'!K133</f>
        <v>人権教育研修参加資料代</v>
      </c>
      <c r="L27" s="224">
        <f>'2-2'!L133</f>
        <v>0</v>
      </c>
      <c r="M27" s="316">
        <f>'2-2'!M133</f>
        <v>1</v>
      </c>
      <c r="N27" s="316">
        <f>'2-2'!N133</f>
        <v>2</v>
      </c>
      <c r="O27" s="309">
        <f t="shared" si="4"/>
        <v>0</v>
      </c>
      <c r="P27" s="374">
        <f>'2-2'!P133</f>
        <v>0</v>
      </c>
      <c r="Q27" s="375">
        <f>'2-2'!Q133</f>
        <v>0</v>
      </c>
      <c r="R27" s="25">
        <f>IF(AND(ISNA(MATCH($D27,'随時②-2'!$D$4:$D$18,0)),ISNA(MATCH($D27,'随時③-2'!$D$4:$D$18,0))),0,1)</f>
        <v>0</v>
      </c>
      <c r="S27" s="63">
        <f t="shared" si="8"/>
      </c>
      <c r="T27" s="63">
        <f t="shared" si="9"/>
      </c>
      <c r="U27" s="5">
        <f>IF($E27=0,"",VLOOKUP($E27,$V$5:$X$13,2))</f>
        <v>7</v>
      </c>
    </row>
    <row r="28" spans="1:20" ht="30" customHeight="1">
      <c r="A28" s="369">
        <f>'2-4'!A4</f>
        <v>0</v>
      </c>
      <c r="B28" s="370">
        <f>'2-4'!B4</f>
        <v>0</v>
      </c>
      <c r="C28" s="371">
        <f>'2-4'!C4</f>
        <v>0</v>
      </c>
      <c r="D28" s="263">
        <v>301</v>
      </c>
      <c r="E28" s="315" t="str">
        <f>IF($R28=1,"",VLOOKUP($D28,'2-4'!$D$4:$L$103,2))</f>
        <v>負担金、補助及び交付金</v>
      </c>
      <c r="F28" s="315" t="str">
        <f>IF($R28=1,"取消し",VLOOKUP($D28,'2-4'!$D$4:$L$103,3))</f>
        <v>各種団体負担金（会費）</v>
      </c>
      <c r="G28" s="224">
        <f>IF($R28=1,,VLOOKUP($D28,'2-4'!$D$4:$L$103,4))</f>
        <v>0</v>
      </c>
      <c r="H28" s="316">
        <f>IF($R28=1,,VLOOKUP($D28,'2-4'!$D$4:$L$103,5))</f>
        <v>0</v>
      </c>
      <c r="I28" s="316">
        <f>IF($R28=1,,VLOOKUP($D28,'2-4'!$D$4:$L$103,6))</f>
        <v>0</v>
      </c>
      <c r="J28" s="224">
        <f>IF($R28=1,,VLOOKUP($D28,'2-4'!$D$4:$L$103,7))</f>
        <v>0</v>
      </c>
      <c r="K28" s="339" t="str">
        <f aca="true" t="shared" si="10" ref="K28:K34">F28</f>
        <v>各種団体負担金（会費）</v>
      </c>
      <c r="L28" s="340">
        <f>G28</f>
        <v>0</v>
      </c>
      <c r="M28" s="341">
        <f aca="true" t="shared" si="11" ref="M28:M33">H28</f>
        <v>0</v>
      </c>
      <c r="N28" s="341">
        <f aca="true" t="shared" si="12" ref="N28:N34">I28</f>
        <v>0</v>
      </c>
      <c r="O28" s="342">
        <f>L28*M28*N28</f>
        <v>0</v>
      </c>
      <c r="P28" s="381">
        <f>IF($R28=1,"",VLOOKUP($D28,'2-4'!$D$4:$L$103,8))</f>
        <v>0</v>
      </c>
      <c r="Q28" s="279" t="s">
        <v>254</v>
      </c>
      <c r="R28" s="25">
        <f>IF(AND(ISNA(MATCH($D28,'随時②-2'!$D$4:$D$18,0)),ISNA(MATCH($D28,'随時③-2'!$D$4:$D$18,0))),0,1)</f>
        <v>0</v>
      </c>
      <c r="S28" s="63">
        <f t="shared" si="8"/>
      </c>
      <c r="T28" s="63">
        <f t="shared" si="9"/>
      </c>
    </row>
    <row r="29" spans="1:20" ht="30" customHeight="1">
      <c r="A29" s="376">
        <f>'2-4'!A5</f>
        <v>1</v>
      </c>
      <c r="B29" s="377" t="str">
        <f>'2-4'!B5</f>
        <v>3-5-(1)</v>
      </c>
      <c r="C29" s="378" t="str">
        <f>'2-4'!C5</f>
        <v>情報発信の刷新</v>
      </c>
      <c r="D29" s="254">
        <v>302</v>
      </c>
      <c r="E29" s="315" t="str">
        <f>IF($R29=1,"",VLOOKUP($D29,'2-4'!$D$4:$L$103,2))</f>
        <v>消耗需用費</v>
      </c>
      <c r="F29" s="315" t="str">
        <f>IF($R29=1,"取消し",VLOOKUP($D29,'2-4'!$D$4:$L$103,3))</f>
        <v>中学生体験授業材料費</v>
      </c>
      <c r="G29" s="224">
        <f>IF($R29=1,,VLOOKUP($D29,'2-4'!$D$4:$L$103,4))</f>
        <v>34000</v>
      </c>
      <c r="H29" s="316">
        <f>IF($R29=1,,VLOOKUP($D29,'2-4'!$D$4:$L$103,5))</f>
        <v>1</v>
      </c>
      <c r="I29" s="316">
        <f>IF($R29=1,,VLOOKUP($D29,'2-4'!$D$4:$L$103,6))</f>
        <v>1</v>
      </c>
      <c r="J29" s="224">
        <f>IF($R29=1,,VLOOKUP($D29,'2-4'!$D$4:$L$103,7))</f>
        <v>34000</v>
      </c>
      <c r="K29" s="318" t="str">
        <f t="shared" si="10"/>
        <v>中学生体験授業材料費</v>
      </c>
      <c r="L29" s="319">
        <v>3180</v>
      </c>
      <c r="M29" s="320">
        <f t="shared" si="11"/>
        <v>1</v>
      </c>
      <c r="N29" s="320">
        <f t="shared" si="12"/>
        <v>1</v>
      </c>
      <c r="O29" s="309">
        <f aca="true" t="shared" si="13" ref="O29:O34">L29*M29*N29</f>
        <v>3180</v>
      </c>
      <c r="P29" s="381">
        <f>IF($R29=1,"",VLOOKUP($D29,'2-4'!$D$4:$L$103,8))</f>
        <v>0</v>
      </c>
      <c r="Q29" s="279">
        <f>IF($R29=1,"",VLOOKUP($D29,'2-4'!$D$4:$L$103,9))</f>
        <v>0</v>
      </c>
      <c r="R29" s="25">
        <f>IF(AND(ISNA(MATCH($D29,'随時②-2'!$D$4:$D$18,0)),ISNA(MATCH($D29,'随時③-2'!$D$4:$D$18,0))),0,1)</f>
        <v>0</v>
      </c>
      <c r="S29" s="63">
        <f t="shared" si="8"/>
      </c>
      <c r="T29" s="63">
        <f t="shared" si="9"/>
      </c>
    </row>
    <row r="30" spans="1:20" ht="30" customHeight="1">
      <c r="A30" s="376">
        <f>'2-4'!A6</f>
        <v>0</v>
      </c>
      <c r="B30" s="377" t="str">
        <f>'2-4'!B6</f>
        <v>〃</v>
      </c>
      <c r="C30" s="378" t="str">
        <f>'2-4'!C6</f>
        <v>〃</v>
      </c>
      <c r="D30" s="254">
        <v>303</v>
      </c>
      <c r="E30" s="315" t="str">
        <f>IF($R30=1,"",VLOOKUP($D30,'2-4'!$D$4:$L$103,2))</f>
        <v>消耗需用費</v>
      </c>
      <c r="F30" s="315" t="str">
        <f>IF($R30=1,"取消し",VLOOKUP($D30,'2-4'!$D$4:$L$103,3))</f>
        <v>小中学生理科実験教室材料費</v>
      </c>
      <c r="G30" s="224">
        <f>IF($R30=1,,VLOOKUP($D30,'2-4'!$D$4:$L$103,4))</f>
        <v>25000</v>
      </c>
      <c r="H30" s="316">
        <f>IF($R30=1,,VLOOKUP($D30,'2-4'!$D$4:$L$103,5))</f>
        <v>1</v>
      </c>
      <c r="I30" s="316">
        <f>IF($R30=1,,VLOOKUP($D30,'2-4'!$D$4:$L$103,6))</f>
        <v>1</v>
      </c>
      <c r="J30" s="224">
        <f>IF($R30=1,,VLOOKUP($D30,'2-4'!$D$4:$L$103,7))</f>
        <v>25000</v>
      </c>
      <c r="K30" s="318" t="str">
        <f t="shared" si="10"/>
        <v>小中学生理科実験教室材料費</v>
      </c>
      <c r="L30" s="319">
        <v>39873</v>
      </c>
      <c r="M30" s="320">
        <f t="shared" si="11"/>
        <v>1</v>
      </c>
      <c r="N30" s="320">
        <f t="shared" si="12"/>
        <v>1</v>
      </c>
      <c r="O30" s="309">
        <f t="shared" si="13"/>
        <v>39873</v>
      </c>
      <c r="P30" s="381">
        <f>IF($R30=1,"",VLOOKUP($D30,'2-4'!$D$4:$L$103,8))</f>
        <v>0</v>
      </c>
      <c r="Q30" s="279">
        <f>IF($R30=1,"",VLOOKUP($D30,'2-4'!$D$4:$L$103,9))</f>
        <v>0</v>
      </c>
      <c r="R30" s="25">
        <f>IF(AND(ISNA(MATCH($D30,'随時②-2'!$D$4:$D$18,0)),ISNA(MATCH($D30,'随時③-2'!$D$4:$D$18,0))),0,1)</f>
        <v>0</v>
      </c>
      <c r="S30" s="63">
        <f t="shared" si="8"/>
      </c>
      <c r="T30" s="63">
        <f t="shared" si="9"/>
      </c>
    </row>
    <row r="31" spans="1:20" ht="30" customHeight="1">
      <c r="A31" s="376">
        <f>'2-4'!A7</f>
        <v>2</v>
      </c>
      <c r="B31" s="377" t="str">
        <f>'2-4'!B7</f>
        <v>3-3-(1)</v>
      </c>
      <c r="C31" s="378" t="str">
        <f>'2-4'!C7</f>
        <v>人権教育の充実</v>
      </c>
      <c r="D31" s="254">
        <v>304</v>
      </c>
      <c r="E31" s="315" t="str">
        <f>IF($R31=1,"",VLOOKUP($D31,'2-4'!$D$4:$L$103,2))</f>
        <v>旅費</v>
      </c>
      <c r="F31" s="315" t="str">
        <f>IF($R31=1,"取消し",VLOOKUP($D31,'2-4'!$D$4:$L$103,3))</f>
        <v>全国高等学校長協会人権教育研究協議会</v>
      </c>
      <c r="G31" s="224">
        <f>IF($R31=1,,VLOOKUP($D31,'2-4'!$D$4:$L$103,4))</f>
        <v>30000</v>
      </c>
      <c r="H31" s="316">
        <f>IF($R31=1,,VLOOKUP($D31,'2-4'!$D$4:$L$103,5))</f>
        <v>1</v>
      </c>
      <c r="I31" s="316">
        <f>IF($R31=1,,VLOOKUP($D31,'2-4'!$D$4:$L$103,6))</f>
        <v>1</v>
      </c>
      <c r="J31" s="224">
        <f>IF($R31=1,,VLOOKUP($D31,'2-4'!$D$4:$L$103,7))</f>
        <v>30000</v>
      </c>
      <c r="K31" s="318" t="str">
        <f t="shared" si="10"/>
        <v>全国高等学校長協会人権教育研究協議会</v>
      </c>
      <c r="L31" s="319">
        <v>29180</v>
      </c>
      <c r="M31" s="320">
        <f t="shared" si="11"/>
        <v>1</v>
      </c>
      <c r="N31" s="320">
        <f t="shared" si="12"/>
        <v>1</v>
      </c>
      <c r="O31" s="309">
        <f t="shared" si="13"/>
        <v>29180</v>
      </c>
      <c r="P31" s="381">
        <f>IF($R31=1,"",VLOOKUP($D31,'2-4'!$D$4:$L$103,8))</f>
        <v>0</v>
      </c>
      <c r="Q31" s="279">
        <f>IF($R31=1,"",VLOOKUP($D31,'2-4'!$D$4:$L$103,9))</f>
        <v>0</v>
      </c>
      <c r="R31" s="25">
        <f>IF(AND(ISNA(MATCH($D31,'随時②-2'!$D$4:$D$18,0)),ISNA(MATCH($D31,'随時③-2'!$D$4:$D$18,0))),0,1)</f>
        <v>0</v>
      </c>
      <c r="S31" s="63">
        <f t="shared" si="8"/>
      </c>
      <c r="T31" s="63">
        <f t="shared" si="9"/>
      </c>
    </row>
    <row r="32" spans="1:20" ht="30" customHeight="1">
      <c r="A32" s="376">
        <f>'2-4'!A8</f>
        <v>0</v>
      </c>
      <c r="B32" s="377" t="str">
        <f>'2-4'!B8</f>
        <v>〃</v>
      </c>
      <c r="C32" s="378" t="str">
        <f>'2-4'!C8</f>
        <v>〃</v>
      </c>
      <c r="D32" s="254">
        <v>305</v>
      </c>
      <c r="E32" s="315" t="str">
        <f>IF($R32=1,"",VLOOKUP($D32,'2-4'!$D$4:$L$103,2))</f>
        <v>消耗需用費</v>
      </c>
      <c r="F32" s="315" t="str">
        <f>IF($R32=1,"取消し",VLOOKUP($D32,'2-4'!$D$4:$L$103,3))</f>
        <v>人権教育研修参加資料代</v>
      </c>
      <c r="G32" s="224">
        <f>IF($R32=1,,VLOOKUP($D32,'2-4'!$D$4:$L$103,4))</f>
        <v>5000</v>
      </c>
      <c r="H32" s="316">
        <f>IF($R32=1,,VLOOKUP($D32,'2-4'!$D$4:$L$103,5))</f>
        <v>1</v>
      </c>
      <c r="I32" s="316">
        <f>IF($R32=1,,VLOOKUP($D32,'2-4'!$D$4:$L$103,6))</f>
        <v>1</v>
      </c>
      <c r="J32" s="224">
        <f>IF($R32=1,,VLOOKUP($D32,'2-4'!$D$4:$L$103,7))</f>
        <v>5000</v>
      </c>
      <c r="K32" s="318" t="str">
        <f t="shared" si="10"/>
        <v>人権教育研修参加資料代</v>
      </c>
      <c r="L32" s="319">
        <v>7000</v>
      </c>
      <c r="M32" s="320">
        <f t="shared" si="11"/>
        <v>1</v>
      </c>
      <c r="N32" s="320">
        <f t="shared" si="12"/>
        <v>1</v>
      </c>
      <c r="O32" s="309">
        <f t="shared" si="13"/>
        <v>7000</v>
      </c>
      <c r="P32" s="381">
        <f>IF($R32=1,"",VLOOKUP($D32,'2-4'!$D$4:$L$103,8))</f>
        <v>0</v>
      </c>
      <c r="Q32" s="279">
        <f>IF($R32=1,"",VLOOKUP($D32,'2-4'!$D$4:$L$103,9))</f>
        <v>0</v>
      </c>
      <c r="R32" s="25">
        <f>IF(AND(ISNA(MATCH($D32,'随時②-2'!$D$4:$D$18,0)),ISNA(MATCH($D32,'随時③-2'!$D$4:$D$18,0))),0,1)</f>
        <v>0</v>
      </c>
      <c r="S32" s="63">
        <f t="shared" si="8"/>
      </c>
      <c r="T32" s="63">
        <f t="shared" si="9"/>
      </c>
    </row>
    <row r="33" spans="1:20" ht="30" customHeight="1">
      <c r="A33" s="376">
        <f>'2-4'!A9</f>
        <v>3</v>
      </c>
      <c r="B33" s="377" t="str">
        <f>'2-4'!B9</f>
        <v>3-1-(1)</v>
      </c>
      <c r="C33" s="378" t="str">
        <f>'2-4'!C9</f>
        <v>魅力ある授業づくり</v>
      </c>
      <c r="D33" s="254">
        <v>306</v>
      </c>
      <c r="E33" s="315" t="str">
        <f>IF($R33=1,"",VLOOKUP($D33,'2-4'!$D$4:$L$103,2))</f>
        <v>消耗需用費</v>
      </c>
      <c r="F33" s="315" t="str">
        <f>IF($R33=1,"取消し",VLOOKUP($D33,'2-4'!$D$4:$L$103,3))</f>
        <v>高大接続及び授業改善研修参加資料代</v>
      </c>
      <c r="G33" s="224">
        <f>IF($R33=1,,VLOOKUP($D33,'2-4'!$D$4:$L$103,4))</f>
        <v>5000</v>
      </c>
      <c r="H33" s="316">
        <f>IF($R33=1,,VLOOKUP($D33,'2-4'!$D$4:$L$103,5))</f>
        <v>1</v>
      </c>
      <c r="I33" s="316">
        <f>IF($R33=1,,VLOOKUP($D33,'2-4'!$D$4:$L$103,6))</f>
        <v>1</v>
      </c>
      <c r="J33" s="224">
        <f>IF($R33=1,,VLOOKUP($D33,'2-4'!$D$4:$L$103,7))</f>
        <v>5000</v>
      </c>
      <c r="K33" s="318" t="str">
        <f t="shared" si="10"/>
        <v>高大接続及び授業改善研修参加資料代</v>
      </c>
      <c r="L33" s="319"/>
      <c r="M33" s="320">
        <f t="shared" si="11"/>
        <v>1</v>
      </c>
      <c r="N33" s="320">
        <f t="shared" si="12"/>
        <v>1</v>
      </c>
      <c r="O33" s="309">
        <f t="shared" si="13"/>
        <v>0</v>
      </c>
      <c r="P33" s="381">
        <f>IF($R33=1,"",VLOOKUP($D33,'2-4'!$D$4:$L$103,8))</f>
        <v>0</v>
      </c>
      <c r="Q33" s="279">
        <f>IF($R33=1,"",VLOOKUP($D33,'2-4'!$D$4:$L$103,9))</f>
        <v>0</v>
      </c>
      <c r="R33" s="25">
        <f>IF(AND(ISNA(MATCH($D33,'随時②-2'!$D$4:$D$18,0)),ISNA(MATCH($D33,'随時③-2'!$D$4:$D$18,0))),0,1)</f>
        <v>0</v>
      </c>
      <c r="S33" s="63">
        <f t="shared" si="8"/>
      </c>
      <c r="T33" s="63">
        <f t="shared" si="9"/>
      </c>
    </row>
    <row r="34" spans="1:20" ht="30" customHeight="1" thickBot="1">
      <c r="A34" s="376">
        <f>'2-4'!A10</f>
        <v>0</v>
      </c>
      <c r="B34" s="377" t="str">
        <f>'2-4'!B10</f>
        <v>〃</v>
      </c>
      <c r="C34" s="378" t="str">
        <f>'2-4'!C10</f>
        <v>〃</v>
      </c>
      <c r="D34" s="254">
        <v>307</v>
      </c>
      <c r="E34" s="315" t="str">
        <f>IF($R34=1,"",VLOOKUP($D34,'2-4'!$D$4:$L$103,2))</f>
        <v>旅費</v>
      </c>
      <c r="F34" s="315" t="str">
        <f>IF($R34=1,"取消し",VLOOKUP($D34,'2-4'!$D$4:$L$103,3))</f>
        <v>先進校視察</v>
      </c>
      <c r="G34" s="224">
        <f>IF($R34=1,,VLOOKUP($D34,'2-4'!$D$4:$L$103,4))</f>
        <v>2500</v>
      </c>
      <c r="H34" s="316">
        <f>IF($R34=1,,VLOOKUP($D34,'2-4'!$D$4:$L$103,5))</f>
        <v>2</v>
      </c>
      <c r="I34" s="316">
        <f>IF($R34=1,,VLOOKUP($D34,'2-4'!$D$4:$L$103,6))</f>
        <v>1</v>
      </c>
      <c r="J34" s="224">
        <f>IF($R34=1,,VLOOKUP($D34,'2-4'!$D$4:$L$103,7))</f>
        <v>5000</v>
      </c>
      <c r="K34" s="318" t="str">
        <f t="shared" si="10"/>
        <v>先進校視察</v>
      </c>
      <c r="L34" s="319">
        <v>0</v>
      </c>
      <c r="M34" s="320">
        <v>1</v>
      </c>
      <c r="N34" s="320">
        <f t="shared" si="12"/>
        <v>1</v>
      </c>
      <c r="O34" s="309">
        <f t="shared" si="13"/>
        <v>0</v>
      </c>
      <c r="P34" s="381">
        <f>IF($R34=1,"",VLOOKUP($D34,'2-4'!$D$4:$L$103,8))</f>
        <v>0</v>
      </c>
      <c r="Q34" s="279">
        <f>IF($R34=1,"",VLOOKUP($D34,'2-4'!$D$4:$L$103,9))</f>
        <v>0</v>
      </c>
      <c r="R34" s="25">
        <f>IF(AND(ISNA(MATCH($D34,'随時②-2'!$D$4:$D$18,0)),ISNA(MATCH($D34,'随時③-2'!$D$4:$D$18,0))),0,1)</f>
        <v>0</v>
      </c>
      <c r="S34" s="63">
        <f t="shared" si="8"/>
      </c>
      <c r="T34" s="63">
        <f t="shared" si="9"/>
      </c>
    </row>
    <row r="35" spans="1:17" ht="13.5">
      <c r="A35" s="51"/>
      <c r="B35" s="51"/>
      <c r="C35" s="51"/>
      <c r="D35" s="73"/>
      <c r="E35" s="64"/>
      <c r="F35" s="64"/>
      <c r="G35" s="49"/>
      <c r="H35" s="65"/>
      <c r="I35" s="65"/>
      <c r="J35" s="52">
        <f>G35*H35*I35</f>
        <v>0</v>
      </c>
      <c r="K35" s="64"/>
      <c r="L35" s="36"/>
      <c r="M35" s="68"/>
      <c r="N35" s="68"/>
      <c r="O35" s="36"/>
      <c r="P35" s="37"/>
      <c r="Q35" s="69"/>
    </row>
    <row r="36" spans="6:10" ht="24" customHeight="1" thickBot="1">
      <c r="F36" s="28"/>
      <c r="G36" s="28"/>
      <c r="I36" s="534" t="s">
        <v>15</v>
      </c>
      <c r="J36" s="534"/>
    </row>
    <row r="37" spans="4:15" ht="24" customHeight="1" thickBot="1">
      <c r="D37" s="5"/>
      <c r="F37" s="24"/>
      <c r="G37" s="24"/>
      <c r="I37" s="548" t="s">
        <v>96</v>
      </c>
      <c r="J37" s="549"/>
      <c r="K37" s="38" t="s">
        <v>191</v>
      </c>
      <c r="L37" s="535" t="s">
        <v>176</v>
      </c>
      <c r="M37" s="536"/>
      <c r="N37" s="537" t="s">
        <v>192</v>
      </c>
      <c r="O37" s="538"/>
    </row>
    <row r="38" spans="4:15" ht="14.25" thickTop="1">
      <c r="D38" s="5"/>
      <c r="I38" s="550" t="s">
        <v>85</v>
      </c>
      <c r="J38" s="551"/>
      <c r="K38" s="348">
        <f aca="true" t="shared" si="14" ref="K38:K46">SUMIF($E$4:$E$34,$I38,$O$4:$O$34)</f>
        <v>0</v>
      </c>
      <c r="L38" s="544">
        <f aca="true" t="shared" si="15" ref="L38:L45">SUMIF($E$4:$E$34,$I38,$T$4:$T$34)</f>
        <v>0</v>
      </c>
      <c r="M38" s="545">
        <f aca="true" t="shared" si="16" ref="M38:M46">SUMIF($E$4:$E$34,$I38,$O$4:$O$34)</f>
        <v>0</v>
      </c>
      <c r="N38" s="546">
        <f>K38-L38</f>
        <v>0</v>
      </c>
      <c r="O38" s="547"/>
    </row>
    <row r="39" spans="4:15" ht="13.5">
      <c r="D39" s="5"/>
      <c r="I39" s="556" t="s">
        <v>86</v>
      </c>
      <c r="J39" s="557"/>
      <c r="K39" s="351">
        <f t="shared" si="14"/>
        <v>188618</v>
      </c>
      <c r="L39" s="552">
        <f t="shared" si="15"/>
        <v>0</v>
      </c>
      <c r="M39" s="553">
        <f t="shared" si="16"/>
        <v>188618</v>
      </c>
      <c r="N39" s="554">
        <f aca="true" t="shared" si="17" ref="N39:N46">K39-L39</f>
        <v>188618</v>
      </c>
      <c r="O39" s="555"/>
    </row>
    <row r="40" spans="4:15" ht="13.5">
      <c r="D40" s="5"/>
      <c r="I40" s="556" t="s">
        <v>125</v>
      </c>
      <c r="J40" s="557"/>
      <c r="K40" s="347">
        <f t="shared" si="14"/>
        <v>322469</v>
      </c>
      <c r="L40" s="552">
        <f t="shared" si="15"/>
        <v>0</v>
      </c>
      <c r="M40" s="553">
        <f t="shared" si="16"/>
        <v>322469</v>
      </c>
      <c r="N40" s="554">
        <f t="shared" si="17"/>
        <v>322469</v>
      </c>
      <c r="O40" s="555"/>
    </row>
    <row r="41" spans="4:15" ht="13.5">
      <c r="D41" s="5"/>
      <c r="I41" s="556" t="s">
        <v>126</v>
      </c>
      <c r="J41" s="557"/>
      <c r="K41" s="347">
        <f t="shared" si="14"/>
        <v>0</v>
      </c>
      <c r="L41" s="552">
        <f t="shared" si="15"/>
        <v>0</v>
      </c>
      <c r="M41" s="553">
        <f t="shared" si="16"/>
        <v>0</v>
      </c>
      <c r="N41" s="554">
        <f t="shared" si="17"/>
        <v>0</v>
      </c>
      <c r="O41" s="555"/>
    </row>
    <row r="42" spans="4:15" ht="13.5">
      <c r="D42" s="5"/>
      <c r="I42" s="556" t="s">
        <v>87</v>
      </c>
      <c r="J42" s="557"/>
      <c r="K42" s="347">
        <f t="shared" si="14"/>
        <v>0</v>
      </c>
      <c r="L42" s="552">
        <f t="shared" si="15"/>
        <v>0</v>
      </c>
      <c r="M42" s="553">
        <f t="shared" si="16"/>
        <v>0</v>
      </c>
      <c r="N42" s="554">
        <f t="shared" si="17"/>
        <v>0</v>
      </c>
      <c r="O42" s="555"/>
    </row>
    <row r="43" spans="4:15" ht="13.5">
      <c r="D43" s="5"/>
      <c r="I43" s="556" t="s">
        <v>88</v>
      </c>
      <c r="J43" s="557"/>
      <c r="K43" s="347">
        <f t="shared" si="14"/>
        <v>347328</v>
      </c>
      <c r="L43" s="552">
        <f t="shared" si="15"/>
        <v>0</v>
      </c>
      <c r="M43" s="553">
        <f t="shared" si="16"/>
        <v>347328</v>
      </c>
      <c r="N43" s="554">
        <f t="shared" si="17"/>
        <v>347328</v>
      </c>
      <c r="O43" s="555"/>
    </row>
    <row r="44" spans="4:15" ht="13.5">
      <c r="D44" s="5"/>
      <c r="I44" s="556" t="s">
        <v>89</v>
      </c>
      <c r="J44" s="557"/>
      <c r="K44" s="347">
        <f t="shared" si="14"/>
        <v>280000</v>
      </c>
      <c r="L44" s="552">
        <f t="shared" si="15"/>
        <v>0</v>
      </c>
      <c r="M44" s="553">
        <f t="shared" si="16"/>
        <v>280000</v>
      </c>
      <c r="N44" s="554">
        <f t="shared" si="17"/>
        <v>280000</v>
      </c>
      <c r="O44" s="555"/>
    </row>
    <row r="45" spans="4:15" ht="13.5">
      <c r="D45" s="5"/>
      <c r="I45" s="556" t="s">
        <v>90</v>
      </c>
      <c r="J45" s="557"/>
      <c r="K45" s="347">
        <f t="shared" si="14"/>
        <v>0</v>
      </c>
      <c r="L45" s="552">
        <f t="shared" si="15"/>
        <v>0</v>
      </c>
      <c r="M45" s="553">
        <f t="shared" si="16"/>
        <v>0</v>
      </c>
      <c r="N45" s="554">
        <f t="shared" si="17"/>
        <v>0</v>
      </c>
      <c r="O45" s="555"/>
    </row>
    <row r="46" spans="4:15" ht="14.25" thickBot="1">
      <c r="D46" s="5"/>
      <c r="I46" s="566" t="s">
        <v>138</v>
      </c>
      <c r="J46" s="567"/>
      <c r="K46" s="347">
        <f t="shared" si="14"/>
        <v>46330</v>
      </c>
      <c r="L46" s="562">
        <f>SUMIF($E$4:$E$34,$I46,$T$4:$T$34)+'3-3'!F20</f>
        <v>11000</v>
      </c>
      <c r="M46" s="563">
        <f t="shared" si="16"/>
        <v>46330</v>
      </c>
      <c r="N46" s="564">
        <f t="shared" si="17"/>
        <v>35330</v>
      </c>
      <c r="O46" s="565"/>
    </row>
    <row r="47" spans="4:15" ht="15" thickBot="1" thickTop="1">
      <c r="D47" s="5"/>
      <c r="I47" s="568" t="s">
        <v>15</v>
      </c>
      <c r="J47" s="569"/>
      <c r="K47" s="354">
        <f>SUM(K38:K46)</f>
        <v>1184745</v>
      </c>
      <c r="L47" s="558">
        <f>SUM(L38:L46)</f>
        <v>11000</v>
      </c>
      <c r="M47" s="559"/>
      <c r="N47" s="560">
        <f>SUM(N38:N46)</f>
        <v>1173745</v>
      </c>
      <c r="O47" s="561"/>
    </row>
  </sheetData>
  <sheetProtection formatCells="0" selectLockedCells="1"/>
  <mergeCells count="36">
    <mergeCell ref="I45:J45"/>
    <mergeCell ref="L47:M47"/>
    <mergeCell ref="N47:O47"/>
    <mergeCell ref="L45:M45"/>
    <mergeCell ref="N45:O45"/>
    <mergeCell ref="L46:M46"/>
    <mergeCell ref="N46:O46"/>
    <mergeCell ref="I46:J46"/>
    <mergeCell ref="I47:J47"/>
    <mergeCell ref="L43:M43"/>
    <mergeCell ref="N43:O43"/>
    <mergeCell ref="L44:M44"/>
    <mergeCell ref="N44:O44"/>
    <mergeCell ref="I43:J43"/>
    <mergeCell ref="I44:J44"/>
    <mergeCell ref="L41:M41"/>
    <mergeCell ref="N41:O41"/>
    <mergeCell ref="L42:M42"/>
    <mergeCell ref="N42:O42"/>
    <mergeCell ref="I41:J41"/>
    <mergeCell ref="I42:J42"/>
    <mergeCell ref="L39:M39"/>
    <mergeCell ref="N39:O39"/>
    <mergeCell ref="L40:M40"/>
    <mergeCell ref="N40:O40"/>
    <mergeCell ref="I39:J39"/>
    <mergeCell ref="I40:J40"/>
    <mergeCell ref="I36:J36"/>
    <mergeCell ref="L37:M37"/>
    <mergeCell ref="N37:O37"/>
    <mergeCell ref="K2:O2"/>
    <mergeCell ref="F2:J2"/>
    <mergeCell ref="L38:M38"/>
    <mergeCell ref="N38:O38"/>
    <mergeCell ref="I37:J37"/>
    <mergeCell ref="I38:J38"/>
  </mergeCells>
  <conditionalFormatting sqref="B2:E2 J35 J4:J27">
    <cfRule type="cellIs" priority="32" dxfId="28" operator="equal" stopIfTrue="1">
      <formula>0</formula>
    </cfRule>
  </conditionalFormatting>
  <conditionalFormatting sqref="O4:O27 K28:O35">
    <cfRule type="cellIs" priority="30" dxfId="16" operator="notEqual" stopIfTrue="1">
      <formula>F4</formula>
    </cfRule>
  </conditionalFormatting>
  <dataValidations count="2">
    <dataValidation type="list" allowBlank="1" showInputMessage="1" showErrorMessage="1" sqref="E35 I38:I46">
      <formula1>"報償費,旅費,消耗需用費,維持需用費,役務費,委託料,使用料及び賃借料,備品購入費,負担金、補助及び交付金"</formula1>
    </dataValidation>
    <dataValidation type="list" allowBlank="1" showInputMessage="1" showErrorMessage="1" sqref="P35">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9"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1"/>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B26" sqref="B26"/>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0" t="s">
        <v>265</v>
      </c>
      <c r="B1" s="570"/>
      <c r="C1" s="570"/>
      <c r="D1" s="570"/>
      <c r="E1" s="570"/>
      <c r="F1" s="570"/>
    </row>
    <row r="2" spans="1:6" ht="15" customHeight="1" thickBot="1">
      <c r="A2" s="8"/>
      <c r="B2" s="7" t="s">
        <v>244</v>
      </c>
      <c r="C2" s="87"/>
      <c r="E2" s="72" t="s">
        <v>220</v>
      </c>
      <c r="F2" s="184">
        <f>SUM(E4:E17)</f>
        <v>46330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85</v>
      </c>
      <c r="B10" s="127" t="str">
        <f>IF('1-3'!B88="","",'1-3'!B88)</f>
        <v>大阪</v>
      </c>
      <c r="C10" s="127">
        <f>IF('1-3'!C88="","",'1-3'!C88)</f>
      </c>
      <c r="D10" s="143" t="str">
        <f>IF('1-3'!D88="","",'1-3'!D88)</f>
        <v>大阪府高等学校進路指導研究会</v>
      </c>
      <c r="E10" s="209">
        <f>IF('2-3'!H89="",'2-3'!E89,'2-3'!H89)</f>
        <v>2000</v>
      </c>
      <c r="F10" s="83">
        <f>IF('2-3'!I89="",'2-3'!G89,'2-3'!I89)</f>
      </c>
    </row>
    <row r="11" spans="1:6" ht="15" customHeight="1">
      <c r="A11" s="104">
        <v>90</v>
      </c>
      <c r="B11" s="127" t="str">
        <f>IF('1-3'!B93="","",'1-3'!B93)</f>
        <v>大阪</v>
      </c>
      <c r="C11" s="127">
        <f>IF('1-3'!C93="","",'1-3'!C93)</f>
      </c>
      <c r="D11" s="143" t="str">
        <f>IF('1-3'!D93="","",'1-3'!D93)</f>
        <v>大阪府立学校在日外国人教育研究会</v>
      </c>
      <c r="E11" s="209">
        <f>IF('2-3'!H94="",'2-3'!E94,'2-3'!H94)</f>
        <v>2580</v>
      </c>
      <c r="F11" s="83">
        <f>IF('2-3'!I94="",'2-3'!G94,'2-3'!I94)</f>
      </c>
    </row>
    <row r="12" spans="1:6" ht="15" customHeight="1">
      <c r="A12" s="104">
        <v>91</v>
      </c>
      <c r="B12" s="127" t="str">
        <f>IF('1-3'!B94="","",'1-3'!B94)</f>
        <v>大阪</v>
      </c>
      <c r="C12" s="127">
        <f>IF('1-3'!C94="","",'1-3'!C94)</f>
      </c>
      <c r="D12" s="143" t="str">
        <f>IF('1-3'!D94="","",'1-3'!D94)</f>
        <v>大阪府立学校人権教育研究会</v>
      </c>
      <c r="E12" s="209">
        <f>IF('2-3'!H95="",'2-3'!E95,'2-3'!H95)</f>
        <v>3050</v>
      </c>
      <c r="F12" s="83">
        <f>IF('2-3'!I95="",'2-3'!G95,'2-3'!I95)</f>
      </c>
    </row>
    <row r="13" spans="1:6" ht="15" customHeight="1">
      <c r="A13" s="104">
        <v>92</v>
      </c>
      <c r="B13" s="127" t="str">
        <f>IF('1-3'!B95="","",'1-3'!B95)</f>
        <v>大阪</v>
      </c>
      <c r="C13" s="127">
        <f>IF('1-3'!C95="","",'1-3'!C95)</f>
      </c>
      <c r="D13" s="143" t="str">
        <f>IF('1-3'!D95="","",'1-3'!D95)</f>
        <v>大阪府立高等学校教務研究会</v>
      </c>
      <c r="E13" s="209">
        <f>IF('2-3'!H96="",'2-3'!E96,'2-3'!H96)</f>
        <v>4000</v>
      </c>
      <c r="F13" s="83">
        <f>IF('2-3'!I96="",'2-3'!G96,'2-3'!I96)</f>
      </c>
    </row>
    <row r="14" spans="1:6" ht="15" customHeight="1">
      <c r="A14" s="104">
        <v>93</v>
      </c>
      <c r="B14" s="127" t="str">
        <f>IF('1-3'!B96="","",'1-3'!B96)</f>
        <v>大阪</v>
      </c>
      <c r="C14" s="127">
        <f>IF('1-3'!C96="","",'1-3'!C96)</f>
      </c>
      <c r="D14" s="143" t="str">
        <f>IF('1-3'!D96="","",'1-3'!D96)</f>
        <v>大阪府立高等学校保健研究会</v>
      </c>
      <c r="E14" s="209">
        <f>IF('2-3'!H97="",'2-3'!E97,'2-3'!H97)</f>
        <v>2400</v>
      </c>
      <c r="F14" s="83">
        <f>IF('2-3'!I97="",'2-3'!G97,'2-3'!I97)</f>
      </c>
    </row>
    <row r="15" spans="1:6" ht="15" customHeight="1">
      <c r="A15" s="104">
        <v>94</v>
      </c>
      <c r="B15" s="127" t="str">
        <f>IF('1-3'!B97="","",'1-3'!B97)</f>
        <v>大阪</v>
      </c>
      <c r="C15" s="127">
        <f>IF('1-3'!C97="","",'1-3'!C97)</f>
      </c>
      <c r="D15" s="143" t="str">
        <f>IF('1-3'!D97="","",'1-3'!D97)</f>
        <v>大阪府立高等学校養護教諭研究会(府養研)</v>
      </c>
      <c r="E15" s="209">
        <f>IF('2-3'!H98="",'2-3'!E98,'2-3'!H98)</f>
        <v>5000</v>
      </c>
      <c r="F15" s="83">
        <f>IF('2-3'!I98="",'2-3'!G98,'2-3'!I98)</f>
      </c>
    </row>
    <row r="16" spans="1:6" ht="15" customHeight="1">
      <c r="A16" s="104">
        <v>96</v>
      </c>
      <c r="B16" s="127" t="str">
        <f>IF('1-3'!B99="","",'1-3'!B99)</f>
        <v>大阪</v>
      </c>
      <c r="C16" s="127">
        <f>IF('1-3'!C99="","",'1-3'!C99)</f>
      </c>
      <c r="D16" s="143" t="str">
        <f>IF('1-3'!D99="","",'1-3'!D99)</f>
        <v>大阪府高等学校図書館研究会</v>
      </c>
      <c r="E16" s="209">
        <v>3000</v>
      </c>
      <c r="F16" s="83">
        <f>IF('2-3'!I100="",'2-3'!G100,'2-3'!I100)</f>
      </c>
    </row>
    <row r="17" spans="1:6" ht="15" customHeight="1" thickBot="1">
      <c r="A17" s="108">
        <v>97</v>
      </c>
      <c r="B17" s="129" t="str">
        <f>IF('1-3'!B100="","",'1-3'!B100)</f>
        <v>大阪</v>
      </c>
      <c r="C17" s="129">
        <f>IF('1-3'!C100="","",'1-3'!C100)</f>
      </c>
      <c r="D17" s="496" t="str">
        <f>IF('1-3'!D100="","",'1-3'!D100)</f>
        <v>大阪府高等学校生活指導研究会</v>
      </c>
      <c r="E17" s="213">
        <f>IF('2-3'!H101="",'2-3'!E101,'2-3'!H101)</f>
        <v>4000</v>
      </c>
      <c r="F17" s="85">
        <f>IF('2-3'!I101="",'2-3'!G101,'2-3'!I101)</f>
      </c>
    </row>
    <row r="18" spans="4:6" ht="15" customHeight="1" thickBot="1">
      <c r="D18" s="80"/>
      <c r="E18" s="80"/>
      <c r="F18" s="81"/>
    </row>
    <row r="19" spans="4:6" ht="15" customHeight="1">
      <c r="D19" s="80"/>
      <c r="E19" s="10" t="s">
        <v>220</v>
      </c>
      <c r="F19" s="181">
        <f>SUM(E4:E17)</f>
        <v>46330</v>
      </c>
    </row>
    <row r="20" spans="4:6" ht="15" customHeight="1">
      <c r="D20" s="80"/>
      <c r="E20" s="39" t="s">
        <v>176</v>
      </c>
      <c r="F20" s="182">
        <f>SUMIF($F$4:$F$17,"◎",$E$4:$E$17)</f>
        <v>11000</v>
      </c>
    </row>
    <row r="21" spans="4:6" ht="15" customHeight="1" thickBot="1">
      <c r="D21" s="80"/>
      <c r="E21" s="82" t="s">
        <v>13</v>
      </c>
      <c r="F21" s="183">
        <f>F19-F20</f>
        <v>35330</v>
      </c>
    </row>
  </sheetData>
  <sheetProtection formatCells="0" selectLockedCells="1"/>
  <mergeCells count="1">
    <mergeCell ref="A1:F1"/>
  </mergeCells>
  <conditionalFormatting sqref="E4:F17">
    <cfRule type="cellIs" priority="35" dxfId="14" operator="notEqual" stopIfTrue="1">
      <formula>'3-3'!#REF!</formula>
    </cfRule>
  </conditionalFormatting>
  <dataValidations count="1">
    <dataValidation type="list" allowBlank="1" showInputMessage="1" showErrorMessage="1" sqref="F4:F17">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20">
      <selection activeCell="I22" sqref="I2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20" t="s">
        <v>273</v>
      </c>
      <c r="I1" s="520"/>
      <c r="J1" s="520"/>
      <c r="K1" s="520"/>
    </row>
    <row r="2" spans="8:11" s="1" customFormat="1" ht="18" customHeight="1">
      <c r="H2" s="520" t="s">
        <v>289</v>
      </c>
      <c r="I2" s="520"/>
      <c r="J2" s="520"/>
      <c r="K2" s="520"/>
    </row>
    <row r="3" s="1" customFormat="1" ht="18" customHeight="1">
      <c r="K3" s="2"/>
    </row>
    <row r="4" spans="8:11" s="1" customFormat="1" ht="18" customHeight="1">
      <c r="H4" s="521" t="s">
        <v>290</v>
      </c>
      <c r="I4" s="521"/>
      <c r="J4" s="521"/>
      <c r="K4" s="521"/>
    </row>
    <row r="5" spans="8:11" s="1" customFormat="1" ht="18" customHeight="1">
      <c r="H5" s="522">
        <v>42857</v>
      </c>
      <c r="I5" s="521"/>
      <c r="J5" s="521"/>
      <c r="K5" s="521"/>
    </row>
    <row r="6" spans="1:11" s="1" customFormat="1" ht="18" customHeight="1">
      <c r="A6" s="3" t="s">
        <v>2</v>
      </c>
      <c r="H6" s="4"/>
      <c r="K6" s="11"/>
    </row>
    <row r="7" spans="1:11" s="1" customFormat="1" ht="18" customHeight="1">
      <c r="A7" s="4"/>
      <c r="H7" s="521" t="s">
        <v>274</v>
      </c>
      <c r="I7" s="521"/>
      <c r="J7" s="521"/>
      <c r="K7" s="521"/>
    </row>
    <row r="8" spans="1:11" s="1" customFormat="1" ht="18" customHeight="1">
      <c r="A8" s="4"/>
      <c r="H8" s="521" t="s">
        <v>275</v>
      </c>
      <c r="I8" s="521"/>
      <c r="J8" s="521"/>
      <c r="K8" s="521"/>
    </row>
    <row r="9" spans="1:11" s="1" customFormat="1" ht="42" customHeight="1">
      <c r="A9" s="4"/>
      <c r="H9" s="2"/>
      <c r="K9" s="46"/>
    </row>
    <row r="10" spans="1:11" ht="24" customHeight="1">
      <c r="A10" s="523" t="s">
        <v>256</v>
      </c>
      <c r="B10" s="523"/>
      <c r="C10" s="523"/>
      <c r="D10" s="523"/>
      <c r="E10" s="523"/>
      <c r="F10" s="523"/>
      <c r="G10" s="523"/>
      <c r="H10" s="523"/>
      <c r="I10" s="523"/>
      <c r="J10" s="523"/>
      <c r="K10" s="523"/>
    </row>
    <row r="11" spans="1:11" ht="24" customHeight="1">
      <c r="A11" s="524"/>
      <c r="B11" s="524"/>
      <c r="C11" s="524"/>
      <c r="D11" s="524"/>
      <c r="E11" s="524"/>
      <c r="F11" s="524"/>
      <c r="G11" s="524"/>
      <c r="H11" s="524"/>
      <c r="I11" s="524"/>
      <c r="J11" s="524"/>
      <c r="K11" s="52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3" t="s">
        <v>84</v>
      </c>
      <c r="B14" s="574"/>
      <c r="C14" s="575"/>
      <c r="D14" s="576">
        <v>1190000</v>
      </c>
      <c r="E14" s="577"/>
      <c r="F14" s="578"/>
      <c r="G14" s="579"/>
      <c r="H14" s="580"/>
      <c r="I14" s="580"/>
      <c r="J14" s="580"/>
      <c r="K14" s="6"/>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58.5" customHeight="1" thickTop="1">
      <c r="A16" s="30" t="s">
        <v>162</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4">
        <f aca="true" t="shared" si="0" ref="K16:K23">SUM(B16:J16)</f>
        <v>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4">
        <f>SUM(B17:J17)</f>
        <v>0</v>
      </c>
    </row>
    <row r="18" spans="1:11" ht="58.5" customHeight="1">
      <c r="A18" s="20" t="s">
        <v>95</v>
      </c>
      <c r="B18" s="435">
        <f>'1-2'!G107</f>
        <v>0</v>
      </c>
      <c r="C18" s="321">
        <f>'1-2'!G108</f>
        <v>160000</v>
      </c>
      <c r="D18" s="321">
        <f>'1-2'!G109</f>
        <v>343000</v>
      </c>
      <c r="E18" s="321">
        <f>'1-2'!G110</f>
        <v>0</v>
      </c>
      <c r="F18" s="321">
        <f>'1-2'!G111</f>
        <v>0</v>
      </c>
      <c r="G18" s="321">
        <f>'1-2'!G112</f>
        <v>360000</v>
      </c>
      <c r="H18" s="321">
        <f>'1-2'!G113</f>
        <v>280000</v>
      </c>
      <c r="I18" s="321">
        <f>'1-2'!G114</f>
        <v>0</v>
      </c>
      <c r="J18" s="436">
        <f>'1-2'!G115</f>
        <v>43330</v>
      </c>
      <c r="K18" s="437">
        <f t="shared" si="0"/>
        <v>1186330</v>
      </c>
    </row>
    <row r="19" spans="1:11" ht="58.5" customHeight="1" thickBot="1">
      <c r="A19" s="34" t="s">
        <v>178</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0</v>
      </c>
      <c r="C20" s="443">
        <f>C18-C19</f>
        <v>160000</v>
      </c>
      <c r="D20" s="443">
        <f aca="true" t="shared" si="1" ref="D20:J20">D18-D19</f>
        <v>343000</v>
      </c>
      <c r="E20" s="443">
        <f t="shared" si="1"/>
        <v>0</v>
      </c>
      <c r="F20" s="443">
        <f t="shared" si="1"/>
        <v>0</v>
      </c>
      <c r="G20" s="443">
        <f t="shared" si="1"/>
        <v>360000</v>
      </c>
      <c r="H20" s="443">
        <f t="shared" si="1"/>
        <v>280000</v>
      </c>
      <c r="I20" s="443">
        <f t="shared" si="1"/>
        <v>0</v>
      </c>
      <c r="J20" s="443">
        <f t="shared" si="1"/>
        <v>32330</v>
      </c>
      <c r="K20" s="444">
        <f t="shared" si="0"/>
        <v>1175330</v>
      </c>
    </row>
    <row r="21" spans="1:11" ht="58.5" customHeight="1" thickBot="1">
      <c r="A21" s="32" t="s">
        <v>102</v>
      </c>
      <c r="B21" s="442">
        <f>B16+B18</f>
        <v>0</v>
      </c>
      <c r="C21" s="442">
        <f aca="true" t="shared" si="2" ref="C21:J21">C16+C18</f>
        <v>160000</v>
      </c>
      <c r="D21" s="442">
        <f t="shared" si="2"/>
        <v>343000</v>
      </c>
      <c r="E21" s="442">
        <f t="shared" si="2"/>
        <v>0</v>
      </c>
      <c r="F21" s="442">
        <f t="shared" si="2"/>
        <v>0</v>
      </c>
      <c r="G21" s="442">
        <f t="shared" si="2"/>
        <v>360000</v>
      </c>
      <c r="H21" s="442">
        <f t="shared" si="2"/>
        <v>280000</v>
      </c>
      <c r="I21" s="442">
        <f t="shared" si="2"/>
        <v>0</v>
      </c>
      <c r="J21" s="442">
        <f t="shared" si="2"/>
        <v>43330</v>
      </c>
      <c r="K21" s="444">
        <f t="shared" si="0"/>
        <v>1186330</v>
      </c>
    </row>
    <row r="22" spans="1:11" ht="58.5" customHeight="1">
      <c r="A22" s="30" t="s">
        <v>163</v>
      </c>
      <c r="B22" s="445"/>
      <c r="C22" s="340"/>
      <c r="D22" s="340"/>
      <c r="E22" s="340"/>
      <c r="F22" s="340"/>
      <c r="G22" s="340"/>
      <c r="H22" s="340"/>
      <c r="I22" s="340"/>
      <c r="J22" s="446"/>
      <c r="K22" s="434">
        <f t="shared" si="0"/>
        <v>0</v>
      </c>
    </row>
    <row r="23" spans="1:11" ht="58.5" customHeight="1" thickBot="1">
      <c r="A23" s="22" t="s">
        <v>164</v>
      </c>
      <c r="B23" s="219">
        <f>B21+B22</f>
        <v>0</v>
      </c>
      <c r="C23" s="220">
        <f>C21+C22</f>
        <v>160000</v>
      </c>
      <c r="D23" s="220">
        <f aca="true" t="shared" si="3" ref="D23:J23">D21+D22</f>
        <v>343000</v>
      </c>
      <c r="E23" s="220">
        <f t="shared" si="3"/>
        <v>0</v>
      </c>
      <c r="F23" s="220">
        <f t="shared" si="3"/>
        <v>0</v>
      </c>
      <c r="G23" s="220">
        <f t="shared" si="3"/>
        <v>360000</v>
      </c>
      <c r="H23" s="220">
        <f t="shared" si="3"/>
        <v>280000</v>
      </c>
      <c r="I23" s="220">
        <f t="shared" si="3"/>
        <v>0</v>
      </c>
      <c r="J23" s="220">
        <f t="shared" si="3"/>
        <v>43330</v>
      </c>
      <c r="K23" s="222">
        <f t="shared" si="0"/>
        <v>1186330</v>
      </c>
    </row>
    <row r="24" spans="1:11" ht="39" customHeight="1" thickBot="1">
      <c r="A24" s="32" t="s">
        <v>104</v>
      </c>
      <c r="B24" s="571" t="s">
        <v>285</v>
      </c>
      <c r="C24" s="571"/>
      <c r="D24" s="571"/>
      <c r="E24" s="571"/>
      <c r="F24" s="571"/>
      <c r="G24" s="571"/>
      <c r="H24" s="571"/>
      <c r="I24" s="571"/>
      <c r="J24" s="571"/>
      <c r="K24" s="572"/>
    </row>
  </sheetData>
  <sheetProtection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8" sqref="C8"/>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4" t="s">
        <v>142</v>
      </c>
      <c r="C3" s="60" t="s">
        <v>144</v>
      </c>
      <c r="D3" s="96" t="s">
        <v>146</v>
      </c>
      <c r="E3" s="96" t="s">
        <v>0</v>
      </c>
      <c r="F3" s="96" t="s">
        <v>198</v>
      </c>
      <c r="G3" s="96" t="s">
        <v>91</v>
      </c>
      <c r="H3" s="475" t="s">
        <v>246</v>
      </c>
      <c r="I3" s="96" t="s">
        <v>92</v>
      </c>
      <c r="J3" s="96" t="s">
        <v>93</v>
      </c>
      <c r="K3" s="227" t="s">
        <v>111</v>
      </c>
      <c r="L3" s="295" t="s">
        <v>94</v>
      </c>
      <c r="M3" s="29" t="s">
        <v>99</v>
      </c>
    </row>
    <row r="4" spans="1:13" ht="13.5" customHeight="1">
      <c r="A4" s="240"/>
      <c r="B4" s="241"/>
      <c r="C4" s="242"/>
      <c r="D4" s="243">
        <v>1</v>
      </c>
      <c r="E4" s="244" t="s">
        <v>138</v>
      </c>
      <c r="F4" s="245" t="s">
        <v>225</v>
      </c>
      <c r="G4" s="246">
        <v>43330</v>
      </c>
      <c r="H4" s="247">
        <v>1</v>
      </c>
      <c r="I4" s="247">
        <v>1</v>
      </c>
      <c r="J4" s="248">
        <f>G4*H4*I4</f>
        <v>43330</v>
      </c>
      <c r="K4" s="249"/>
      <c r="L4" s="250" t="s">
        <v>226</v>
      </c>
      <c r="M4" s="29">
        <f aca="true" t="shared" si="0" ref="M4:M67">IF(K4="◎",J4,"")</f>
      </c>
    </row>
    <row r="5" spans="1:13" ht="13.5" customHeight="1">
      <c r="A5" s="484"/>
      <c r="B5" s="489"/>
      <c r="C5" s="487"/>
      <c r="D5" s="254">
        <v>2</v>
      </c>
      <c r="E5" s="255" t="s">
        <v>88</v>
      </c>
      <c r="F5" s="256" t="s">
        <v>276</v>
      </c>
      <c r="G5" s="257">
        <v>300000</v>
      </c>
      <c r="H5" s="258">
        <v>1</v>
      </c>
      <c r="I5" s="258">
        <v>1</v>
      </c>
      <c r="J5" s="259">
        <f>G5*H5*I5</f>
        <v>300000</v>
      </c>
      <c r="K5" s="260"/>
      <c r="L5" s="261"/>
      <c r="M5" s="29">
        <f t="shared" si="0"/>
      </c>
    </row>
    <row r="6" spans="1:13" ht="13.5" customHeight="1">
      <c r="A6" s="485"/>
      <c r="B6" s="486"/>
      <c r="C6" s="488"/>
      <c r="D6" s="254">
        <v>3</v>
      </c>
      <c r="E6" s="255" t="s">
        <v>125</v>
      </c>
      <c r="F6" s="256" t="s">
        <v>277</v>
      </c>
      <c r="G6" s="257">
        <v>50000</v>
      </c>
      <c r="H6" s="258">
        <v>1</v>
      </c>
      <c r="I6" s="258">
        <v>1</v>
      </c>
      <c r="J6" s="259">
        <f aca="true" t="shared" si="1" ref="J6:J69">G6*H6*I6</f>
        <v>50000</v>
      </c>
      <c r="K6" s="260"/>
      <c r="L6" s="261"/>
      <c r="M6" s="29">
        <f t="shared" si="0"/>
      </c>
    </row>
    <row r="7" spans="1:13" ht="13.5" customHeight="1">
      <c r="A7" s="485">
        <v>1</v>
      </c>
      <c r="B7" s="486" t="s">
        <v>326</v>
      </c>
      <c r="C7" s="488" t="s">
        <v>316</v>
      </c>
      <c r="D7" s="254">
        <v>4</v>
      </c>
      <c r="E7" s="255" t="s">
        <v>125</v>
      </c>
      <c r="F7" s="256" t="s">
        <v>291</v>
      </c>
      <c r="G7" s="257">
        <v>100000</v>
      </c>
      <c r="H7" s="258">
        <v>1</v>
      </c>
      <c r="I7" s="258">
        <v>1</v>
      </c>
      <c r="J7" s="259">
        <f t="shared" si="1"/>
        <v>100000</v>
      </c>
      <c r="K7" s="260"/>
      <c r="L7" s="261"/>
      <c r="M7" s="29">
        <f t="shared" si="0"/>
      </c>
    </row>
    <row r="8" spans="1:13" ht="13.5" customHeight="1">
      <c r="A8" s="485"/>
      <c r="B8" s="486"/>
      <c r="C8" s="488"/>
      <c r="D8" s="263">
        <v>5</v>
      </c>
      <c r="E8" s="255" t="s">
        <v>125</v>
      </c>
      <c r="F8" s="256" t="s">
        <v>286</v>
      </c>
      <c r="G8" s="257">
        <v>25000</v>
      </c>
      <c r="H8" s="258">
        <v>1</v>
      </c>
      <c r="I8" s="258">
        <v>1</v>
      </c>
      <c r="J8" s="259">
        <f t="shared" si="1"/>
        <v>25000</v>
      </c>
      <c r="K8" s="260"/>
      <c r="L8" s="261"/>
      <c r="M8" s="29">
        <f t="shared" si="0"/>
      </c>
    </row>
    <row r="9" spans="1:13" ht="13.5" customHeight="1">
      <c r="A9" s="485"/>
      <c r="B9" s="486"/>
      <c r="C9" s="488"/>
      <c r="D9" s="254">
        <v>6</v>
      </c>
      <c r="E9" s="255" t="s">
        <v>125</v>
      </c>
      <c r="F9" s="256" t="s">
        <v>279</v>
      </c>
      <c r="G9" s="257">
        <v>120000</v>
      </c>
      <c r="H9" s="258">
        <v>1</v>
      </c>
      <c r="I9" s="258">
        <v>1</v>
      </c>
      <c r="J9" s="259">
        <f t="shared" si="1"/>
        <v>120000</v>
      </c>
      <c r="K9" s="260"/>
      <c r="L9" s="261"/>
      <c r="M9" s="29">
        <f t="shared" si="0"/>
      </c>
    </row>
    <row r="10" spans="1:13" ht="13.5" customHeight="1">
      <c r="A10" s="240"/>
      <c r="B10" s="490"/>
      <c r="C10" s="262"/>
      <c r="D10" s="254">
        <v>7</v>
      </c>
      <c r="E10" s="256" t="s">
        <v>125</v>
      </c>
      <c r="F10" s="256" t="s">
        <v>288</v>
      </c>
      <c r="G10" s="257">
        <v>30000</v>
      </c>
      <c r="H10" s="258">
        <v>1</v>
      </c>
      <c r="I10" s="258">
        <v>1</v>
      </c>
      <c r="J10" s="259">
        <f t="shared" si="1"/>
        <v>30000</v>
      </c>
      <c r="K10" s="260"/>
      <c r="L10" s="261"/>
      <c r="M10" s="29">
        <f t="shared" si="0"/>
      </c>
    </row>
    <row r="11" spans="1:13" ht="13.5" customHeight="1">
      <c r="A11" s="251">
        <v>2</v>
      </c>
      <c r="B11" s="491" t="s">
        <v>292</v>
      </c>
      <c r="C11" s="253" t="s">
        <v>287</v>
      </c>
      <c r="D11" s="263">
        <v>8</v>
      </c>
      <c r="E11" s="264" t="s">
        <v>89</v>
      </c>
      <c r="F11" s="264" t="s">
        <v>278</v>
      </c>
      <c r="G11" s="265">
        <v>280000</v>
      </c>
      <c r="H11" s="266">
        <v>1</v>
      </c>
      <c r="I11" s="266">
        <v>1</v>
      </c>
      <c r="J11" s="259">
        <f t="shared" si="1"/>
        <v>280000</v>
      </c>
      <c r="K11" s="267"/>
      <c r="L11" s="268"/>
      <c r="M11" s="29">
        <f t="shared" si="0"/>
      </c>
    </row>
    <row r="12" spans="1:13" ht="13.5" customHeight="1">
      <c r="A12" s="251">
        <v>3</v>
      </c>
      <c r="B12" s="491" t="s">
        <v>327</v>
      </c>
      <c r="C12" s="253" t="s">
        <v>280</v>
      </c>
      <c r="D12" s="263">
        <v>9</v>
      </c>
      <c r="E12" s="255" t="s">
        <v>125</v>
      </c>
      <c r="F12" s="255" t="s">
        <v>281</v>
      </c>
      <c r="G12" s="269">
        <v>15000</v>
      </c>
      <c r="H12" s="270">
        <v>1</v>
      </c>
      <c r="I12" s="270">
        <v>1</v>
      </c>
      <c r="J12" s="259">
        <f t="shared" si="1"/>
        <v>15000</v>
      </c>
      <c r="K12" s="271"/>
      <c r="L12" s="272"/>
      <c r="M12" s="29">
        <f t="shared" si="0"/>
      </c>
    </row>
    <row r="13" spans="1:13" ht="13.5" customHeight="1">
      <c r="A13" s="492"/>
      <c r="B13" s="489"/>
      <c r="C13" s="487"/>
      <c r="D13" s="273">
        <v>10</v>
      </c>
      <c r="E13" s="255" t="s">
        <v>86</v>
      </c>
      <c r="F13" s="255" t="s">
        <v>283</v>
      </c>
      <c r="G13" s="269">
        <v>40000</v>
      </c>
      <c r="H13" s="270">
        <v>2</v>
      </c>
      <c r="I13" s="270">
        <v>1</v>
      </c>
      <c r="J13" s="259">
        <f t="shared" si="1"/>
        <v>80000</v>
      </c>
      <c r="K13" s="260"/>
      <c r="L13" s="261"/>
      <c r="M13" s="29">
        <f t="shared" si="0"/>
      </c>
    </row>
    <row r="14" spans="1:13" ht="13.5" customHeight="1">
      <c r="A14" s="493">
        <v>4</v>
      </c>
      <c r="B14" s="486" t="s">
        <v>328</v>
      </c>
      <c r="C14" s="488" t="s">
        <v>321</v>
      </c>
      <c r="D14" s="254">
        <v>11</v>
      </c>
      <c r="E14" s="256" t="s">
        <v>86</v>
      </c>
      <c r="F14" s="256" t="s">
        <v>284</v>
      </c>
      <c r="G14" s="257">
        <v>10000</v>
      </c>
      <c r="H14" s="258">
        <v>5</v>
      </c>
      <c r="I14" s="258">
        <v>1</v>
      </c>
      <c r="J14" s="259">
        <f t="shared" si="1"/>
        <v>50000</v>
      </c>
      <c r="K14" s="274"/>
      <c r="L14" s="261"/>
      <c r="M14" s="29">
        <f t="shared" si="0"/>
      </c>
    </row>
    <row r="15" spans="1:13" ht="13.5" customHeight="1">
      <c r="A15" s="240"/>
      <c r="B15" s="490"/>
      <c r="C15" s="262"/>
      <c r="D15" s="254">
        <v>12</v>
      </c>
      <c r="E15" s="275" t="s">
        <v>88</v>
      </c>
      <c r="F15" s="275" t="s">
        <v>282</v>
      </c>
      <c r="G15" s="276">
        <v>60000</v>
      </c>
      <c r="H15" s="277">
        <v>1</v>
      </c>
      <c r="I15" s="277">
        <v>1</v>
      </c>
      <c r="J15" s="259">
        <f t="shared" si="1"/>
        <v>60000</v>
      </c>
      <c r="K15" s="278"/>
      <c r="L15" s="279"/>
      <c r="M15" s="29">
        <f t="shared" si="0"/>
      </c>
    </row>
    <row r="16" spans="1:13" ht="13.5" customHeight="1">
      <c r="A16" s="251">
        <v>5</v>
      </c>
      <c r="B16" s="491" t="s">
        <v>329</v>
      </c>
      <c r="C16" s="253" t="s">
        <v>331</v>
      </c>
      <c r="D16" s="254">
        <v>13</v>
      </c>
      <c r="E16" s="256" t="s">
        <v>86</v>
      </c>
      <c r="F16" s="256" t="s">
        <v>293</v>
      </c>
      <c r="G16" s="257">
        <v>30000</v>
      </c>
      <c r="H16" s="258">
        <v>1</v>
      </c>
      <c r="I16" s="258">
        <v>1</v>
      </c>
      <c r="J16" s="259">
        <f t="shared" si="1"/>
        <v>30000</v>
      </c>
      <c r="K16" s="260"/>
      <c r="L16" s="261"/>
      <c r="M16" s="29">
        <f t="shared" si="0"/>
      </c>
    </row>
    <row r="17" spans="1:13" ht="13.5" customHeight="1">
      <c r="A17" s="251"/>
      <c r="B17" s="252"/>
      <c r="C17" s="253"/>
      <c r="D17" s="254">
        <v>14</v>
      </c>
      <c r="E17" s="256" t="s">
        <v>125</v>
      </c>
      <c r="F17" s="256" t="s">
        <v>294</v>
      </c>
      <c r="G17" s="257">
        <v>3000</v>
      </c>
      <c r="H17" s="258">
        <v>1</v>
      </c>
      <c r="I17" s="258">
        <v>1</v>
      </c>
      <c r="J17" s="259">
        <f t="shared" si="1"/>
        <v>3000</v>
      </c>
      <c r="K17" s="260"/>
      <c r="L17" s="261"/>
      <c r="M17" s="29">
        <f t="shared" si="0"/>
      </c>
    </row>
    <row r="18" spans="1:13" ht="13.5" customHeight="1">
      <c r="A18" s="251"/>
      <c r="B18" s="252"/>
      <c r="C18" s="253"/>
      <c r="D18" s="254">
        <v>15</v>
      </c>
      <c r="E18" s="256"/>
      <c r="F18" s="256"/>
      <c r="G18" s="257"/>
      <c r="H18" s="258"/>
      <c r="I18" s="258"/>
      <c r="J18" s="259">
        <f t="shared" si="1"/>
        <v>0</v>
      </c>
      <c r="K18" s="260"/>
      <c r="L18" s="261"/>
      <c r="M18" s="29">
        <f t="shared" si="0"/>
      </c>
    </row>
    <row r="19" spans="1:13" ht="13.5" customHeight="1">
      <c r="A19" s="251"/>
      <c r="B19" s="252"/>
      <c r="C19" s="253"/>
      <c r="D19" s="254">
        <v>16</v>
      </c>
      <c r="E19" s="256"/>
      <c r="F19" s="256"/>
      <c r="G19" s="257"/>
      <c r="H19" s="258"/>
      <c r="I19" s="258"/>
      <c r="J19" s="259">
        <f t="shared" si="1"/>
        <v>0</v>
      </c>
      <c r="K19" s="260"/>
      <c r="L19" s="261"/>
      <c r="M19" s="29">
        <f t="shared" si="0"/>
      </c>
    </row>
    <row r="20" spans="1:13" ht="13.5" customHeight="1">
      <c r="A20" s="251"/>
      <c r="B20" s="252"/>
      <c r="C20" s="253"/>
      <c r="D20" s="254">
        <v>17</v>
      </c>
      <c r="E20" s="256"/>
      <c r="F20" s="256"/>
      <c r="G20" s="257"/>
      <c r="H20" s="258"/>
      <c r="I20" s="258"/>
      <c r="J20" s="259">
        <f t="shared" si="1"/>
        <v>0</v>
      </c>
      <c r="K20" s="260"/>
      <c r="L20" s="261"/>
      <c r="M20" s="29">
        <f t="shared" si="0"/>
      </c>
    </row>
    <row r="21" spans="1:13" ht="13.5" customHeight="1">
      <c r="A21" s="251"/>
      <c r="B21" s="252"/>
      <c r="C21" s="253"/>
      <c r="D21" s="254">
        <v>18</v>
      </c>
      <c r="E21" s="256"/>
      <c r="F21" s="256"/>
      <c r="G21" s="257"/>
      <c r="H21" s="258"/>
      <c r="I21" s="258"/>
      <c r="J21" s="259">
        <f t="shared" si="1"/>
        <v>0</v>
      </c>
      <c r="K21" s="260"/>
      <c r="L21" s="261"/>
      <c r="M21" s="29">
        <f t="shared" si="0"/>
      </c>
    </row>
    <row r="22" spans="1:13" ht="13.5" customHeight="1">
      <c r="A22" s="251"/>
      <c r="B22" s="252"/>
      <c r="C22" s="253"/>
      <c r="D22" s="254">
        <v>19</v>
      </c>
      <c r="E22" s="256"/>
      <c r="F22" s="256"/>
      <c r="G22" s="257"/>
      <c r="H22" s="258"/>
      <c r="I22" s="258"/>
      <c r="J22" s="259">
        <f t="shared" si="1"/>
        <v>0</v>
      </c>
      <c r="K22" s="260"/>
      <c r="L22" s="261"/>
      <c r="M22" s="29">
        <f t="shared" si="0"/>
      </c>
    </row>
    <row r="23" spans="1:13" ht="13.5" customHeight="1">
      <c r="A23" s="251"/>
      <c r="B23" s="252"/>
      <c r="C23" s="253"/>
      <c r="D23" s="254">
        <v>20</v>
      </c>
      <c r="E23" s="256"/>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8"/>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3" t="s">
        <v>96</v>
      </c>
      <c r="G106" s="229" t="s">
        <v>97</v>
      </c>
      <c r="H106" s="581" t="s">
        <v>176</v>
      </c>
      <c r="I106" s="581"/>
      <c r="J106" s="581" t="s">
        <v>173</v>
      </c>
      <c r="K106" s="586"/>
    </row>
    <row r="107" spans="4:11" ht="14.25" thickTop="1">
      <c r="D107" s="67"/>
      <c r="F107" s="296" t="s">
        <v>85</v>
      </c>
      <c r="G107" s="226">
        <f>SUMIF($E$4:$E$103,F107,$J$4:$J$103)</f>
        <v>0</v>
      </c>
      <c r="H107" s="582">
        <f>SUMIF($E$4:$E$103,F107,$M$4:$M$103)</f>
        <v>0</v>
      </c>
      <c r="I107" s="582"/>
      <c r="J107" s="582">
        <f aca="true" t="shared" si="5" ref="J107:J115">G107-H107</f>
        <v>0</v>
      </c>
      <c r="K107" s="587"/>
    </row>
    <row r="108" spans="4:11" ht="13.5">
      <c r="D108" s="67"/>
      <c r="F108" s="297" t="s">
        <v>86</v>
      </c>
      <c r="G108" s="226">
        <f aca="true" t="shared" si="6" ref="G108:G115">SUMIF($E$4:$E$103,F108,$J$4:$J$103)</f>
        <v>160000</v>
      </c>
      <c r="H108" s="583">
        <f aca="true" t="shared" si="7" ref="H108:H114">SUMIF($E$4:$E$103,F108,$M$4:$M$103)</f>
        <v>0</v>
      </c>
      <c r="I108" s="583"/>
      <c r="J108" s="583">
        <f t="shared" si="5"/>
        <v>160000</v>
      </c>
      <c r="K108" s="588"/>
    </row>
    <row r="109" spans="4:11" ht="13.5">
      <c r="D109" s="67"/>
      <c r="F109" s="297" t="s">
        <v>125</v>
      </c>
      <c r="G109" s="226">
        <f t="shared" si="6"/>
        <v>343000</v>
      </c>
      <c r="H109" s="583">
        <f t="shared" si="7"/>
        <v>0</v>
      </c>
      <c r="I109" s="583"/>
      <c r="J109" s="583">
        <f t="shared" si="5"/>
        <v>343000</v>
      </c>
      <c r="K109" s="588"/>
    </row>
    <row r="110" spans="4:11" ht="13.5">
      <c r="D110" s="67"/>
      <c r="F110" s="297" t="s">
        <v>126</v>
      </c>
      <c r="G110" s="226">
        <f t="shared" si="6"/>
        <v>0</v>
      </c>
      <c r="H110" s="583">
        <f t="shared" si="7"/>
        <v>0</v>
      </c>
      <c r="I110" s="583"/>
      <c r="J110" s="583">
        <f t="shared" si="5"/>
        <v>0</v>
      </c>
      <c r="K110" s="588"/>
    </row>
    <row r="111" spans="4:11" ht="13.5">
      <c r="D111" s="67"/>
      <c r="F111" s="297" t="s">
        <v>87</v>
      </c>
      <c r="G111" s="226">
        <f t="shared" si="6"/>
        <v>0</v>
      </c>
      <c r="H111" s="583">
        <f t="shared" si="7"/>
        <v>0</v>
      </c>
      <c r="I111" s="583"/>
      <c r="J111" s="583">
        <f t="shared" si="5"/>
        <v>0</v>
      </c>
      <c r="K111" s="588"/>
    </row>
    <row r="112" spans="4:11" ht="13.5">
      <c r="D112" s="67"/>
      <c r="F112" s="297" t="s">
        <v>88</v>
      </c>
      <c r="G112" s="226">
        <f t="shared" si="6"/>
        <v>360000</v>
      </c>
      <c r="H112" s="583">
        <f t="shared" si="7"/>
        <v>0</v>
      </c>
      <c r="I112" s="583"/>
      <c r="J112" s="583">
        <f t="shared" si="5"/>
        <v>360000</v>
      </c>
      <c r="K112" s="588"/>
    </row>
    <row r="113" spans="4:11" ht="13.5">
      <c r="D113" s="67"/>
      <c r="F113" s="297" t="s">
        <v>89</v>
      </c>
      <c r="G113" s="226">
        <f t="shared" si="6"/>
        <v>280000</v>
      </c>
      <c r="H113" s="583">
        <f t="shared" si="7"/>
        <v>0</v>
      </c>
      <c r="I113" s="583"/>
      <c r="J113" s="583">
        <f t="shared" si="5"/>
        <v>280000</v>
      </c>
      <c r="K113" s="588"/>
    </row>
    <row r="114" spans="4:11" ht="13.5">
      <c r="D114" s="67"/>
      <c r="F114" s="297" t="s">
        <v>90</v>
      </c>
      <c r="G114" s="226">
        <f t="shared" si="6"/>
        <v>0</v>
      </c>
      <c r="H114" s="583">
        <f t="shared" si="7"/>
        <v>0</v>
      </c>
      <c r="I114" s="583"/>
      <c r="J114" s="583">
        <f t="shared" si="5"/>
        <v>0</v>
      </c>
      <c r="K114" s="588"/>
    </row>
    <row r="115" spans="4:11" ht="14.25" thickBot="1">
      <c r="D115" s="67"/>
      <c r="F115" s="429" t="s">
        <v>138</v>
      </c>
      <c r="G115" s="430">
        <f t="shared" si="6"/>
        <v>43330</v>
      </c>
      <c r="H115" s="584">
        <f>SUMIF($E$4:$E$103,F115,$M$4:$M$103)+'1-3'!F121</f>
        <v>11000</v>
      </c>
      <c r="I115" s="584"/>
      <c r="J115" s="584">
        <f t="shared" si="5"/>
        <v>32330</v>
      </c>
      <c r="K115" s="589"/>
    </row>
    <row r="116" spans="4:11" ht="15" thickBot="1" thickTop="1">
      <c r="D116" s="47"/>
      <c r="F116" s="427" t="s">
        <v>15</v>
      </c>
      <c r="G116" s="428">
        <f>SUM(G107:G115)</f>
        <v>1186330</v>
      </c>
      <c r="H116" s="585">
        <f>SUM(H107:I115)</f>
        <v>11000</v>
      </c>
      <c r="I116" s="585"/>
      <c r="J116" s="585">
        <f>SUM(J107:K115)</f>
        <v>1175330</v>
      </c>
      <c r="K116" s="590"/>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71" activePane="bottomLeft" state="frozen"/>
      <selection pane="topLeft" activeCell="B16" sqref="B16:K23"/>
      <selection pane="bottomLeft" activeCell="D109" sqref="D109"/>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0" t="s">
        <v>258</v>
      </c>
      <c r="B1" s="570"/>
      <c r="C1" s="570"/>
      <c r="D1" s="570"/>
      <c r="E1" s="570"/>
      <c r="F1" s="570"/>
    </row>
    <row r="2" spans="1:6" ht="15" customHeight="1" thickBot="1">
      <c r="A2" s="8"/>
      <c r="B2" s="7" t="s">
        <v>244</v>
      </c>
      <c r="C2" s="87"/>
      <c r="E2" s="72" t="s">
        <v>185</v>
      </c>
      <c r="F2" s="465">
        <f>SUM(E4:E118)</f>
        <v>43330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272</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c r="F14" s="78"/>
    </row>
    <row r="15" spans="1:6" ht="15" customHeight="1">
      <c r="A15" s="104">
        <v>12</v>
      </c>
      <c r="B15" s="160" t="s">
        <v>206</v>
      </c>
      <c r="C15" s="160" t="s">
        <v>207</v>
      </c>
      <c r="D15" s="161" t="s">
        <v>31</v>
      </c>
      <c r="E15" s="186"/>
      <c r="F15" s="78"/>
    </row>
    <row r="16" spans="1:6" ht="15" customHeight="1">
      <c r="A16" s="104">
        <v>13</v>
      </c>
      <c r="B16" s="160" t="s">
        <v>206</v>
      </c>
      <c r="C16" s="160" t="s">
        <v>207</v>
      </c>
      <c r="D16" s="161" t="s">
        <v>32</v>
      </c>
      <c r="E16" s="186"/>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238</v>
      </c>
      <c r="E23" s="187"/>
      <c r="F23" s="107"/>
    </row>
    <row r="24" spans="1:6" ht="15" customHeight="1">
      <c r="A24" s="104">
        <v>21</v>
      </c>
      <c r="B24" s="160" t="s">
        <v>206</v>
      </c>
      <c r="C24" s="164" t="s">
        <v>208</v>
      </c>
      <c r="D24" s="165" t="s">
        <v>137</v>
      </c>
      <c r="E24" s="188">
        <v>4500</v>
      </c>
      <c r="F24" s="77"/>
    </row>
    <row r="25" spans="1:6" ht="15" customHeight="1">
      <c r="A25" s="104">
        <v>22</v>
      </c>
      <c r="B25" s="160" t="s">
        <v>206</v>
      </c>
      <c r="C25" s="160" t="s">
        <v>208</v>
      </c>
      <c r="D25" s="161" t="s">
        <v>228</v>
      </c>
      <c r="E25" s="186"/>
      <c r="F25" s="78"/>
    </row>
    <row r="26" spans="1:6" ht="15" customHeight="1">
      <c r="A26" s="104">
        <v>23</v>
      </c>
      <c r="B26" s="160" t="s">
        <v>206</v>
      </c>
      <c r="C26" s="160" t="s">
        <v>208</v>
      </c>
      <c r="D26" s="161" t="s">
        <v>229</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230</v>
      </c>
      <c r="E30" s="187"/>
      <c r="F30" s="107"/>
    </row>
    <row r="31" spans="1:6" ht="15" customHeight="1">
      <c r="A31" s="104">
        <v>28</v>
      </c>
      <c r="B31" s="160" t="s">
        <v>206</v>
      </c>
      <c r="C31" s="168" t="s">
        <v>210</v>
      </c>
      <c r="D31" s="169" t="s">
        <v>38</v>
      </c>
      <c r="E31" s="189">
        <v>3000</v>
      </c>
      <c r="F31" s="170" t="s">
        <v>272</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231</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232</v>
      </c>
      <c r="E48" s="190"/>
      <c r="F48" s="79"/>
    </row>
    <row r="49" spans="1:6" ht="15" customHeight="1">
      <c r="A49" s="102">
        <v>46</v>
      </c>
      <c r="B49" s="158" t="s">
        <v>212</v>
      </c>
      <c r="C49" s="158" t="s">
        <v>207</v>
      </c>
      <c r="D49" s="159" t="s">
        <v>242</v>
      </c>
      <c r="E49" s="185"/>
      <c r="F49" s="103"/>
    </row>
    <row r="50" spans="1:6" ht="15" customHeight="1">
      <c r="A50" s="104">
        <v>47</v>
      </c>
      <c r="B50" s="160" t="s">
        <v>212</v>
      </c>
      <c r="C50" s="160" t="s">
        <v>207</v>
      </c>
      <c r="D50" s="161" t="s">
        <v>243</v>
      </c>
      <c r="E50" s="186"/>
      <c r="F50" s="78"/>
    </row>
    <row r="51" spans="1:6" ht="15" customHeight="1">
      <c r="A51" s="104">
        <v>48</v>
      </c>
      <c r="B51" s="160" t="s">
        <v>212</v>
      </c>
      <c r="C51" s="160" t="s">
        <v>207</v>
      </c>
      <c r="D51" s="161" t="s">
        <v>34</v>
      </c>
      <c r="E51" s="186"/>
      <c r="F51" s="78"/>
    </row>
    <row r="52" spans="1:6" ht="15" customHeight="1">
      <c r="A52" s="104">
        <v>49</v>
      </c>
      <c r="B52" s="160" t="s">
        <v>212</v>
      </c>
      <c r="C52" s="160" t="s">
        <v>207</v>
      </c>
      <c r="D52" s="161" t="s">
        <v>233</v>
      </c>
      <c r="E52" s="186"/>
      <c r="F52" s="78"/>
    </row>
    <row r="53" spans="1:6" ht="15" customHeight="1">
      <c r="A53" s="104">
        <v>50</v>
      </c>
      <c r="B53" s="160" t="s">
        <v>212</v>
      </c>
      <c r="C53" s="160" t="s">
        <v>207</v>
      </c>
      <c r="D53" s="161" t="s">
        <v>239</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234</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235</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c r="F66" s="78"/>
    </row>
    <row r="67" spans="1:6" ht="15" customHeight="1">
      <c r="A67" s="104">
        <v>64</v>
      </c>
      <c r="B67" s="160" t="s">
        <v>212</v>
      </c>
      <c r="C67" s="160"/>
      <c r="D67" s="161" t="s">
        <v>59</v>
      </c>
      <c r="E67" s="186"/>
      <c r="F67" s="78"/>
    </row>
    <row r="68" spans="1:6" ht="15" customHeight="1">
      <c r="A68" s="104">
        <v>65</v>
      </c>
      <c r="B68" s="160" t="s">
        <v>212</v>
      </c>
      <c r="C68" s="160"/>
      <c r="D68" s="161" t="s">
        <v>57</v>
      </c>
      <c r="E68" s="186"/>
      <c r="F68" s="78"/>
    </row>
    <row r="69" spans="1:6" ht="15" customHeight="1">
      <c r="A69" s="104">
        <v>66</v>
      </c>
      <c r="B69" s="160" t="s">
        <v>212</v>
      </c>
      <c r="C69" s="162"/>
      <c r="D69" s="163" t="s">
        <v>240</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241</v>
      </c>
      <c r="E77" s="186"/>
      <c r="F77" s="78"/>
    </row>
    <row r="78" spans="1:6" ht="15" customHeight="1" thickBot="1">
      <c r="A78" s="108">
        <v>75</v>
      </c>
      <c r="B78" s="166" t="s">
        <v>236</v>
      </c>
      <c r="C78" s="166"/>
      <c r="D78" s="167" t="s">
        <v>62</v>
      </c>
      <c r="E78" s="190"/>
      <c r="F78" s="79"/>
    </row>
    <row r="79" spans="1:6" ht="15" customHeight="1">
      <c r="A79" s="102">
        <v>76</v>
      </c>
      <c r="B79" s="158" t="s">
        <v>216</v>
      </c>
      <c r="C79" s="158" t="s">
        <v>207</v>
      </c>
      <c r="D79" s="159" t="s">
        <v>35</v>
      </c>
      <c r="E79" s="185"/>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c r="F83" s="103"/>
    </row>
    <row r="84" spans="1:6" ht="15" customHeight="1">
      <c r="A84" s="104">
        <v>81</v>
      </c>
      <c r="B84" s="160" t="s">
        <v>216</v>
      </c>
      <c r="C84" s="160"/>
      <c r="D84" s="161" t="s">
        <v>63</v>
      </c>
      <c r="E84" s="186"/>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186"/>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2400</v>
      </c>
      <c r="F96" s="78"/>
    </row>
    <row r="97" spans="1:6" ht="15" customHeight="1">
      <c r="A97" s="104">
        <v>94</v>
      </c>
      <c r="B97" s="160" t="s">
        <v>216</v>
      </c>
      <c r="C97" s="160"/>
      <c r="D97" s="161" t="s">
        <v>131</v>
      </c>
      <c r="E97" s="186">
        <v>5000</v>
      </c>
      <c r="F97" s="78"/>
    </row>
    <row r="98" spans="1:6" ht="15" customHeight="1">
      <c r="A98" s="104">
        <v>95</v>
      </c>
      <c r="B98" s="160" t="s">
        <v>216</v>
      </c>
      <c r="C98" s="160"/>
      <c r="D98" s="161" t="s">
        <v>237</v>
      </c>
      <c r="E98" s="186"/>
      <c r="F98" s="78"/>
    </row>
    <row r="99" spans="1:6" ht="15" customHeight="1">
      <c r="A99" s="104">
        <v>96</v>
      </c>
      <c r="B99" s="160" t="s">
        <v>216</v>
      </c>
      <c r="C99" s="160"/>
      <c r="D99" s="161" t="s">
        <v>68</v>
      </c>
      <c r="E99" s="186"/>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c r="E104" s="191"/>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43330</v>
      </c>
    </row>
    <row r="121" spans="4:6" ht="15" customHeight="1">
      <c r="D121" s="80"/>
      <c r="E121" s="39" t="s">
        <v>176</v>
      </c>
      <c r="F121" s="182">
        <f>SUMIF(F4:F118,"◎",E4:E118)</f>
        <v>11000</v>
      </c>
    </row>
    <row r="122" spans="4:6" ht="15" customHeight="1" thickBot="1">
      <c r="D122" s="80"/>
      <c r="E122" s="82" t="s">
        <v>13</v>
      </c>
      <c r="F122" s="183">
        <f>F120-F121</f>
        <v>32330</v>
      </c>
    </row>
  </sheetData>
  <sheetProtection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2">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20" t="s">
        <v>273</v>
      </c>
      <c r="I1" s="520"/>
      <c r="J1" s="520"/>
      <c r="K1" s="520"/>
    </row>
    <row r="2" spans="8:11" s="1" customFormat="1" ht="18" customHeight="1">
      <c r="H2" s="520" t="s">
        <v>289</v>
      </c>
      <c r="I2" s="520"/>
      <c r="J2" s="520"/>
      <c r="K2" s="520"/>
    </row>
    <row r="3" s="1" customFormat="1" ht="18" customHeight="1">
      <c r="K3" s="2"/>
    </row>
    <row r="4" spans="8:11" s="1" customFormat="1" ht="18" customHeight="1">
      <c r="H4" s="521" t="s">
        <v>312</v>
      </c>
      <c r="I4" s="521"/>
      <c r="J4" s="521"/>
      <c r="K4" s="521"/>
    </row>
    <row r="5" spans="8:11" s="1" customFormat="1" ht="18" customHeight="1">
      <c r="H5" s="522">
        <v>42971</v>
      </c>
      <c r="I5" s="521"/>
      <c r="J5" s="521"/>
      <c r="K5" s="521"/>
    </row>
    <row r="6" spans="1:11" s="1" customFormat="1" ht="18" customHeight="1">
      <c r="A6" s="3" t="s">
        <v>2</v>
      </c>
      <c r="H6" s="4"/>
      <c r="K6" s="11"/>
    </row>
    <row r="7" spans="1:11" s="1" customFormat="1" ht="18" customHeight="1">
      <c r="A7" s="4"/>
      <c r="H7" s="521" t="s">
        <v>313</v>
      </c>
      <c r="I7" s="521"/>
      <c r="J7" s="521"/>
      <c r="K7" s="521"/>
    </row>
    <row r="8" spans="1:11" s="1" customFormat="1" ht="18" customHeight="1">
      <c r="A8" s="4"/>
      <c r="H8" s="521" t="s">
        <v>314</v>
      </c>
      <c r="I8" s="521"/>
      <c r="J8" s="521"/>
      <c r="K8" s="521"/>
    </row>
    <row r="9" spans="1:11" s="1" customFormat="1" ht="42" customHeight="1">
      <c r="A9" s="4"/>
      <c r="H9" s="2"/>
      <c r="K9" s="46"/>
    </row>
    <row r="10" spans="1:11" ht="24" customHeight="1">
      <c r="A10" s="523" t="s">
        <v>259</v>
      </c>
      <c r="B10" s="523"/>
      <c r="C10" s="523"/>
      <c r="D10" s="523"/>
      <c r="E10" s="523"/>
      <c r="F10" s="523"/>
      <c r="G10" s="523"/>
      <c r="H10" s="523"/>
      <c r="I10" s="523"/>
      <c r="J10" s="523"/>
      <c r="K10" s="523"/>
    </row>
    <row r="11" spans="1:11" ht="24" customHeight="1">
      <c r="A11" s="524"/>
      <c r="B11" s="524"/>
      <c r="C11" s="524"/>
      <c r="D11" s="524"/>
      <c r="E11" s="524"/>
      <c r="F11" s="524"/>
      <c r="G11" s="524"/>
      <c r="H11" s="524"/>
      <c r="I11" s="524"/>
      <c r="J11" s="524"/>
      <c r="K11" s="52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3" t="s">
        <v>84</v>
      </c>
      <c r="B14" s="574"/>
      <c r="C14" s="575"/>
      <c r="D14" s="591">
        <f>'1-1'!D14:F14</f>
        <v>1190000</v>
      </c>
      <c r="E14" s="592"/>
      <c r="F14" s="593"/>
      <c r="G14" s="594"/>
      <c r="H14" s="595"/>
      <c r="I14" s="595"/>
      <c r="J14" s="595"/>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30" t="s">
        <v>105</v>
      </c>
      <c r="B16" s="223">
        <f>'随時②-1'!B20</f>
        <v>0</v>
      </c>
      <c r="C16" s="224">
        <f>'随時②-1'!C20</f>
        <v>192800</v>
      </c>
      <c r="D16" s="224">
        <f>'随時②-1'!D20</f>
        <v>311000</v>
      </c>
      <c r="E16" s="224">
        <f>'随時②-1'!E20</f>
        <v>0</v>
      </c>
      <c r="F16" s="224">
        <f>'随時②-1'!F20</f>
        <v>0</v>
      </c>
      <c r="G16" s="224">
        <f>'随時②-1'!G20</f>
        <v>356000</v>
      </c>
      <c r="H16" s="224">
        <f>'随時②-1'!H20</f>
        <v>280000</v>
      </c>
      <c r="I16" s="224">
        <f>'随時②-1'!I20</f>
        <v>0</v>
      </c>
      <c r="J16" s="225">
        <f>'随時②-1'!J20</f>
        <v>46330</v>
      </c>
      <c r="K16" s="434">
        <f aca="true" t="shared" si="0" ref="K16:K26">SUM(B16:J16)</f>
        <v>1186130</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4">
        <f t="shared" si="0"/>
        <v>11000</v>
      </c>
    </row>
    <row r="18" spans="1:11" ht="39" customHeight="1" thickBot="1">
      <c r="A18" s="30" t="s">
        <v>106</v>
      </c>
      <c r="B18" s="223">
        <f>B16-B17</f>
        <v>0</v>
      </c>
      <c r="C18" s="224">
        <f>C16-C17</f>
        <v>192800</v>
      </c>
      <c r="D18" s="224">
        <f aca="true" t="shared" si="1" ref="D18:J18">D16-D17</f>
        <v>311000</v>
      </c>
      <c r="E18" s="224">
        <f t="shared" si="1"/>
        <v>0</v>
      </c>
      <c r="F18" s="224">
        <f t="shared" si="1"/>
        <v>0</v>
      </c>
      <c r="G18" s="224">
        <f t="shared" si="1"/>
        <v>356000</v>
      </c>
      <c r="H18" s="224">
        <f t="shared" si="1"/>
        <v>280000</v>
      </c>
      <c r="I18" s="224">
        <f t="shared" si="1"/>
        <v>0</v>
      </c>
      <c r="J18" s="224">
        <f t="shared" si="1"/>
        <v>35330</v>
      </c>
      <c r="K18" s="434">
        <f t="shared" si="0"/>
        <v>1175130</v>
      </c>
    </row>
    <row r="19" spans="1:11" ht="39" customHeight="1" thickBot="1">
      <c r="A19" s="32" t="s">
        <v>174</v>
      </c>
      <c r="B19" s="442">
        <f>'2-2'!K142</f>
        <v>0</v>
      </c>
      <c r="C19" s="443">
        <f>'2-2'!K143</f>
        <v>159438</v>
      </c>
      <c r="D19" s="443">
        <f>'2-2'!K144</f>
        <v>272416</v>
      </c>
      <c r="E19" s="443">
        <f>'2-2'!K145</f>
        <v>0</v>
      </c>
      <c r="F19" s="443">
        <f>'2-2'!K146</f>
        <v>0</v>
      </c>
      <c r="G19" s="443">
        <f>'2-2'!K147</f>
        <v>347328</v>
      </c>
      <c r="H19" s="443">
        <f>'2-2'!K148</f>
        <v>280000</v>
      </c>
      <c r="I19" s="443">
        <f>'2-2'!K149</f>
        <v>0</v>
      </c>
      <c r="J19" s="447">
        <f>'2-2'!K150</f>
        <v>46330</v>
      </c>
      <c r="K19" s="444">
        <f t="shared" si="0"/>
        <v>1105512</v>
      </c>
    </row>
    <row r="20" spans="1:11" ht="39" customHeight="1">
      <c r="A20" s="40" t="s">
        <v>180</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201</v>
      </c>
      <c r="B21" s="435">
        <f>B19-B20</f>
        <v>0</v>
      </c>
      <c r="C21" s="321">
        <f>C19-C20</f>
        <v>159438</v>
      </c>
      <c r="D21" s="321">
        <f aca="true" t="shared" si="2" ref="D21:J21">D19-D20</f>
        <v>272416</v>
      </c>
      <c r="E21" s="321">
        <f t="shared" si="2"/>
        <v>0</v>
      </c>
      <c r="F21" s="321">
        <f t="shared" si="2"/>
        <v>0</v>
      </c>
      <c r="G21" s="321">
        <f t="shared" si="2"/>
        <v>347328</v>
      </c>
      <c r="H21" s="321">
        <f t="shared" si="2"/>
        <v>280000</v>
      </c>
      <c r="I21" s="321">
        <f t="shared" si="2"/>
        <v>0</v>
      </c>
      <c r="J21" s="321">
        <f t="shared" si="2"/>
        <v>35330</v>
      </c>
      <c r="K21" s="437">
        <f t="shared" si="0"/>
        <v>1094512</v>
      </c>
    </row>
    <row r="22" spans="1:11" ht="39" customHeight="1" thickBot="1">
      <c r="A22" s="32" t="s">
        <v>117</v>
      </c>
      <c r="B22" s="442">
        <f>B18-B21</f>
        <v>0</v>
      </c>
      <c r="C22" s="442">
        <f aca="true" t="shared" si="3" ref="C22:J22">C18-C21</f>
        <v>33362</v>
      </c>
      <c r="D22" s="442">
        <f t="shared" si="3"/>
        <v>38584</v>
      </c>
      <c r="E22" s="442">
        <f t="shared" si="3"/>
        <v>0</v>
      </c>
      <c r="F22" s="442">
        <f t="shared" si="3"/>
        <v>0</v>
      </c>
      <c r="G22" s="442">
        <f t="shared" si="3"/>
        <v>8672</v>
      </c>
      <c r="H22" s="442">
        <f t="shared" si="3"/>
        <v>0</v>
      </c>
      <c r="I22" s="442">
        <f t="shared" si="3"/>
        <v>0</v>
      </c>
      <c r="J22" s="442">
        <f t="shared" si="3"/>
        <v>0</v>
      </c>
      <c r="K22" s="444">
        <f t="shared" si="0"/>
        <v>80618</v>
      </c>
    </row>
    <row r="23" spans="1:11" ht="39" customHeight="1">
      <c r="A23" s="30" t="s">
        <v>167</v>
      </c>
      <c r="B23" s="224">
        <f>'2-4'!G107</f>
        <v>0</v>
      </c>
      <c r="C23" s="224">
        <f>'2-4'!G108</f>
        <v>35000</v>
      </c>
      <c r="D23" s="224">
        <f>'2-4'!G109</f>
        <v>69000</v>
      </c>
      <c r="E23" s="224">
        <f>'2-4'!G110</f>
        <v>0</v>
      </c>
      <c r="F23" s="224">
        <f>'2-4'!G111</f>
        <v>0</v>
      </c>
      <c r="G23" s="224">
        <f>'2-4'!G112</f>
        <v>0</v>
      </c>
      <c r="H23" s="224">
        <f>'2-4'!G113</f>
        <v>0</v>
      </c>
      <c r="I23" s="224">
        <f>'2-4'!G114</f>
        <v>0</v>
      </c>
      <c r="J23" s="224">
        <f>'2-4'!G115</f>
        <v>0</v>
      </c>
      <c r="K23" s="434">
        <f t="shared" si="0"/>
        <v>104000</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7">
        <f t="shared" si="0"/>
        <v>0</v>
      </c>
    </row>
    <row r="25" spans="1:11" ht="39" customHeight="1">
      <c r="A25" s="21" t="s">
        <v>120</v>
      </c>
      <c r="B25" s="435">
        <f>B23-B24-B22</f>
        <v>0</v>
      </c>
      <c r="C25" s="435">
        <f aca="true" t="shared" si="4" ref="C25:J25">C23-C24-C22</f>
        <v>1638</v>
      </c>
      <c r="D25" s="435">
        <f t="shared" si="4"/>
        <v>30416</v>
      </c>
      <c r="E25" s="435">
        <f t="shared" si="4"/>
        <v>0</v>
      </c>
      <c r="F25" s="435">
        <f t="shared" si="4"/>
        <v>0</v>
      </c>
      <c r="G25" s="435">
        <f t="shared" si="4"/>
        <v>-8672</v>
      </c>
      <c r="H25" s="435">
        <f t="shared" si="4"/>
        <v>0</v>
      </c>
      <c r="I25" s="435">
        <f t="shared" si="4"/>
        <v>0</v>
      </c>
      <c r="J25" s="435">
        <f t="shared" si="4"/>
        <v>0</v>
      </c>
      <c r="K25" s="437">
        <f t="shared" si="0"/>
        <v>23382</v>
      </c>
    </row>
    <row r="26" spans="1:11" ht="39" customHeight="1" thickBot="1">
      <c r="A26" s="22" t="s">
        <v>118</v>
      </c>
      <c r="B26" s="219">
        <f>B19+B23</f>
        <v>0</v>
      </c>
      <c r="C26" s="219">
        <f aca="true" t="shared" si="5" ref="C26:J26">C19+C23</f>
        <v>194438</v>
      </c>
      <c r="D26" s="219">
        <f t="shared" si="5"/>
        <v>341416</v>
      </c>
      <c r="E26" s="219">
        <f t="shared" si="5"/>
        <v>0</v>
      </c>
      <c r="F26" s="219">
        <f t="shared" si="5"/>
        <v>0</v>
      </c>
      <c r="G26" s="219">
        <f t="shared" si="5"/>
        <v>347328</v>
      </c>
      <c r="H26" s="219">
        <f t="shared" si="5"/>
        <v>280000</v>
      </c>
      <c r="I26" s="219">
        <f t="shared" si="5"/>
        <v>0</v>
      </c>
      <c r="J26" s="219">
        <f t="shared" si="5"/>
        <v>46330</v>
      </c>
      <c r="K26" s="222">
        <f t="shared" si="0"/>
        <v>1209512</v>
      </c>
    </row>
    <row r="27" spans="1:11" ht="39" customHeight="1" thickBot="1">
      <c r="A27" s="32" t="s">
        <v>104</v>
      </c>
      <c r="B27" s="571" t="s">
        <v>122</v>
      </c>
      <c r="C27" s="571"/>
      <c r="D27" s="571"/>
      <c r="E27" s="571"/>
      <c r="F27" s="571"/>
      <c r="G27" s="571"/>
      <c r="H27" s="571"/>
      <c r="I27" s="571"/>
      <c r="J27" s="571"/>
      <c r="K27" s="572"/>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F121" activePane="bottomRight" state="frozen"/>
      <selection pane="topLeft" activeCell="E23" sqref="E23"/>
      <selection pane="topRight" activeCell="E23" sqref="E23"/>
      <selection pane="bottomLeft" activeCell="E23" sqref="E23"/>
      <selection pane="bottomRight" activeCell="K136" sqref="K13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03" t="s">
        <v>143</v>
      </c>
      <c r="G2" s="604"/>
      <c r="H2" s="604"/>
      <c r="I2" s="604"/>
      <c r="J2" s="604"/>
      <c r="K2" s="542" t="s">
        <v>115</v>
      </c>
      <c r="L2" s="540"/>
      <c r="M2" s="540"/>
      <c r="N2" s="540"/>
      <c r="O2" s="541"/>
      <c r="P2" s="13"/>
    </row>
    <row r="3" spans="1:21" ht="24" customHeight="1">
      <c r="A3" s="423" t="s">
        <v>141</v>
      </c>
      <c r="B3" s="299" t="s">
        <v>142</v>
      </c>
      <c r="C3" s="59" t="s">
        <v>144</v>
      </c>
      <c r="D3" s="96" t="s">
        <v>146</v>
      </c>
      <c r="E3" s="96" t="s">
        <v>0</v>
      </c>
      <c r="F3" s="96" t="s">
        <v>197</v>
      </c>
      <c r="G3" s="96" t="s">
        <v>91</v>
      </c>
      <c r="H3" s="475" t="s">
        <v>246</v>
      </c>
      <c r="I3" s="96" t="s">
        <v>92</v>
      </c>
      <c r="J3" s="96" t="s">
        <v>93</v>
      </c>
      <c r="K3" s="384" t="s">
        <v>199</v>
      </c>
      <c r="L3" s="385" t="s">
        <v>91</v>
      </c>
      <c r="M3" s="476" t="s">
        <v>246</v>
      </c>
      <c r="N3" s="385" t="s">
        <v>92</v>
      </c>
      <c r="O3" s="386" t="s">
        <v>93</v>
      </c>
      <c r="P3" s="227" t="s">
        <v>111</v>
      </c>
      <c r="Q3" s="295" t="s">
        <v>107</v>
      </c>
      <c r="R3" s="62" t="s">
        <v>148</v>
      </c>
      <c r="S3" s="61" t="s">
        <v>149</v>
      </c>
      <c r="T3" s="61" t="s">
        <v>150</v>
      </c>
      <c r="U3" s="61" t="s">
        <v>151</v>
      </c>
    </row>
    <row r="4" spans="1:21" ht="13.5" customHeight="1">
      <c r="A4" s="300">
        <f>'1-2'!A4</f>
        <v>0</v>
      </c>
      <c r="B4" s="301">
        <f>'1-2'!B4</f>
        <v>0</v>
      </c>
      <c r="C4" s="479">
        <f>'1-2'!C4</f>
        <v>0</v>
      </c>
      <c r="D4" s="243">
        <v>1</v>
      </c>
      <c r="E4" s="302" t="str">
        <f>IF($R4=1,"",VLOOKUP($D4,'1-2'!$D$4:$L$103,2))</f>
        <v>負担金、補助及び交付金</v>
      </c>
      <c r="F4" s="302" t="str">
        <f>IF($R4=1,"取消し",VLOOKUP($D4,'1-2'!$D$4:$L$103,3))</f>
        <v>各種団体負担金（会費）</v>
      </c>
      <c r="G4" s="303">
        <f>IF($R4=1,,VLOOKUP($D4,'1-2'!$D$4:$L$103,4))</f>
        <v>43330</v>
      </c>
      <c r="H4" s="304">
        <f>IF($R4=1,,VLOOKUP($D4,'1-2'!$D$4:$L$103,5))</f>
        <v>1</v>
      </c>
      <c r="I4" s="304">
        <f>IF($R4=1,,VLOOKUP($D4,'1-2'!$D$4:$L$103,6))</f>
        <v>1</v>
      </c>
      <c r="J4" s="305">
        <f>IF($R4=1,,VLOOKUP($D4,'1-2'!$D$4:$L$103,7))</f>
        <v>43330</v>
      </c>
      <c r="K4" s="306" t="str">
        <f aca="true" t="shared" si="0" ref="K4:N5">F4</f>
        <v>各種団体負担金（会費）</v>
      </c>
      <c r="L4" s="307">
        <v>43330</v>
      </c>
      <c r="M4" s="308">
        <f t="shared" si="0"/>
        <v>1</v>
      </c>
      <c r="N4" s="308">
        <f t="shared" si="0"/>
        <v>1</v>
      </c>
      <c r="O4" s="309">
        <f>L4*M4*N4</f>
        <v>43330</v>
      </c>
      <c r="P4" s="310">
        <f>IF($R4=1,"",VLOOKUP($D4,'1-2'!$D$4:$L$103,8))</f>
        <v>0</v>
      </c>
      <c r="Q4" s="311"/>
      <c r="R4" s="25">
        <f>IF(ISNA(MATCH($D4,'随時②-2'!$D$4:$D$18,0)),0,1)</f>
        <v>0</v>
      </c>
      <c r="S4" s="63">
        <f aca="true" t="shared" si="1" ref="S4:S67">IF(P4="◎",J4,"")</f>
      </c>
      <c r="T4" s="63">
        <f>IF(P4="◎",O4,"")</f>
      </c>
      <c r="U4" s="5">
        <f>IF($E4=0,"",VLOOKUP($E4,$V$5:$X$13,2))</f>
        <v>9</v>
      </c>
    </row>
    <row r="5" spans="1:23" ht="13.5" customHeight="1">
      <c r="A5" s="312">
        <f>'1-2'!A5</f>
        <v>0</v>
      </c>
      <c r="B5" s="313">
        <f>'1-2'!B5</f>
        <v>0</v>
      </c>
      <c r="C5" s="480">
        <f>'1-2'!C5</f>
        <v>0</v>
      </c>
      <c r="D5" s="254">
        <v>2</v>
      </c>
      <c r="E5" s="314" t="str">
        <f>IF($R5=1,"",VLOOKUP($D5,'1-2'!$D$4:$L$103,2))</f>
        <v>委託料</v>
      </c>
      <c r="F5" s="315" t="str">
        <f>IF($R5=1,"取消し",VLOOKUP($D5,'1-2'!$D$4:$L$103,3))</f>
        <v>ホームページデザイン制作</v>
      </c>
      <c r="G5" s="224">
        <f>IF($R5=1,,VLOOKUP($D5,'1-2'!$D$4:$L$103,4))</f>
        <v>300000</v>
      </c>
      <c r="H5" s="316">
        <f>IF($R5=1,,VLOOKUP($D5,'1-2'!$D$4:$L$103,5))</f>
        <v>1</v>
      </c>
      <c r="I5" s="316">
        <f>IF($R5=1,,VLOOKUP($D5,'1-2'!$D$4:$L$103,6))</f>
        <v>1</v>
      </c>
      <c r="J5" s="317">
        <f>IF($R5=1,,VLOOKUP($D5,'1-2'!$D$4:$L$103,7))</f>
        <v>300000</v>
      </c>
      <c r="K5" s="318" t="str">
        <f t="shared" si="0"/>
        <v>ホームページデザイン制作</v>
      </c>
      <c r="L5" s="319">
        <v>291600</v>
      </c>
      <c r="M5" s="320">
        <f t="shared" si="0"/>
        <v>1</v>
      </c>
      <c r="N5" s="320">
        <f t="shared" si="0"/>
        <v>1</v>
      </c>
      <c r="O5" s="309">
        <f aca="true" t="shared" si="2" ref="O5:O68">L5*M5*N5</f>
        <v>291600</v>
      </c>
      <c r="P5" s="310">
        <f>IF($R5=1,"",VLOOKUP($D5,'1-2'!$D$4:$L$103,8))</f>
        <v>0</v>
      </c>
      <c r="Q5" s="311"/>
      <c r="R5" s="25">
        <f>IF(ISNA(MATCH($D5,'随時②-2'!$D$4:$D$18,0)),0,1)</f>
        <v>0</v>
      </c>
      <c r="S5" s="63">
        <f t="shared" si="1"/>
      </c>
      <c r="T5" s="63">
        <f aca="true" t="shared" si="3" ref="T5:T68">IF(P5="◎",O5,"")</f>
      </c>
      <c r="U5" s="5">
        <f aca="true" t="shared" si="4" ref="U5:U68">IF($E5=0,"",VLOOKUP($E5,$V$5:$X$13,2))</f>
        <v>6</v>
      </c>
      <c r="V5" s="5" t="s">
        <v>152</v>
      </c>
      <c r="W5" s="5">
        <v>6</v>
      </c>
    </row>
    <row r="6" spans="1:23" ht="13.5" customHeight="1">
      <c r="A6" s="312">
        <f>'1-2'!A6</f>
        <v>0</v>
      </c>
      <c r="B6" s="313">
        <f>'1-2'!B6</f>
        <v>0</v>
      </c>
      <c r="C6" s="480">
        <f>'1-2'!C6</f>
        <v>0</v>
      </c>
      <c r="D6" s="254">
        <v>3</v>
      </c>
      <c r="E6" s="314" t="str">
        <f>IF($R6=1,"",VLOOKUP($D6,'1-2'!$D$4:$L$103,2))</f>
        <v>消耗需用費</v>
      </c>
      <c r="F6" s="315" t="str">
        <f>IF($R6=1,"取消し",VLOOKUP($D6,'1-2'!$D$4:$L$103,3))</f>
        <v>芸能文化科チラシ　　3,000部</v>
      </c>
      <c r="G6" s="224">
        <f>IF($R6=1,,VLOOKUP($D6,'1-2'!$D$4:$L$103,4))</f>
        <v>50000</v>
      </c>
      <c r="H6" s="316">
        <f>IF($R6=1,,VLOOKUP($D6,'1-2'!$D$4:$L$103,5))</f>
        <v>1</v>
      </c>
      <c r="I6" s="316">
        <f>IF($R6=1,,VLOOKUP($D6,'1-2'!$D$4:$L$103,6))</f>
        <v>1</v>
      </c>
      <c r="J6" s="317">
        <f>IF($R6=1,,VLOOKUP($D6,'1-2'!$D$4:$L$103,7))</f>
        <v>50000</v>
      </c>
      <c r="K6" s="318" t="str">
        <f aca="true" t="shared" si="5" ref="K6:K69">F6</f>
        <v>芸能文化科チラシ　　3,000部</v>
      </c>
      <c r="L6" s="319">
        <v>49896</v>
      </c>
      <c r="M6" s="320">
        <f aca="true" t="shared" si="6" ref="L6:N10">H6</f>
        <v>1</v>
      </c>
      <c r="N6" s="320">
        <f t="shared" si="6"/>
        <v>1</v>
      </c>
      <c r="O6" s="309">
        <f t="shared" si="2"/>
        <v>49896</v>
      </c>
      <c r="P6" s="310">
        <f>IF($R6=1,"",VLOOKUP($D6,'1-2'!$D$4:$L$103,8))</f>
        <v>0</v>
      </c>
      <c r="Q6" s="311"/>
      <c r="R6" s="25">
        <f>IF(ISNA(MATCH($D6,'随時②-2'!$D$4:$D$18,0)),0,1)</f>
        <v>0</v>
      </c>
      <c r="S6" s="63">
        <f t="shared" si="1"/>
      </c>
      <c r="T6" s="63">
        <f t="shared" si="3"/>
      </c>
      <c r="U6" s="5">
        <f t="shared" si="4"/>
        <v>7</v>
      </c>
      <c r="V6" s="5" t="s">
        <v>153</v>
      </c>
      <c r="W6" s="5">
        <v>4</v>
      </c>
    </row>
    <row r="7" spans="1:23" ht="13.5" customHeight="1">
      <c r="A7" s="312">
        <f>'1-2'!A7</f>
        <v>1</v>
      </c>
      <c r="B7" s="313" t="str">
        <f>'1-2'!B7</f>
        <v>3-5-(1)</v>
      </c>
      <c r="C7" s="480" t="str">
        <f>'1-2'!C7</f>
        <v>情報発信の刷新</v>
      </c>
      <c r="D7" s="254">
        <v>4</v>
      </c>
      <c r="E7" s="314">
        <f>IF($R7=1,"",VLOOKUP($D7,'1-2'!$D$4:$L$103,2))</f>
      </c>
      <c r="F7" s="315" t="str">
        <f>IF($R7=1,"取消し",VLOOKUP($D7,'1-2'!$D$4:$L$103,3))</f>
        <v>取消し</v>
      </c>
      <c r="G7" s="224">
        <f>IF($R7=1,,VLOOKUP($D7,'1-2'!$D$4:$L$103,4))</f>
        <v>0</v>
      </c>
      <c r="H7" s="316">
        <f>IF($R7=1,,VLOOKUP($D7,'1-2'!$D$4:$L$103,5))</f>
        <v>0</v>
      </c>
      <c r="I7" s="316">
        <f>IF($R7=1,,VLOOKUP($D7,'1-2'!$D$4:$L$103,6))</f>
        <v>0</v>
      </c>
      <c r="J7" s="317">
        <f>IF($R7=1,,VLOOKUP($D7,'1-2'!$D$4:$L$103,7))</f>
        <v>0</v>
      </c>
      <c r="K7" s="318" t="str">
        <f t="shared" si="5"/>
        <v>取消し</v>
      </c>
      <c r="L7" s="319">
        <f t="shared" si="6"/>
        <v>0</v>
      </c>
      <c r="M7" s="320">
        <f t="shared" si="6"/>
        <v>0</v>
      </c>
      <c r="N7" s="320">
        <f t="shared" si="6"/>
        <v>0</v>
      </c>
      <c r="O7" s="309">
        <f t="shared" si="2"/>
        <v>0</v>
      </c>
      <c r="P7" s="310">
        <f>IF($R7=1,"",VLOOKUP($D7,'1-2'!$D$4:$L$103,8))</f>
      </c>
      <c r="Q7" s="311"/>
      <c r="R7" s="25">
        <f>IF(ISNA(MATCH($D7,'随時②-2'!$D$4:$D$18,0)),0,1)</f>
        <v>1</v>
      </c>
      <c r="S7" s="63">
        <f t="shared" si="1"/>
      </c>
      <c r="T7" s="63">
        <f t="shared" si="3"/>
      </c>
      <c r="U7" s="5" t="e">
        <f t="shared" si="4"/>
        <v>#N/A</v>
      </c>
      <c r="V7" s="5" t="s">
        <v>154</v>
      </c>
      <c r="W7" s="5">
        <v>7</v>
      </c>
    </row>
    <row r="8" spans="1:23" ht="13.5" customHeight="1">
      <c r="A8" s="312">
        <f>'1-2'!A8</f>
        <v>0</v>
      </c>
      <c r="B8" s="313">
        <f>'1-2'!B8</f>
        <v>0</v>
      </c>
      <c r="C8" s="480">
        <f>'1-2'!C8</f>
        <v>0</v>
      </c>
      <c r="D8" s="263">
        <v>5</v>
      </c>
      <c r="E8" s="314" t="str">
        <f>IF($R8=1,"",VLOOKUP($D8,'1-2'!$D$4:$L$103,2))</f>
        <v>消耗需用費</v>
      </c>
      <c r="F8" s="315" t="str">
        <f>IF($R8=1,"取消し",VLOOKUP($D8,'1-2'!$D$4:$L$103,3))</f>
        <v>広報用椅子カバー</v>
      </c>
      <c r="G8" s="224">
        <f>IF($R8=1,,VLOOKUP($D8,'1-2'!$D$4:$L$103,4))</f>
        <v>25000</v>
      </c>
      <c r="H8" s="316">
        <f>IF($R8=1,,VLOOKUP($D8,'1-2'!$D$4:$L$103,5))</f>
        <v>1</v>
      </c>
      <c r="I8" s="316">
        <f>IF($R8=1,,VLOOKUP($D8,'1-2'!$D$4:$L$103,6))</f>
        <v>1</v>
      </c>
      <c r="J8" s="317">
        <f>IF($R8=1,,VLOOKUP($D8,'1-2'!$D$4:$L$103,7))</f>
        <v>25000</v>
      </c>
      <c r="K8" s="318" t="str">
        <f t="shared" si="5"/>
        <v>広報用椅子カバー</v>
      </c>
      <c r="L8" s="319">
        <v>20520</v>
      </c>
      <c r="M8" s="320">
        <f t="shared" si="6"/>
        <v>1</v>
      </c>
      <c r="N8" s="320">
        <f t="shared" si="6"/>
        <v>1</v>
      </c>
      <c r="O8" s="309">
        <f t="shared" si="2"/>
        <v>20520</v>
      </c>
      <c r="P8" s="310">
        <f>IF($R8=1,"",VLOOKUP($D8,'1-2'!$D$4:$L$103,8))</f>
        <v>0</v>
      </c>
      <c r="Q8" s="311"/>
      <c r="R8" s="25">
        <f>IF(ISNA(MATCH($D8,'随時②-2'!$D$4:$D$18,0)),0,1)</f>
        <v>0</v>
      </c>
      <c r="S8" s="63">
        <f t="shared" si="1"/>
      </c>
      <c r="T8" s="63">
        <f t="shared" si="3"/>
      </c>
      <c r="U8" s="5">
        <f t="shared" si="4"/>
        <v>7</v>
      </c>
      <c r="V8" s="5" t="s">
        <v>155</v>
      </c>
      <c r="W8" s="5">
        <v>3</v>
      </c>
    </row>
    <row r="9" spans="1:23" ht="13.5" customHeight="1">
      <c r="A9" s="312">
        <f>'1-2'!A9</f>
        <v>0</v>
      </c>
      <c r="B9" s="313">
        <f>'1-2'!B9</f>
        <v>0</v>
      </c>
      <c r="C9" s="480">
        <f>'1-2'!C9</f>
        <v>0</v>
      </c>
      <c r="D9" s="254">
        <v>6</v>
      </c>
      <c r="E9" s="314">
        <f>IF($R9=1,"",VLOOKUP($D9,'1-2'!$D$4:$L$103,2))</f>
      </c>
      <c r="F9" s="315" t="str">
        <f>IF($R9=1,"取消し",VLOOKUP($D9,'1-2'!$D$4:$L$103,3))</f>
        <v>取消し</v>
      </c>
      <c r="G9" s="224">
        <f>IF($R9=1,,VLOOKUP($D9,'1-2'!$D$4:$L$103,4))</f>
        <v>0</v>
      </c>
      <c r="H9" s="316">
        <f>IF($R9=1,,VLOOKUP($D9,'1-2'!$D$4:$L$103,5))</f>
        <v>0</v>
      </c>
      <c r="I9" s="316">
        <f>IF($R9=1,,VLOOKUP($D9,'1-2'!$D$4:$L$103,6))</f>
        <v>0</v>
      </c>
      <c r="J9" s="317">
        <f>IF($R9=1,,VLOOKUP($D9,'1-2'!$D$4:$L$103,7))</f>
        <v>0</v>
      </c>
      <c r="K9" s="318" t="str">
        <f t="shared" si="5"/>
        <v>取消し</v>
      </c>
      <c r="L9" s="319">
        <f t="shared" si="6"/>
        <v>0</v>
      </c>
      <c r="M9" s="320">
        <f t="shared" si="6"/>
        <v>0</v>
      </c>
      <c r="N9" s="320">
        <f t="shared" si="6"/>
        <v>0</v>
      </c>
      <c r="O9" s="309">
        <f t="shared" si="2"/>
        <v>0</v>
      </c>
      <c r="P9" s="310">
        <f>IF($R9=1,"",VLOOKUP($D9,'1-2'!$D$4:$L$103,8))</f>
      </c>
      <c r="Q9" s="311"/>
      <c r="R9" s="25">
        <f>IF(ISNA(MATCH($D9,'随時②-2'!$D$4:$D$18,0)),0,1)</f>
        <v>1</v>
      </c>
      <c r="S9" s="63">
        <f t="shared" si="1"/>
      </c>
      <c r="T9" s="63">
        <f t="shared" si="3"/>
      </c>
      <c r="U9" s="5" t="e">
        <f t="shared" si="4"/>
        <v>#N/A</v>
      </c>
      <c r="V9" s="5" t="s">
        <v>156</v>
      </c>
      <c r="W9" s="5">
        <v>8</v>
      </c>
    </row>
    <row r="10" spans="1:23" ht="13.5" customHeight="1">
      <c r="A10" s="312">
        <f>'1-2'!A10</f>
        <v>0</v>
      </c>
      <c r="B10" s="313">
        <f>'1-2'!B10</f>
        <v>0</v>
      </c>
      <c r="C10" s="480">
        <f>'1-2'!C10</f>
        <v>0</v>
      </c>
      <c r="D10" s="254">
        <v>7</v>
      </c>
      <c r="E10" s="314" t="str">
        <f>IF($R10=1,"",VLOOKUP($D10,'1-2'!$D$4:$L$103,2))</f>
        <v>消耗需用費</v>
      </c>
      <c r="F10" s="315" t="str">
        <f>IF($R10=1,"取消し",VLOOKUP($D10,'1-2'!$D$4:$L$103,3))</f>
        <v>中学生体験授業材料費</v>
      </c>
      <c r="G10" s="224">
        <f>IF($R10=1,,VLOOKUP($D10,'1-2'!$D$4:$L$103,4))</f>
        <v>30000</v>
      </c>
      <c r="H10" s="316">
        <f>IF($R10=1,,VLOOKUP($D10,'1-2'!$D$4:$L$103,5))</f>
        <v>1</v>
      </c>
      <c r="I10" s="316">
        <f>IF($R10=1,,VLOOKUP($D10,'1-2'!$D$4:$L$103,6))</f>
        <v>1</v>
      </c>
      <c r="J10" s="317">
        <f>IF($R10=1,,VLOOKUP($D10,'1-2'!$D$4:$L$103,7))</f>
        <v>30000</v>
      </c>
      <c r="K10" s="318" t="str">
        <f t="shared" si="5"/>
        <v>中学生体験授業材料費</v>
      </c>
      <c r="L10" s="319">
        <v>0</v>
      </c>
      <c r="M10" s="320">
        <f t="shared" si="6"/>
        <v>1</v>
      </c>
      <c r="N10" s="320">
        <f t="shared" si="6"/>
        <v>1</v>
      </c>
      <c r="O10" s="309">
        <f t="shared" si="2"/>
        <v>0</v>
      </c>
      <c r="P10" s="310">
        <f>IF($R10=1,"",VLOOKUP($D10,'1-2'!$D$4:$L$103,8))</f>
        <v>0</v>
      </c>
      <c r="Q10" s="311"/>
      <c r="R10" s="25">
        <f>IF(ISNA(MATCH($D10,'随時②-2'!$D$4:$D$18,0)),0,1)</f>
        <v>0</v>
      </c>
      <c r="S10" s="63">
        <f t="shared" si="1"/>
      </c>
      <c r="T10" s="63">
        <f t="shared" si="3"/>
      </c>
      <c r="U10" s="5">
        <f t="shared" si="4"/>
        <v>7</v>
      </c>
      <c r="V10" s="5" t="s">
        <v>160</v>
      </c>
      <c r="W10" s="5">
        <v>9</v>
      </c>
    </row>
    <row r="11" spans="1:23" ht="13.5" customHeight="1">
      <c r="A11" s="312">
        <f>'1-2'!A11</f>
        <v>2</v>
      </c>
      <c r="B11" s="313" t="str">
        <f>'1-2'!B11</f>
        <v>2-4</v>
      </c>
      <c r="C11" s="480" t="str">
        <f>'1-2'!C11</f>
        <v>芸能文化科教育推進</v>
      </c>
      <c r="D11" s="263">
        <v>8</v>
      </c>
      <c r="E11" s="314" t="str">
        <f>IF($R11=1,"",VLOOKUP($D11,'1-2'!$D$4:$L$103,2))</f>
        <v>使用料及び賃借料</v>
      </c>
      <c r="F11" s="315" t="str">
        <f>IF($R11=1,"取消し",VLOOKUP($D11,'1-2'!$D$4:$L$103,3))</f>
        <v>芸能文化科卒業発表会衣装借上げ代</v>
      </c>
      <c r="G11" s="224">
        <f>IF($R11=1,,VLOOKUP($D11,'1-2'!$D$4:$L$103,4))</f>
        <v>280000</v>
      </c>
      <c r="H11" s="316">
        <f>IF($R11=1,,VLOOKUP($D11,'1-2'!$D$4:$L$103,5))</f>
        <v>1</v>
      </c>
      <c r="I11" s="316">
        <f>IF($R11=1,,VLOOKUP($D11,'1-2'!$D$4:$L$103,6))</f>
        <v>1</v>
      </c>
      <c r="J11" s="317">
        <f>IF($R11=1,,VLOOKUP($D11,'1-2'!$D$4:$L$103,7))</f>
        <v>280000</v>
      </c>
      <c r="K11" s="318" t="str">
        <f t="shared" si="5"/>
        <v>芸能文化科卒業発表会衣装借上げ代</v>
      </c>
      <c r="L11" s="319">
        <v>280000</v>
      </c>
      <c r="M11" s="320">
        <f aca="true" t="shared" si="7" ref="M11:M74">H11</f>
        <v>1</v>
      </c>
      <c r="N11" s="320">
        <f aca="true" t="shared" si="8" ref="N11:N74">I11</f>
        <v>1</v>
      </c>
      <c r="O11" s="309">
        <f t="shared" si="2"/>
        <v>280000</v>
      </c>
      <c r="P11" s="310">
        <f>IF($R11=1,"",VLOOKUP($D11,'1-2'!$D$4:$L$103,8))</f>
        <v>0</v>
      </c>
      <c r="Q11" s="311"/>
      <c r="R11" s="25">
        <f>IF(ISNA(MATCH($D11,'随時②-2'!$D$4:$D$18,0)),0,1)</f>
        <v>0</v>
      </c>
      <c r="S11" s="63">
        <f t="shared" si="1"/>
      </c>
      <c r="T11" s="63">
        <f t="shared" si="3"/>
      </c>
      <c r="U11" s="5">
        <f t="shared" si="4"/>
        <v>7</v>
      </c>
      <c r="V11" s="5" t="s">
        <v>157</v>
      </c>
      <c r="W11" s="5">
        <v>1</v>
      </c>
    </row>
    <row r="12" spans="1:23" ht="13.5" customHeight="1">
      <c r="A12" s="312">
        <f>'1-2'!A12</f>
        <v>3</v>
      </c>
      <c r="B12" s="313" t="str">
        <f>'1-2'!B12</f>
        <v>3-3-(1)</v>
      </c>
      <c r="C12" s="480" t="str">
        <f>'1-2'!C12</f>
        <v>人権教育の充実</v>
      </c>
      <c r="D12" s="263">
        <v>9</v>
      </c>
      <c r="E12" s="314" t="str">
        <f>IF($R12=1,"",VLOOKUP($D12,'1-2'!$D$4:$L$103,2))</f>
        <v>消耗需用費</v>
      </c>
      <c r="F12" s="315" t="str">
        <f>IF($R12=1,"取消し",VLOOKUP($D12,'1-2'!$D$4:$L$103,3))</f>
        <v>人権研修参加資料代</v>
      </c>
      <c r="G12" s="224">
        <f>IF($R12=1,,VLOOKUP($D12,'1-2'!$D$4:$L$103,4))</f>
        <v>15000</v>
      </c>
      <c r="H12" s="316">
        <f>IF($R12=1,,VLOOKUP($D12,'1-2'!$D$4:$L$103,5))</f>
        <v>1</v>
      </c>
      <c r="I12" s="316">
        <f>IF($R12=1,,VLOOKUP($D12,'1-2'!$D$4:$L$103,6))</f>
        <v>1</v>
      </c>
      <c r="J12" s="317">
        <f>IF($R12=1,,VLOOKUP($D12,'1-2'!$D$4:$L$103,7))</f>
        <v>15000</v>
      </c>
      <c r="K12" s="318" t="str">
        <f t="shared" si="5"/>
        <v>人権研修参加資料代</v>
      </c>
      <c r="L12" s="319">
        <v>10000</v>
      </c>
      <c r="M12" s="320">
        <f t="shared" si="7"/>
        <v>1</v>
      </c>
      <c r="N12" s="320">
        <f t="shared" si="8"/>
        <v>1</v>
      </c>
      <c r="O12" s="309">
        <f t="shared" si="2"/>
        <v>10000</v>
      </c>
      <c r="P12" s="310">
        <f>IF($R12=1,"",VLOOKUP($D12,'1-2'!$D$4:$L$103,8))</f>
        <v>0</v>
      </c>
      <c r="Q12" s="311"/>
      <c r="R12" s="25">
        <f>IF(ISNA(MATCH($D12,'随時②-2'!$D$4:$D$18,0)),0,1)</f>
        <v>0</v>
      </c>
      <c r="S12" s="63">
        <f t="shared" si="1"/>
      </c>
      <c r="T12" s="63">
        <f t="shared" si="3"/>
      </c>
      <c r="U12" s="5">
        <f t="shared" si="4"/>
        <v>7</v>
      </c>
      <c r="V12" s="5" t="s">
        <v>158</v>
      </c>
      <c r="W12" s="5">
        <v>5</v>
      </c>
    </row>
    <row r="13" spans="1:23" ht="13.5" customHeight="1">
      <c r="A13" s="312">
        <f>'1-2'!A13</f>
        <v>0</v>
      </c>
      <c r="B13" s="313">
        <f>'1-2'!B13</f>
        <v>0</v>
      </c>
      <c r="C13" s="480">
        <f>'1-2'!C13</f>
        <v>0</v>
      </c>
      <c r="D13" s="273">
        <v>10</v>
      </c>
      <c r="E13" s="314">
        <f>IF($R13=1,"",VLOOKUP($D13,'1-2'!$D$4:$L$103,2))</f>
      </c>
      <c r="F13" s="315" t="str">
        <f>IF($R13=1,"取消し",VLOOKUP($D13,'1-2'!$D$4:$L$103,3))</f>
        <v>取消し</v>
      </c>
      <c r="G13" s="224">
        <f>IF($R13=1,,VLOOKUP($D13,'1-2'!$D$4:$L$103,4))</f>
        <v>0</v>
      </c>
      <c r="H13" s="316">
        <f>IF($R13=1,,VLOOKUP($D13,'1-2'!$D$4:$L$103,5))</f>
        <v>0</v>
      </c>
      <c r="I13" s="316">
        <f>IF($R13=1,,VLOOKUP($D13,'1-2'!$D$4:$L$103,6))</f>
        <v>0</v>
      </c>
      <c r="J13" s="317">
        <f>IF($R13=1,,VLOOKUP($D13,'1-2'!$D$4:$L$103,7))</f>
        <v>0</v>
      </c>
      <c r="K13" s="318" t="str">
        <f t="shared" si="5"/>
        <v>取消し</v>
      </c>
      <c r="L13" s="319">
        <f aca="true" t="shared" si="9" ref="L13:L74">G13</f>
        <v>0</v>
      </c>
      <c r="M13" s="320">
        <f t="shared" si="7"/>
        <v>0</v>
      </c>
      <c r="N13" s="320">
        <f t="shared" si="8"/>
        <v>0</v>
      </c>
      <c r="O13" s="309">
        <f t="shared" si="2"/>
        <v>0</v>
      </c>
      <c r="P13" s="310">
        <f>IF($R13=1,"",VLOOKUP($D13,'1-2'!$D$4:$L$103,8))</f>
      </c>
      <c r="Q13" s="311"/>
      <c r="R13" s="25">
        <f>IF(ISNA(MATCH($D13,'随時②-2'!$D$4:$D$18,0)),0,1)</f>
        <v>1</v>
      </c>
      <c r="S13" s="63">
        <f t="shared" si="1"/>
      </c>
      <c r="T13" s="63">
        <f t="shared" si="3"/>
      </c>
      <c r="U13" s="5" t="e">
        <f t="shared" si="4"/>
        <v>#N/A</v>
      </c>
      <c r="V13" s="5" t="s">
        <v>159</v>
      </c>
      <c r="W13" s="5">
        <v>2</v>
      </c>
    </row>
    <row r="14" spans="1:21" ht="13.5" customHeight="1">
      <c r="A14" s="312">
        <f>'1-2'!A14</f>
        <v>4</v>
      </c>
      <c r="B14" s="313" t="str">
        <f>'1-2'!B14</f>
        <v>3-1-(1)</v>
      </c>
      <c r="C14" s="480" t="str">
        <f>'1-2'!C14</f>
        <v>魅力ある授業づくり</v>
      </c>
      <c r="D14" s="254">
        <v>11</v>
      </c>
      <c r="E14" s="314">
        <f>IF($R14=1,"",VLOOKUP($D14,'1-2'!$D$4:$L$103,2))</f>
      </c>
      <c r="F14" s="315" t="str">
        <f>IF($R14=1,"取消し",VLOOKUP($D14,'1-2'!$D$4:$L$103,3))</f>
        <v>取消し</v>
      </c>
      <c r="G14" s="224">
        <f>IF($R14=1,,VLOOKUP($D14,'1-2'!$D$4:$L$103,4))</f>
        <v>0</v>
      </c>
      <c r="H14" s="316">
        <f>IF($R14=1,,VLOOKUP($D14,'1-2'!$D$4:$L$103,5))</f>
        <v>0</v>
      </c>
      <c r="I14" s="316">
        <f>IF($R14=1,,VLOOKUP($D14,'1-2'!$D$4:$L$103,6))</f>
        <v>0</v>
      </c>
      <c r="J14" s="317">
        <f>IF($R14=1,,VLOOKUP($D14,'1-2'!$D$4:$L$103,7))</f>
        <v>0</v>
      </c>
      <c r="K14" s="318" t="str">
        <f t="shared" si="5"/>
        <v>取消し</v>
      </c>
      <c r="L14" s="319">
        <f t="shared" si="9"/>
        <v>0</v>
      </c>
      <c r="M14" s="320">
        <f t="shared" si="7"/>
        <v>0</v>
      </c>
      <c r="N14" s="320">
        <f t="shared" si="8"/>
        <v>0</v>
      </c>
      <c r="O14" s="309">
        <f t="shared" si="2"/>
        <v>0</v>
      </c>
      <c r="P14" s="310">
        <f>IF($R14=1,"",VLOOKUP($D14,'1-2'!$D$4:$L$103,8))</f>
      </c>
      <c r="Q14" s="311"/>
      <c r="R14" s="25">
        <f>IF(ISNA(MATCH($D14,'随時②-2'!$D$4:$D$18,0)),0,1)</f>
        <v>1</v>
      </c>
      <c r="S14" s="63">
        <f t="shared" si="1"/>
      </c>
      <c r="T14" s="63">
        <f t="shared" si="3"/>
      </c>
      <c r="U14" s="5" t="e">
        <f t="shared" si="4"/>
        <v>#N/A</v>
      </c>
    </row>
    <row r="15" spans="1:21" ht="13.5" customHeight="1">
      <c r="A15" s="312">
        <f>'1-2'!A15</f>
        <v>0</v>
      </c>
      <c r="B15" s="313">
        <f>'1-2'!B15</f>
        <v>0</v>
      </c>
      <c r="C15" s="480">
        <f>'1-2'!C15</f>
        <v>0</v>
      </c>
      <c r="D15" s="254">
        <v>12</v>
      </c>
      <c r="E15" s="314">
        <f>IF($R15=1,"",VLOOKUP($D15,'1-2'!$D$4:$L$103,2))</f>
      </c>
      <c r="F15" s="315" t="str">
        <f>IF($R15=1,"取消し",VLOOKUP($D15,'1-2'!$D$4:$L$103,3))</f>
        <v>取消し</v>
      </c>
      <c r="G15" s="224">
        <f>IF($R15=1,,VLOOKUP($D15,'1-2'!$D$4:$L$103,4))</f>
        <v>0</v>
      </c>
      <c r="H15" s="316">
        <f>IF($R15=1,,VLOOKUP($D15,'1-2'!$D$4:$L$103,5))</f>
        <v>0</v>
      </c>
      <c r="I15" s="316">
        <f>IF($R15=1,,VLOOKUP($D15,'1-2'!$D$4:$L$103,6))</f>
        <v>0</v>
      </c>
      <c r="J15" s="317">
        <f>IF($R15=1,,VLOOKUP($D15,'1-2'!$D$4:$L$103,7))</f>
        <v>0</v>
      </c>
      <c r="K15" s="318" t="str">
        <f t="shared" si="5"/>
        <v>取消し</v>
      </c>
      <c r="L15" s="319">
        <f t="shared" si="9"/>
        <v>0</v>
      </c>
      <c r="M15" s="320">
        <f t="shared" si="7"/>
        <v>0</v>
      </c>
      <c r="N15" s="320">
        <f t="shared" si="8"/>
        <v>0</v>
      </c>
      <c r="O15" s="309">
        <f t="shared" si="2"/>
        <v>0</v>
      </c>
      <c r="P15" s="310">
        <f>IF($R15=1,"",VLOOKUP($D15,'1-2'!$D$4:$L$103,8))</f>
      </c>
      <c r="Q15" s="311"/>
      <c r="R15" s="25">
        <f>IF(ISNA(MATCH($D15,'随時②-2'!$D$4:$D$18,0)),0,1)</f>
        <v>1</v>
      </c>
      <c r="S15" s="63">
        <f t="shared" si="1"/>
      </c>
      <c r="T15" s="63">
        <f t="shared" si="3"/>
      </c>
      <c r="U15" s="5" t="e">
        <f t="shared" si="4"/>
        <v>#N/A</v>
      </c>
    </row>
    <row r="16" spans="1:21" ht="13.5" customHeight="1">
      <c r="A16" s="312">
        <f>'1-2'!A16</f>
        <v>5</v>
      </c>
      <c r="B16" s="313" t="str">
        <f>'1-2'!B16</f>
        <v>3-1-(2)</v>
      </c>
      <c r="C16" s="480" t="str">
        <f>'1-2'!C16</f>
        <v>進路実現への取組</v>
      </c>
      <c r="D16" s="254">
        <v>13</v>
      </c>
      <c r="E16" s="314" t="str">
        <f>IF($R16=1,"",VLOOKUP($D16,'1-2'!$D$4:$L$103,2))</f>
        <v>旅費</v>
      </c>
      <c r="F16" s="315" t="str">
        <f>IF($R16=1,"取消し",VLOOKUP($D16,'1-2'!$D$4:$L$103,3))</f>
        <v>全国校長会大学入試対策研究協議会</v>
      </c>
      <c r="G16" s="224">
        <f>IF($R16=1,,VLOOKUP($D16,'1-2'!$D$4:$L$103,4))</f>
        <v>30000</v>
      </c>
      <c r="H16" s="316">
        <f>IF($R16=1,,VLOOKUP($D16,'1-2'!$D$4:$L$103,5))</f>
        <v>1</v>
      </c>
      <c r="I16" s="316">
        <f>IF($R16=1,,VLOOKUP($D16,'1-2'!$D$4:$L$103,6))</f>
        <v>1</v>
      </c>
      <c r="J16" s="317">
        <f>IF($R16=1,,VLOOKUP($D16,'1-2'!$D$4:$L$103,7))</f>
        <v>30000</v>
      </c>
      <c r="K16" s="318" t="str">
        <f t="shared" si="5"/>
        <v>全国校長会大学入試対策研究協議会</v>
      </c>
      <c r="L16" s="319">
        <v>29460</v>
      </c>
      <c r="M16" s="320">
        <f t="shared" si="7"/>
        <v>1</v>
      </c>
      <c r="N16" s="320">
        <f t="shared" si="8"/>
        <v>1</v>
      </c>
      <c r="O16" s="309">
        <f t="shared" si="2"/>
        <v>29460</v>
      </c>
      <c r="P16" s="310">
        <f>IF($R16=1,"",VLOOKUP($D16,'1-2'!$D$4:$L$103,8))</f>
        <v>0</v>
      </c>
      <c r="Q16" s="311"/>
      <c r="R16" s="25">
        <f>IF(ISNA(MATCH($D16,'随時②-2'!$D$4:$D$18,0)),0,1)</f>
        <v>0</v>
      </c>
      <c r="S16" s="63">
        <f t="shared" si="1"/>
      </c>
      <c r="T16" s="63">
        <f t="shared" si="3"/>
      </c>
      <c r="U16" s="5">
        <f t="shared" si="4"/>
        <v>2</v>
      </c>
    </row>
    <row r="17" spans="1:21" ht="13.5" customHeight="1">
      <c r="A17" s="312">
        <f>'1-2'!A17</f>
        <v>0</v>
      </c>
      <c r="B17" s="313">
        <f>'1-2'!B17</f>
        <v>0</v>
      </c>
      <c r="C17" s="480">
        <f>'1-2'!C17</f>
        <v>0</v>
      </c>
      <c r="D17" s="254">
        <v>14</v>
      </c>
      <c r="E17" s="314" t="str">
        <f>IF($R17=1,"",VLOOKUP($D17,'1-2'!$D$4:$L$103,2))</f>
        <v>消耗需用費</v>
      </c>
      <c r="F17" s="315" t="str">
        <f>IF($R17=1,"取消し",VLOOKUP($D17,'1-2'!$D$4:$L$103,3))</f>
        <v>全国高等学校長協会総会資料</v>
      </c>
      <c r="G17" s="224">
        <f>IF($R17=1,,VLOOKUP($D17,'1-2'!$D$4:$L$103,4))</f>
        <v>3000</v>
      </c>
      <c r="H17" s="316">
        <f>IF($R17=1,,VLOOKUP($D17,'1-2'!$D$4:$L$103,5))</f>
        <v>1</v>
      </c>
      <c r="I17" s="316">
        <f>IF($R17=1,,VLOOKUP($D17,'1-2'!$D$4:$L$103,6))</f>
        <v>1</v>
      </c>
      <c r="J17" s="317">
        <f>IF($R17=1,,VLOOKUP($D17,'1-2'!$D$4:$L$103,7))</f>
        <v>3000</v>
      </c>
      <c r="K17" s="318" t="str">
        <f t="shared" si="5"/>
        <v>全国高等学校長協会総会資料</v>
      </c>
      <c r="L17" s="319">
        <v>3000</v>
      </c>
      <c r="M17" s="320">
        <f t="shared" si="7"/>
        <v>1</v>
      </c>
      <c r="N17" s="320">
        <f t="shared" si="8"/>
        <v>1</v>
      </c>
      <c r="O17" s="309">
        <f t="shared" si="2"/>
        <v>3000</v>
      </c>
      <c r="P17" s="310">
        <f>IF($R17=1,"",VLOOKUP($D17,'1-2'!$D$4:$L$103,8))</f>
        <v>0</v>
      </c>
      <c r="Q17" s="311"/>
      <c r="R17" s="25">
        <f>IF(ISNA(MATCH($D17,'随時②-2'!$D$4:$D$18,0)),0,1)</f>
        <v>0</v>
      </c>
      <c r="S17" s="63">
        <f t="shared" si="1"/>
      </c>
      <c r="T17" s="63">
        <f t="shared" si="3"/>
      </c>
      <c r="U17" s="5">
        <f t="shared" si="4"/>
        <v>7</v>
      </c>
    </row>
    <row r="18" spans="1:21" ht="13.5" customHeight="1">
      <c r="A18" s="312">
        <f>'1-2'!A18</f>
        <v>0</v>
      </c>
      <c r="B18" s="313">
        <f>'1-2'!B18</f>
        <v>0</v>
      </c>
      <c r="C18" s="480">
        <f>'1-2'!C18</f>
        <v>0</v>
      </c>
      <c r="D18" s="254">
        <v>15</v>
      </c>
      <c r="E18" s="314">
        <f>IF($R18=1,"",VLOOKUP($D18,'1-2'!$D$4:$L$103,2))</f>
        <v>0</v>
      </c>
      <c r="F18" s="315">
        <f>IF($R18=1,"取消し",VLOOKUP($D18,'1-2'!$D$4:$L$103,3))</f>
        <v>0</v>
      </c>
      <c r="G18" s="224">
        <f>IF($R18=1,,VLOOKUP($D18,'1-2'!$D$4:$L$103,4))</f>
        <v>0</v>
      </c>
      <c r="H18" s="316">
        <f>IF($R18=1,,VLOOKUP($D18,'1-2'!$D$4:$L$103,5))</f>
        <v>0</v>
      </c>
      <c r="I18" s="316">
        <f>IF($R18=1,,VLOOKUP($D18,'1-2'!$D$4:$L$103,6))</f>
        <v>0</v>
      </c>
      <c r="J18" s="317">
        <f>IF($R18=1,,VLOOKUP($D18,'1-2'!$D$4:$L$103,7))</f>
        <v>0</v>
      </c>
      <c r="K18" s="318">
        <f t="shared" si="5"/>
        <v>0</v>
      </c>
      <c r="L18" s="319">
        <f t="shared" si="9"/>
        <v>0</v>
      </c>
      <c r="M18" s="320">
        <f t="shared" si="7"/>
        <v>0</v>
      </c>
      <c r="N18" s="320">
        <f t="shared" si="8"/>
        <v>0</v>
      </c>
      <c r="O18" s="309">
        <f t="shared" si="2"/>
        <v>0</v>
      </c>
      <c r="P18" s="310">
        <f>IF($R18=1,"",VLOOKUP($D18,'1-2'!$D$4:$L$103,8))</f>
        <v>0</v>
      </c>
      <c r="Q18" s="311">
        <f>IF($R18=1,"",VLOOKUP($D18,'1-2'!$D$4:$L$103,9))</f>
        <v>0</v>
      </c>
      <c r="R18" s="25">
        <f>IF(ISNA(MATCH($D18,'随時②-2'!$D$4:$D$18,0)),0,1)</f>
        <v>0</v>
      </c>
      <c r="S18" s="63">
        <f t="shared" si="1"/>
      </c>
      <c r="T18" s="63">
        <f t="shared" si="3"/>
      </c>
      <c r="U18" s="5">
        <f t="shared" si="4"/>
      </c>
    </row>
    <row r="19" spans="1:21" ht="13.5" customHeight="1">
      <c r="A19" s="312">
        <f>'1-2'!A19</f>
        <v>0</v>
      </c>
      <c r="B19" s="313">
        <f>'1-2'!B19</f>
        <v>0</v>
      </c>
      <c r="C19" s="480">
        <f>'1-2'!C19</f>
        <v>0</v>
      </c>
      <c r="D19" s="254">
        <v>16</v>
      </c>
      <c r="E19" s="314">
        <f>IF($R19=1,"",VLOOKUP($D19,'1-2'!$D$4:$L$103,2))</f>
        <v>0</v>
      </c>
      <c r="F19" s="315">
        <f>IF($R19=1,"取消し",VLOOKUP($D19,'1-2'!$D$4:$L$103,3))</f>
        <v>0</v>
      </c>
      <c r="G19" s="224">
        <f>IF($R19=1,,VLOOKUP($D19,'1-2'!$D$4:$L$103,4))</f>
        <v>0</v>
      </c>
      <c r="H19" s="316">
        <f>IF($R19=1,,VLOOKUP($D19,'1-2'!$D$4:$L$103,5))</f>
        <v>0</v>
      </c>
      <c r="I19" s="316">
        <f>IF($R19=1,,VLOOKUP($D19,'1-2'!$D$4:$L$103,6))</f>
        <v>0</v>
      </c>
      <c r="J19" s="317">
        <f>IF($R19=1,,VLOOKUP($D19,'1-2'!$D$4:$L$103,7))</f>
        <v>0</v>
      </c>
      <c r="K19" s="318">
        <f t="shared" si="5"/>
        <v>0</v>
      </c>
      <c r="L19" s="319">
        <f t="shared" si="9"/>
        <v>0</v>
      </c>
      <c r="M19" s="320">
        <f t="shared" si="7"/>
        <v>0</v>
      </c>
      <c r="N19" s="320">
        <f t="shared" si="8"/>
        <v>0</v>
      </c>
      <c r="O19" s="309">
        <f t="shared" si="2"/>
        <v>0</v>
      </c>
      <c r="P19" s="310">
        <f>IF($R19=1,"",VLOOKUP($D19,'1-2'!$D$4:$L$103,8))</f>
        <v>0</v>
      </c>
      <c r="Q19" s="311">
        <f>IF($R19=1,"",VLOOKUP($D19,'1-2'!$D$4:$L$103,9))</f>
        <v>0</v>
      </c>
      <c r="R19" s="25">
        <f>IF(ISNA(MATCH($D19,'随時②-2'!$D$4:$D$18,0)),0,1)</f>
        <v>0</v>
      </c>
      <c r="S19" s="63">
        <f t="shared" si="1"/>
      </c>
      <c r="T19" s="63">
        <f t="shared" si="3"/>
      </c>
      <c r="U19" s="5">
        <f t="shared" si="4"/>
      </c>
    </row>
    <row r="20" spans="1:21" ht="13.5" customHeight="1">
      <c r="A20" s="312">
        <f>'1-2'!A20</f>
        <v>0</v>
      </c>
      <c r="B20" s="313">
        <f>'1-2'!B20</f>
        <v>0</v>
      </c>
      <c r="C20" s="480">
        <f>'1-2'!C20</f>
        <v>0</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f t="shared" si="5"/>
        <v>0</v>
      </c>
      <c r="L20" s="319">
        <f t="shared" si="9"/>
        <v>0</v>
      </c>
      <c r="M20" s="320">
        <f t="shared" si="7"/>
        <v>0</v>
      </c>
      <c r="N20" s="320">
        <f t="shared" si="8"/>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c r="A21" s="312">
        <f>'1-2'!A21</f>
        <v>0</v>
      </c>
      <c r="B21" s="313">
        <f>'1-2'!B21</f>
        <v>0</v>
      </c>
      <c r="C21" s="480">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5"/>
        <v>0</v>
      </c>
      <c r="L21" s="319">
        <f t="shared" si="9"/>
        <v>0</v>
      </c>
      <c r="M21" s="320">
        <f t="shared" si="7"/>
        <v>0</v>
      </c>
      <c r="N21" s="320">
        <f t="shared" si="8"/>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80">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9"/>
        <v>0</v>
      </c>
      <c r="M22" s="320">
        <f t="shared" si="7"/>
        <v>0</v>
      </c>
      <c r="N22" s="320">
        <f t="shared" si="8"/>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80">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9"/>
        <v>0</v>
      </c>
      <c r="M23" s="320">
        <f t="shared" si="7"/>
        <v>0</v>
      </c>
      <c r="N23" s="320">
        <f t="shared" si="8"/>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80">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9"/>
        <v>0</v>
      </c>
      <c r="M24" s="320">
        <f t="shared" si="7"/>
        <v>0</v>
      </c>
      <c r="N24" s="320">
        <f t="shared" si="8"/>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80">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9"/>
        <v>0</v>
      </c>
      <c r="M25" s="320">
        <f t="shared" si="7"/>
        <v>0</v>
      </c>
      <c r="N25" s="320">
        <f t="shared" si="8"/>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80">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9"/>
        <v>0</v>
      </c>
      <c r="M26" s="320">
        <f t="shared" si="7"/>
        <v>0</v>
      </c>
      <c r="N26" s="320">
        <f t="shared" si="8"/>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80">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9"/>
        <v>0</v>
      </c>
      <c r="M27" s="320">
        <f t="shared" si="7"/>
        <v>0</v>
      </c>
      <c r="N27" s="320">
        <f t="shared" si="8"/>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80">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9"/>
        <v>0</v>
      </c>
      <c r="M28" s="320">
        <f t="shared" si="7"/>
        <v>0</v>
      </c>
      <c r="N28" s="320">
        <f t="shared" si="8"/>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80">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9"/>
        <v>0</v>
      </c>
      <c r="M29" s="320">
        <f t="shared" si="7"/>
        <v>0</v>
      </c>
      <c r="N29" s="320">
        <f t="shared" si="8"/>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80">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9"/>
        <v>0</v>
      </c>
      <c r="M30" s="320">
        <f t="shared" si="7"/>
        <v>0</v>
      </c>
      <c r="N30" s="320">
        <f t="shared" si="8"/>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80">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9"/>
        <v>0</v>
      </c>
      <c r="M31" s="320">
        <f t="shared" si="7"/>
        <v>0</v>
      </c>
      <c r="N31" s="320">
        <f t="shared" si="8"/>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80">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9"/>
        <v>0</v>
      </c>
      <c r="M32" s="320">
        <f t="shared" si="7"/>
        <v>0</v>
      </c>
      <c r="N32" s="320">
        <f t="shared" si="8"/>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80">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9"/>
        <v>0</v>
      </c>
      <c r="M33" s="320">
        <f t="shared" si="7"/>
        <v>0</v>
      </c>
      <c r="N33" s="320">
        <f t="shared" si="8"/>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80">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9"/>
        <v>0</v>
      </c>
      <c r="M34" s="320">
        <f t="shared" si="7"/>
        <v>0</v>
      </c>
      <c r="N34" s="320">
        <f t="shared" si="8"/>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80">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9"/>
        <v>0</v>
      </c>
      <c r="M35" s="320">
        <f t="shared" si="7"/>
        <v>0</v>
      </c>
      <c r="N35" s="320">
        <f t="shared" si="8"/>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80">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9"/>
        <v>0</v>
      </c>
      <c r="M36" s="320">
        <f t="shared" si="7"/>
        <v>0</v>
      </c>
      <c r="N36" s="320">
        <f t="shared" si="8"/>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80">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9"/>
        <v>0</v>
      </c>
      <c r="M37" s="320">
        <f t="shared" si="7"/>
        <v>0</v>
      </c>
      <c r="N37" s="320">
        <f t="shared" si="8"/>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80">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9"/>
        <v>0</v>
      </c>
      <c r="M38" s="320">
        <f t="shared" si="7"/>
        <v>0</v>
      </c>
      <c r="N38" s="320">
        <f t="shared" si="8"/>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80">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9"/>
        <v>0</v>
      </c>
      <c r="M39" s="320">
        <f t="shared" si="7"/>
        <v>0</v>
      </c>
      <c r="N39" s="320">
        <f t="shared" si="8"/>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80">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9"/>
        <v>0</v>
      </c>
      <c r="M40" s="320">
        <f t="shared" si="7"/>
        <v>0</v>
      </c>
      <c r="N40" s="320">
        <f t="shared" si="8"/>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80">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9"/>
        <v>0</v>
      </c>
      <c r="M41" s="320">
        <f t="shared" si="7"/>
        <v>0</v>
      </c>
      <c r="N41" s="320">
        <f t="shared" si="8"/>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80">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9"/>
        <v>0</v>
      </c>
      <c r="M42" s="320">
        <f t="shared" si="7"/>
        <v>0</v>
      </c>
      <c r="N42" s="320">
        <f t="shared" si="8"/>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80">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9"/>
        <v>0</v>
      </c>
      <c r="M43" s="320">
        <f t="shared" si="7"/>
        <v>0</v>
      </c>
      <c r="N43" s="320">
        <f t="shared" si="8"/>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80">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9"/>
        <v>0</v>
      </c>
      <c r="M44" s="320">
        <f t="shared" si="7"/>
        <v>0</v>
      </c>
      <c r="N44" s="320">
        <f t="shared" si="8"/>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80">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9"/>
        <v>0</v>
      </c>
      <c r="M45" s="320">
        <f t="shared" si="7"/>
        <v>0</v>
      </c>
      <c r="N45" s="320">
        <f t="shared" si="8"/>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80">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9"/>
        <v>0</v>
      </c>
      <c r="M46" s="320">
        <f t="shared" si="7"/>
        <v>0</v>
      </c>
      <c r="N46" s="320">
        <f t="shared" si="8"/>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80">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9"/>
        <v>0</v>
      </c>
      <c r="M47" s="320">
        <f t="shared" si="7"/>
        <v>0</v>
      </c>
      <c r="N47" s="320">
        <f t="shared" si="8"/>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80">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9"/>
        <v>0</v>
      </c>
      <c r="M48" s="320">
        <f t="shared" si="7"/>
        <v>0</v>
      </c>
      <c r="N48" s="320">
        <f t="shared" si="8"/>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80">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9"/>
        <v>0</v>
      </c>
      <c r="M49" s="320">
        <f t="shared" si="7"/>
        <v>0</v>
      </c>
      <c r="N49" s="320">
        <f t="shared" si="8"/>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80">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9"/>
        <v>0</v>
      </c>
      <c r="M50" s="320">
        <f t="shared" si="7"/>
        <v>0</v>
      </c>
      <c r="N50" s="320">
        <f t="shared" si="8"/>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80">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9"/>
        <v>0</v>
      </c>
      <c r="M51" s="320">
        <f t="shared" si="7"/>
        <v>0</v>
      </c>
      <c r="N51" s="320">
        <f t="shared" si="8"/>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80">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9"/>
        <v>0</v>
      </c>
      <c r="M52" s="320">
        <f t="shared" si="7"/>
        <v>0</v>
      </c>
      <c r="N52" s="320">
        <f t="shared" si="8"/>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80">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9"/>
        <v>0</v>
      </c>
      <c r="M53" s="320">
        <f t="shared" si="7"/>
        <v>0</v>
      </c>
      <c r="N53" s="320">
        <f t="shared" si="8"/>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80">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9"/>
        <v>0</v>
      </c>
      <c r="M54" s="320">
        <f t="shared" si="7"/>
        <v>0</v>
      </c>
      <c r="N54" s="320">
        <f t="shared" si="8"/>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80">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9"/>
        <v>0</v>
      </c>
      <c r="M55" s="320">
        <f t="shared" si="7"/>
        <v>0</v>
      </c>
      <c r="N55" s="320">
        <f t="shared" si="8"/>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80">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9"/>
        <v>0</v>
      </c>
      <c r="M56" s="320">
        <f t="shared" si="7"/>
        <v>0</v>
      </c>
      <c r="N56" s="320">
        <f t="shared" si="8"/>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80">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9"/>
        <v>0</v>
      </c>
      <c r="M57" s="320">
        <f t="shared" si="7"/>
        <v>0</v>
      </c>
      <c r="N57" s="320">
        <f t="shared" si="8"/>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80">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9"/>
        <v>0</v>
      </c>
      <c r="M58" s="320">
        <f t="shared" si="7"/>
        <v>0</v>
      </c>
      <c r="N58" s="320">
        <f t="shared" si="8"/>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80">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9"/>
        <v>0</v>
      </c>
      <c r="M59" s="320">
        <f t="shared" si="7"/>
        <v>0</v>
      </c>
      <c r="N59" s="320">
        <f t="shared" si="8"/>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80">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9"/>
        <v>0</v>
      </c>
      <c r="M60" s="320">
        <f t="shared" si="7"/>
        <v>0</v>
      </c>
      <c r="N60" s="320">
        <f t="shared" si="8"/>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80">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9"/>
        <v>0</v>
      </c>
      <c r="M61" s="320">
        <f t="shared" si="7"/>
        <v>0</v>
      </c>
      <c r="N61" s="320">
        <f t="shared" si="8"/>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80">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9"/>
        <v>0</v>
      </c>
      <c r="M62" s="320">
        <f t="shared" si="7"/>
        <v>0</v>
      </c>
      <c r="N62" s="320">
        <f t="shared" si="8"/>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80">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9"/>
        <v>0</v>
      </c>
      <c r="M63" s="320">
        <f t="shared" si="7"/>
        <v>0</v>
      </c>
      <c r="N63" s="320">
        <f t="shared" si="8"/>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80">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9"/>
        <v>0</v>
      </c>
      <c r="M64" s="320">
        <f t="shared" si="7"/>
        <v>0</v>
      </c>
      <c r="N64" s="320">
        <f t="shared" si="8"/>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80">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9"/>
        <v>0</v>
      </c>
      <c r="M65" s="320">
        <f t="shared" si="7"/>
        <v>0</v>
      </c>
      <c r="N65" s="320">
        <f t="shared" si="8"/>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80">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9"/>
        <v>0</v>
      </c>
      <c r="M66" s="320">
        <f t="shared" si="7"/>
        <v>0</v>
      </c>
      <c r="N66" s="320">
        <f t="shared" si="8"/>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80">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9"/>
        <v>0</v>
      </c>
      <c r="M67" s="320">
        <f t="shared" si="7"/>
        <v>0</v>
      </c>
      <c r="N67" s="320">
        <f t="shared" si="8"/>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80">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9"/>
        <v>0</v>
      </c>
      <c r="M68" s="320">
        <f t="shared" si="7"/>
        <v>0</v>
      </c>
      <c r="N68" s="320">
        <f t="shared" si="8"/>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80">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9"/>
        <v>0</v>
      </c>
      <c r="M69" s="320">
        <f t="shared" si="7"/>
        <v>0</v>
      </c>
      <c r="N69" s="320">
        <f t="shared" si="8"/>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80">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2">F70</f>
        <v>0</v>
      </c>
      <c r="L70" s="319">
        <f t="shared" si="9"/>
        <v>0</v>
      </c>
      <c r="M70" s="320">
        <f t="shared" si="7"/>
        <v>0</v>
      </c>
      <c r="N70" s="320">
        <f t="shared" si="8"/>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80">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9"/>
        <v>0</v>
      </c>
      <c r="M71" s="320">
        <f t="shared" si="7"/>
        <v>0</v>
      </c>
      <c r="N71" s="320">
        <f t="shared" si="8"/>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80">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9"/>
        <v>0</v>
      </c>
      <c r="M72" s="320">
        <f t="shared" si="7"/>
        <v>0</v>
      </c>
      <c r="N72" s="320">
        <f t="shared" si="8"/>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80">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9"/>
        <v>0</v>
      </c>
      <c r="M73" s="320">
        <f t="shared" si="7"/>
        <v>0</v>
      </c>
      <c r="N73" s="320">
        <f t="shared" si="8"/>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80">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9"/>
        <v>0</v>
      </c>
      <c r="M74" s="320">
        <f t="shared" si="7"/>
        <v>0</v>
      </c>
      <c r="N74" s="320">
        <f t="shared" si="8"/>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80">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80">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80">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80">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80">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80">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80">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80">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80">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80">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80">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80">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80">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80">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80">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80">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80">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80">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80">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80">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80">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80">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80">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80">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80">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80">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80">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80">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1">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82">
        <f>'随時①-2'!C4</f>
        <v>0</v>
      </c>
      <c r="D104" s="263">
        <v>101</v>
      </c>
      <c r="E104" s="315">
        <f>IF($R104=1,"",VLOOKUP($D104,'随時①-2'!$D$4:$L$23,2))</f>
        <v>0</v>
      </c>
      <c r="F104" s="315">
        <f>IF($R104=1,"取消し",VLOOKUP($D104,'随時①-2'!$D$4:$L$23,3))</f>
        <v>0</v>
      </c>
      <c r="G104" s="224">
        <f>IF($R104=1,,VLOOKUP($D104,'随時①-2'!$D$4:$L$23,4))</f>
        <v>0</v>
      </c>
      <c r="H104" s="316">
        <f>IF($R104=1,,VLOOKUP($D104,'随時①-2'!$D$4:$L$23,5))</f>
        <v>0</v>
      </c>
      <c r="I104" s="316">
        <f>IF($R104=1,,VLOOKUP($D104,'随時①-2'!$D$4:$L$23,6))</f>
        <v>0</v>
      </c>
      <c r="J104" s="224">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82">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2">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2">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2">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2">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2">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2">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2">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2">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2">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2">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2">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2">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2">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2">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2">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2">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2">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1">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82">
        <f>'随時②-2'!C21</f>
        <v>0</v>
      </c>
      <c r="D124" s="263">
        <v>201</v>
      </c>
      <c r="E124" s="315" t="str">
        <f>IF($R124=1,"",VLOOKUP($D124,'随時②-2'!$D$21:$L$35,2))</f>
        <v>負担金、補助及び交付金</v>
      </c>
      <c r="F124" s="315" t="str">
        <f>IF($R124=1,"取消し",VLOOKUP($D124,'随時②-2'!$D$21:$L$35,3))</f>
        <v>大阪府高等学校図書館研究会</v>
      </c>
      <c r="G124" s="224">
        <f>IF($R124=1,,VLOOKUP($D124,'随時②-2'!$D$21:$L$35,4))</f>
        <v>3000</v>
      </c>
      <c r="H124" s="316">
        <f>IF($R124=1,,VLOOKUP($D124,'随時②-2'!$D$21:$L$35,5))</f>
        <v>1</v>
      </c>
      <c r="I124" s="316">
        <f>IF($R124=1,,VLOOKUP($D124,'随時②-2'!$D$21:$L$35,6))</f>
        <v>1</v>
      </c>
      <c r="J124" s="317">
        <f>IF($R124=1,,VLOOKUP($D124,'随時②-2'!$D$21:$L$35,7))</f>
        <v>3000</v>
      </c>
      <c r="K124" s="339" t="str">
        <f t="shared" si="14"/>
        <v>大阪府高等学校図書館研究会</v>
      </c>
      <c r="L124" s="340">
        <v>3000</v>
      </c>
      <c r="M124" s="308">
        <f t="shared" si="16"/>
        <v>1</v>
      </c>
      <c r="N124" s="308">
        <f t="shared" si="17"/>
        <v>1</v>
      </c>
      <c r="O124" s="342">
        <f t="shared" si="11"/>
        <v>3000</v>
      </c>
      <c r="P124" s="343">
        <f>IF($R124=1,"",VLOOKUP($D124,'随時②-2'!$D$21:$L$35,8))</f>
        <v>0</v>
      </c>
      <c r="Q124" s="344"/>
      <c r="R124" s="25">
        <f>IF(ISNA(MATCH($D124,'随時②-2'!$D$4:$D$18,0)),0,1)</f>
        <v>0</v>
      </c>
      <c r="S124" s="63">
        <f t="shared" si="10"/>
      </c>
      <c r="T124" s="63">
        <f t="shared" si="12"/>
      </c>
      <c r="U124" s="5">
        <f t="shared" si="13"/>
        <v>9</v>
      </c>
    </row>
    <row r="125" spans="1:21" ht="13.5" customHeight="1">
      <c r="A125" s="312">
        <f>'随時②-2'!A22</f>
        <v>1</v>
      </c>
      <c r="B125" s="313" t="str">
        <f>'随時②-2'!B22</f>
        <v>3-5-(1)</v>
      </c>
      <c r="C125" s="480" t="str">
        <f>'随時②-2'!C22</f>
        <v>情報発信の刷新</v>
      </c>
      <c r="D125" s="254">
        <v>202</v>
      </c>
      <c r="E125" s="314" t="str">
        <f>IF($R125=1,"",VLOOKUP($D125,'随時②-2'!$D$21:$L$35,2))</f>
        <v>消耗需用費</v>
      </c>
      <c r="F125" s="314" t="str">
        <f>IF($R125=1,"取消し",VLOOKUP($D125,'随時②-2'!$D$21:$L$35,3))</f>
        <v>学校案内パンフレット　　7,000部</v>
      </c>
      <c r="G125" s="321">
        <f>IF($R125=1,,VLOOKUP($D125,'随時②-2'!$D$21:$L$35,4))</f>
        <v>69000</v>
      </c>
      <c r="H125" s="322">
        <f>IF($R125=1,,VLOOKUP($D125,'随時②-2'!$D$21:$L$35,5))</f>
        <v>1</v>
      </c>
      <c r="I125" s="322">
        <f>IF($R125=1,,VLOOKUP($D125,'随時②-2'!$D$21:$L$35,6))</f>
        <v>1</v>
      </c>
      <c r="J125" s="323">
        <f>IF($R125=1,,VLOOKUP($D125,'随時②-2'!$D$21:$L$35,7))</f>
        <v>69000</v>
      </c>
      <c r="K125" s="318" t="str">
        <f t="shared" si="14"/>
        <v>学校案内パンフレット　　7,000部</v>
      </c>
      <c r="L125" s="319">
        <v>102600</v>
      </c>
      <c r="M125" s="341">
        <f t="shared" si="16"/>
        <v>1</v>
      </c>
      <c r="N125" s="341">
        <f t="shared" si="17"/>
        <v>1</v>
      </c>
      <c r="O125" s="309">
        <f t="shared" si="11"/>
        <v>102600</v>
      </c>
      <c r="P125" s="310">
        <f>IF($R125=1,"",VLOOKUP($D125,'随時②-2'!$D$21:$L$35,8))</f>
        <v>0</v>
      </c>
      <c r="Q125" s="311"/>
      <c r="R125" s="25">
        <f>IF(ISNA(MATCH($D125,'随時②-2'!$D$4:$D$18,0)),0,1)</f>
        <v>0</v>
      </c>
      <c r="S125" s="63">
        <f t="shared" si="10"/>
      </c>
      <c r="T125" s="63">
        <f t="shared" si="12"/>
      </c>
      <c r="U125" s="5">
        <f t="shared" si="13"/>
        <v>7</v>
      </c>
    </row>
    <row r="126" spans="1:21" ht="13.5" customHeight="1">
      <c r="A126" s="312">
        <f>'随時②-2'!A23</f>
        <v>0</v>
      </c>
      <c r="B126" s="313" t="str">
        <f>'随時②-2'!B23</f>
        <v>〃</v>
      </c>
      <c r="C126" s="480" t="str">
        <f>'随時②-2'!C23</f>
        <v>〃</v>
      </c>
      <c r="D126" s="254">
        <v>203</v>
      </c>
      <c r="E126" s="314" t="str">
        <f>IF($R126=1,"",VLOOKUP($D126,'随時②-2'!$D$21:$L$35,2))</f>
        <v>消耗需用費</v>
      </c>
      <c r="F126" s="314" t="str">
        <f>IF($R126=1,"取消し",VLOOKUP($D126,'随時②-2'!$D$21:$L$35,3))</f>
        <v>広報用不織布バッグ校名入り　1,000枚</v>
      </c>
      <c r="G126" s="321">
        <f>IF($R126=1,,VLOOKUP($D126,'随時②-2'!$D$21:$L$35,4))</f>
        <v>97000</v>
      </c>
      <c r="H126" s="322">
        <f>IF($R126=1,,VLOOKUP($D126,'随時②-2'!$D$21:$L$35,5))</f>
        <v>1</v>
      </c>
      <c r="I126" s="322">
        <f>IF($R126=1,,VLOOKUP($D126,'随時②-2'!$D$21:$L$35,6))</f>
        <v>1</v>
      </c>
      <c r="J126" s="323">
        <f>IF($R126=1,,VLOOKUP($D126,'随時②-2'!$D$21:$L$35,7))</f>
        <v>97000</v>
      </c>
      <c r="K126" s="318" t="str">
        <f t="shared" si="14"/>
        <v>広報用不織布バッグ校名入り　1,000枚</v>
      </c>
      <c r="L126" s="319">
        <v>86400</v>
      </c>
      <c r="M126" s="320">
        <f t="shared" si="16"/>
        <v>1</v>
      </c>
      <c r="N126" s="341">
        <f t="shared" si="17"/>
        <v>1</v>
      </c>
      <c r="O126" s="309">
        <f t="shared" si="11"/>
        <v>86400</v>
      </c>
      <c r="P126" s="310">
        <f>IF($R126=1,"",VLOOKUP($D126,'随時②-2'!$D$21:$L$35,8))</f>
        <v>0</v>
      </c>
      <c r="Q126" s="311"/>
      <c r="R126" s="25">
        <f>IF(ISNA(MATCH($D126,'随時②-2'!$D$4:$D$18,0)),0,1)</f>
        <v>0</v>
      </c>
      <c r="S126" s="63">
        <f t="shared" si="10"/>
      </c>
      <c r="T126" s="63">
        <f t="shared" si="12"/>
      </c>
      <c r="U126" s="5">
        <f t="shared" si="13"/>
        <v>7</v>
      </c>
    </row>
    <row r="127" spans="1:21" ht="13.5" customHeight="1">
      <c r="A127" s="312">
        <f>'随時②-2'!A24</f>
        <v>0</v>
      </c>
      <c r="B127" s="313" t="str">
        <f>'随時②-2'!B24</f>
        <v>〃</v>
      </c>
      <c r="C127" s="480" t="str">
        <f>'随時②-2'!C24</f>
        <v>〃</v>
      </c>
      <c r="D127" s="254">
        <v>204</v>
      </c>
      <c r="E127" s="314" t="str">
        <f>IF($R127=1,"",VLOOKUP($D127,'随時②-2'!$D$21:$L$35,2))</f>
        <v>消耗需用費</v>
      </c>
      <c r="F127" s="314" t="str">
        <f>IF($R127=1,"取消し",VLOOKUP($D127,'随時②-2'!$D$21:$L$35,3))</f>
        <v>小中学生理科実験教室材料費</v>
      </c>
      <c r="G127" s="321">
        <f>IF($R127=1,,VLOOKUP($D127,'随時②-2'!$D$21:$L$35,4))</f>
        <v>10000</v>
      </c>
      <c r="H127" s="322">
        <f>IF($R127=1,,VLOOKUP($D127,'随時②-2'!$D$21:$L$35,5))</f>
        <v>1</v>
      </c>
      <c r="I127" s="322">
        <f>IF($R127=1,,VLOOKUP($D127,'随時②-2'!$D$21:$L$35,6))</f>
        <v>1</v>
      </c>
      <c r="J127" s="323">
        <f>IF($R127=1,,VLOOKUP($D127,'随時②-2'!$D$21:$L$35,7))</f>
        <v>10000</v>
      </c>
      <c r="K127" s="318" t="str">
        <f t="shared" si="14"/>
        <v>小中学生理科実験教室材料費</v>
      </c>
      <c r="L127" s="319">
        <v>0</v>
      </c>
      <c r="M127" s="320">
        <f t="shared" si="16"/>
        <v>1</v>
      </c>
      <c r="N127" s="320">
        <f t="shared" si="17"/>
        <v>1</v>
      </c>
      <c r="O127" s="309">
        <f t="shared" si="11"/>
        <v>0</v>
      </c>
      <c r="P127" s="310">
        <f>IF($R127=1,"",VLOOKUP($D127,'随時②-2'!$D$21:$L$35,8))</f>
        <v>0</v>
      </c>
      <c r="Q127" s="311"/>
      <c r="R127" s="25">
        <f>IF(ISNA(MATCH($D127,'随時②-2'!$D$4:$D$18,0)),0,1)</f>
        <v>0</v>
      </c>
      <c r="S127" s="63">
        <f t="shared" si="10"/>
      </c>
      <c r="T127" s="63">
        <f t="shared" si="12"/>
      </c>
      <c r="U127" s="5">
        <f t="shared" si="13"/>
        <v>7</v>
      </c>
    </row>
    <row r="128" spans="1:21" ht="13.5" customHeight="1">
      <c r="A128" s="312">
        <f>'随時②-2'!A25</f>
        <v>3</v>
      </c>
      <c r="B128" s="313" t="str">
        <f>'随時②-2'!B25</f>
        <v>3-3-(1)</v>
      </c>
      <c r="C128" s="480" t="str">
        <f>'随時②-2'!C25</f>
        <v>人権教育の充実</v>
      </c>
      <c r="D128" s="254">
        <v>205</v>
      </c>
      <c r="E128" s="314" t="str">
        <f>IF($R128=1,"",VLOOKUP($D128,'随時②-2'!$D$21:$L$35,2))</f>
        <v>旅費</v>
      </c>
      <c r="F128" s="314" t="str">
        <f>IF($R128=1,"取消し",VLOOKUP($D128,'随時②-2'!$D$21:$L$35,3))</f>
        <v>全国高等学校長協会人権教育研究協議会</v>
      </c>
      <c r="G128" s="321">
        <f>IF($R128=1,,VLOOKUP($D128,'随時②-2'!$D$21:$L$35,4))</f>
        <v>30000</v>
      </c>
      <c r="H128" s="322">
        <f>IF($R128=1,,VLOOKUP($D128,'随時②-2'!$D$21:$L$35,5))</f>
        <v>1</v>
      </c>
      <c r="I128" s="322">
        <f>IF($R128=1,,VLOOKUP($D128,'随時②-2'!$D$21:$L$35,6))</f>
        <v>1</v>
      </c>
      <c r="J128" s="323">
        <f>IF($R128=1,,VLOOKUP($D128,'随時②-2'!$D$21:$L$35,7))</f>
        <v>30000</v>
      </c>
      <c r="K128" s="318" t="str">
        <f t="shared" si="14"/>
        <v>全国高等学校長協会人権教育研究協議会</v>
      </c>
      <c r="L128" s="319">
        <v>0</v>
      </c>
      <c r="M128" s="320">
        <f t="shared" si="16"/>
        <v>1</v>
      </c>
      <c r="N128" s="320">
        <f t="shared" si="17"/>
        <v>1</v>
      </c>
      <c r="O128" s="309">
        <f t="shared" si="11"/>
        <v>0</v>
      </c>
      <c r="P128" s="310">
        <f>IF($R128=1,"",VLOOKUP($D128,'随時②-2'!$D$21:$L$35,8))</f>
        <v>0</v>
      </c>
      <c r="Q128" s="311"/>
      <c r="R128" s="25">
        <f>IF(ISNA(MATCH($D128,'随時②-2'!$D$4:$D$18,0)),0,1)</f>
        <v>0</v>
      </c>
      <c r="S128" s="63">
        <f>IF(P128="◎",J128,"")</f>
      </c>
      <c r="T128" s="63">
        <f>IF(P128="◎",O128,"")</f>
      </c>
      <c r="U128" s="5">
        <f t="shared" si="13"/>
        <v>2</v>
      </c>
    </row>
    <row r="129" spans="1:21" ht="13.5" customHeight="1">
      <c r="A129" s="312">
        <f>'随時②-2'!A26</f>
        <v>4</v>
      </c>
      <c r="B129" s="313" t="str">
        <f>'随時②-2'!B26</f>
        <v>3-1-(1)</v>
      </c>
      <c r="C129" s="480" t="str">
        <f>'随時②-2'!C26</f>
        <v>魅力ある授業づくり</v>
      </c>
      <c r="D129" s="254">
        <v>206</v>
      </c>
      <c r="E129" s="314" t="str">
        <f>IF($R129=1,"",VLOOKUP($D129,'随時②-2'!$D$21:$L$35,2))</f>
        <v>旅費</v>
      </c>
      <c r="F129" s="314" t="str">
        <f>IF($R129=1,"取消し",VLOOKUP($D129,'随時②-2'!$D$21:$L$35,3))</f>
        <v>教務研究会先進校視察</v>
      </c>
      <c r="G129" s="321">
        <f>IF($R129=1,,VLOOKUP($D129,'随時②-2'!$D$21:$L$35,4))</f>
        <v>40000</v>
      </c>
      <c r="H129" s="322">
        <f>IF($R129=1,,VLOOKUP($D129,'随時②-2'!$D$21:$L$35,5))</f>
        <v>3</v>
      </c>
      <c r="I129" s="322">
        <f>IF($R129=1,,VLOOKUP($D129,'随時②-2'!$D$21:$L$35,6))</f>
        <v>1</v>
      </c>
      <c r="J129" s="323">
        <f>IF($R129=1,,VLOOKUP($D129,'随時②-2'!$D$21:$L$35,7))</f>
        <v>120000</v>
      </c>
      <c r="K129" s="318" t="str">
        <f t="shared" si="14"/>
        <v>教務研究会先進校視察</v>
      </c>
      <c r="L129" s="319">
        <v>115818</v>
      </c>
      <c r="M129" s="320">
        <v>1</v>
      </c>
      <c r="N129" s="320">
        <f t="shared" si="17"/>
        <v>1</v>
      </c>
      <c r="O129" s="309">
        <f t="shared" si="11"/>
        <v>115818</v>
      </c>
      <c r="P129" s="310">
        <f>IF($R129=1,"",VLOOKUP($D129,'随時②-2'!$D$21:$L$35,8))</f>
        <v>0</v>
      </c>
      <c r="Q129" s="311"/>
      <c r="R129" s="25">
        <f>IF(ISNA(MATCH($D129,'随時②-2'!$D$4:$D$18,0)),0,1)</f>
        <v>0</v>
      </c>
      <c r="S129" s="63">
        <f aca="true" t="shared" si="18" ref="S129:S138">IF(P129="◎",J129,"")</f>
      </c>
      <c r="T129" s="63">
        <f aca="true" t="shared" si="19" ref="T129:T138">IF(P129="◎",O129,"")</f>
      </c>
      <c r="U129" s="5">
        <f t="shared" si="13"/>
        <v>2</v>
      </c>
    </row>
    <row r="130" spans="1:21" ht="13.5" customHeight="1">
      <c r="A130" s="312">
        <f>'随時②-2'!A27</f>
        <v>0</v>
      </c>
      <c r="B130" s="313" t="str">
        <f>'随時②-2'!B27</f>
        <v>〃</v>
      </c>
      <c r="C130" s="480" t="str">
        <f>'随時②-2'!C27</f>
        <v>〃</v>
      </c>
      <c r="D130" s="254">
        <v>207</v>
      </c>
      <c r="E130" s="314" t="str">
        <f>IF($R130=1,"",VLOOKUP($D130,'随時②-2'!$D$21:$L$35,2))</f>
        <v>旅費</v>
      </c>
      <c r="F130" s="314" t="str">
        <f>IF($R130=1,"取消し",VLOOKUP($D130,'随時②-2'!$D$21:$L$35,3))</f>
        <v>先進校視察</v>
      </c>
      <c r="G130" s="321">
        <f>IF($R130=1,,VLOOKUP($D130,'随時②-2'!$D$21:$L$35,4))</f>
        <v>3200</v>
      </c>
      <c r="H130" s="322">
        <f>IF($R130=1,,VLOOKUP($D130,'随時②-2'!$D$21:$L$35,5))</f>
        <v>4</v>
      </c>
      <c r="I130" s="322">
        <f>IF($R130=1,,VLOOKUP($D130,'随時②-2'!$D$21:$L$35,6))</f>
        <v>1</v>
      </c>
      <c r="J130" s="323">
        <f>IF($R130=1,,VLOOKUP($D130,'随時②-2'!$D$21:$L$35,7))</f>
        <v>12800</v>
      </c>
      <c r="K130" s="318" t="str">
        <f t="shared" si="14"/>
        <v>先進校視察</v>
      </c>
      <c r="L130" s="319">
        <v>14160</v>
      </c>
      <c r="M130" s="320">
        <v>1</v>
      </c>
      <c r="N130" s="320">
        <f t="shared" si="17"/>
        <v>1</v>
      </c>
      <c r="O130" s="309">
        <f t="shared" si="11"/>
        <v>14160</v>
      </c>
      <c r="P130" s="310">
        <f>IF($R130=1,"",VLOOKUP($D130,'随時②-2'!$D$21:$L$35,8))</f>
        <v>0</v>
      </c>
      <c r="Q130" s="311"/>
      <c r="R130" s="25">
        <f>IF(ISNA(MATCH($D130,'随時②-2'!$D$4:$D$18,0)),0,1)</f>
        <v>0</v>
      </c>
      <c r="S130" s="63">
        <f t="shared" si="18"/>
      </c>
      <c r="T130" s="63">
        <f t="shared" si="19"/>
      </c>
      <c r="U130" s="5">
        <f t="shared" si="13"/>
        <v>2</v>
      </c>
    </row>
    <row r="131" spans="1:21" ht="13.5" customHeight="1">
      <c r="A131" s="312">
        <f>'随時②-2'!A28</f>
        <v>0</v>
      </c>
      <c r="B131" s="313" t="str">
        <f>'随時②-2'!B28</f>
        <v>〃</v>
      </c>
      <c r="C131" s="480" t="str">
        <f>'随時②-2'!C28</f>
        <v>〃</v>
      </c>
      <c r="D131" s="254">
        <v>208</v>
      </c>
      <c r="E131" s="314" t="str">
        <f>IF($R131=1,"",VLOOKUP($D131,'随時②-2'!$D$21:$L$35,2))</f>
        <v>委託料</v>
      </c>
      <c r="F131" s="314" t="str">
        <f>IF($R131=1,"取消し",VLOOKUP($D131,'随時②-2'!$D$21:$L$35,3))</f>
        <v>授業アンケート集計業務委託</v>
      </c>
      <c r="G131" s="321">
        <f>IF($R131=1,,VLOOKUP($D131,'随時②-2'!$D$21:$L$35,4))</f>
        <v>56000</v>
      </c>
      <c r="H131" s="322">
        <f>IF($R131=1,,VLOOKUP($D131,'随時②-2'!$D$21:$L$35,5))</f>
        <v>1</v>
      </c>
      <c r="I131" s="322">
        <f>IF($R131=1,,VLOOKUP($D131,'随時②-2'!$D$21:$L$35,6))</f>
        <v>1</v>
      </c>
      <c r="J131" s="323">
        <f>IF($R131=1,,VLOOKUP($D131,'随時②-2'!$D$21:$L$35,7))</f>
        <v>56000</v>
      </c>
      <c r="K131" s="318" t="str">
        <f t="shared" si="14"/>
        <v>授業アンケート集計業務委託</v>
      </c>
      <c r="L131" s="319">
        <v>55728</v>
      </c>
      <c r="M131" s="320">
        <f t="shared" si="16"/>
        <v>1</v>
      </c>
      <c r="N131" s="320">
        <f t="shared" si="17"/>
        <v>1</v>
      </c>
      <c r="O131" s="309">
        <f t="shared" si="11"/>
        <v>55728</v>
      </c>
      <c r="P131" s="310">
        <f>IF($R131=1,"",VLOOKUP($D131,'随時②-2'!$D$21:$L$35,8))</f>
        <v>0</v>
      </c>
      <c r="Q131" s="311"/>
      <c r="R131" s="25">
        <f>IF(ISNA(MATCH($D131,'随時②-2'!$D$4:$D$18,0)),0,1)</f>
        <v>0</v>
      </c>
      <c r="S131" s="63">
        <f t="shared" si="18"/>
      </c>
      <c r="T131" s="63">
        <f t="shared" si="19"/>
      </c>
      <c r="U131" s="5">
        <f t="shared" si="13"/>
        <v>6</v>
      </c>
    </row>
    <row r="132" spans="1:21" ht="13.5" customHeight="1">
      <c r="A132" s="312">
        <f>'随時②-2'!A29</f>
        <v>0</v>
      </c>
      <c r="B132" s="313" t="str">
        <f>'随時②-2'!B29</f>
        <v>〃</v>
      </c>
      <c r="C132" s="480" t="str">
        <f>'随時②-2'!C29</f>
        <v>〃</v>
      </c>
      <c r="D132" s="254">
        <v>209</v>
      </c>
      <c r="E132" s="314" t="str">
        <f>IF($R132=1,"",VLOOKUP($D132,'随時②-2'!$D$21:$L$35,2))</f>
        <v>消耗需用費</v>
      </c>
      <c r="F132" s="314" t="str">
        <f>IF($R132=1,"取消し",VLOOKUP($D132,'随時②-2'!$D$21:$L$35,3))</f>
        <v>高大接続及び授業改善研修参加資料代</v>
      </c>
      <c r="G132" s="321">
        <f>IF($R132=1,,VLOOKUP($D132,'随時②-2'!$D$21:$L$35,4))</f>
        <v>10000</v>
      </c>
      <c r="H132" s="322">
        <f>IF($R132=1,,VLOOKUP($D132,'随時②-2'!$D$21:$L$35,5))</f>
        <v>1</v>
      </c>
      <c r="I132" s="322">
        <f>IF($R132=1,,VLOOKUP($D132,'随時②-2'!$D$21:$L$35,6))</f>
        <v>1</v>
      </c>
      <c r="J132" s="323">
        <f>IF($R132=1,,VLOOKUP($D132,'随時②-2'!$D$21:$L$35,7))</f>
        <v>10000</v>
      </c>
      <c r="K132" s="318" t="str">
        <f t="shared" si="14"/>
        <v>高大接続及び授業改善研修参加資料代</v>
      </c>
      <c r="L132" s="319">
        <v>0</v>
      </c>
      <c r="M132" s="320">
        <f t="shared" si="16"/>
        <v>1</v>
      </c>
      <c r="N132" s="320">
        <f t="shared" si="17"/>
        <v>1</v>
      </c>
      <c r="O132" s="309">
        <f t="shared" si="11"/>
        <v>0</v>
      </c>
      <c r="P132" s="310">
        <f>IF($R132=1,"",VLOOKUP($D132,'随時②-2'!$D$21:$L$35,8))</f>
        <v>0</v>
      </c>
      <c r="Q132" s="311"/>
      <c r="R132" s="25">
        <f>IF(ISNA(MATCH($D132,'随時②-2'!$D$4:$D$18,0)),0,1)</f>
        <v>0</v>
      </c>
      <c r="S132" s="63">
        <f t="shared" si="18"/>
      </c>
      <c r="T132" s="63">
        <f t="shared" si="19"/>
      </c>
      <c r="U132" s="5">
        <f t="shared" si="13"/>
        <v>7</v>
      </c>
    </row>
    <row r="133" spans="1:21" ht="13.5" customHeight="1">
      <c r="A133" s="312">
        <f>'随時②-2'!A30</f>
        <v>3</v>
      </c>
      <c r="B133" s="313" t="str">
        <f>'随時②-2'!B30</f>
        <v>3-3-(1)</v>
      </c>
      <c r="C133" s="480" t="str">
        <f>'随時②-2'!C30</f>
        <v>人権教育の充実</v>
      </c>
      <c r="D133" s="254">
        <v>210</v>
      </c>
      <c r="E133" s="314" t="str">
        <f>IF($R133=1,"",VLOOKUP($D133,'随時②-2'!$D$21:$L$35,2))</f>
        <v>消耗需用費</v>
      </c>
      <c r="F133" s="314" t="str">
        <f>IF($R133=1,"取消し",VLOOKUP($D133,'随時②-2'!$D$21:$L$35,3))</f>
        <v>人権教育研修参加資料代</v>
      </c>
      <c r="G133" s="321">
        <f>IF($R133=1,,VLOOKUP($D133,'随時②-2'!$D$21:$L$35,4))</f>
        <v>1000</v>
      </c>
      <c r="H133" s="322">
        <f>IF($R133=1,,VLOOKUP($D133,'随時②-2'!$D$21:$L$35,5))</f>
        <v>1</v>
      </c>
      <c r="I133" s="322">
        <f>IF($R133=1,,VLOOKUP($D133,'随時②-2'!$D$21:$L$35,6))</f>
        <v>2</v>
      </c>
      <c r="J133" s="323">
        <f>IF($R133=1,,VLOOKUP($D133,'随時②-2'!$D$21:$L$35,7))</f>
        <v>2000</v>
      </c>
      <c r="K133" s="318" t="str">
        <f aca="true" t="shared" si="20" ref="K133:K138">F133</f>
        <v>人権教育研修参加資料代</v>
      </c>
      <c r="L133" s="319">
        <v>0</v>
      </c>
      <c r="M133" s="320">
        <f t="shared" si="16"/>
        <v>1</v>
      </c>
      <c r="N133" s="320">
        <f t="shared" si="17"/>
        <v>2</v>
      </c>
      <c r="O133" s="309">
        <f aca="true" t="shared" si="21" ref="O133:O138">L133*M133*N133</f>
        <v>0</v>
      </c>
      <c r="P133" s="310">
        <f>IF($R133=1,"",VLOOKUP($D133,'随時②-2'!$D$21:$L$35,8))</f>
        <v>0</v>
      </c>
      <c r="Q133" s="311"/>
      <c r="R133" s="25">
        <f>IF(ISNA(MATCH($D133,'随時②-2'!$D$4:$D$18,0)),0,1)</f>
        <v>0</v>
      </c>
      <c r="S133" s="63">
        <f t="shared" si="18"/>
      </c>
      <c r="T133" s="63">
        <f t="shared" si="19"/>
      </c>
      <c r="U133" s="5">
        <f aca="true" t="shared" si="22" ref="U133:U138">IF($E133=0,"",VLOOKUP($E133,$V$5:$X$13,2))</f>
        <v>7</v>
      </c>
    </row>
    <row r="134" spans="1:21" ht="13.5" customHeight="1">
      <c r="A134" s="312">
        <f>'随時②-2'!A31</f>
        <v>0</v>
      </c>
      <c r="B134" s="313">
        <f>'随時②-2'!B31</f>
        <v>0</v>
      </c>
      <c r="C134" s="480">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 t="shared" si="20"/>
        <v>0</v>
      </c>
      <c r="L134" s="319">
        <f t="shared" si="15"/>
        <v>0</v>
      </c>
      <c r="M134" s="320">
        <f t="shared" si="16"/>
        <v>0</v>
      </c>
      <c r="N134" s="320">
        <f t="shared" si="17"/>
        <v>0</v>
      </c>
      <c r="O134" s="309">
        <f t="shared" si="21"/>
        <v>0</v>
      </c>
      <c r="P134" s="310">
        <f>IF($R134=1,"",VLOOKUP($D134,'随時②-2'!$D$21:$L$35,8))</f>
        <v>0</v>
      </c>
      <c r="Q134" s="311">
        <f>IF($R134=1,"",VLOOKUP($D134,'随時②-2'!$D$21:$L$35,9))</f>
        <v>0</v>
      </c>
      <c r="R134" s="25">
        <f>IF(ISNA(MATCH($D134,'随時②-2'!$D$4:$D$18,0)),0,1)</f>
        <v>0</v>
      </c>
      <c r="S134" s="63">
        <f t="shared" si="18"/>
      </c>
      <c r="T134" s="63">
        <f t="shared" si="19"/>
      </c>
      <c r="U134" s="5">
        <f t="shared" si="22"/>
      </c>
    </row>
    <row r="135" spans="1:21" ht="13.5" customHeight="1">
      <c r="A135" s="312">
        <f>'随時②-2'!A32</f>
        <v>0</v>
      </c>
      <c r="B135" s="313">
        <f>'随時②-2'!B32</f>
        <v>0</v>
      </c>
      <c r="C135" s="480">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 t="shared" si="20"/>
        <v>0</v>
      </c>
      <c r="L135" s="319">
        <f t="shared" si="15"/>
        <v>0</v>
      </c>
      <c r="M135" s="320">
        <f t="shared" si="16"/>
        <v>0</v>
      </c>
      <c r="N135" s="320">
        <f t="shared" si="17"/>
        <v>0</v>
      </c>
      <c r="O135" s="309">
        <f t="shared" si="21"/>
        <v>0</v>
      </c>
      <c r="P135" s="310">
        <f>IF($R135=1,"",VLOOKUP($D135,'随時②-2'!$D$21:$L$35,8))</f>
        <v>0</v>
      </c>
      <c r="Q135" s="311">
        <f>IF($R135=1,"",VLOOKUP($D135,'随時②-2'!$D$21:$L$35,9))</f>
        <v>0</v>
      </c>
      <c r="R135" s="25">
        <f>IF(ISNA(MATCH($D135,'随時②-2'!$D$4:$D$18,0)),0,1)</f>
        <v>0</v>
      </c>
      <c r="S135" s="63">
        <f t="shared" si="18"/>
      </c>
      <c r="T135" s="63">
        <f t="shared" si="19"/>
      </c>
      <c r="U135" s="5">
        <f t="shared" si="22"/>
      </c>
    </row>
    <row r="136" spans="1:21" ht="13.5" customHeight="1">
      <c r="A136" s="312">
        <f>'随時②-2'!A33</f>
        <v>0</v>
      </c>
      <c r="B136" s="313">
        <f>'随時②-2'!B33</f>
        <v>0</v>
      </c>
      <c r="C136" s="480">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 t="shared" si="20"/>
        <v>0</v>
      </c>
      <c r="L136" s="319">
        <f t="shared" si="15"/>
        <v>0</v>
      </c>
      <c r="M136" s="320">
        <f t="shared" si="16"/>
        <v>0</v>
      </c>
      <c r="N136" s="320">
        <f t="shared" si="17"/>
        <v>0</v>
      </c>
      <c r="O136" s="309">
        <f t="shared" si="21"/>
        <v>0</v>
      </c>
      <c r="P136" s="310">
        <f>IF($R136=1,"",VLOOKUP($D136,'随時②-2'!$D$21:$L$35,8))</f>
        <v>0</v>
      </c>
      <c r="Q136" s="311">
        <f>IF($R136=1,"",VLOOKUP($D136,'随時②-2'!$D$21:$L$35,9))</f>
        <v>0</v>
      </c>
      <c r="R136" s="25">
        <f>IF(ISNA(MATCH($D136,'随時②-2'!$D$4:$D$18,0)),0,1)</f>
        <v>0</v>
      </c>
      <c r="S136" s="63">
        <f t="shared" si="18"/>
      </c>
      <c r="T136" s="63">
        <f t="shared" si="19"/>
      </c>
      <c r="U136" s="5">
        <f t="shared" si="22"/>
      </c>
    </row>
    <row r="137" spans="1:21" ht="13.5" customHeight="1">
      <c r="A137" s="312">
        <f>'随時②-2'!A34</f>
        <v>0</v>
      </c>
      <c r="B137" s="313">
        <f>'随時②-2'!B34</f>
        <v>0</v>
      </c>
      <c r="C137" s="480">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 t="shared" si="20"/>
        <v>0</v>
      </c>
      <c r="L137" s="319">
        <f t="shared" si="15"/>
        <v>0</v>
      </c>
      <c r="M137" s="320">
        <f t="shared" si="16"/>
        <v>0</v>
      </c>
      <c r="N137" s="320">
        <f t="shared" si="17"/>
        <v>0</v>
      </c>
      <c r="O137" s="309">
        <f t="shared" si="21"/>
        <v>0</v>
      </c>
      <c r="P137" s="310">
        <f>IF($R137=1,"",VLOOKUP($D137,'随時②-2'!$D$21:$L$35,8))</f>
        <v>0</v>
      </c>
      <c r="Q137" s="311">
        <f>IF($R137=1,"",VLOOKUP($D137,'随時②-2'!$D$21:$L$35,9))</f>
        <v>0</v>
      </c>
      <c r="R137" s="25">
        <f>IF(ISNA(MATCH($D137,'随時②-2'!$D$4:$D$18,0)),0,1)</f>
        <v>0</v>
      </c>
      <c r="S137" s="63">
        <f t="shared" si="18"/>
      </c>
      <c r="T137" s="63">
        <f t="shared" si="19"/>
      </c>
      <c r="U137" s="5">
        <f t="shared" si="22"/>
      </c>
    </row>
    <row r="138" spans="1:21" ht="13.5" customHeight="1" thickBot="1">
      <c r="A138" s="312">
        <f>'随時②-2'!A35</f>
        <v>0</v>
      </c>
      <c r="B138" s="313">
        <f>'随時②-2'!B35</f>
        <v>0</v>
      </c>
      <c r="C138" s="480">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 t="shared" si="20"/>
        <v>0</v>
      </c>
      <c r="L138" s="319">
        <f t="shared" si="15"/>
        <v>0</v>
      </c>
      <c r="M138" s="320">
        <f t="shared" si="16"/>
        <v>0</v>
      </c>
      <c r="N138" s="320">
        <f t="shared" si="17"/>
        <v>0</v>
      </c>
      <c r="O138" s="309">
        <f t="shared" si="21"/>
        <v>0</v>
      </c>
      <c r="P138" s="310">
        <f>IF($R138=1,"",VLOOKUP($D138,'随時②-2'!$D$21:$L$35,8))</f>
        <v>0</v>
      </c>
      <c r="Q138" s="311">
        <f>IF($R138=1,"",VLOOKUP($D138,'随時②-2'!$D$21:$L$35,9))</f>
        <v>0</v>
      </c>
      <c r="R138" s="25">
        <f>IF(ISNA(MATCH($D138,'随時②-2'!$D$4:$D$18,0)),0,1)</f>
        <v>0</v>
      </c>
      <c r="S138" s="63">
        <f t="shared" si="18"/>
      </c>
      <c r="T138" s="63">
        <f t="shared" si="19"/>
      </c>
      <c r="U138" s="5">
        <f t="shared" si="22"/>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609" t="s">
        <v>178</v>
      </c>
      <c r="I141" s="610"/>
      <c r="J141" s="38" t="s">
        <v>113</v>
      </c>
      <c r="K141" s="38" t="s">
        <v>175</v>
      </c>
      <c r="L141" s="535" t="s">
        <v>176</v>
      </c>
      <c r="M141" s="611"/>
      <c r="N141" s="612" t="s">
        <v>177</v>
      </c>
      <c r="O141" s="613"/>
      <c r="P141" s="600" t="s">
        <v>114</v>
      </c>
      <c r="Q141" s="601"/>
    </row>
    <row r="142" spans="6:17" ht="14.25" thickTop="1">
      <c r="F142" s="346" t="s">
        <v>85</v>
      </c>
      <c r="G142" s="347">
        <f>SUMIF($E$4:$E$138,$F142,$J$4:$J$138)</f>
        <v>0</v>
      </c>
      <c r="H142" s="614">
        <f>SUMIF($E$4:$E$138,$F142,$S$4:$S$138)</f>
        <v>0</v>
      </c>
      <c r="I142" s="615"/>
      <c r="J142" s="348">
        <f>G142-H142</f>
        <v>0</v>
      </c>
      <c r="K142" s="347">
        <f>SUMIF($E$4:$E$138,$F142,$O$4:$O$138)</f>
        <v>0</v>
      </c>
      <c r="L142" s="614">
        <f>SUMIF($E$4:$E$138,$F142,$T$4:$T$138)</f>
        <v>0</v>
      </c>
      <c r="M142" s="616"/>
      <c r="N142" s="617">
        <f>K142-L142</f>
        <v>0</v>
      </c>
      <c r="O142" s="618"/>
      <c r="P142" s="562">
        <f>J142-N142</f>
        <v>0</v>
      </c>
      <c r="Q142" s="602"/>
    </row>
    <row r="143" spans="6:17" ht="13.5">
      <c r="F143" s="346" t="s">
        <v>86</v>
      </c>
      <c r="G143" s="349">
        <f aca="true" t="shared" si="23" ref="G143:G150">SUMIF($E$4:$E$138,$F143,$J$4:$J$138)</f>
        <v>192800</v>
      </c>
      <c r="H143" s="553">
        <f>SUMIF($E$4:$E$138,$F143,$S$4:$S$138)</f>
        <v>0</v>
      </c>
      <c r="I143" s="607"/>
      <c r="J143" s="350">
        <f>G143-H143</f>
        <v>192800</v>
      </c>
      <c r="K143" s="347">
        <f aca="true" t="shared" si="24" ref="K143:K150">SUMIF($E$4:$E$138,$F143,$O$4:$O$138)</f>
        <v>159438</v>
      </c>
      <c r="L143" s="552">
        <f aca="true" t="shared" si="25" ref="L143:L149">SUMIF($E$4:$E$138,$F143,$T$4:$T$138)</f>
        <v>0</v>
      </c>
      <c r="M143" s="555"/>
      <c r="N143" s="608">
        <f>K143-L143</f>
        <v>159438</v>
      </c>
      <c r="O143" s="607"/>
      <c r="P143" s="552">
        <f aca="true" t="shared" si="26" ref="P143:P150">J143-N143</f>
        <v>33362</v>
      </c>
      <c r="Q143" s="555"/>
    </row>
    <row r="144" spans="6:17" ht="13.5">
      <c r="F144" s="346" t="s">
        <v>125</v>
      </c>
      <c r="G144" s="347">
        <f t="shared" si="23"/>
        <v>311000</v>
      </c>
      <c r="H144" s="553">
        <f aca="true" t="shared" si="27" ref="H144:H149">SUMIF($E$4:$E$138,$F144,$S$4:$S$138)</f>
        <v>0</v>
      </c>
      <c r="I144" s="607"/>
      <c r="J144" s="350">
        <f aca="true" t="shared" si="28" ref="J144:J150">G144-H144</f>
        <v>311000</v>
      </c>
      <c r="K144" s="347">
        <f t="shared" si="24"/>
        <v>272416</v>
      </c>
      <c r="L144" s="552">
        <f t="shared" si="25"/>
        <v>0</v>
      </c>
      <c r="M144" s="555"/>
      <c r="N144" s="608">
        <f aca="true" t="shared" si="29" ref="N144:N150">K144-L144</f>
        <v>272416</v>
      </c>
      <c r="O144" s="607"/>
      <c r="P144" s="552">
        <f t="shared" si="26"/>
        <v>38584</v>
      </c>
      <c r="Q144" s="555"/>
    </row>
    <row r="145" spans="6:17" ht="13.5">
      <c r="F145" s="346" t="s">
        <v>126</v>
      </c>
      <c r="G145" s="347">
        <f t="shared" si="23"/>
        <v>0</v>
      </c>
      <c r="H145" s="553">
        <f t="shared" si="27"/>
        <v>0</v>
      </c>
      <c r="I145" s="607"/>
      <c r="J145" s="350">
        <f t="shared" si="28"/>
        <v>0</v>
      </c>
      <c r="K145" s="347">
        <f t="shared" si="24"/>
        <v>0</v>
      </c>
      <c r="L145" s="552">
        <f t="shared" si="25"/>
        <v>0</v>
      </c>
      <c r="M145" s="555"/>
      <c r="N145" s="608">
        <f t="shared" si="29"/>
        <v>0</v>
      </c>
      <c r="O145" s="607"/>
      <c r="P145" s="552">
        <f t="shared" si="26"/>
        <v>0</v>
      </c>
      <c r="Q145" s="555"/>
    </row>
    <row r="146" spans="6:17" ht="13.5">
      <c r="F146" s="346" t="s">
        <v>87</v>
      </c>
      <c r="G146" s="347">
        <f t="shared" si="23"/>
        <v>0</v>
      </c>
      <c r="H146" s="553">
        <f t="shared" si="27"/>
        <v>0</v>
      </c>
      <c r="I146" s="607"/>
      <c r="J146" s="350">
        <f t="shared" si="28"/>
        <v>0</v>
      </c>
      <c r="K146" s="347">
        <f t="shared" si="24"/>
        <v>0</v>
      </c>
      <c r="L146" s="552">
        <f t="shared" si="25"/>
        <v>0</v>
      </c>
      <c r="M146" s="555"/>
      <c r="N146" s="608">
        <f t="shared" si="29"/>
        <v>0</v>
      </c>
      <c r="O146" s="607"/>
      <c r="P146" s="552">
        <f t="shared" si="26"/>
        <v>0</v>
      </c>
      <c r="Q146" s="555"/>
    </row>
    <row r="147" spans="6:17" ht="13.5">
      <c r="F147" s="346" t="s">
        <v>88</v>
      </c>
      <c r="G147" s="347">
        <f t="shared" si="23"/>
        <v>356000</v>
      </c>
      <c r="H147" s="553">
        <f t="shared" si="27"/>
        <v>0</v>
      </c>
      <c r="I147" s="607"/>
      <c r="J147" s="350">
        <f t="shared" si="28"/>
        <v>356000</v>
      </c>
      <c r="K147" s="347">
        <f t="shared" si="24"/>
        <v>347328</v>
      </c>
      <c r="L147" s="552">
        <f t="shared" si="25"/>
        <v>0</v>
      </c>
      <c r="M147" s="555"/>
      <c r="N147" s="608">
        <f t="shared" si="29"/>
        <v>347328</v>
      </c>
      <c r="O147" s="607"/>
      <c r="P147" s="552">
        <f t="shared" si="26"/>
        <v>8672</v>
      </c>
      <c r="Q147" s="555"/>
    </row>
    <row r="148" spans="6:17" ht="13.5">
      <c r="F148" s="346" t="s">
        <v>89</v>
      </c>
      <c r="G148" s="347">
        <f t="shared" si="23"/>
        <v>280000</v>
      </c>
      <c r="H148" s="553">
        <f t="shared" si="27"/>
        <v>0</v>
      </c>
      <c r="I148" s="607"/>
      <c r="J148" s="350">
        <f t="shared" si="28"/>
        <v>280000</v>
      </c>
      <c r="K148" s="347">
        <f t="shared" si="24"/>
        <v>280000</v>
      </c>
      <c r="L148" s="552">
        <f t="shared" si="25"/>
        <v>0</v>
      </c>
      <c r="M148" s="555"/>
      <c r="N148" s="608">
        <f t="shared" si="29"/>
        <v>280000</v>
      </c>
      <c r="O148" s="607"/>
      <c r="P148" s="552">
        <f t="shared" si="26"/>
        <v>0</v>
      </c>
      <c r="Q148" s="555"/>
    </row>
    <row r="149" spans="6:17" ht="13.5">
      <c r="F149" s="346" t="s">
        <v>90</v>
      </c>
      <c r="G149" s="347">
        <f t="shared" si="23"/>
        <v>0</v>
      </c>
      <c r="H149" s="553">
        <f t="shared" si="27"/>
        <v>0</v>
      </c>
      <c r="I149" s="607"/>
      <c r="J149" s="350">
        <f t="shared" si="28"/>
        <v>0</v>
      </c>
      <c r="K149" s="347">
        <f t="shared" si="24"/>
        <v>0</v>
      </c>
      <c r="L149" s="552">
        <f t="shared" si="25"/>
        <v>0</v>
      </c>
      <c r="M149" s="555"/>
      <c r="N149" s="608">
        <f t="shared" si="29"/>
        <v>0</v>
      </c>
      <c r="O149" s="607"/>
      <c r="P149" s="552">
        <f t="shared" si="26"/>
        <v>0</v>
      </c>
      <c r="Q149" s="555"/>
    </row>
    <row r="150" spans="6:17" ht="14.25" thickBot="1">
      <c r="F150" s="346" t="s">
        <v>138</v>
      </c>
      <c r="G150" s="347">
        <f t="shared" si="23"/>
        <v>46330</v>
      </c>
      <c r="H150" s="553">
        <f>SUMIF($E$4:$E$138,$F150,$S$4:$S$138)+'2-3'!G122</f>
        <v>11000</v>
      </c>
      <c r="I150" s="607"/>
      <c r="J150" s="350">
        <f t="shared" si="28"/>
        <v>35330</v>
      </c>
      <c r="K150" s="347">
        <f t="shared" si="24"/>
        <v>46330</v>
      </c>
      <c r="L150" s="596">
        <f>SUMIF($E$4:$E$138,$F150,$T$4:$T$138)+'2-3'!E122</f>
        <v>11000</v>
      </c>
      <c r="M150" s="597"/>
      <c r="N150" s="608">
        <f t="shared" si="29"/>
        <v>35330</v>
      </c>
      <c r="O150" s="607"/>
      <c r="P150" s="596">
        <f t="shared" si="26"/>
        <v>0</v>
      </c>
      <c r="Q150" s="597"/>
    </row>
    <row r="151" spans="6:17" ht="15" thickBot="1" thickTop="1">
      <c r="F151" s="353" t="s">
        <v>15</v>
      </c>
      <c r="G151" s="354">
        <f>SUM(G142:G150)</f>
        <v>1186130</v>
      </c>
      <c r="H151" s="559">
        <f>SUM(H142:I150)</f>
        <v>11000</v>
      </c>
      <c r="I151" s="605"/>
      <c r="J151" s="354">
        <f>SUM(J142:J150)</f>
        <v>1175130</v>
      </c>
      <c r="K151" s="354">
        <f>SUM(K142:K150)</f>
        <v>1105512</v>
      </c>
      <c r="L151" s="598">
        <f>SUM(L142:M150)</f>
        <v>11000</v>
      </c>
      <c r="M151" s="599"/>
      <c r="N151" s="605">
        <f>SUM(N142:O150)</f>
        <v>1094512</v>
      </c>
      <c r="O151" s="606"/>
      <c r="P151" s="598">
        <f>SUM(P142:Q150)</f>
        <v>80618</v>
      </c>
      <c r="Q151" s="599"/>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08" activePane="bottomRight" state="frozen"/>
      <selection pane="topLeft" activeCell="E23" sqref="E23"/>
      <selection pane="topRight" activeCell="E23" sqref="E23"/>
      <selection pane="bottomLeft" activeCell="E23" sqref="E23"/>
      <selection pane="bottomRight" activeCell="H101" sqref="H101"/>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3" t="s">
        <v>261</v>
      </c>
      <c r="B1" s="623"/>
      <c r="C1" s="623"/>
      <c r="D1" s="623"/>
      <c r="E1" s="623"/>
      <c r="F1" s="623"/>
      <c r="G1" s="624"/>
      <c r="H1" s="624"/>
      <c r="I1" s="624"/>
    </row>
    <row r="2" spans="1:9" ht="15" customHeight="1" thickBot="1">
      <c r="A2" s="8"/>
      <c r="B2" s="7" t="s">
        <v>244</v>
      </c>
      <c r="C2" s="87"/>
      <c r="E2" s="116"/>
      <c r="F2" s="117" t="s">
        <v>112</v>
      </c>
      <c r="G2" s="208">
        <f>SUM(E5:E119)</f>
        <v>43330</v>
      </c>
      <c r="H2" s="72" t="s">
        <v>188</v>
      </c>
      <c r="I2" s="208">
        <f>SUM(H5:H119)</f>
        <v>0</v>
      </c>
    </row>
    <row r="3" spans="1:9" ht="15" customHeight="1" thickBot="1">
      <c r="A3" s="8"/>
      <c r="B3" s="7"/>
      <c r="C3" s="87"/>
      <c r="E3" s="619" t="s">
        <v>181</v>
      </c>
      <c r="F3" s="620"/>
      <c r="G3" s="621"/>
      <c r="H3" s="619" t="s">
        <v>182</v>
      </c>
      <c r="I3" s="622"/>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c r="F100" s="195">
        <f>IF('1-3'!E99="","",'1-3'!E99)</f>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f>IF('1-3'!D104="","",'1-3'!D104)</f>
      </c>
      <c r="E105" s="191">
        <f t="shared" si="2"/>
      </c>
      <c r="F105" s="193">
        <f>IF('1-3'!E104="","",'1-3'!E104)</f>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43330</v>
      </c>
      <c r="F121" s="118" t="s">
        <v>186</v>
      </c>
      <c r="G121" s="181">
        <f>SUM(F5:F119)</f>
        <v>43330</v>
      </c>
      <c r="H121" s="121" t="s">
        <v>190</v>
      </c>
      <c r="I121" s="181">
        <f>I2</f>
        <v>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32330</v>
      </c>
      <c r="F123" s="120" t="s">
        <v>187</v>
      </c>
      <c r="G123" s="183">
        <f>G121-G122</f>
        <v>32330</v>
      </c>
      <c r="H123" s="44" t="s">
        <v>189</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2018-06-25T08:20:58Z</cp:lastPrinted>
  <dcterms:created xsi:type="dcterms:W3CDTF">2007-02-21T01:05:33Z</dcterms:created>
  <dcterms:modified xsi:type="dcterms:W3CDTF">2018-06-29T00:41:56Z</dcterms:modified>
  <cp:category/>
  <cp:version/>
  <cp:contentType/>
  <cp:contentStatus/>
</cp:coreProperties>
</file>