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<sst xmlns="http://schemas.openxmlformats.org/spreadsheetml/2006/main" count="870" uniqueCount="352">
  <si>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</si>
  <si>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</si>
  <si>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</si>
  <si>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</si>
  <si>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</si>
  <si>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</si>
  <si>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</si>
  <si>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</si>
  <si>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</si>
  <si>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</si>
  <si>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</si>
  <si>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</si>
  <si>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</si>
  <si>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</si>
  <si>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</si>
  <si>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</si>
  <si>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</si>
  <si>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</si>
  <si>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</si>
  <si>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</si>
  <si>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</si>
  <si>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</si>
  <si>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</si>
  <si>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</si>
  <si>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</si>
  <si>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</si>
  <si>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</si>
  <si>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</si>
  <si>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</si>
  <si>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</si>
  <si>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</si>
  <si>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</si>
  <si>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</si>
  <si>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</si>
  <si>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</si>
  <si>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</si>
  <si>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</si>
  <si>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</si>
  <si>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</si>
  <si>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</si>
  <si>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</si>
  <si>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</si>
  <si>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</si>
  <si>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</si>
  <si>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</si>
  <si>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</si>
  <si>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</si>
  <si>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</si>
  <si>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</si>
  <si>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</si>
  <si>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</si>
  <si>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</si>
  <si>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</si>
  <si>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</si>
  <si>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</si>
  <si>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</si>
  <si>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</si>
  <si>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</si>
  <si>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</si>
  <si>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</si>
  <si>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</si>
  <si>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</si>
  <si>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</si>
  <si>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</si>
  <si>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</si>
  <si>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</si>
  <si>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</si>
  <si>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</si>
  <si>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</si>
  <si>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</si>
  <si>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</si>
  <si>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</si>
  <si>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</si>
  <si>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</si>
  <si>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</si>
  <si>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</si>
  <si>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</si>
  <si>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</si>
  <si>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</si>
  <si>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</si>
  <si>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</si>
  <si>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</si>
  <si>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</si>
  <si>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</si>
  <si>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</si>
  <si>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</si>
  <si>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</si>
  <si>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</si>
  <si>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</si>
  <si>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</si>
  <si>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</si>
  <si>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</si>
  <si>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</si>
  <si>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</si>
  <si>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</si>
  <si>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</si>
  <si>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</si>
  <si>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</si>
  <si>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</si>
  <si>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</si>
  <si>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</si>
  <si>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</si>
  <si>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</si>
  <si>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</si>
  <si>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</si>
  <si>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</si>
  <si>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</si>
  <si>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</si>
  <si>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</si>
  <si>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</si>
  <si>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</si>
  <si>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</si>
  <si>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</si>
  <si>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</si>
  <si>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</si>
  <si>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</si>
  <si>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</si>
  <si>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</si>
  <si>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</si>
  <si>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</si>
  <si>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</si>
  <si>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</si>
  <si>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</si>
  <si>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</si>
  <si>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</si>
  <si>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</si>
  <si>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</si>
  <si>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</si>
  <si>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</si>
  <si>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</si>
  <si>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</si>
  <si>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</si>
  <si>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</si>
  <si>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</si>
  <si>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</si>
  <si>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</si>
  <si>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</si>
  <si>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</si>
  <si>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</si>
  <si>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</si>
  <si>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</si>
  <si>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</si>
  <si>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</si>
  <si>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</si>
  <si>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</si>
  <si>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</si>
  <si>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</si>
  <si>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</si>
  <si>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</si>
  <si>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</si>
  <si>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</si>
  <si>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</si>
  <si>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</si>
  <si>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</si>
  <si>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</si>
  <si>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</si>
  <si>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</si>
  <si>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</si>
  <si>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</si>
  <si>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</si>
  <si>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</si>
  <si>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</si>
  <si>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</si>
  <si>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</si>
  <si>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</si>
  <si>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</si>
  <si>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</si>
  <si>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</si>
  <si>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</si>
  <si>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</si>
  <si>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</si>
  <si>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</si>
  <si>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</si>
  <si>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</si>
  <si>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</si>
  <si>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</si>
  <si>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</si>
  <si>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</si>
  <si>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</si>
  <si>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</si>
  <si>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</si>
  <si>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</si>
  <si>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</si>
  <si>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</si>
  <si>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</si>
  <si>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</si>
  <si>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</si>
  <si>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</si>
  <si>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</si>
  <si>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</si>
  <si>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</si>
  <si>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</si>
  <si>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</si>
  <si>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</si>
  <si>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</si>
  <si>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</si>
  <si>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</si>
  <si>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</si>
  <si>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</si>
  <si>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</si>
  <si>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</si>
  <si>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</si>
  <si>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</si>
  <si>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</si>
  <si>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</si>
  <si>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</si>
  <si>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</si>
  <si>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</si>
  <si>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</si>
  <si>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</si>
  <si>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</si>
  <si>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</si>
  <si>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</si>
  <si>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</si>
  <si>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</si>
  <si>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</si>
  <si>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</si>
  <si>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</si>
  <si>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</si>
  <si>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</si>
  <si>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</si>
  <si>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</si>
  <si>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</si>
  <si>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</si>
  <si>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</si>
  <si>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</si>
  <si>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</si>
  <si>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</si>
  <si>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</si>
  <si>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</si>
  <si>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</si>
  <si>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</si>
  <si>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</si>
  <si>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</si>
  <si>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</si>
  <si>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</si>
  <si>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</si>
  <si>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</si>
  <si>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</si>
  <si>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</si>
  <si>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</si>
  <si>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</si>
  <si>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</si>
  <si>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</si>
  <si>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</si>
  <si>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</si>
  <si>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</si>
  <si>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</si>
  <si>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</si>
  <si>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</si>
  <si>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</si>
  <si>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</si>
  <si>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</si>
  <si>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</si>
  <si>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</si>
  <si>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</si>
  <si>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</si>
  <si>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</si>
  <si>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</si>
  <si>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</si>
  <si>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</si>
  <si>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</si>
  <si>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</si>
  <si>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</si>
  <si>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</si>
  <si>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</si>
  <si>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</si>
  <si>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</si>
  <si>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</si>
  <si>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</si>
  <si>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</si>
  <si>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（学校番号：1007）</t>
  </si>
  <si>
    <t>（財務会計コード番号：10349）</t>
  </si>
  <si>
    <t>Ⅰ</t>
  </si>
  <si>
    <t>３－（２）</t>
  </si>
  <si>
    <t>生徒相談体制の充実</t>
  </si>
  <si>
    <t>不登校生徒に対するカウンセリング技術の習得</t>
  </si>
  <si>
    <t>Ⅱ</t>
  </si>
  <si>
    <t>４－（１）</t>
  </si>
  <si>
    <t>学校情報の発信</t>
  </si>
  <si>
    <t>全国総合学科校長会・研究協議会</t>
  </si>
  <si>
    <t>5月7日配当希望</t>
  </si>
  <si>
    <t>　　　〃</t>
  </si>
  <si>
    <t>府立今宮高等学校　</t>
  </si>
  <si>
    <t>　校長　境田　優二　</t>
  </si>
  <si>
    <t>　 今宮高第31号　</t>
  </si>
  <si>
    <t>1-(3)</t>
  </si>
  <si>
    <t>国際感覚と国際交流力の育成</t>
  </si>
  <si>
    <t>英語検定講師派遣委託</t>
  </si>
  <si>
    <t>2-(2)</t>
  </si>
  <si>
    <t>総合学科の特性を活かしたカリキュラムの編成</t>
  </si>
  <si>
    <t>他府県総合学科高校訪問</t>
  </si>
  <si>
    <t>2-(1)</t>
  </si>
  <si>
    <t>授業の充実</t>
  </si>
  <si>
    <t>授業アンケート</t>
  </si>
  <si>
    <t>3-(2)</t>
  </si>
  <si>
    <t>プロジェクター用スクリーン購入</t>
  </si>
  <si>
    <t>教職員人権研修講師謝礼</t>
  </si>
  <si>
    <t>不登校生徒に関するカウンセリング等</t>
  </si>
  <si>
    <t>府立人権夏季セミナー資料</t>
  </si>
  <si>
    <t>4-(1)</t>
  </si>
  <si>
    <t>学校情報発信</t>
  </si>
  <si>
    <t>全国校長協会・総合学科校長会</t>
  </si>
  <si>
    <t>校長協会会議資料代</t>
  </si>
  <si>
    <t>オープンスクール郵送料</t>
  </si>
  <si>
    <t>　　平成　２９年　　５月　２６日</t>
  </si>
  <si>
    <t>Ⅲ</t>
  </si>
  <si>
    <t>Ⅳ</t>
  </si>
  <si>
    <t>Ⅴ</t>
  </si>
  <si>
    <t>　今宮高第５６号　</t>
  </si>
  <si>
    <t>大阪</t>
  </si>
  <si>
    <t>大阪市内南部地区公私立高等学校校外補導連絡協議会</t>
  </si>
  <si>
    <t>◎</t>
  </si>
  <si>
    <t>全国</t>
  </si>
  <si>
    <t>全国高等学校長協会</t>
  </si>
  <si>
    <t>2-(1)</t>
  </si>
  <si>
    <t>2-(2)</t>
  </si>
  <si>
    <t>近畿地区総合学科大会</t>
  </si>
  <si>
    <t>　今宮高 第127号　</t>
  </si>
  <si>
    <t>　　平成　２９　年　８　月　２４　日</t>
  </si>
  <si>
    <t>4-(1)</t>
  </si>
  <si>
    <t>学校案内送付</t>
  </si>
  <si>
    <t>全国高等学校長会</t>
  </si>
  <si>
    <t>城東区進学説明会</t>
  </si>
  <si>
    <t>大阪</t>
  </si>
  <si>
    <t>Apple tv購入等</t>
  </si>
  <si>
    <t>学校案内作成</t>
  </si>
  <si>
    <t>（財務会計コード番号：１０３４９）</t>
  </si>
  <si>
    <t>進路指導用冊子作成</t>
  </si>
  <si>
    <t>府立人権夏季セミナー資料</t>
  </si>
  <si>
    <t>　　平成　３０年　3　月　16　日</t>
  </si>
  <si>
    <t>プロジェクター用スクリーン購入</t>
  </si>
  <si>
    <t>２－（３）</t>
  </si>
  <si>
    <t>国公立及び有名私大合格レベルの学力育成支援</t>
  </si>
  <si>
    <t>４－（１）</t>
  </si>
  <si>
    <t>３－（２）</t>
  </si>
  <si>
    <t>２－（２）</t>
  </si>
  <si>
    <t>執行済み</t>
  </si>
  <si>
    <t>　 今宮高第273号　</t>
  </si>
  <si>
    <t>１－（２）、１－（３）、</t>
  </si>
  <si>
    <t>「考える力」、「まとめる力」、「伝える力」の育成</t>
  </si>
  <si>
    <t>英語スピーチコンテスト、英語暗誦大会の開催をはじめ、今高祭、今高生の主張（冊子作成）、課題研究発表会など、生徒が発表できる機会を延4回実施した。</t>
  </si>
  <si>
    <t>○</t>
  </si>
  <si>
    <t>１－（３）、２－（２）</t>
  </si>
  <si>
    <t>英検等外国語認定試験にトライする風土の育成、英検対策講座の実施（平成29年度実用英語技能検定、２級最終合格者22名、準2級最終合格者102名）</t>
  </si>
  <si>
    <t>４－（１）</t>
  </si>
  <si>
    <t>中学生参加行事の実施</t>
  </si>
  <si>
    <t>中学校、塾あてに学校案内等の資料を送付し、広く今宮高校を知っていただくとともに、中学生参加行事の充実を図った。（オープンスクール（学校説明会）：年5回開催、3,030名参加、クラブフェスタ：年2回開催、276名参加）</t>
  </si>
  <si>
    <t>２－（２）</t>
  </si>
  <si>
    <t>ＩＣＴ機器を使用した授業の実施を積極的に実施し、学校教育自己診断において「ＩＣＴ機器が授業等で活用されている」の生徒全体での肯定的な回答が88％得た。</t>
  </si>
  <si>
    <t>　 今宮高 第287号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</si>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</sst>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10" fillId="6" borderId="9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4" fillId="6" borderId="71"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3" t="s">
        <v>271</v>
      </c>
      <c r="I1" s="513"/>
      <c r="J1" s="513"/>
      <c r="K1" s="513"/>
    </row>
    <row r="2" spans="2:11" s="1" customFormat="1" ht="18" customHeight="1">
      <c r="B2" s="146"/>
      <c r="H2" s="513" t="s">
        <v>327</v>
      </c>
      <c r="I2" s="513"/>
      <c r="J2" s="513"/>
      <c r="K2" s="513"/>
    </row>
    <row r="3" spans="2:11" s="1" customFormat="1" ht="18" customHeight="1">
      <c r="B3" s="146"/>
      <c r="K3" s="2"/>
    </row>
    <row r="4" spans="2:11" s="1" customFormat="1" ht="18" customHeight="1">
      <c r="B4" s="146"/>
      <c r="H4" s="514" t="s">
        <v>350</v>
      </c>
      <c r="I4" s="514"/>
      <c r="J4" s="514"/>
      <c r="K4" s="514"/>
    </row>
    <row r="5" spans="2:11" s="1" customFormat="1" ht="18" customHeight="1">
      <c r="B5" s="146"/>
      <c r="H5" s="515">
        <v>43189</v>
      </c>
      <c r="I5" s="514"/>
      <c r="J5" s="514"/>
      <c r="K5" s="514"/>
    </row>
    <row r="6" spans="1:11" s="1" customFormat="1" ht="18" customHeight="1">
      <c r="A6" s="3" t="s">
        <v>2</v>
      </c>
      <c r="B6" s="146"/>
      <c r="H6" s="4"/>
      <c r="K6" s="11"/>
    </row>
    <row r="7" spans="1:11" s="1" customFormat="1" ht="18" customHeight="1">
      <c r="A7" s="4"/>
      <c r="B7" s="146"/>
      <c r="H7" s="514" t="s">
        <v>283</v>
      </c>
      <c r="I7" s="514"/>
      <c r="J7" s="514"/>
      <c r="K7" s="514"/>
    </row>
    <row r="8" spans="1:11" s="1" customFormat="1" ht="18" customHeight="1">
      <c r="A8" s="4"/>
      <c r="B8" s="146"/>
      <c r="H8" s="514" t="s">
        <v>284</v>
      </c>
      <c r="I8" s="514"/>
      <c r="J8" s="514"/>
      <c r="K8" s="514"/>
    </row>
    <row r="9" spans="1:11" s="1" customFormat="1" ht="42" customHeight="1">
      <c r="A9" s="4"/>
      <c r="B9" s="146"/>
      <c r="H9" s="2"/>
      <c r="K9" s="46"/>
    </row>
    <row r="10" spans="1:11" s="5" customFormat="1" ht="24" customHeight="1">
      <c r="A10" s="516" t="s">
        <v>262</v>
      </c>
      <c r="B10" s="516"/>
      <c r="C10" s="516"/>
      <c r="D10" s="516"/>
      <c r="E10" s="516"/>
      <c r="F10" s="516"/>
      <c r="G10" s="516"/>
      <c r="H10" s="516"/>
      <c r="I10" s="516"/>
      <c r="J10" s="516"/>
      <c r="K10" s="516"/>
    </row>
    <row r="11" spans="1:11" s="5" customFormat="1" ht="24" customHeight="1">
      <c r="A11" s="517"/>
      <c r="B11" s="517"/>
      <c r="C11" s="517"/>
      <c r="D11" s="517"/>
      <c r="E11" s="517"/>
      <c r="F11" s="517"/>
      <c r="G11" s="517"/>
      <c r="H11" s="517"/>
      <c r="I11" s="517"/>
      <c r="J11" s="517"/>
      <c r="K11" s="517"/>
    </row>
    <row r="12" spans="1:11" s="5" customFormat="1" ht="24" customHeight="1">
      <c r="A12" s="14" t="s">
        <v>351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8" t="s">
        <v>222</v>
      </c>
      <c r="B14" s="519"/>
      <c r="C14" s="520"/>
      <c r="D14" s="521">
        <f>'1-1'!D14:F14</f>
        <v>1190000</v>
      </c>
      <c r="E14" s="522"/>
      <c r="F14" s="523"/>
      <c r="G14" s="503" t="s">
        <v>1</v>
      </c>
      <c r="H14" s="504"/>
      <c r="I14" s="505">
        <v>43189</v>
      </c>
      <c r="J14" s="506"/>
      <c r="K14" s="507"/>
    </row>
    <row r="15" spans="1:11" s="5" customFormat="1" ht="39" customHeight="1" thickBot="1">
      <c r="A15" s="19"/>
      <c r="B15" s="18" t="s">
        <v>8</v>
      </c>
      <c r="C15" s="17" t="s">
        <v>9</v>
      </c>
      <c r="D15" s="16" t="s">
        <v>123</v>
      </c>
      <c r="E15" s="16" t="s">
        <v>122</v>
      </c>
      <c r="F15" s="17" t="s">
        <v>10</v>
      </c>
      <c r="G15" s="17" t="s">
        <v>11</v>
      </c>
      <c r="H15" s="449" t="s">
        <v>248</v>
      </c>
      <c r="I15" s="16" t="s">
        <v>12</v>
      </c>
      <c r="J15" s="448" t="s">
        <v>252</v>
      </c>
      <c r="K15" s="23" t="s">
        <v>15</v>
      </c>
    </row>
    <row r="16" spans="1:11" s="5" customFormat="1" ht="58.5" customHeight="1" thickBot="1" thickTop="1">
      <c r="A16" s="22" t="s">
        <v>119</v>
      </c>
      <c r="B16" s="219">
        <f>'3-2'!K29</f>
        <v>40000</v>
      </c>
      <c r="C16" s="220">
        <f>'3-2'!K30</f>
        <v>152380</v>
      </c>
      <c r="D16" s="220">
        <f>'3-2'!K31</f>
        <v>168591</v>
      </c>
      <c r="E16" s="220">
        <f>'3-2'!K32</f>
        <v>0</v>
      </c>
      <c r="F16" s="220">
        <f>'3-2'!K33</f>
        <v>84870</v>
      </c>
      <c r="G16" s="220">
        <f>'3-2'!K34</f>
        <v>591222</v>
      </c>
      <c r="H16" s="220">
        <f>'3-2'!K35</f>
        <v>0</v>
      </c>
      <c r="I16" s="220">
        <f>'3-2'!K36</f>
        <v>0</v>
      </c>
      <c r="J16" s="221">
        <f>'3-2'!K37</f>
        <v>74330</v>
      </c>
      <c r="K16" s="222">
        <f>SUM(B16:J16)</f>
        <v>1111393</v>
      </c>
    </row>
    <row r="17" spans="6:7" ht="24" customHeight="1" thickBot="1">
      <c r="F17" s="12"/>
      <c r="G17" s="12"/>
    </row>
    <row r="18" spans="1:11" ht="24" customHeight="1" thickBot="1">
      <c r="A18" s="144" t="s">
        <v>140</v>
      </c>
      <c r="B18" s="508" t="s">
        <v>141</v>
      </c>
      <c r="C18" s="509"/>
      <c r="D18" s="508" t="s">
        <v>223</v>
      </c>
      <c r="E18" s="510"/>
      <c r="F18" s="509" t="s">
        <v>218</v>
      </c>
      <c r="G18" s="509"/>
      <c r="H18" s="509"/>
      <c r="I18" s="509"/>
      <c r="J18" s="510"/>
      <c r="K18" s="145" t="s">
        <v>139</v>
      </c>
    </row>
    <row r="19" spans="1:11" ht="48" customHeight="1">
      <c r="A19" s="149">
        <v>1</v>
      </c>
      <c r="B19" s="511" t="s">
        <v>339</v>
      </c>
      <c r="C19" s="512"/>
      <c r="D19" s="499" t="s">
        <v>340</v>
      </c>
      <c r="E19" s="500"/>
      <c r="F19" s="502" t="s">
        <v>341</v>
      </c>
      <c r="G19" s="502"/>
      <c r="H19" s="502"/>
      <c r="I19" s="502"/>
      <c r="J19" s="500"/>
      <c r="K19" s="474" t="s">
        <v>342</v>
      </c>
    </row>
    <row r="20" spans="1:11" ht="48" customHeight="1">
      <c r="A20" s="150">
        <v>2</v>
      </c>
      <c r="B20" s="494" t="s">
        <v>343</v>
      </c>
      <c r="C20" s="495"/>
      <c r="D20" s="497" t="s">
        <v>287</v>
      </c>
      <c r="E20" s="498"/>
      <c r="F20" s="501" t="s">
        <v>344</v>
      </c>
      <c r="G20" s="501"/>
      <c r="H20" s="501"/>
      <c r="I20" s="501"/>
      <c r="J20" s="498"/>
      <c r="K20" s="474" t="s">
        <v>342</v>
      </c>
    </row>
    <row r="21" spans="1:11" ht="48" customHeight="1">
      <c r="A21" s="150">
        <v>3</v>
      </c>
      <c r="B21" s="494" t="s">
        <v>345</v>
      </c>
      <c r="C21" s="495"/>
      <c r="D21" s="497" t="s">
        <v>346</v>
      </c>
      <c r="E21" s="498"/>
      <c r="F21" s="527" t="s">
        <v>347</v>
      </c>
      <c r="G21" s="527"/>
      <c r="H21" s="527"/>
      <c r="I21" s="527"/>
      <c r="J21" s="528"/>
      <c r="K21" s="474" t="s">
        <v>312</v>
      </c>
    </row>
    <row r="22" spans="1:11" ht="48" customHeight="1">
      <c r="A22" s="150">
        <v>4</v>
      </c>
      <c r="B22" s="494" t="s">
        <v>348</v>
      </c>
      <c r="C22" s="495"/>
      <c r="D22" s="497" t="s">
        <v>293</v>
      </c>
      <c r="E22" s="498"/>
      <c r="F22" s="501" t="s">
        <v>349</v>
      </c>
      <c r="G22" s="501"/>
      <c r="H22" s="501"/>
      <c r="I22" s="501"/>
      <c r="J22" s="498"/>
      <c r="K22" s="474" t="s">
        <v>312</v>
      </c>
    </row>
    <row r="23" spans="1:11" ht="48" customHeight="1">
      <c r="A23" s="150">
        <v>5</v>
      </c>
      <c r="B23" s="494"/>
      <c r="C23" s="495"/>
      <c r="D23" s="497"/>
      <c r="E23" s="498"/>
      <c r="F23" s="501"/>
      <c r="G23" s="501"/>
      <c r="H23" s="501"/>
      <c r="I23" s="501"/>
      <c r="J23" s="498"/>
      <c r="K23" s="474"/>
    </row>
    <row r="24" spans="1:11" ht="48" customHeight="1">
      <c r="A24" s="150"/>
      <c r="B24" s="494"/>
      <c r="C24" s="495"/>
      <c r="D24" s="497"/>
      <c r="E24" s="498"/>
      <c r="F24" s="501"/>
      <c r="G24" s="501"/>
      <c r="H24" s="501"/>
      <c r="I24" s="501"/>
      <c r="J24" s="498"/>
      <c r="K24" s="474"/>
    </row>
    <row r="25" spans="1:11" ht="48" customHeight="1">
      <c r="A25" s="150"/>
      <c r="B25" s="494"/>
      <c r="C25" s="496"/>
      <c r="D25" s="497"/>
      <c r="E25" s="498"/>
      <c r="F25" s="501"/>
      <c r="G25" s="501"/>
      <c r="H25" s="501"/>
      <c r="I25" s="501"/>
      <c r="J25" s="498"/>
      <c r="K25" s="474"/>
    </row>
    <row r="26" spans="1:11" ht="48" customHeight="1">
      <c r="A26" s="150"/>
      <c r="B26" s="494"/>
      <c r="C26" s="496"/>
      <c r="D26" s="497"/>
      <c r="E26" s="498"/>
      <c r="F26" s="501"/>
      <c r="G26" s="501"/>
      <c r="H26" s="501"/>
      <c r="I26" s="501"/>
      <c r="J26" s="498"/>
      <c r="K26" s="474"/>
    </row>
    <row r="27" spans="1:11" ht="48" customHeight="1">
      <c r="A27" s="150"/>
      <c r="B27" s="494"/>
      <c r="C27" s="495"/>
      <c r="D27" s="497"/>
      <c r="E27" s="498"/>
      <c r="F27" s="501"/>
      <c r="G27" s="501"/>
      <c r="H27" s="501"/>
      <c r="I27" s="501"/>
      <c r="J27" s="498"/>
      <c r="K27" s="474"/>
    </row>
    <row r="28" spans="1:11" ht="48" customHeight="1">
      <c r="A28" s="150"/>
      <c r="B28" s="494"/>
      <c r="C28" s="495"/>
      <c r="D28" s="497"/>
      <c r="E28" s="498"/>
      <c r="F28" s="501"/>
      <c r="G28" s="501"/>
      <c r="H28" s="501"/>
      <c r="I28" s="501"/>
      <c r="J28" s="498"/>
      <c r="K28" s="474"/>
    </row>
    <row r="29" spans="1:11" ht="48" customHeight="1">
      <c r="A29" s="150"/>
      <c r="B29" s="494"/>
      <c r="C29" s="495"/>
      <c r="D29" s="497"/>
      <c r="E29" s="498"/>
      <c r="F29" s="501"/>
      <c r="G29" s="501"/>
      <c r="H29" s="501"/>
      <c r="I29" s="501"/>
      <c r="J29" s="498"/>
      <c r="K29" s="474"/>
    </row>
    <row r="30" spans="1:11" ht="48" customHeight="1">
      <c r="A30" s="157"/>
      <c r="B30" s="494"/>
      <c r="C30" s="496"/>
      <c r="D30" s="497"/>
      <c r="E30" s="498"/>
      <c r="F30" s="501"/>
      <c r="G30" s="501"/>
      <c r="H30" s="501"/>
      <c r="I30" s="501"/>
      <c r="J30" s="498"/>
      <c r="K30" s="474"/>
    </row>
    <row r="31" spans="1:11" ht="48" customHeight="1">
      <c r="A31" s="157"/>
      <c r="B31" s="494"/>
      <c r="C31" s="496"/>
      <c r="D31" s="497"/>
      <c r="E31" s="498"/>
      <c r="F31" s="501"/>
      <c r="G31" s="501"/>
      <c r="H31" s="501"/>
      <c r="I31" s="501"/>
      <c r="J31" s="498"/>
      <c r="K31" s="474"/>
    </row>
    <row r="32" spans="1:11" ht="48" customHeight="1">
      <c r="A32" s="157"/>
      <c r="B32" s="494"/>
      <c r="C32" s="496"/>
      <c r="D32" s="497"/>
      <c r="E32" s="498"/>
      <c r="F32" s="501"/>
      <c r="G32" s="501"/>
      <c r="H32" s="501"/>
      <c r="I32" s="501"/>
      <c r="J32" s="498"/>
      <c r="K32" s="474"/>
    </row>
    <row r="33" spans="1:11" ht="48" customHeight="1">
      <c r="A33" s="157"/>
      <c r="B33" s="494"/>
      <c r="C33" s="496"/>
      <c r="D33" s="497"/>
      <c r="E33" s="498"/>
      <c r="F33" s="501"/>
      <c r="G33" s="501"/>
      <c r="H33" s="501"/>
      <c r="I33" s="501"/>
      <c r="J33" s="498"/>
      <c r="K33" s="474"/>
    </row>
    <row r="34" spans="1:11" ht="48" customHeight="1">
      <c r="A34" s="157"/>
      <c r="B34" s="494"/>
      <c r="C34" s="496"/>
      <c r="D34" s="497"/>
      <c r="E34" s="498"/>
      <c r="F34" s="501"/>
      <c r="G34" s="501"/>
      <c r="H34" s="501"/>
      <c r="I34" s="501"/>
      <c r="J34" s="498"/>
      <c r="K34" s="474"/>
    </row>
    <row r="35" spans="1:11" ht="48" customHeight="1" thickBot="1">
      <c r="A35" s="151"/>
      <c r="B35" s="492"/>
      <c r="C35" s="493"/>
      <c r="D35" s="524"/>
      <c r="E35" s="525"/>
      <c r="F35" s="526"/>
      <c r="G35" s="526"/>
      <c r="H35" s="526"/>
      <c r="I35" s="526"/>
      <c r="J35" s="525"/>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9" sqref="I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299" t="s">
        <v>141</v>
      </c>
      <c r="C3" s="59" t="s">
        <v>143</v>
      </c>
      <c r="D3" s="96" t="s">
        <v>145</v>
      </c>
      <c r="E3" s="96" t="s">
        <v>0</v>
      </c>
      <c r="F3" s="96" t="s">
        <v>196</v>
      </c>
      <c r="G3" s="96" t="s">
        <v>91</v>
      </c>
      <c r="H3" s="475" t="s">
        <v>245</v>
      </c>
      <c r="I3" s="96" t="s">
        <v>92</v>
      </c>
      <c r="J3" s="96" t="s">
        <v>93</v>
      </c>
      <c r="K3" s="227" t="s">
        <v>111</v>
      </c>
      <c r="L3" s="295" t="s">
        <v>94</v>
      </c>
      <c r="M3" s="29" t="s">
        <v>99</v>
      </c>
    </row>
    <row r="4" spans="1:13" ht="13.5" customHeight="1">
      <c r="A4" s="360"/>
      <c r="B4" s="361"/>
      <c r="C4" s="242"/>
      <c r="D4" s="243">
        <v>301</v>
      </c>
      <c r="E4" s="244" t="s">
        <v>137</v>
      </c>
      <c r="F4" s="245" t="s">
        <v>224</v>
      </c>
      <c r="G4" s="246">
        <v>0</v>
      </c>
      <c r="H4" s="247"/>
      <c r="I4" s="247"/>
      <c r="J4" s="248">
        <f>G4*H4*I4</f>
        <v>0</v>
      </c>
      <c r="K4" s="249"/>
      <c r="L4" s="250" t="s">
        <v>226</v>
      </c>
      <c r="M4" s="29">
        <f aca="true" t="shared" si="0" ref="M4:M67">IF(K4="◎",J4,"")</f>
      </c>
    </row>
    <row r="5" spans="1:13" ht="14.25">
      <c r="A5" s="251" t="s">
        <v>277</v>
      </c>
      <c r="B5" s="252" t="s">
        <v>315</v>
      </c>
      <c r="C5" s="486" t="s">
        <v>290</v>
      </c>
      <c r="D5" s="254">
        <v>302</v>
      </c>
      <c r="E5" s="255" t="s">
        <v>86</v>
      </c>
      <c r="F5" s="256" t="s">
        <v>291</v>
      </c>
      <c r="G5" s="257">
        <v>82820</v>
      </c>
      <c r="H5" s="258">
        <v>1</v>
      </c>
      <c r="I5" s="258">
        <v>1</v>
      </c>
      <c r="J5" s="259">
        <f>G5*H5*I5</f>
        <v>82820</v>
      </c>
      <c r="K5" s="260"/>
      <c r="L5" s="261"/>
      <c r="M5" s="29">
        <f t="shared" si="0"/>
      </c>
    </row>
    <row r="6" spans="1:13" ht="14.25">
      <c r="A6" s="251" t="s">
        <v>277</v>
      </c>
      <c r="B6" s="252" t="s">
        <v>315</v>
      </c>
      <c r="C6" s="486" t="s">
        <v>290</v>
      </c>
      <c r="D6" s="254">
        <v>303</v>
      </c>
      <c r="E6" s="255" t="s">
        <v>86</v>
      </c>
      <c r="F6" s="256" t="s">
        <v>317</v>
      </c>
      <c r="G6" s="257">
        <v>11380</v>
      </c>
      <c r="H6" s="258">
        <v>1</v>
      </c>
      <c r="I6" s="258">
        <v>1</v>
      </c>
      <c r="J6" s="259">
        <f aca="true" t="shared" si="1" ref="J6:J69">G6*H6*I6</f>
        <v>11380</v>
      </c>
      <c r="K6" s="260"/>
      <c r="L6" s="261"/>
      <c r="M6" s="29">
        <f t="shared" si="0"/>
      </c>
    </row>
    <row r="7" spans="1:13" ht="14.25">
      <c r="A7" s="251" t="s">
        <v>306</v>
      </c>
      <c r="B7" s="252" t="s">
        <v>316</v>
      </c>
      <c r="C7" s="253" t="s">
        <v>293</v>
      </c>
      <c r="D7" s="254">
        <v>304</v>
      </c>
      <c r="E7" s="255" t="s">
        <v>124</v>
      </c>
      <c r="F7" s="256" t="s">
        <v>325</v>
      </c>
      <c r="G7" s="257">
        <v>19360</v>
      </c>
      <c r="H7" s="258">
        <v>1</v>
      </c>
      <c r="I7" s="258">
        <v>0</v>
      </c>
      <c r="J7" s="259">
        <f t="shared" si="1"/>
        <v>0</v>
      </c>
      <c r="K7" s="260"/>
      <c r="L7" s="261"/>
      <c r="M7" s="29">
        <f t="shared" si="0"/>
      </c>
    </row>
    <row r="8" spans="1:13" ht="14.25">
      <c r="A8" s="251" t="s">
        <v>307</v>
      </c>
      <c r="B8" s="252" t="s">
        <v>320</v>
      </c>
      <c r="C8" s="253" t="s">
        <v>301</v>
      </c>
      <c r="D8" s="254">
        <v>305</v>
      </c>
      <c r="E8" s="255" t="s">
        <v>87</v>
      </c>
      <c r="F8" s="256" t="s">
        <v>321</v>
      </c>
      <c r="G8" s="257">
        <v>42394</v>
      </c>
      <c r="H8" s="258">
        <v>1</v>
      </c>
      <c r="I8" s="258">
        <v>1</v>
      </c>
      <c r="J8" s="259">
        <f t="shared" si="1"/>
        <v>42394</v>
      </c>
      <c r="K8" s="260"/>
      <c r="L8" s="261"/>
      <c r="M8" s="29">
        <f t="shared" si="0"/>
      </c>
    </row>
    <row r="9" spans="1:13" ht="14.25">
      <c r="A9" s="251"/>
      <c r="B9" s="252"/>
      <c r="C9" s="253"/>
      <c r="D9" s="254">
        <v>306</v>
      </c>
      <c r="E9" s="255"/>
      <c r="F9" s="256"/>
      <c r="G9" s="257"/>
      <c r="H9" s="258"/>
      <c r="I9" s="258"/>
      <c r="J9" s="259">
        <f t="shared" si="1"/>
        <v>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6" t="s">
        <v>175</v>
      </c>
      <c r="I106" s="576"/>
      <c r="J106" s="576" t="s">
        <v>98</v>
      </c>
      <c r="K106" s="581"/>
    </row>
    <row r="107" spans="4:11" ht="14.25" thickTop="1">
      <c r="D107" s="230"/>
      <c r="F107" s="296" t="s">
        <v>85</v>
      </c>
      <c r="G107" s="358">
        <f>SUMIF($E$4:$E$103,F107,$J$4:$J$103)</f>
        <v>0</v>
      </c>
      <c r="H107" s="539">
        <f>SUMIF($E$4:$E$103,F107,$M$4:$M$103)</f>
        <v>0</v>
      </c>
      <c r="I107" s="539"/>
      <c r="J107" s="539">
        <f aca="true" t="shared" si="4" ref="J107:J115">G107-H107</f>
        <v>0</v>
      </c>
      <c r="K107" s="620"/>
    </row>
    <row r="108" spans="4:11" ht="13.5">
      <c r="D108" s="230"/>
      <c r="F108" s="297" t="s">
        <v>86</v>
      </c>
      <c r="G108" s="357">
        <f aca="true" t="shared" si="5" ref="G108:G115">SUMIF($E$4:$E$103,F108,$J$4:$J$103)</f>
        <v>94200</v>
      </c>
      <c r="H108" s="547">
        <f aca="true" t="shared" si="6" ref="H108:H114">SUMIF($E$4:$E$103,F108,$M$4:$M$103)</f>
        <v>0</v>
      </c>
      <c r="I108" s="547"/>
      <c r="J108" s="547">
        <f t="shared" si="4"/>
        <v>94200</v>
      </c>
      <c r="K108" s="550"/>
    </row>
    <row r="109" spans="4:11" ht="13.5">
      <c r="D109" s="230"/>
      <c r="F109" s="297" t="s">
        <v>124</v>
      </c>
      <c r="G109" s="357">
        <f t="shared" si="5"/>
        <v>0</v>
      </c>
      <c r="H109" s="547">
        <f t="shared" si="6"/>
        <v>0</v>
      </c>
      <c r="I109" s="547"/>
      <c r="J109" s="547">
        <f t="shared" si="4"/>
        <v>0</v>
      </c>
      <c r="K109" s="550"/>
    </row>
    <row r="110" spans="4:11" ht="13.5">
      <c r="D110" s="230"/>
      <c r="F110" s="297" t="s">
        <v>125</v>
      </c>
      <c r="G110" s="357">
        <f t="shared" si="5"/>
        <v>0</v>
      </c>
      <c r="H110" s="547">
        <f t="shared" si="6"/>
        <v>0</v>
      </c>
      <c r="I110" s="547"/>
      <c r="J110" s="547">
        <f t="shared" si="4"/>
        <v>0</v>
      </c>
      <c r="K110" s="550"/>
    </row>
    <row r="111" spans="4:11" ht="13.5">
      <c r="D111" s="230"/>
      <c r="F111" s="297" t="s">
        <v>87</v>
      </c>
      <c r="G111" s="357">
        <f t="shared" si="5"/>
        <v>42394</v>
      </c>
      <c r="H111" s="547">
        <f t="shared" si="6"/>
        <v>0</v>
      </c>
      <c r="I111" s="547"/>
      <c r="J111" s="547">
        <f t="shared" si="4"/>
        <v>42394</v>
      </c>
      <c r="K111" s="550"/>
    </row>
    <row r="112" spans="4:11" ht="13.5">
      <c r="D112" s="230"/>
      <c r="F112" s="297" t="s">
        <v>88</v>
      </c>
      <c r="G112" s="357">
        <f t="shared" si="5"/>
        <v>0</v>
      </c>
      <c r="H112" s="547">
        <f t="shared" si="6"/>
        <v>0</v>
      </c>
      <c r="I112" s="547"/>
      <c r="J112" s="547">
        <f t="shared" si="4"/>
        <v>0</v>
      </c>
      <c r="K112" s="550"/>
    </row>
    <row r="113" spans="4:11" ht="13.5">
      <c r="D113" s="230"/>
      <c r="F113" s="297" t="s">
        <v>89</v>
      </c>
      <c r="G113" s="357">
        <f t="shared" si="5"/>
        <v>0</v>
      </c>
      <c r="H113" s="547">
        <f t="shared" si="6"/>
        <v>0</v>
      </c>
      <c r="I113" s="547"/>
      <c r="J113" s="547">
        <f t="shared" si="4"/>
        <v>0</v>
      </c>
      <c r="K113" s="550"/>
    </row>
    <row r="114" spans="4:11" ht="13.5">
      <c r="D114" s="230"/>
      <c r="F114" s="297" t="s">
        <v>90</v>
      </c>
      <c r="G114" s="357">
        <f t="shared" si="5"/>
        <v>0</v>
      </c>
      <c r="H114" s="547">
        <f t="shared" si="6"/>
        <v>0</v>
      </c>
      <c r="I114" s="547"/>
      <c r="J114" s="547">
        <f t="shared" si="4"/>
        <v>0</v>
      </c>
      <c r="K114" s="550"/>
    </row>
    <row r="115" spans="4:11" ht="14.25" thickBot="1">
      <c r="D115" s="230"/>
      <c r="F115" s="296" t="s">
        <v>137</v>
      </c>
      <c r="G115" s="357">
        <f t="shared" si="5"/>
        <v>0</v>
      </c>
      <c r="H115" s="591">
        <f>SUMIF($E$4:$E$103,F115,$M$4:$M$103)+'2-3'!I122</f>
        <v>0</v>
      </c>
      <c r="I115" s="591"/>
      <c r="J115" s="591">
        <f t="shared" si="4"/>
        <v>0</v>
      </c>
      <c r="K115" s="592"/>
    </row>
    <row r="116" spans="4:11" ht="15" thickBot="1" thickTop="1">
      <c r="D116" s="388"/>
      <c r="F116" s="298" t="s">
        <v>15</v>
      </c>
      <c r="G116" s="359">
        <f>SUM(G107:G115)</f>
        <v>136594</v>
      </c>
      <c r="H116" s="593">
        <f>SUM(H107:I115)</f>
        <v>0</v>
      </c>
      <c r="I116" s="593"/>
      <c r="J116" s="593">
        <f>SUM(J107:K115)</f>
        <v>136594</v>
      </c>
      <c r="K116" s="59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3" t="s">
        <v>271</v>
      </c>
      <c r="I1" s="513"/>
      <c r="J1" s="513"/>
      <c r="K1" s="513"/>
    </row>
    <row r="2" spans="8:11" s="1" customFormat="1" ht="18" customHeight="1">
      <c r="H2" s="513" t="s">
        <v>272</v>
      </c>
      <c r="I2" s="513"/>
      <c r="J2" s="513"/>
      <c r="K2" s="513"/>
    </row>
    <row r="3" s="1" customFormat="1" ht="18" customHeight="1">
      <c r="K3" s="2"/>
    </row>
    <row r="4" spans="8:11" s="1" customFormat="1" ht="18" customHeight="1">
      <c r="H4" s="514" t="s">
        <v>285</v>
      </c>
      <c r="I4" s="514"/>
      <c r="J4" s="514"/>
      <c r="K4" s="514"/>
    </row>
    <row r="5" spans="8:11" s="1" customFormat="1" ht="18" customHeight="1">
      <c r="H5" s="515">
        <v>42852</v>
      </c>
      <c r="I5" s="514"/>
      <c r="J5" s="514"/>
      <c r="K5" s="514"/>
    </row>
    <row r="6" spans="1:11" s="1" customFormat="1" ht="18" customHeight="1">
      <c r="A6" s="3" t="s">
        <v>2</v>
      </c>
      <c r="H6" s="4"/>
      <c r="K6" s="11"/>
    </row>
    <row r="7" spans="1:11" s="1" customFormat="1" ht="18" customHeight="1">
      <c r="A7" s="4"/>
      <c r="H7" s="514" t="s">
        <v>283</v>
      </c>
      <c r="I7" s="514"/>
      <c r="J7" s="514"/>
      <c r="K7" s="514"/>
    </row>
    <row r="8" spans="1:11" s="1" customFormat="1" ht="18" customHeight="1">
      <c r="A8" s="4"/>
      <c r="H8" s="514" t="s">
        <v>284</v>
      </c>
      <c r="I8" s="514"/>
      <c r="J8" s="514"/>
      <c r="K8" s="514"/>
    </row>
    <row r="9" spans="1:11" s="1" customFormat="1" ht="42" customHeight="1">
      <c r="A9" s="4"/>
      <c r="H9" s="2"/>
      <c r="K9" s="46"/>
    </row>
    <row r="10" spans="1:11" ht="24" customHeight="1">
      <c r="A10" s="516" t="s">
        <v>265</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123</v>
      </c>
      <c r="E14" s="16" t="s">
        <v>122</v>
      </c>
      <c r="F14" s="17" t="s">
        <v>10</v>
      </c>
      <c r="G14" s="17" t="s">
        <v>11</v>
      </c>
      <c r="H14" s="449" t="s">
        <v>248</v>
      </c>
      <c r="I14" s="16" t="s">
        <v>12</v>
      </c>
      <c r="J14" s="448" t="s">
        <v>252</v>
      </c>
      <c r="K14" s="23" t="s">
        <v>15</v>
      </c>
    </row>
    <row r="15" spans="1:11" ht="58.5" customHeight="1" thickTop="1">
      <c r="A15" s="30" t="s">
        <v>100</v>
      </c>
      <c r="B15" s="455">
        <f>'随時①-2'!G27</f>
        <v>10000</v>
      </c>
      <c r="C15" s="456">
        <f>'随時①-2'!G28</f>
        <v>12000</v>
      </c>
      <c r="D15" s="456">
        <f>'随時①-2'!G29</f>
        <v>0</v>
      </c>
      <c r="E15" s="456">
        <f>'随時①-2'!G30</f>
        <v>0</v>
      </c>
      <c r="F15" s="456">
        <f>'随時①-2'!G31</f>
        <v>0</v>
      </c>
      <c r="G15" s="456">
        <f>'随時①-2'!G32</f>
        <v>0</v>
      </c>
      <c r="H15" s="456">
        <f>'随時①-2'!G33</f>
        <v>0</v>
      </c>
      <c r="I15" s="456">
        <f>'随時①-2'!G34</f>
        <v>0</v>
      </c>
      <c r="J15" s="457">
        <f>'随時①-2'!G35</f>
        <v>0</v>
      </c>
      <c r="K15" s="458">
        <f>SUM(B15:J15)</f>
        <v>22000</v>
      </c>
    </row>
    <row r="16" spans="1:11" ht="58.5" customHeight="1">
      <c r="A16" s="21" t="s">
        <v>177</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10000</v>
      </c>
      <c r="C17" s="463">
        <f>C15-C16</f>
        <v>12000</v>
      </c>
      <c r="D17" s="463">
        <f aca="true" t="shared" si="0" ref="D17:J17">D15-D16</f>
        <v>0</v>
      </c>
      <c r="E17" s="463">
        <f t="shared" si="0"/>
        <v>0</v>
      </c>
      <c r="F17" s="463">
        <f t="shared" si="0"/>
        <v>0</v>
      </c>
      <c r="G17" s="463">
        <f t="shared" si="0"/>
        <v>0</v>
      </c>
      <c r="H17" s="463">
        <f t="shared" si="0"/>
        <v>0</v>
      </c>
      <c r="I17" s="463">
        <f t="shared" si="0"/>
        <v>0</v>
      </c>
      <c r="J17" s="463">
        <f t="shared" si="0"/>
        <v>0</v>
      </c>
      <c r="K17" s="464">
        <f>K15-K16</f>
        <v>22000</v>
      </c>
    </row>
    <row r="18" spans="1:11" ht="39" customHeight="1" thickBot="1">
      <c r="A18" s="32" t="s">
        <v>104</v>
      </c>
      <c r="B18" s="622">
        <v>42852</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9">
      <selection activeCell="C8" sqref="C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299" t="s">
        <v>141</v>
      </c>
      <c r="C3" s="59" t="s">
        <v>143</v>
      </c>
      <c r="D3" s="389" t="s">
        <v>146</v>
      </c>
      <c r="E3" s="96" t="s">
        <v>0</v>
      </c>
      <c r="F3" s="96" t="s">
        <v>196</v>
      </c>
      <c r="G3" s="96" t="s">
        <v>91</v>
      </c>
      <c r="H3" s="475" t="s">
        <v>245</v>
      </c>
      <c r="I3" s="96" t="s">
        <v>92</v>
      </c>
      <c r="J3" s="96" t="s">
        <v>93</v>
      </c>
      <c r="K3" s="227" t="s">
        <v>111</v>
      </c>
      <c r="L3" s="295" t="s">
        <v>107</v>
      </c>
      <c r="M3" s="29" t="s">
        <v>99</v>
      </c>
    </row>
    <row r="4" spans="1:13" ht="13.5" customHeight="1">
      <c r="A4" s="360" t="s">
        <v>273</v>
      </c>
      <c r="B4" s="390" t="s">
        <v>274</v>
      </c>
      <c r="C4" s="391" t="s">
        <v>275</v>
      </c>
      <c r="D4" s="243">
        <v>101</v>
      </c>
      <c r="E4" s="244" t="s">
        <v>85</v>
      </c>
      <c r="F4" s="245" t="s">
        <v>276</v>
      </c>
      <c r="G4" s="246">
        <v>5000</v>
      </c>
      <c r="H4" s="247">
        <v>1</v>
      </c>
      <c r="I4" s="247">
        <v>2</v>
      </c>
      <c r="J4" s="248">
        <f>G4*H4*I4</f>
        <v>10000</v>
      </c>
      <c r="K4" s="249"/>
      <c r="L4" s="250" t="s">
        <v>281</v>
      </c>
      <c r="M4" s="29">
        <f aca="true" t="shared" si="0" ref="M4:M23">IF(K4="◎",J4,"")</f>
      </c>
    </row>
    <row r="5" spans="1:13" ht="13.5" customHeight="1">
      <c r="A5" s="251" t="s">
        <v>277</v>
      </c>
      <c r="B5" s="392" t="s">
        <v>278</v>
      </c>
      <c r="C5" s="393" t="s">
        <v>279</v>
      </c>
      <c r="D5" s="254">
        <v>102</v>
      </c>
      <c r="E5" s="255" t="s">
        <v>86</v>
      </c>
      <c r="F5" s="256" t="s">
        <v>280</v>
      </c>
      <c r="G5" s="257">
        <v>12000</v>
      </c>
      <c r="H5" s="258">
        <v>1</v>
      </c>
      <c r="I5" s="258">
        <v>1</v>
      </c>
      <c r="J5" s="259">
        <f>G5*H5*I5</f>
        <v>12000</v>
      </c>
      <c r="K5" s="260"/>
      <c r="L5" s="261" t="s">
        <v>282</v>
      </c>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6" t="s">
        <v>175</v>
      </c>
      <c r="I26" s="576"/>
      <c r="J26" s="576" t="s">
        <v>172</v>
      </c>
      <c r="K26" s="581"/>
    </row>
    <row r="27" spans="2:11" ht="13.5" customHeight="1" thickTop="1">
      <c r="B27" s="53"/>
      <c r="C27" s="53"/>
      <c r="D27" s="67"/>
      <c r="F27" s="296" t="s">
        <v>85</v>
      </c>
      <c r="G27" s="347">
        <f>SUMIF($E$4:$E$23,F27,$J$4:$J$23)</f>
        <v>10000</v>
      </c>
      <c r="H27" s="539">
        <f>SUMIF($E$4:$E$23,F27,$M$4:$M$23)</f>
        <v>0</v>
      </c>
      <c r="I27" s="539"/>
      <c r="J27" s="539">
        <f aca="true" t="shared" si="2" ref="J27:J35">G27-H27</f>
        <v>10000</v>
      </c>
      <c r="K27" s="620"/>
    </row>
    <row r="28" spans="2:11" ht="13.5" customHeight="1">
      <c r="B28" s="53"/>
      <c r="C28" s="53"/>
      <c r="D28" s="67"/>
      <c r="F28" s="297" t="s">
        <v>86</v>
      </c>
      <c r="G28" s="347">
        <f aca="true" t="shared" si="3" ref="G28:G35">SUMIF($E$4:$E$23,F28,$J$4:$J$23)</f>
        <v>12000</v>
      </c>
      <c r="H28" s="547">
        <f aca="true" t="shared" si="4" ref="H28:H35">SUMIF($E$4:$E$23,F28,$M$4:$M$23)</f>
        <v>0</v>
      </c>
      <c r="I28" s="547"/>
      <c r="J28" s="547">
        <f t="shared" si="2"/>
        <v>12000</v>
      </c>
      <c r="K28" s="550"/>
    </row>
    <row r="29" spans="2:11" ht="13.5" customHeight="1">
      <c r="B29" s="53"/>
      <c r="C29" s="53"/>
      <c r="D29" s="67"/>
      <c r="F29" s="297" t="s">
        <v>124</v>
      </c>
      <c r="G29" s="347">
        <f t="shared" si="3"/>
        <v>0</v>
      </c>
      <c r="H29" s="547">
        <f t="shared" si="4"/>
        <v>0</v>
      </c>
      <c r="I29" s="547"/>
      <c r="J29" s="547">
        <f t="shared" si="2"/>
        <v>0</v>
      </c>
      <c r="K29" s="550"/>
    </row>
    <row r="30" spans="2:11" ht="13.5" customHeight="1">
      <c r="B30" s="53"/>
      <c r="C30" s="53"/>
      <c r="D30" s="67"/>
      <c r="F30" s="297" t="s">
        <v>125</v>
      </c>
      <c r="G30" s="347">
        <f t="shared" si="3"/>
        <v>0</v>
      </c>
      <c r="H30" s="547">
        <f t="shared" si="4"/>
        <v>0</v>
      </c>
      <c r="I30" s="547"/>
      <c r="J30" s="547">
        <f t="shared" si="2"/>
        <v>0</v>
      </c>
      <c r="K30" s="550"/>
    </row>
    <row r="31" spans="2:11" ht="13.5" customHeight="1">
      <c r="B31" s="53"/>
      <c r="C31" s="53"/>
      <c r="D31" s="67"/>
      <c r="F31" s="297" t="s">
        <v>87</v>
      </c>
      <c r="G31" s="347">
        <f t="shared" si="3"/>
        <v>0</v>
      </c>
      <c r="H31" s="547">
        <f t="shared" si="4"/>
        <v>0</v>
      </c>
      <c r="I31" s="547"/>
      <c r="J31" s="547">
        <f t="shared" si="2"/>
        <v>0</v>
      </c>
      <c r="K31" s="550"/>
    </row>
    <row r="32" spans="2:11" ht="13.5" customHeight="1">
      <c r="B32" s="53"/>
      <c r="C32" s="53"/>
      <c r="D32" s="67"/>
      <c r="F32" s="297" t="s">
        <v>88</v>
      </c>
      <c r="G32" s="347">
        <f t="shared" si="3"/>
        <v>0</v>
      </c>
      <c r="H32" s="547">
        <f t="shared" si="4"/>
        <v>0</v>
      </c>
      <c r="I32" s="547"/>
      <c r="J32" s="547">
        <f t="shared" si="2"/>
        <v>0</v>
      </c>
      <c r="K32" s="550"/>
    </row>
    <row r="33" spans="2:11" ht="13.5" customHeight="1">
      <c r="B33" s="53"/>
      <c r="C33" s="53"/>
      <c r="D33" s="67"/>
      <c r="F33" s="297" t="s">
        <v>89</v>
      </c>
      <c r="G33" s="347">
        <f t="shared" si="3"/>
        <v>0</v>
      </c>
      <c r="H33" s="547">
        <f t="shared" si="4"/>
        <v>0</v>
      </c>
      <c r="I33" s="547"/>
      <c r="J33" s="547">
        <f t="shared" si="2"/>
        <v>0</v>
      </c>
      <c r="K33" s="550"/>
    </row>
    <row r="34" spans="2:11" ht="13.5" customHeight="1">
      <c r="B34" s="53"/>
      <c r="C34" s="53"/>
      <c r="D34" s="67"/>
      <c r="F34" s="297" t="s">
        <v>90</v>
      </c>
      <c r="G34" s="347">
        <f t="shared" si="3"/>
        <v>0</v>
      </c>
      <c r="H34" s="547">
        <f t="shared" si="4"/>
        <v>0</v>
      </c>
      <c r="I34" s="547"/>
      <c r="J34" s="547">
        <f t="shared" si="2"/>
        <v>0</v>
      </c>
      <c r="K34" s="550"/>
    </row>
    <row r="35" spans="2:11" ht="13.5" customHeight="1" thickBot="1">
      <c r="B35" s="53"/>
      <c r="C35" s="53"/>
      <c r="D35" s="67"/>
      <c r="F35" s="429" t="s">
        <v>137</v>
      </c>
      <c r="G35" s="431">
        <f t="shared" si="3"/>
        <v>0</v>
      </c>
      <c r="H35" s="591">
        <f t="shared" si="4"/>
        <v>0</v>
      </c>
      <c r="I35" s="591"/>
      <c r="J35" s="591">
        <f t="shared" si="2"/>
        <v>0</v>
      </c>
      <c r="K35" s="592"/>
    </row>
    <row r="36" spans="2:11" ht="13.5" customHeight="1" thickBot="1" thickTop="1">
      <c r="B36" s="53"/>
      <c r="C36" s="53"/>
      <c r="D36" s="47"/>
      <c r="F36" s="427" t="s">
        <v>15</v>
      </c>
      <c r="G36" s="356">
        <f>SUM(G27:G35)</f>
        <v>22000</v>
      </c>
      <c r="H36" s="593">
        <f>SUM(H27:H35)</f>
        <v>0</v>
      </c>
      <c r="I36" s="593"/>
      <c r="J36" s="593">
        <f>SUM(J27:J35)</f>
        <v>22000</v>
      </c>
      <c r="K36" s="59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144</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16" t="s">
        <v>267</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254</v>
      </c>
      <c r="K15" s="23" t="s">
        <v>15</v>
      </c>
    </row>
    <row r="16" spans="1:11" ht="39" customHeight="1" thickTop="1">
      <c r="A16" s="21" t="s">
        <v>102</v>
      </c>
      <c r="B16" s="435">
        <f>'1-1'!B21</f>
        <v>60000</v>
      </c>
      <c r="C16" s="321">
        <f>'1-1'!C21</f>
        <v>182000</v>
      </c>
      <c r="D16" s="321">
        <f>'1-1'!D21</f>
        <v>20000</v>
      </c>
      <c r="E16" s="321">
        <f>'1-1'!E21</f>
        <v>0</v>
      </c>
      <c r="F16" s="321">
        <f>'1-1'!F21</f>
        <v>55000</v>
      </c>
      <c r="G16" s="321">
        <f>'1-1'!G21</f>
        <v>601000</v>
      </c>
      <c r="H16" s="321">
        <f>'1-1'!H21</f>
        <v>0</v>
      </c>
      <c r="I16" s="321">
        <f>'1-1'!I21</f>
        <v>130000</v>
      </c>
      <c r="J16" s="436">
        <f>'1-1'!J21</f>
        <v>79190</v>
      </c>
      <c r="K16" s="437">
        <f aca="true" t="shared" si="0" ref="K16:K22">SUM(B16:J16)</f>
        <v>1127190</v>
      </c>
    </row>
    <row r="17" spans="1:11" ht="39" customHeight="1">
      <c r="A17" s="21" t="s">
        <v>16</v>
      </c>
      <c r="B17" s="435">
        <f>'随時②-2'!G38</f>
        <v>0</v>
      </c>
      <c r="C17" s="321">
        <f>'随時②-2'!G39</f>
        <v>0</v>
      </c>
      <c r="D17" s="321">
        <f>'随時②-2'!G40</f>
        <v>0</v>
      </c>
      <c r="E17" s="321">
        <f>'随時②-2'!G41</f>
        <v>0</v>
      </c>
      <c r="F17" s="321">
        <f>'随時②-2'!G42</f>
        <v>0</v>
      </c>
      <c r="G17" s="321">
        <f>'随時②-2'!G43</f>
        <v>0</v>
      </c>
      <c r="H17" s="321">
        <f>'随時②-2'!G44</f>
        <v>0</v>
      </c>
      <c r="I17" s="321">
        <f>'随時②-2'!G45</f>
        <v>0</v>
      </c>
      <c r="J17" s="436">
        <f>'随時②-2'!G46</f>
        <v>0</v>
      </c>
      <c r="K17" s="437">
        <f t="shared" si="0"/>
        <v>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164</v>
      </c>
      <c r="B20" s="223">
        <f>SUM(B16:B17)</f>
        <v>60000</v>
      </c>
      <c r="C20" s="223">
        <f aca="true" t="shared" si="2" ref="C20:J20">SUM(C16:C17)</f>
        <v>182000</v>
      </c>
      <c r="D20" s="223">
        <f t="shared" si="2"/>
        <v>20000</v>
      </c>
      <c r="E20" s="223">
        <f t="shared" si="2"/>
        <v>0</v>
      </c>
      <c r="F20" s="223">
        <f t="shared" si="2"/>
        <v>55000</v>
      </c>
      <c r="G20" s="223">
        <f t="shared" si="2"/>
        <v>601000</v>
      </c>
      <c r="H20" s="223">
        <f t="shared" si="2"/>
        <v>0</v>
      </c>
      <c r="I20" s="223">
        <f t="shared" si="2"/>
        <v>130000</v>
      </c>
      <c r="J20" s="223">
        <f t="shared" si="2"/>
        <v>79190</v>
      </c>
      <c r="K20" s="434">
        <f t="shared" si="0"/>
        <v>1127190</v>
      </c>
    </row>
    <row r="21" spans="1:11" ht="39" customHeight="1">
      <c r="A21" s="21" t="s">
        <v>165</v>
      </c>
      <c r="B21" s="454">
        <f>'1-1'!B22</f>
        <v>0</v>
      </c>
      <c r="C21" s="454">
        <f>'1-1'!C22</f>
        <v>0</v>
      </c>
      <c r="D21" s="454">
        <f>'1-1'!D22</f>
        <v>0</v>
      </c>
      <c r="E21" s="454">
        <f>'1-1'!E22</f>
        <v>22810</v>
      </c>
      <c r="F21" s="454">
        <f>'1-1'!F22</f>
        <v>40000</v>
      </c>
      <c r="G21" s="454">
        <f>'1-1'!G22</f>
        <v>0</v>
      </c>
      <c r="H21" s="454">
        <f>'1-1'!H22</f>
        <v>0</v>
      </c>
      <c r="I21" s="454">
        <f>'1-1'!I22</f>
        <v>0</v>
      </c>
      <c r="J21" s="454">
        <f>'1-1'!J22</f>
        <v>0</v>
      </c>
      <c r="K21" s="437">
        <f t="shared" si="0"/>
        <v>62810</v>
      </c>
    </row>
    <row r="22" spans="1:11" ht="39" customHeight="1" thickBot="1">
      <c r="A22" s="22" t="s">
        <v>163</v>
      </c>
      <c r="B22" s="219">
        <f>SUM(B20:B21)</f>
        <v>60000</v>
      </c>
      <c r="C22" s="219">
        <f aca="true" t="shared" si="3" ref="C22:J22">SUM(C20:C21)</f>
        <v>182000</v>
      </c>
      <c r="D22" s="219">
        <f t="shared" si="3"/>
        <v>20000</v>
      </c>
      <c r="E22" s="219">
        <f t="shared" si="3"/>
        <v>22810</v>
      </c>
      <c r="F22" s="219">
        <f t="shared" si="3"/>
        <v>95000</v>
      </c>
      <c r="G22" s="219">
        <f t="shared" si="3"/>
        <v>601000</v>
      </c>
      <c r="H22" s="219">
        <f t="shared" si="3"/>
        <v>0</v>
      </c>
      <c r="I22" s="219">
        <f t="shared" si="3"/>
        <v>130000</v>
      </c>
      <c r="J22" s="219">
        <f t="shared" si="3"/>
        <v>79190</v>
      </c>
      <c r="K22" s="222">
        <f t="shared" si="0"/>
        <v>1190000</v>
      </c>
    </row>
    <row r="23" spans="1:11" ht="39" customHeight="1" thickBot="1">
      <c r="A23" s="32" t="s">
        <v>104</v>
      </c>
      <c r="B23" s="625" t="s">
        <v>135</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7" t="s">
        <v>111</v>
      </c>
      <c r="L20" s="409" t="s">
        <v>107</v>
      </c>
    </row>
    <row r="21" spans="1:13" ht="14.25">
      <c r="A21" s="360"/>
      <c r="B21" s="241"/>
      <c r="C21" s="262"/>
      <c r="D21" s="401">
        <v>201</v>
      </c>
      <c r="E21" s="275"/>
      <c r="F21" s="275"/>
      <c r="G21" s="276"/>
      <c r="H21" s="277"/>
      <c r="I21" s="277"/>
      <c r="J21" s="402">
        <f>G21*H21*I21</f>
        <v>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247</v>
      </c>
      <c r="F36" s="628"/>
      <c r="G36" s="628"/>
    </row>
    <row r="37" spans="1:12" ht="24" customHeight="1" thickBot="1">
      <c r="A37" s="53"/>
      <c r="B37" s="53"/>
      <c r="C37" s="53"/>
      <c r="D37" s="53"/>
      <c r="E37" s="239" t="s">
        <v>96</v>
      </c>
      <c r="F37" s="229" t="s">
        <v>109</v>
      </c>
      <c r="G37" s="156" t="s">
        <v>16</v>
      </c>
      <c r="H37" s="629" t="s">
        <v>244</v>
      </c>
      <c r="I37" s="630"/>
      <c r="J37" s="229" t="s">
        <v>108</v>
      </c>
      <c r="K37" s="530" t="s">
        <v>192</v>
      </c>
      <c r="L37" s="606"/>
    </row>
    <row r="38" spans="1:12" ht="14.25" thickTop="1">
      <c r="A38" s="53"/>
      <c r="B38" s="53"/>
      <c r="C38" s="53"/>
      <c r="D38" s="53"/>
      <c r="E38" s="296" t="s">
        <v>85</v>
      </c>
      <c r="F38" s="347">
        <f>'1-1'!B21</f>
        <v>60000</v>
      </c>
      <c r="G38" s="349">
        <f aca="true" t="shared" si="3" ref="G38:G46">-SUMIF($E$4:$E$18,$E38,$J$4:$J$18)+SUMIF($E$21:$E$35,$E38,$J$21:$J$35)</f>
        <v>0</v>
      </c>
      <c r="H38" s="539">
        <f aca="true" t="shared" si="4" ref="H38:H46">-SUMIF($E$4:$E$18,$E38,$M$4:$M$18)+SUMIF($E$21:$E$35,$E38,$M$21:$M$35)</f>
        <v>0</v>
      </c>
      <c r="I38" s="539"/>
      <c r="J38" s="348">
        <f aca="true" t="shared" si="5" ref="J38:J46">G38-H38</f>
        <v>0</v>
      </c>
      <c r="K38" s="539">
        <f aca="true" t="shared" si="6" ref="K38:K46">F38+G38</f>
        <v>60000</v>
      </c>
      <c r="L38" s="620"/>
    </row>
    <row r="39" spans="1:12" ht="13.5">
      <c r="A39" s="53"/>
      <c r="B39" s="53"/>
      <c r="C39" s="53"/>
      <c r="D39" s="53"/>
      <c r="E39" s="297" t="s">
        <v>86</v>
      </c>
      <c r="F39" s="351">
        <f>'1-1'!C21</f>
        <v>182000</v>
      </c>
      <c r="G39" s="349">
        <f t="shared" si="3"/>
        <v>0</v>
      </c>
      <c r="H39" s="547">
        <f t="shared" si="4"/>
        <v>0</v>
      </c>
      <c r="I39" s="547"/>
      <c r="J39" s="351">
        <f t="shared" si="5"/>
        <v>0</v>
      </c>
      <c r="K39" s="547">
        <f t="shared" si="6"/>
        <v>182000</v>
      </c>
      <c r="L39" s="550"/>
    </row>
    <row r="40" spans="1:12" ht="13.5">
      <c r="A40" s="53"/>
      <c r="B40" s="53"/>
      <c r="C40" s="53"/>
      <c r="D40" s="53"/>
      <c r="E40" s="297" t="s">
        <v>124</v>
      </c>
      <c r="F40" s="351">
        <f>'1-1'!D21</f>
        <v>20000</v>
      </c>
      <c r="G40" s="349">
        <f t="shared" si="3"/>
        <v>0</v>
      </c>
      <c r="H40" s="547">
        <f t="shared" si="4"/>
        <v>0</v>
      </c>
      <c r="I40" s="547"/>
      <c r="J40" s="351">
        <f t="shared" si="5"/>
        <v>0</v>
      </c>
      <c r="K40" s="547">
        <f t="shared" si="6"/>
        <v>20000</v>
      </c>
      <c r="L40" s="550"/>
    </row>
    <row r="41" spans="1:12" ht="13.5">
      <c r="A41" s="53"/>
      <c r="B41" s="53"/>
      <c r="C41" s="53"/>
      <c r="D41" s="53"/>
      <c r="E41" s="297" t="s">
        <v>125</v>
      </c>
      <c r="F41" s="351">
        <f>'1-1'!E21</f>
        <v>0</v>
      </c>
      <c r="G41" s="349">
        <f t="shared" si="3"/>
        <v>0</v>
      </c>
      <c r="H41" s="547">
        <f t="shared" si="4"/>
        <v>0</v>
      </c>
      <c r="I41" s="547"/>
      <c r="J41" s="351">
        <f t="shared" si="5"/>
        <v>0</v>
      </c>
      <c r="K41" s="547">
        <f t="shared" si="6"/>
        <v>0</v>
      </c>
      <c r="L41" s="550"/>
    </row>
    <row r="42" spans="1:12" ht="13.5">
      <c r="A42" s="53"/>
      <c r="B42" s="53"/>
      <c r="C42" s="53"/>
      <c r="D42" s="53"/>
      <c r="E42" s="297" t="s">
        <v>87</v>
      </c>
      <c r="F42" s="351">
        <f>'1-1'!F21</f>
        <v>55000</v>
      </c>
      <c r="G42" s="349">
        <f t="shared" si="3"/>
        <v>0</v>
      </c>
      <c r="H42" s="547">
        <f t="shared" si="4"/>
        <v>0</v>
      </c>
      <c r="I42" s="547"/>
      <c r="J42" s="351">
        <f t="shared" si="5"/>
        <v>0</v>
      </c>
      <c r="K42" s="547">
        <f t="shared" si="6"/>
        <v>55000</v>
      </c>
      <c r="L42" s="550"/>
    </row>
    <row r="43" spans="1:12" ht="13.5">
      <c r="A43" s="53"/>
      <c r="B43" s="53"/>
      <c r="C43" s="53"/>
      <c r="D43" s="53"/>
      <c r="E43" s="297" t="s">
        <v>88</v>
      </c>
      <c r="F43" s="351">
        <f>'1-1'!G21</f>
        <v>601000</v>
      </c>
      <c r="G43" s="349">
        <f t="shared" si="3"/>
        <v>0</v>
      </c>
      <c r="H43" s="547">
        <f t="shared" si="4"/>
        <v>0</v>
      </c>
      <c r="I43" s="547"/>
      <c r="J43" s="351">
        <f t="shared" si="5"/>
        <v>0</v>
      </c>
      <c r="K43" s="547">
        <f t="shared" si="6"/>
        <v>601000</v>
      </c>
      <c r="L43" s="550"/>
    </row>
    <row r="44" spans="1:12" ht="13.5">
      <c r="A44" s="53"/>
      <c r="B44" s="53"/>
      <c r="C44" s="53"/>
      <c r="D44" s="53"/>
      <c r="E44" s="297" t="s">
        <v>89</v>
      </c>
      <c r="F44" s="351">
        <f>'1-1'!H21</f>
        <v>0</v>
      </c>
      <c r="G44" s="349">
        <f t="shared" si="3"/>
        <v>0</v>
      </c>
      <c r="H44" s="547">
        <f t="shared" si="4"/>
        <v>0</v>
      </c>
      <c r="I44" s="547"/>
      <c r="J44" s="351">
        <f t="shared" si="5"/>
        <v>0</v>
      </c>
      <c r="K44" s="547">
        <f t="shared" si="6"/>
        <v>0</v>
      </c>
      <c r="L44" s="550"/>
    </row>
    <row r="45" spans="1:12" ht="13.5">
      <c r="A45" s="53"/>
      <c r="B45" s="53"/>
      <c r="C45" s="53"/>
      <c r="D45" s="53"/>
      <c r="E45" s="297" t="s">
        <v>90</v>
      </c>
      <c r="F45" s="351">
        <f>'1-1'!I21</f>
        <v>130000</v>
      </c>
      <c r="G45" s="349">
        <f t="shared" si="3"/>
        <v>0</v>
      </c>
      <c r="H45" s="547">
        <f t="shared" si="4"/>
        <v>0</v>
      </c>
      <c r="I45" s="547"/>
      <c r="J45" s="351">
        <f t="shared" si="5"/>
        <v>0</v>
      </c>
      <c r="K45" s="547">
        <f t="shared" si="6"/>
        <v>130000</v>
      </c>
      <c r="L45" s="550"/>
    </row>
    <row r="46" spans="1:12" ht="14.25" thickBot="1">
      <c r="A46" s="53"/>
      <c r="B46" s="53"/>
      <c r="C46" s="53"/>
      <c r="D46" s="53"/>
      <c r="E46" s="297" t="s">
        <v>137</v>
      </c>
      <c r="F46" s="399">
        <f>'1-1'!J21</f>
        <v>79190</v>
      </c>
      <c r="G46" s="349">
        <f t="shared" si="3"/>
        <v>0</v>
      </c>
      <c r="H46" s="591">
        <f t="shared" si="4"/>
        <v>0</v>
      </c>
      <c r="I46" s="591"/>
      <c r="J46" s="352">
        <f t="shared" si="5"/>
        <v>0</v>
      </c>
      <c r="K46" s="591">
        <f t="shared" si="6"/>
        <v>79190</v>
      </c>
      <c r="L46" s="592"/>
    </row>
    <row r="47" spans="1:12" ht="15" thickBot="1" thickTop="1">
      <c r="A47" s="53"/>
      <c r="B47" s="53"/>
      <c r="C47" s="53"/>
      <c r="D47" s="53"/>
      <c r="E47" s="400" t="s">
        <v>15</v>
      </c>
      <c r="F47" s="354">
        <f>SUM(F38:F46)</f>
        <v>1127190</v>
      </c>
      <c r="G47" s="355">
        <f>SUM(G38:G46)</f>
        <v>0</v>
      </c>
      <c r="H47" s="626">
        <f>SUM(H38:I46)</f>
        <v>0</v>
      </c>
      <c r="I47" s="627"/>
      <c r="J47" s="356">
        <f>SUM(J38:J46)</f>
        <v>0</v>
      </c>
      <c r="K47" s="626">
        <f>SUM(K38:L46)</f>
        <v>1127190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3"/>
      <c r="I1" s="513"/>
      <c r="J1" s="513"/>
      <c r="K1" s="513"/>
    </row>
    <row r="2" spans="8:11" s="1" customFormat="1" ht="18" customHeight="1">
      <c r="H2" s="513" t="s">
        <v>327</v>
      </c>
      <c r="I2" s="513"/>
      <c r="J2" s="513"/>
      <c r="K2" s="513"/>
    </row>
    <row r="3" s="1" customFormat="1" ht="18" customHeight="1">
      <c r="K3" s="2"/>
    </row>
    <row r="4" spans="8:11" s="1" customFormat="1" ht="18" customHeight="1">
      <c r="H4" s="514" t="s">
        <v>338</v>
      </c>
      <c r="I4" s="514"/>
      <c r="J4" s="514"/>
      <c r="K4" s="514"/>
    </row>
    <row r="5" spans="8:11" s="1" customFormat="1" ht="18" customHeight="1">
      <c r="H5" s="515">
        <v>43179</v>
      </c>
      <c r="I5" s="514"/>
      <c r="J5" s="514"/>
      <c r="K5" s="514"/>
    </row>
    <row r="6" spans="1:11" s="1" customFormat="1" ht="18" customHeight="1">
      <c r="A6" s="3" t="s">
        <v>2</v>
      </c>
      <c r="H6" s="4"/>
      <c r="K6" s="11"/>
    </row>
    <row r="7" spans="1:11" s="1" customFormat="1" ht="18" customHeight="1">
      <c r="A7" s="4"/>
      <c r="H7" s="514" t="s">
        <v>283</v>
      </c>
      <c r="I7" s="514"/>
      <c r="J7" s="514"/>
      <c r="K7" s="514"/>
    </row>
    <row r="8" spans="1:11" s="1" customFormat="1" ht="18" customHeight="1">
      <c r="A8" s="4"/>
      <c r="H8" s="514" t="s">
        <v>284</v>
      </c>
      <c r="I8" s="514"/>
      <c r="J8" s="514"/>
      <c r="K8" s="514"/>
    </row>
    <row r="9" spans="1:11" s="1" customFormat="1" ht="42" customHeight="1">
      <c r="A9" s="4"/>
      <c r="H9" s="2"/>
      <c r="K9" s="46"/>
    </row>
    <row r="10" spans="1:11" ht="24" customHeight="1">
      <c r="A10" s="516" t="s">
        <v>269</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21" t="s">
        <v>167</v>
      </c>
      <c r="B16" s="435">
        <f>'2-1'!B23</f>
        <v>0</v>
      </c>
      <c r="C16" s="435">
        <f>'2-1'!C23</f>
        <v>94200</v>
      </c>
      <c r="D16" s="435">
        <f>'2-1'!D23</f>
        <v>0</v>
      </c>
      <c r="E16" s="435">
        <f>'2-1'!E23</f>
        <v>0</v>
      </c>
      <c r="F16" s="435">
        <f>'2-1'!F23</f>
        <v>42394</v>
      </c>
      <c r="G16" s="435">
        <f>'2-1'!G23</f>
        <v>0</v>
      </c>
      <c r="H16" s="435">
        <f>'2-1'!H23</f>
        <v>0</v>
      </c>
      <c r="I16" s="435">
        <f>'2-1'!I23</f>
        <v>0</v>
      </c>
      <c r="J16" s="435">
        <f>'2-1'!J23</f>
        <v>0</v>
      </c>
      <c r="K16" s="437">
        <f aca="true" t="shared" si="0" ref="K16:K23">SUM(B16:J16)</f>
        <v>136594</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0</v>
      </c>
      <c r="C18" s="438">
        <f aca="true" t="shared" si="1" ref="C18:J18">C16-C17</f>
        <v>94200</v>
      </c>
      <c r="D18" s="438">
        <f t="shared" si="1"/>
        <v>0</v>
      </c>
      <c r="E18" s="438">
        <f t="shared" si="1"/>
        <v>0</v>
      </c>
      <c r="F18" s="438">
        <f t="shared" si="1"/>
        <v>42394</v>
      </c>
      <c r="G18" s="438">
        <f t="shared" si="1"/>
        <v>0</v>
      </c>
      <c r="H18" s="438">
        <f t="shared" si="1"/>
        <v>0</v>
      </c>
      <c r="I18" s="438">
        <f t="shared" si="1"/>
        <v>0</v>
      </c>
      <c r="J18" s="438">
        <f t="shared" si="1"/>
        <v>0</v>
      </c>
      <c r="K18" s="441">
        <f t="shared" si="0"/>
        <v>136594</v>
      </c>
    </row>
    <row r="19" spans="1:11" ht="39" customHeight="1">
      <c r="A19" s="21" t="s">
        <v>16</v>
      </c>
      <c r="B19" s="435">
        <f>'随時③-2'!G38</f>
        <v>0</v>
      </c>
      <c r="C19" s="321">
        <f>'随時③-2'!G39</f>
        <v>0</v>
      </c>
      <c r="D19" s="321">
        <f>'随時③-2'!G40</f>
        <v>150696</v>
      </c>
      <c r="E19" s="321">
        <f>'随時③-2'!G41</f>
        <v>0</v>
      </c>
      <c r="F19" s="321">
        <f>'随時③-2'!G42</f>
        <v>0</v>
      </c>
      <c r="G19" s="321">
        <f>'随時③-2'!G43</f>
        <v>0</v>
      </c>
      <c r="H19" s="321">
        <f>'随時③-2'!G44</f>
        <v>0</v>
      </c>
      <c r="I19" s="321">
        <f>'随時③-2'!G45</f>
        <v>-130000</v>
      </c>
      <c r="J19" s="436">
        <f>'随時③-2'!G46</f>
        <v>0</v>
      </c>
      <c r="K19" s="437">
        <f t="shared" si="0"/>
        <v>20696</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150696</v>
      </c>
      <c r="E21" s="442">
        <f t="shared" si="2"/>
        <v>0</v>
      </c>
      <c r="F21" s="442">
        <f t="shared" si="2"/>
        <v>0</v>
      </c>
      <c r="G21" s="442">
        <f t="shared" si="2"/>
        <v>0</v>
      </c>
      <c r="H21" s="442">
        <f t="shared" si="2"/>
        <v>0</v>
      </c>
      <c r="I21" s="442">
        <f t="shared" si="2"/>
        <v>-130000</v>
      </c>
      <c r="J21" s="442">
        <f t="shared" si="2"/>
        <v>0</v>
      </c>
      <c r="K21" s="444">
        <f t="shared" si="0"/>
        <v>20696</v>
      </c>
    </row>
    <row r="22" spans="1:11" ht="39" customHeight="1">
      <c r="A22" s="30" t="s">
        <v>168</v>
      </c>
      <c r="B22" s="223">
        <f>B16+B19</f>
        <v>0</v>
      </c>
      <c r="C22" s="223">
        <f aca="true" t="shared" si="3" ref="C22:J22">C16+C19</f>
        <v>94200</v>
      </c>
      <c r="D22" s="223">
        <f t="shared" si="3"/>
        <v>150696</v>
      </c>
      <c r="E22" s="223">
        <f t="shared" si="3"/>
        <v>0</v>
      </c>
      <c r="F22" s="223">
        <f t="shared" si="3"/>
        <v>42394</v>
      </c>
      <c r="G22" s="223">
        <f t="shared" si="3"/>
        <v>0</v>
      </c>
      <c r="H22" s="223">
        <f t="shared" si="3"/>
        <v>0</v>
      </c>
      <c r="I22" s="223">
        <f t="shared" si="3"/>
        <v>-130000</v>
      </c>
      <c r="J22" s="223">
        <f t="shared" si="3"/>
        <v>0</v>
      </c>
      <c r="K22" s="434">
        <f t="shared" si="0"/>
        <v>157290</v>
      </c>
    </row>
    <row r="23" spans="1:11" ht="39" customHeight="1" thickBot="1">
      <c r="A23" s="22" t="s">
        <v>169</v>
      </c>
      <c r="B23" s="219">
        <f>'2-1'!B19+'随時③-1'!B22</f>
        <v>40000</v>
      </c>
      <c r="C23" s="219">
        <f>'2-1'!C19+'随時③-1'!C22</f>
        <v>152380</v>
      </c>
      <c r="D23" s="219">
        <f>'2-1'!D19+'随時③-1'!D22</f>
        <v>167196</v>
      </c>
      <c r="E23" s="219">
        <f>'2-1'!E19+'随時③-1'!E22</f>
        <v>0</v>
      </c>
      <c r="F23" s="219">
        <f>'2-1'!F19+'随時③-1'!F22</f>
        <v>84870</v>
      </c>
      <c r="G23" s="219">
        <f>'2-1'!G19+'随時③-1'!G22</f>
        <v>591222</v>
      </c>
      <c r="H23" s="219">
        <f>'2-1'!H19+'随時③-1'!H22</f>
        <v>0</v>
      </c>
      <c r="I23" s="219">
        <f>'2-1'!I19+'随時③-1'!I22</f>
        <v>-130000</v>
      </c>
      <c r="J23" s="219">
        <f>'2-1'!J19+'随時③-1'!J22</f>
        <v>74330</v>
      </c>
      <c r="K23" s="222">
        <f t="shared" si="0"/>
        <v>979998</v>
      </c>
    </row>
    <row r="24" spans="1:11" ht="39" customHeight="1" thickBot="1">
      <c r="A24" s="32" t="s">
        <v>104</v>
      </c>
      <c r="B24" s="632" t="s">
        <v>330</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F30" sqref="F3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7" t="s">
        <v>111</v>
      </c>
      <c r="L3" s="295" t="s">
        <v>107</v>
      </c>
    </row>
    <row r="4" spans="1:13" ht="14.25">
      <c r="A4" s="91"/>
      <c r="B4" s="67"/>
      <c r="C4" s="67"/>
      <c r="D4" s="410">
        <v>304</v>
      </c>
      <c r="E4" s="315" t="str">
        <f>IF($D4="","",IF($D4&lt;=100,VLOOKUP($D4,'1-2'!$D$4:$L$103,2),IF($D4&lt;=200,VLOOKUP($D4,'随時①-2'!$D$4:$L$23,2),IF($D4&lt;=300,VLOOKUP($D4,'随時②-2'!$D$21:$L$35,2),VLOOKUP($D4,'2-4'!$D$4:$L$103,2)))))</f>
        <v>消耗需用費</v>
      </c>
      <c r="F4" s="315" t="str">
        <f>IF($D4="","",IF($D4&lt;=100,VLOOKUP($D4,'1-2'!$D$4:$L$103,3),IF($D4&lt;=200,VLOOKUP($D4,'随時①-2'!$D$4:$L$23,3),IF($D4&lt;=300,VLOOKUP($D4,'随時②-2'!$D$21:$L$35,3),VLOOKUP($D4,'2-4'!$D$4:$L$103,3)))))</f>
        <v>Apple tv購入等</v>
      </c>
      <c r="G4" s="224">
        <f>IF($D4="","",IF($D4&lt;=100,VLOOKUP($D4,'1-2'!$D$4:$L$103,4),IF($D4&lt;=200,VLOOKUP($D4,'随時①-2'!$D$4:$L$23,4),IF($D4&lt;=300,VLOOKUP($D4,'随時②-2'!$D$21:$L$35,4),VLOOKUP($D4,'2-4'!$D$4:$L$103,4)))))</f>
        <v>19360</v>
      </c>
      <c r="H4" s="316">
        <f>IF($D4="","",IF($D4&lt;=100,VLOOKUP($D4,'1-2'!$D$4:$L$103,5),IF($D4&lt;=200,VLOOKUP($D4,'随時①-2'!$D$4:$L$23,5),IF($D4&lt;=300,VLOOKUP($D4,'随時②-2'!$D$21:$L$35,5),VLOOKUP($D4,'2-4'!$D$4:$L$103,5)))))</f>
        <v>1</v>
      </c>
      <c r="I4" s="316">
        <f>IF($D4="","",IF($D4&lt;=100,VLOOKUP($D4,'1-2'!$D$4:$L$103,6),IF($D4&lt;=200,VLOOKUP($D4,'随時①-2'!$D$4:$L$23,6),IF($D4&lt;=300,VLOOKUP($D4,'随時②-2'!$D$21:$L$35,6),VLOOKUP($D4,'2-4'!$D$4:$L$103,6)))))</f>
        <v>0</v>
      </c>
      <c r="J4" s="224">
        <f>IF($D4="","",IF($D4&lt;=100,VLOOKUP($D4,'1-2'!$D$4:$L$103,7),IF($D4&lt;=200,VLOOKUP($D4,'随時①-2'!$D$4:$L$23,7),IF($D4&lt;=300,VLOOKUP($D4,'随時②-2'!$D$21:$L$35,7),VLOOKUP($D4,'2-4'!$D$4:$L$103,7)))))</f>
        <v>0</v>
      </c>
      <c r="K4" s="315">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v>8</v>
      </c>
      <c r="E5" s="315" t="str">
        <f>IF($D5="","",IF($D5&lt;=100,VLOOKUP($D5,'1-2'!$D$4:$L$103,2),IF($D5&lt;=200,VLOOKUP($D5,'随時①-2'!$D$4:$L$23,2),IF($D5&lt;=300,VLOOKUP($D5,'随時②-2'!$D$21:$L$35,2),VLOOKUP($D5,'2-4'!$D$4:$L$103,2)))))</f>
        <v>消耗需用費</v>
      </c>
      <c r="F5" s="315" t="str">
        <f>IF($D5="","",IF($D5&lt;=100,VLOOKUP($D5,'1-2'!$D$4:$L$103,3),IF($D5&lt;=200,VLOOKUP($D5,'随時①-2'!$D$4:$L$23,3),IF($D5&lt;=300,VLOOKUP($D5,'随時②-2'!$D$21:$L$35,3),VLOOKUP($D5,'2-4'!$D$4:$L$103,3)))))</f>
        <v>府立人権夏季セミナー資料</v>
      </c>
      <c r="G5" s="224">
        <f>IF($D5="","",IF($D5&lt;=100,VLOOKUP($D5,'1-2'!$D$4:$L$103,4),IF($D5&lt;=200,VLOOKUP($D5,'随時①-2'!$D$4:$L$23,4),IF($D5&lt;=300,VLOOKUP($D5,'随時②-2'!$D$21:$L$35,4),VLOOKUP($D5,'2-4'!$D$4:$L$103,4)))))</f>
        <v>2000</v>
      </c>
      <c r="H5" s="316">
        <f>IF($D5="","",IF($D5&lt;=100,VLOOKUP($D5,'1-2'!$D$4:$L$103,5),IF($D5&lt;=200,VLOOKUP($D5,'随時①-2'!$D$4:$L$23,5),IF($D5&lt;=300,VLOOKUP($D5,'随時②-2'!$D$21:$L$35,5),VLOOKUP($D5,'2-4'!$D$4:$L$103,5)))))</f>
        <v>5</v>
      </c>
      <c r="I5" s="316">
        <f>IF($D5="","",IF($D5&lt;=100,VLOOKUP($D5,'1-2'!$D$4:$L$103,6),IF($D5&lt;=200,VLOOKUP($D5,'随時①-2'!$D$4:$L$23,6),IF($D5&lt;=300,VLOOKUP($D5,'随時②-2'!$D$21:$L$35,6),VLOOKUP($D5,'2-4'!$D$4:$L$103,6)))))</f>
        <v>1</v>
      </c>
      <c r="J5" s="224">
        <f>IF($D5="","",IF($D5&lt;=100,VLOOKUP($D5,'1-2'!$D$4:$L$103,7),IF($D5&lt;=200,VLOOKUP($D5,'随時①-2'!$D$4:$L$23,7),IF($D5&lt;=300,VLOOKUP($D5,'随時②-2'!$D$21:$L$35,7),VLOOKUP($D5,'2-4'!$D$4:$L$103,7)))))</f>
        <v>10000</v>
      </c>
      <c r="K5" s="315">
        <f>IF($D5="","",IF($D5&lt;=100,VLOOKUP($D5,'1-2'!$D$4:$L$103,8),IF($D5&lt;=200,VLOOKUP($D5,'随時①-2'!$D$4:$L$23,8),IF($D5&lt;=300,VLOOKUP($D5,'随時②-2'!$D$21:$L$35,8),VLOOKUP($D5,'2-4'!$D$4:$L$103,8)))))</f>
        <v>0</v>
      </c>
      <c r="L5" s="419">
        <f>IF($D5="","",IF($D5&lt;=100,VLOOKUP($D5,'1-2'!$D$4:$L$103,9),IF($D5&lt;=200,VLOOKUP($D5,'随時①-2'!$D$4:$L$23,9),IF($D5&lt;=300,VLOOKUP($D5,'随時②-2'!$D$21:$L$35,9),VLOOKUP($D5,'2-4'!$D$4:$L$103,9)))))</f>
        <v>0</v>
      </c>
      <c r="M5" s="5">
        <f t="shared" si="0"/>
      </c>
    </row>
    <row r="6" spans="1:13" ht="14.25">
      <c r="A6" s="91"/>
      <c r="B6" s="67"/>
      <c r="C6" s="67"/>
      <c r="D6" s="413">
        <v>5</v>
      </c>
      <c r="E6" s="315" t="str">
        <f>IF($D6="","",IF($D6&lt;=100,VLOOKUP($D6,'1-2'!$D$4:$L$103,2),IF($D6&lt;=200,VLOOKUP($D6,'随時①-2'!$D$4:$L$23,2),IF($D6&lt;=300,VLOOKUP($D6,'随時②-2'!$D$21:$L$35,2),VLOOKUP($D6,'2-4'!$D$4:$L$103,2)))))</f>
        <v>備品購入費</v>
      </c>
      <c r="F6" s="315" t="str">
        <f>IF($D6="","",IF($D6&lt;=100,VLOOKUP($D6,'1-2'!$D$4:$L$103,3),IF($D6&lt;=200,VLOOKUP($D6,'随時①-2'!$D$4:$L$23,3),IF($D6&lt;=300,VLOOKUP($D6,'随時②-2'!$D$21:$L$35,3),VLOOKUP($D6,'2-4'!$D$4:$L$103,3)))))</f>
        <v>プロジェクター用スクリーン購入</v>
      </c>
      <c r="G6" s="224">
        <f>IF($D6="","",IF($D6&lt;=100,VLOOKUP($D6,'1-2'!$D$4:$L$103,4),IF($D6&lt;=200,VLOOKUP($D6,'随時①-2'!$D$4:$L$23,4),IF($D6&lt;=300,VLOOKUP($D6,'随時②-2'!$D$21:$L$35,4),VLOOKUP($D6,'2-4'!$D$4:$L$103,4)))))</f>
        <v>130000</v>
      </c>
      <c r="H6" s="316">
        <f>IF($D6="","",IF($D6&lt;=100,VLOOKUP($D6,'1-2'!$D$4:$L$103,5),IF($D6&lt;=200,VLOOKUP($D6,'随時①-2'!$D$4:$L$23,5),IF($D6&lt;=300,VLOOKUP($D6,'随時②-2'!$D$21:$L$35,5),VLOOKUP($D6,'2-4'!$D$4:$L$103,5)))))</f>
        <v>1</v>
      </c>
      <c r="I6" s="316">
        <f>IF($D6="","",IF($D6&lt;=100,VLOOKUP($D6,'1-2'!$D$4:$L$103,6),IF($D6&lt;=200,VLOOKUP($D6,'随時①-2'!$D$4:$L$23,6),IF($D6&lt;=300,VLOOKUP($D6,'随時②-2'!$D$21:$L$35,6),VLOOKUP($D6,'2-4'!$D$4:$L$103,6)))))</f>
        <v>1</v>
      </c>
      <c r="J6" s="224">
        <f>IF($D6="","",IF($D6&lt;=100,VLOOKUP($D6,'1-2'!$D$4:$L$103,7),IF($D6&lt;=200,VLOOKUP($D6,'随時①-2'!$D$4:$L$23,7),IF($D6&lt;=300,VLOOKUP($D6,'随時②-2'!$D$21:$L$35,7),VLOOKUP($D6,'2-4'!$D$4:$L$103,7)))))</f>
        <v>130000</v>
      </c>
      <c r="K6" s="315">
        <f>IF($D6="","",IF($D6&lt;=100,VLOOKUP($D6,'1-2'!$D$4:$L$103,8),IF($D6&lt;=200,VLOOKUP($D6,'随時①-2'!$D$4:$L$23,8),IF($D6&lt;=300,VLOOKUP($D6,'随時②-2'!$D$21:$L$35,8),VLOOKUP($D6,'2-4'!$D$4:$L$103,8)))))</f>
        <v>0</v>
      </c>
      <c r="L6" s="419">
        <f>IF($D6="","",IF($D6&lt;=100,VLOOKUP($D6,'1-2'!$D$4:$L$103,9),IF($D6&lt;=200,VLOOKUP($D6,'随時①-2'!$D$4:$L$23,9),IF($D6&lt;=300,VLOOKUP($D6,'随時②-2'!$D$21:$L$35,9),VLOOKUP($D6,'2-4'!$D$4:$L$103,9)))))</f>
        <v>0</v>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7" t="s">
        <v>111</v>
      </c>
      <c r="L20" s="409" t="s">
        <v>107</v>
      </c>
    </row>
    <row r="21" spans="1:13" s="467" customFormat="1" ht="13.5" customHeight="1">
      <c r="A21" s="360" t="s">
        <v>306</v>
      </c>
      <c r="B21" s="241" t="s">
        <v>332</v>
      </c>
      <c r="C21" s="487" t="s">
        <v>333</v>
      </c>
      <c r="D21" s="466">
        <v>401</v>
      </c>
      <c r="E21" s="275" t="s">
        <v>124</v>
      </c>
      <c r="F21" s="275" t="s">
        <v>328</v>
      </c>
      <c r="G21" s="340">
        <v>48816</v>
      </c>
      <c r="H21" s="341">
        <v>1</v>
      </c>
      <c r="I21" s="341">
        <v>1</v>
      </c>
      <c r="J21" s="382">
        <f>G21*H21*I21</f>
        <v>48816</v>
      </c>
      <c r="K21" s="278"/>
      <c r="L21" s="279" t="s">
        <v>337</v>
      </c>
      <c r="M21" s="467">
        <f aca="true" t="shared" si="1" ref="M21:M35">IF(K21="◎",J21,"")</f>
      </c>
    </row>
    <row r="22" spans="1:13" s="467" customFormat="1" ht="13.5" customHeight="1">
      <c r="A22" s="251" t="s">
        <v>308</v>
      </c>
      <c r="B22" s="252" t="s">
        <v>334</v>
      </c>
      <c r="C22" s="253" t="s">
        <v>279</v>
      </c>
      <c r="D22" s="468">
        <v>402</v>
      </c>
      <c r="E22" s="275" t="s">
        <v>124</v>
      </c>
      <c r="F22" s="256" t="s">
        <v>326</v>
      </c>
      <c r="G22" s="319">
        <v>11000</v>
      </c>
      <c r="H22" s="320">
        <v>1</v>
      </c>
      <c r="I22" s="320">
        <v>1</v>
      </c>
      <c r="J22" s="382">
        <f aca="true" t="shared" si="2" ref="J22:J35">G22*H22*I22</f>
        <v>11000</v>
      </c>
      <c r="K22" s="260"/>
      <c r="L22" s="261" t="s">
        <v>337</v>
      </c>
      <c r="M22" s="467">
        <f t="shared" si="1"/>
      </c>
    </row>
    <row r="23" spans="1:13" s="467" customFormat="1" ht="13.5" customHeight="1">
      <c r="A23" s="251" t="s">
        <v>308</v>
      </c>
      <c r="B23" s="252" t="s">
        <v>335</v>
      </c>
      <c r="C23" s="253" t="s">
        <v>275</v>
      </c>
      <c r="D23" s="468">
        <v>403</v>
      </c>
      <c r="E23" s="275" t="s">
        <v>124</v>
      </c>
      <c r="F23" s="256" t="s">
        <v>329</v>
      </c>
      <c r="G23" s="319">
        <v>2000</v>
      </c>
      <c r="H23" s="320">
        <v>4</v>
      </c>
      <c r="I23" s="320">
        <v>1</v>
      </c>
      <c r="J23" s="382">
        <f t="shared" si="2"/>
        <v>8000</v>
      </c>
      <c r="K23" s="260"/>
      <c r="L23" s="261" t="s">
        <v>337</v>
      </c>
      <c r="M23" s="467">
        <f t="shared" si="1"/>
      </c>
    </row>
    <row r="24" spans="1:13" s="467" customFormat="1" ht="13.5" customHeight="1">
      <c r="A24" s="251" t="s">
        <v>306</v>
      </c>
      <c r="B24" s="252" t="s">
        <v>336</v>
      </c>
      <c r="C24" s="253" t="s">
        <v>293</v>
      </c>
      <c r="D24" s="468">
        <v>404</v>
      </c>
      <c r="E24" s="275" t="s">
        <v>124</v>
      </c>
      <c r="F24" s="256" t="s">
        <v>331</v>
      </c>
      <c r="G24" s="319">
        <v>92880</v>
      </c>
      <c r="H24" s="320">
        <v>1</v>
      </c>
      <c r="I24" s="320">
        <v>1</v>
      </c>
      <c r="J24" s="382">
        <f t="shared" si="2"/>
        <v>92880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246</v>
      </c>
      <c r="F36" s="628"/>
      <c r="G36" s="628"/>
    </row>
    <row r="37" spans="1:12" ht="24" customHeight="1" thickBot="1">
      <c r="A37" s="53"/>
      <c r="B37" s="53"/>
      <c r="C37" s="53"/>
      <c r="E37" s="239" t="s">
        <v>96</v>
      </c>
      <c r="F37" s="229" t="s">
        <v>171</v>
      </c>
      <c r="G37" s="229" t="s">
        <v>16</v>
      </c>
      <c r="H37" s="629" t="s">
        <v>244</v>
      </c>
      <c r="I37" s="630"/>
      <c r="J37" s="156" t="s">
        <v>108</v>
      </c>
      <c r="K37" s="595" t="s">
        <v>193</v>
      </c>
      <c r="L37" s="596"/>
    </row>
    <row r="38" spans="1:12" ht="14.25" thickTop="1">
      <c r="A38" s="53"/>
      <c r="B38" s="53"/>
      <c r="C38" s="53"/>
      <c r="E38" s="297" t="s">
        <v>85</v>
      </c>
      <c r="F38" s="347">
        <f>'2-1'!B23</f>
        <v>0</v>
      </c>
      <c r="G38" s="347">
        <f aca="true" t="shared" si="3" ref="G38:G46">-SUMIF($E$4:$E$18,$E38,$J$4:$J$18)+SUMIF($E$21:$E$35,$E38,$J$21:$J$35)</f>
        <v>0</v>
      </c>
      <c r="H38" s="540">
        <f aca="true" t="shared" si="4" ref="H38:H46">-SUMIF($E$4:$E$18,$E38,$M$4:$M$18)+SUMIF($E$21:$E$35,$E38,$M$21:$M$35)</f>
        <v>0</v>
      </c>
      <c r="I38" s="613"/>
      <c r="J38" s="349">
        <f aca="true" t="shared" si="5" ref="J38:J46">G38-H38</f>
        <v>0</v>
      </c>
      <c r="K38" s="557">
        <f aca="true" t="shared" si="6" ref="K38:K46">F38+G38</f>
        <v>0</v>
      </c>
      <c r="L38" s="597"/>
    </row>
    <row r="39" spans="1:12" ht="13.5">
      <c r="A39" s="53"/>
      <c r="B39" s="53"/>
      <c r="C39" s="53"/>
      <c r="E39" s="297" t="s">
        <v>86</v>
      </c>
      <c r="F39" s="351">
        <f>'2-1'!C23</f>
        <v>94200</v>
      </c>
      <c r="G39" s="347">
        <f t="shared" si="3"/>
        <v>0</v>
      </c>
      <c r="H39" s="548">
        <f t="shared" si="4"/>
        <v>0</v>
      </c>
      <c r="I39" s="602"/>
      <c r="J39" s="349">
        <f t="shared" si="5"/>
        <v>0</v>
      </c>
      <c r="K39" s="557">
        <f t="shared" si="6"/>
        <v>94200</v>
      </c>
      <c r="L39" s="597"/>
    </row>
    <row r="40" spans="1:12" ht="13.5">
      <c r="A40" s="53"/>
      <c r="B40" s="53"/>
      <c r="C40" s="53"/>
      <c r="E40" s="297" t="s">
        <v>124</v>
      </c>
      <c r="F40" s="351">
        <f>'2-1'!D23</f>
        <v>0</v>
      </c>
      <c r="G40" s="347">
        <f t="shared" si="3"/>
        <v>150696</v>
      </c>
      <c r="H40" s="548">
        <f t="shared" si="4"/>
        <v>0</v>
      </c>
      <c r="I40" s="602"/>
      <c r="J40" s="349">
        <f t="shared" si="5"/>
        <v>150696</v>
      </c>
      <c r="K40" s="557">
        <f t="shared" si="6"/>
        <v>150696</v>
      </c>
      <c r="L40" s="597"/>
    </row>
    <row r="41" spans="1:12" ht="13.5">
      <c r="A41" s="53"/>
      <c r="B41" s="53"/>
      <c r="C41" s="53"/>
      <c r="E41" s="297" t="s">
        <v>125</v>
      </c>
      <c r="F41" s="351">
        <f>'2-1'!E23</f>
        <v>0</v>
      </c>
      <c r="G41" s="347">
        <f t="shared" si="3"/>
        <v>0</v>
      </c>
      <c r="H41" s="548">
        <f t="shared" si="4"/>
        <v>0</v>
      </c>
      <c r="I41" s="602"/>
      <c r="J41" s="349">
        <f t="shared" si="5"/>
        <v>0</v>
      </c>
      <c r="K41" s="557">
        <f t="shared" si="6"/>
        <v>0</v>
      </c>
      <c r="L41" s="597"/>
    </row>
    <row r="42" spans="1:12" ht="13.5">
      <c r="A42" s="53"/>
      <c r="B42" s="53"/>
      <c r="C42" s="53"/>
      <c r="E42" s="297" t="s">
        <v>87</v>
      </c>
      <c r="F42" s="351">
        <f>'2-1'!F23</f>
        <v>42394</v>
      </c>
      <c r="G42" s="347">
        <f t="shared" si="3"/>
        <v>0</v>
      </c>
      <c r="H42" s="548">
        <f t="shared" si="4"/>
        <v>0</v>
      </c>
      <c r="I42" s="602"/>
      <c r="J42" s="349">
        <f t="shared" si="5"/>
        <v>0</v>
      </c>
      <c r="K42" s="557">
        <f t="shared" si="6"/>
        <v>42394</v>
      </c>
      <c r="L42" s="597"/>
    </row>
    <row r="43" spans="1:12" ht="13.5">
      <c r="A43" s="53"/>
      <c r="B43" s="53"/>
      <c r="C43" s="53"/>
      <c r="E43" s="297" t="s">
        <v>88</v>
      </c>
      <c r="F43" s="351">
        <f>'2-1'!G23</f>
        <v>0</v>
      </c>
      <c r="G43" s="347">
        <f t="shared" si="3"/>
        <v>0</v>
      </c>
      <c r="H43" s="548">
        <f t="shared" si="4"/>
        <v>0</v>
      </c>
      <c r="I43" s="602"/>
      <c r="J43" s="349">
        <f t="shared" si="5"/>
        <v>0</v>
      </c>
      <c r="K43" s="557">
        <f t="shared" si="6"/>
        <v>0</v>
      </c>
      <c r="L43" s="597"/>
    </row>
    <row r="44" spans="1:12" ht="13.5">
      <c r="A44" s="53"/>
      <c r="B44" s="53"/>
      <c r="C44" s="53"/>
      <c r="E44" s="297" t="s">
        <v>89</v>
      </c>
      <c r="F44" s="351">
        <f>'2-1'!H23</f>
        <v>0</v>
      </c>
      <c r="G44" s="347">
        <f t="shared" si="3"/>
        <v>0</v>
      </c>
      <c r="H44" s="548">
        <f t="shared" si="4"/>
        <v>0</v>
      </c>
      <c r="I44" s="602"/>
      <c r="J44" s="349">
        <f t="shared" si="5"/>
        <v>0</v>
      </c>
      <c r="K44" s="557">
        <f t="shared" si="6"/>
        <v>0</v>
      </c>
      <c r="L44" s="597"/>
    </row>
    <row r="45" spans="1:12" ht="13.5">
      <c r="A45" s="53"/>
      <c r="B45" s="53"/>
      <c r="C45" s="53"/>
      <c r="E45" s="297" t="s">
        <v>90</v>
      </c>
      <c r="F45" s="351">
        <f>'2-1'!I23</f>
        <v>0</v>
      </c>
      <c r="G45" s="347">
        <f t="shared" si="3"/>
        <v>-130000</v>
      </c>
      <c r="H45" s="548">
        <f t="shared" si="4"/>
        <v>0</v>
      </c>
      <c r="I45" s="602"/>
      <c r="J45" s="349">
        <f t="shared" si="5"/>
        <v>-130000</v>
      </c>
      <c r="K45" s="557">
        <f t="shared" si="6"/>
        <v>-130000</v>
      </c>
      <c r="L45" s="597"/>
    </row>
    <row r="46" spans="1:12" ht="14.25" thickBot="1">
      <c r="A46" s="53"/>
      <c r="B46" s="53"/>
      <c r="C46" s="53"/>
      <c r="E46" s="297" t="s">
        <v>137</v>
      </c>
      <c r="F46" s="399">
        <f>'2-1'!J23</f>
        <v>0</v>
      </c>
      <c r="G46" s="347">
        <f t="shared" si="3"/>
        <v>0</v>
      </c>
      <c r="H46" s="634">
        <f t="shared" si="4"/>
        <v>0</v>
      </c>
      <c r="I46" s="635"/>
      <c r="J46" s="349">
        <f t="shared" si="5"/>
        <v>0</v>
      </c>
      <c r="K46" s="591">
        <f t="shared" si="6"/>
        <v>0</v>
      </c>
      <c r="L46" s="592"/>
    </row>
    <row r="47" spans="1:12" ht="15" thickBot="1" thickTop="1">
      <c r="A47" s="53"/>
      <c r="B47" s="53"/>
      <c r="C47" s="53"/>
      <c r="E47" s="400" t="s">
        <v>15</v>
      </c>
      <c r="F47" s="354">
        <f>SUM(F38:F46)</f>
        <v>136594</v>
      </c>
      <c r="G47" s="354">
        <f>SUM(G38:G46)</f>
        <v>20696</v>
      </c>
      <c r="H47" s="633">
        <f>SUM(H38:I46)</f>
        <v>0</v>
      </c>
      <c r="I47" s="627"/>
      <c r="J47" s="355">
        <f>SUM(J38:J46)</f>
        <v>20696</v>
      </c>
      <c r="K47" s="593">
        <f>SUM(K38:L46)</f>
        <v>157290</v>
      </c>
      <c r="L47" s="59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25" sqref="A4:IV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7" t="s">
        <v>142</v>
      </c>
      <c r="G2" s="535"/>
      <c r="H2" s="535"/>
      <c r="I2" s="535"/>
      <c r="J2" s="538"/>
      <c r="K2" s="534" t="s">
        <v>115</v>
      </c>
      <c r="L2" s="535"/>
      <c r="M2" s="535"/>
      <c r="N2" s="535"/>
      <c r="O2" s="536"/>
      <c r="P2" s="13"/>
    </row>
    <row r="3" spans="1:21" ht="24" customHeight="1">
      <c r="A3" s="423" t="s">
        <v>140</v>
      </c>
      <c r="B3" s="294" t="s">
        <v>141</v>
      </c>
      <c r="C3" s="60" t="s">
        <v>143</v>
      </c>
      <c r="D3" s="96" t="s">
        <v>160</v>
      </c>
      <c r="E3" s="96" t="s">
        <v>0</v>
      </c>
      <c r="F3" s="96" t="s">
        <v>196</v>
      </c>
      <c r="G3" s="96" t="s">
        <v>91</v>
      </c>
      <c r="H3" s="475"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79190</v>
      </c>
      <c r="H4" s="304">
        <f>'2-2'!H4</f>
        <v>1</v>
      </c>
      <c r="I4" s="304">
        <f>'2-2'!I4</f>
        <v>1</v>
      </c>
      <c r="J4" s="365">
        <f>'2-2'!J4</f>
        <v>79190</v>
      </c>
      <c r="K4" s="366" t="str">
        <f>'2-2'!K4</f>
        <v>各種団体負担金（会費）</v>
      </c>
      <c r="L4" s="303">
        <f>'2-2'!L4</f>
        <v>74330</v>
      </c>
      <c r="M4" s="304">
        <f>'2-2'!M4</f>
        <v>1</v>
      </c>
      <c r="N4" s="304">
        <f>'2-2'!N4</f>
        <v>1</v>
      </c>
      <c r="O4" s="367">
        <f>L4*M4*N4</f>
        <v>74330</v>
      </c>
      <c r="P4" s="368">
        <f>'2-2'!P4</f>
        <v>0</v>
      </c>
      <c r="Q4" s="369"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0" t="str">
        <f>'1-2'!A5</f>
        <v>Ⅰ</v>
      </c>
      <c r="B5" s="371" t="str">
        <f>'1-2'!B5</f>
        <v>1-(3)</v>
      </c>
      <c r="C5" s="372" t="str">
        <f>'1-2'!C5</f>
        <v>国際感覚と国際交流力の育成</v>
      </c>
      <c r="D5" s="254">
        <v>2</v>
      </c>
      <c r="E5" s="314" t="str">
        <f>'2-2'!E5</f>
        <v>委託料</v>
      </c>
      <c r="F5" s="315" t="str">
        <f>'2-2'!F5</f>
        <v>英語検定講師派遣委託</v>
      </c>
      <c r="G5" s="224">
        <f>'2-2'!G5</f>
        <v>140000</v>
      </c>
      <c r="H5" s="316">
        <f>'2-2'!H5</f>
        <v>4</v>
      </c>
      <c r="I5" s="316">
        <f>'2-2'!I5</f>
        <v>1</v>
      </c>
      <c r="J5" s="373">
        <f>'2-2'!J5</f>
        <v>560000</v>
      </c>
      <c r="K5" s="374" t="str">
        <f>'2-2'!K5</f>
        <v>英語検定講師派遣委託</v>
      </c>
      <c r="L5" s="224">
        <f>'2-2'!L5</f>
        <v>137640</v>
      </c>
      <c r="M5" s="316">
        <f>'2-2'!M5</f>
        <v>4</v>
      </c>
      <c r="N5" s="316">
        <f>'2-2'!N5</f>
        <v>1</v>
      </c>
      <c r="O5" s="342">
        <f>L5*M5*N5</f>
        <v>550560</v>
      </c>
      <c r="P5" s="375">
        <f>'2-2'!P5</f>
        <v>0</v>
      </c>
      <c r="Q5" s="376">
        <f>'2-2'!Q5</f>
        <v>0</v>
      </c>
      <c r="R5" s="25">
        <f>IF(AND(ISNA(MATCH($D5,'随時②-2'!$D$4:$D$18,0)),ISNA(MATCH($D5,'随時③-2'!$D$4:$D$18,0))),0,1)</f>
        <v>0</v>
      </c>
      <c r="S5" s="63">
        <f t="shared" si="0"/>
      </c>
      <c r="T5" s="63">
        <f t="shared" si="1"/>
      </c>
      <c r="U5" s="5">
        <f aca="true" t="shared" si="2" ref="U5:U14">IF($E5=0,"",VLOOKUP($E5,$V$5:$X$13,2))</f>
        <v>6</v>
      </c>
      <c r="V5" s="5" t="s">
        <v>151</v>
      </c>
      <c r="W5" s="5">
        <v>6</v>
      </c>
    </row>
    <row r="6" spans="1:23" ht="30" customHeight="1">
      <c r="A6" s="370" t="str">
        <f>'1-2'!A6</f>
        <v>Ⅱ</v>
      </c>
      <c r="B6" s="371" t="str">
        <f>'1-2'!B6</f>
        <v>2-(1)</v>
      </c>
      <c r="C6" s="372" t="str">
        <f>'1-2'!C6</f>
        <v>総合学科の特性を活かしたカリキュラムの編成</v>
      </c>
      <c r="D6" s="254">
        <v>3</v>
      </c>
      <c r="E6" s="314" t="str">
        <f>'2-2'!E6</f>
        <v>旅費</v>
      </c>
      <c r="F6" s="315" t="str">
        <f>'2-2'!F6</f>
        <v>他府県総合学科高校訪問</v>
      </c>
      <c r="G6" s="224">
        <f>'2-2'!G6</f>
        <v>40000</v>
      </c>
      <c r="H6" s="316">
        <f>'2-2'!H6</f>
        <v>3</v>
      </c>
      <c r="I6" s="316">
        <f>'2-2'!I6</f>
        <v>1</v>
      </c>
      <c r="J6" s="373">
        <f>'2-2'!J6</f>
        <v>120000</v>
      </c>
      <c r="K6" s="374" t="str">
        <f>'2-2'!K6</f>
        <v>他府県総合学科高校訪問</v>
      </c>
      <c r="L6" s="224">
        <f>'2-2'!L6</f>
        <v>45000</v>
      </c>
      <c r="M6" s="316">
        <f>'2-2'!M6</f>
        <v>3</v>
      </c>
      <c r="N6" s="316">
        <f>'2-2'!N6</f>
        <v>0</v>
      </c>
      <c r="O6" s="342">
        <f aca="true" t="shared" si="3" ref="O6:O14">L6*M6*N6</f>
        <v>0</v>
      </c>
      <c r="P6" s="375">
        <f>'2-2'!P6</f>
        <v>0</v>
      </c>
      <c r="Q6" s="376">
        <f>'2-2'!Q6</f>
        <v>0</v>
      </c>
      <c r="R6" s="25">
        <f>IF(AND(ISNA(MATCH($D6,'随時②-2'!$D$4:$D$18,0)),ISNA(MATCH($D6,'随時③-2'!$D$4:$D$18,0))),0,1)</f>
        <v>0</v>
      </c>
      <c r="S6" s="63">
        <f t="shared" si="0"/>
      </c>
      <c r="T6" s="63">
        <f t="shared" si="1"/>
      </c>
      <c r="U6" s="5">
        <f t="shared" si="2"/>
        <v>2</v>
      </c>
      <c r="V6" s="5" t="s">
        <v>152</v>
      </c>
      <c r="W6" s="5">
        <v>4</v>
      </c>
    </row>
    <row r="7" spans="1:23" ht="30" customHeight="1">
      <c r="A7" s="370" t="str">
        <f>'1-2'!A7</f>
        <v>Ⅲ</v>
      </c>
      <c r="B7" s="371" t="str">
        <f>'1-2'!B7</f>
        <v>2-(2)</v>
      </c>
      <c r="C7" s="372" t="str">
        <f>'1-2'!C7</f>
        <v>授業の充実</v>
      </c>
      <c r="D7" s="254">
        <v>4</v>
      </c>
      <c r="E7" s="314" t="str">
        <f>'2-2'!E7</f>
        <v>委託料</v>
      </c>
      <c r="F7" s="315" t="str">
        <f>'2-2'!F7</f>
        <v>授業アンケート</v>
      </c>
      <c r="G7" s="224">
        <f>'2-2'!G7</f>
        <v>41000</v>
      </c>
      <c r="H7" s="316">
        <f>'2-2'!H7</f>
        <v>1</v>
      </c>
      <c r="I7" s="316">
        <f>'2-2'!I7</f>
        <v>1</v>
      </c>
      <c r="J7" s="373">
        <f>'2-2'!J7</f>
        <v>41000</v>
      </c>
      <c r="K7" s="374" t="str">
        <f>'2-2'!K7</f>
        <v>授業アンケート</v>
      </c>
      <c r="L7" s="224">
        <f>'2-2'!L7</f>
        <v>40662</v>
      </c>
      <c r="M7" s="316">
        <f>'2-2'!M7</f>
        <v>1</v>
      </c>
      <c r="N7" s="316">
        <f>'2-2'!N7</f>
        <v>1</v>
      </c>
      <c r="O7" s="342">
        <f t="shared" si="3"/>
        <v>40662</v>
      </c>
      <c r="P7" s="375">
        <f>'2-2'!P7</f>
        <v>0</v>
      </c>
      <c r="Q7" s="376">
        <f>'2-2'!Q7</f>
        <v>0</v>
      </c>
      <c r="R7" s="25">
        <f>IF(AND(ISNA(MATCH($D7,'随時②-2'!$D$4:$D$18,0)),ISNA(MATCH($D7,'随時③-2'!$D$4:$D$18,0))),0,1)</f>
        <v>0</v>
      </c>
      <c r="S7" s="63">
        <f t="shared" si="0"/>
      </c>
      <c r="T7" s="63">
        <f t="shared" si="1"/>
      </c>
      <c r="U7" s="5">
        <f t="shared" si="2"/>
        <v>6</v>
      </c>
      <c r="V7" s="5" t="s">
        <v>153</v>
      </c>
      <c r="W7" s="5">
        <v>7</v>
      </c>
    </row>
    <row r="8" spans="1:23" ht="30" customHeight="1">
      <c r="A8" s="370">
        <f>'1-2'!A8</f>
        <v>0</v>
      </c>
      <c r="B8" s="371" t="str">
        <f>'1-2'!B8</f>
        <v>2-(2)</v>
      </c>
      <c r="C8" s="372" t="str">
        <f>'1-2'!C8</f>
        <v>授業の充実</v>
      </c>
      <c r="D8" s="263">
        <v>5</v>
      </c>
      <c r="E8" s="314" t="str">
        <f>'2-2'!E8</f>
        <v>備品購入費</v>
      </c>
      <c r="F8" s="315" t="str">
        <f>'2-2'!F8</f>
        <v>プロジェクター用スクリーン購入</v>
      </c>
      <c r="G8" s="224">
        <f>'2-2'!G8</f>
        <v>130000</v>
      </c>
      <c r="H8" s="316">
        <f>'2-2'!H8</f>
        <v>1</v>
      </c>
      <c r="I8" s="316">
        <f>'2-2'!I8</f>
        <v>1</v>
      </c>
      <c r="J8" s="373">
        <f>'2-2'!J8</f>
        <v>130000</v>
      </c>
      <c r="K8" s="374" t="str">
        <f>'2-2'!K8</f>
        <v>プロジェクター用スクリーン購入</v>
      </c>
      <c r="L8" s="224">
        <f>'2-2'!L8</f>
        <v>130000</v>
      </c>
      <c r="M8" s="316">
        <f>'2-2'!M8</f>
        <v>1</v>
      </c>
      <c r="N8" s="316">
        <f>'2-2'!N8</f>
        <v>0</v>
      </c>
      <c r="O8" s="342">
        <f t="shared" si="3"/>
        <v>0</v>
      </c>
      <c r="P8" s="375">
        <f>'2-2'!P8</f>
        <v>0</v>
      </c>
      <c r="Q8" s="376">
        <f>'2-2'!Q8</f>
        <v>0</v>
      </c>
      <c r="R8" s="25">
        <f>IF(AND(ISNA(MATCH($D8,'随時②-2'!$D$4:$D$18,0)),ISNA(MATCH($D8,'随時③-2'!$D$4:$D$18,0))),0,1)</f>
        <v>1</v>
      </c>
      <c r="S8" s="63">
        <f t="shared" si="0"/>
      </c>
      <c r="T8" s="63">
        <f t="shared" si="1"/>
      </c>
      <c r="U8" s="5">
        <f t="shared" si="2"/>
        <v>8</v>
      </c>
      <c r="V8" s="5" t="s">
        <v>154</v>
      </c>
      <c r="W8" s="5">
        <v>3</v>
      </c>
    </row>
    <row r="9" spans="1:23" ht="30" customHeight="1">
      <c r="A9" s="370" t="str">
        <f>'1-2'!A9</f>
        <v>Ⅳ</v>
      </c>
      <c r="B9" s="371" t="str">
        <f>'1-2'!B9</f>
        <v>3-(2)</v>
      </c>
      <c r="C9" s="372" t="str">
        <f>'1-2'!C9</f>
        <v>生徒相談体制の充実</v>
      </c>
      <c r="D9" s="254">
        <v>6</v>
      </c>
      <c r="E9" s="314" t="str">
        <f>'2-2'!E9</f>
        <v>報償費</v>
      </c>
      <c r="F9" s="315" t="str">
        <f>'2-2'!F9</f>
        <v>教職員人権研修講師謝礼</v>
      </c>
      <c r="G9" s="224">
        <f>'2-2'!G9</f>
        <v>30000</v>
      </c>
      <c r="H9" s="316">
        <f>'2-2'!H9</f>
        <v>1</v>
      </c>
      <c r="I9" s="316">
        <f>'2-2'!I9</f>
        <v>1</v>
      </c>
      <c r="J9" s="373">
        <f>'2-2'!J9</f>
        <v>30000</v>
      </c>
      <c r="K9" s="374" t="str">
        <f>'2-2'!K9</f>
        <v>教職員人権研修講師謝礼</v>
      </c>
      <c r="L9" s="224">
        <f>'2-2'!L9</f>
        <v>30000</v>
      </c>
      <c r="M9" s="316">
        <f>'2-2'!M9</f>
        <v>1</v>
      </c>
      <c r="N9" s="316">
        <f>'2-2'!N9</f>
        <v>1</v>
      </c>
      <c r="O9" s="342">
        <f t="shared" si="3"/>
        <v>30000</v>
      </c>
      <c r="P9" s="375">
        <f>'2-2'!P9</f>
        <v>0</v>
      </c>
      <c r="Q9" s="376">
        <f>'2-2'!Q9</f>
        <v>0</v>
      </c>
      <c r="R9" s="25">
        <f>IF(AND(ISNA(MATCH($D9,'随時②-2'!$D$4:$D$18,0)),ISNA(MATCH($D9,'随時③-2'!$D$4:$D$18,0))),0,1)</f>
        <v>0</v>
      </c>
      <c r="S9" s="63">
        <f t="shared" si="0"/>
      </c>
      <c r="T9" s="63">
        <f t="shared" si="1"/>
      </c>
      <c r="U9" s="5">
        <f t="shared" si="2"/>
        <v>1</v>
      </c>
      <c r="V9" s="5" t="s">
        <v>155</v>
      </c>
      <c r="W9" s="5">
        <v>8</v>
      </c>
    </row>
    <row r="10" spans="1:23" ht="30" customHeight="1">
      <c r="A10" s="370">
        <f>'1-2'!A10</f>
        <v>0</v>
      </c>
      <c r="B10" s="371" t="str">
        <f>'1-2'!B10</f>
        <v>3-(2)</v>
      </c>
      <c r="C10" s="372" t="str">
        <f>'1-2'!C10</f>
        <v>生徒相談体制の充実</v>
      </c>
      <c r="D10" s="254">
        <v>7</v>
      </c>
      <c r="E10" s="314" t="str">
        <f>'2-2'!E10</f>
        <v>報償費</v>
      </c>
      <c r="F10" s="315" t="str">
        <f>'2-2'!F10</f>
        <v>不登校生徒に関するカウンセリング等</v>
      </c>
      <c r="G10" s="224">
        <f>'2-2'!G10</f>
        <v>5000</v>
      </c>
      <c r="H10" s="316">
        <f>'2-2'!H10</f>
        <v>1</v>
      </c>
      <c r="I10" s="316">
        <f>'2-2'!I10</f>
        <v>4</v>
      </c>
      <c r="J10" s="373">
        <f>'2-2'!J10</f>
        <v>20000</v>
      </c>
      <c r="K10" s="374" t="str">
        <f>'2-2'!K10</f>
        <v>不登校生徒に関するカウンセリング等</v>
      </c>
      <c r="L10" s="224">
        <f>'2-2'!L10</f>
        <v>5000</v>
      </c>
      <c r="M10" s="316">
        <f>'2-2'!M10</f>
        <v>1</v>
      </c>
      <c r="N10" s="316">
        <f>'2-2'!N10</f>
        <v>0</v>
      </c>
      <c r="O10" s="342">
        <f t="shared" si="3"/>
        <v>0</v>
      </c>
      <c r="P10" s="375">
        <f>'2-2'!P10</f>
        <v>0</v>
      </c>
      <c r="Q10" s="376">
        <f>'2-2'!Q10</f>
        <v>0</v>
      </c>
      <c r="R10" s="25">
        <f>IF(AND(ISNA(MATCH($D10,'随時②-2'!$D$4:$D$18,0)),ISNA(MATCH($D10,'随時③-2'!$D$4:$D$18,0))),0,1)</f>
        <v>0</v>
      </c>
      <c r="S10" s="63">
        <f t="shared" si="0"/>
      </c>
      <c r="T10" s="63">
        <f t="shared" si="1"/>
      </c>
      <c r="U10" s="5">
        <f t="shared" si="2"/>
        <v>1</v>
      </c>
      <c r="V10" s="5" t="s">
        <v>159</v>
      </c>
      <c r="W10" s="5">
        <v>9</v>
      </c>
    </row>
    <row r="11" spans="1:23" ht="30" customHeight="1">
      <c r="A11" s="370">
        <f>'1-2'!A11</f>
        <v>0</v>
      </c>
      <c r="B11" s="371" t="str">
        <f>'1-2'!B11</f>
        <v>3-(2)</v>
      </c>
      <c r="C11" s="372" t="str">
        <f>'1-2'!C11</f>
        <v>生徒相談体制の充実</v>
      </c>
      <c r="D11" s="263">
        <v>8</v>
      </c>
      <c r="E11" s="314" t="str">
        <f>'2-2'!E11</f>
        <v>消耗需用費</v>
      </c>
      <c r="F11" s="315" t="str">
        <f>'2-2'!F11</f>
        <v>府立人権夏季セミナー資料</v>
      </c>
      <c r="G11" s="224">
        <f>'2-2'!G11</f>
        <v>2000</v>
      </c>
      <c r="H11" s="316">
        <f>'2-2'!H11</f>
        <v>5</v>
      </c>
      <c r="I11" s="316">
        <f>'2-2'!I11</f>
        <v>1</v>
      </c>
      <c r="J11" s="373">
        <f>'2-2'!J11</f>
        <v>10000</v>
      </c>
      <c r="K11" s="374" t="str">
        <f>'2-2'!K11</f>
        <v>府立人権夏季セミナー資料</v>
      </c>
      <c r="L11" s="224">
        <f>'2-2'!L11</f>
        <v>2000</v>
      </c>
      <c r="M11" s="316">
        <f>'2-2'!M11</f>
        <v>3</v>
      </c>
      <c r="N11" s="316">
        <f>'2-2'!N11</f>
        <v>1</v>
      </c>
      <c r="O11" s="342">
        <f t="shared" si="3"/>
        <v>6000</v>
      </c>
      <c r="P11" s="375">
        <f>'2-2'!P11</f>
        <v>0</v>
      </c>
      <c r="Q11" s="376">
        <f>'2-2'!Q11</f>
        <v>0</v>
      </c>
      <c r="R11" s="25">
        <f>IF(AND(ISNA(MATCH($D11,'随時②-2'!$D$4:$D$18,0)),ISNA(MATCH($D11,'随時③-2'!$D$4:$D$18,0))),0,1)</f>
        <v>1</v>
      </c>
      <c r="S11" s="63">
        <f t="shared" si="0"/>
      </c>
      <c r="T11" s="63">
        <f t="shared" si="1"/>
      </c>
      <c r="U11" s="5">
        <f t="shared" si="2"/>
        <v>7</v>
      </c>
      <c r="V11" s="5" t="s">
        <v>156</v>
      </c>
      <c r="W11" s="5">
        <v>1</v>
      </c>
    </row>
    <row r="12" spans="1:23" ht="30" customHeight="1">
      <c r="A12" s="370" t="str">
        <f>'1-2'!A12</f>
        <v>Ⅴ</v>
      </c>
      <c r="B12" s="371" t="str">
        <f>'1-2'!B12</f>
        <v>4-(1)</v>
      </c>
      <c r="C12" s="372" t="str">
        <f>'1-2'!C12</f>
        <v>学校情報発信</v>
      </c>
      <c r="D12" s="263">
        <v>9</v>
      </c>
      <c r="E12" s="314" t="str">
        <f>'2-2'!E12</f>
        <v>旅費</v>
      </c>
      <c r="F12" s="315" t="str">
        <f>'2-2'!F12</f>
        <v>全国校長協会・総合学科校長会</v>
      </c>
      <c r="G12" s="224">
        <f>'2-2'!G12</f>
        <v>50000</v>
      </c>
      <c r="H12" s="316">
        <f>'2-2'!H12</f>
        <v>1</v>
      </c>
      <c r="I12" s="316">
        <f>'2-2'!I12</f>
        <v>1</v>
      </c>
      <c r="J12" s="373">
        <f>'2-2'!J12</f>
        <v>50000</v>
      </c>
      <c r="K12" s="374" t="str">
        <f>'2-2'!K12</f>
        <v>全国校長協会・総合学科校長会</v>
      </c>
      <c r="L12" s="224">
        <f>'2-2'!L12</f>
        <v>50000</v>
      </c>
      <c r="M12" s="316">
        <f>'2-2'!M12</f>
        <v>1</v>
      </c>
      <c r="N12" s="316">
        <f>'2-2'!N12</f>
        <v>1</v>
      </c>
      <c r="O12" s="342">
        <f t="shared" si="3"/>
        <v>50000</v>
      </c>
      <c r="P12" s="375">
        <f>'2-2'!P12</f>
        <v>0</v>
      </c>
      <c r="Q12" s="376">
        <f>'2-2'!Q12</f>
        <v>0</v>
      </c>
      <c r="R12" s="25">
        <f>IF(AND(ISNA(MATCH($D12,'随時②-2'!$D$4:$D$18,0)),ISNA(MATCH($D12,'随時③-2'!$D$4:$D$18,0))),0,1)</f>
        <v>0</v>
      </c>
      <c r="S12" s="63">
        <f t="shared" si="0"/>
      </c>
      <c r="T12" s="63">
        <f t="shared" si="1"/>
      </c>
      <c r="U12" s="5">
        <f t="shared" si="2"/>
        <v>2</v>
      </c>
      <c r="V12" s="5" t="s">
        <v>157</v>
      </c>
      <c r="W12" s="5">
        <v>5</v>
      </c>
    </row>
    <row r="13" spans="1:23" ht="30" customHeight="1">
      <c r="A13" s="370">
        <f>'1-2'!A13</f>
        <v>0</v>
      </c>
      <c r="B13" s="371" t="str">
        <f>'1-2'!B13</f>
        <v>4-(1)</v>
      </c>
      <c r="C13" s="372" t="str">
        <f>'1-2'!C13</f>
        <v>学校情報発信</v>
      </c>
      <c r="D13" s="273">
        <v>10</v>
      </c>
      <c r="E13" s="314" t="str">
        <f>'2-2'!E13</f>
        <v>消耗需用費</v>
      </c>
      <c r="F13" s="315" t="str">
        <f>'2-2'!F13</f>
        <v>校長協会会議資料代</v>
      </c>
      <c r="G13" s="224">
        <f>'2-2'!G13</f>
        <v>10000</v>
      </c>
      <c r="H13" s="316">
        <f>'2-2'!H13</f>
        <v>1</v>
      </c>
      <c r="I13" s="316">
        <f>'2-2'!I13</f>
        <v>1</v>
      </c>
      <c r="J13" s="373">
        <f>'2-2'!J13</f>
        <v>10000</v>
      </c>
      <c r="K13" s="374" t="str">
        <f>'2-2'!K13</f>
        <v>校長協会会議資料代</v>
      </c>
      <c r="L13" s="224">
        <f>'2-2'!L13</f>
        <v>10500</v>
      </c>
      <c r="M13" s="316">
        <f>'2-2'!M13</f>
        <v>1</v>
      </c>
      <c r="N13" s="316">
        <f>'2-2'!N13</f>
        <v>1</v>
      </c>
      <c r="O13" s="342">
        <f t="shared" si="3"/>
        <v>10500</v>
      </c>
      <c r="P13" s="375">
        <f>'2-2'!P13</f>
        <v>0</v>
      </c>
      <c r="Q13" s="376">
        <f>'2-2'!Q13</f>
        <v>0</v>
      </c>
      <c r="R13" s="25">
        <f>IF(AND(ISNA(MATCH($D13,'随時②-2'!$D$4:$D$18,0)),ISNA(MATCH($D13,'随時③-2'!$D$4:$D$18,0))),0,1)</f>
        <v>0</v>
      </c>
      <c r="S13" s="63">
        <f t="shared" si="0"/>
      </c>
      <c r="T13" s="63">
        <f t="shared" si="1"/>
      </c>
      <c r="U13" s="5">
        <f t="shared" si="2"/>
        <v>7</v>
      </c>
      <c r="V13" s="5" t="s">
        <v>158</v>
      </c>
      <c r="W13" s="5">
        <v>2</v>
      </c>
    </row>
    <row r="14" spans="1:21" ht="30" customHeight="1">
      <c r="A14" s="370">
        <f>'1-2'!A14</f>
        <v>0</v>
      </c>
      <c r="B14" s="371" t="str">
        <f>'1-2'!B14</f>
        <v>4-(1)</v>
      </c>
      <c r="C14" s="372" t="str">
        <f>'1-2'!C14</f>
        <v>学校情報発信</v>
      </c>
      <c r="D14" s="254">
        <v>11</v>
      </c>
      <c r="E14" s="314" t="str">
        <f>'2-2'!E14</f>
        <v>役務費</v>
      </c>
      <c r="F14" s="315" t="str">
        <f>'2-2'!F14</f>
        <v>オープンスクール郵送料</v>
      </c>
      <c r="G14" s="224">
        <f>'2-2'!G14</f>
        <v>55000</v>
      </c>
      <c r="H14" s="316">
        <f>'2-2'!H14</f>
        <v>1</v>
      </c>
      <c r="I14" s="316">
        <f>'2-2'!I14</f>
        <v>1</v>
      </c>
      <c r="J14" s="373">
        <f>'2-2'!J14</f>
        <v>55000</v>
      </c>
      <c r="K14" s="374" t="str">
        <f>'2-2'!K14</f>
        <v>オープンスクール郵送料</v>
      </c>
      <c r="L14" s="224">
        <f>'2-2'!L14</f>
        <v>42476</v>
      </c>
      <c r="M14" s="316">
        <f>'2-2'!M14</f>
        <v>1</v>
      </c>
      <c r="N14" s="316">
        <f>'2-2'!N14</f>
        <v>1</v>
      </c>
      <c r="O14" s="342">
        <f t="shared" si="3"/>
        <v>42476</v>
      </c>
      <c r="P14" s="375">
        <f>'2-2'!P14</f>
        <v>0</v>
      </c>
      <c r="Q14" s="376">
        <f>'2-2'!Q14</f>
        <v>0</v>
      </c>
      <c r="R14" s="25">
        <f>IF(AND(ISNA(MATCH($D14,'随時②-2'!$D$4:$D$18,0)),ISNA(MATCH($D14,'随時③-2'!$D$4:$D$18,0))),0,1)</f>
        <v>0</v>
      </c>
      <c r="S14" s="63">
        <f t="shared" si="0"/>
      </c>
      <c r="T14" s="63">
        <f t="shared" si="1"/>
      </c>
      <c r="U14" s="5">
        <f t="shared" si="2"/>
        <v>5</v>
      </c>
    </row>
    <row r="15" spans="1:21" ht="30" customHeight="1">
      <c r="A15" s="370" t="str">
        <f>'随時①-2'!A4</f>
        <v>Ⅰ</v>
      </c>
      <c r="B15" s="371" t="str">
        <f>'随時①-2'!B4</f>
        <v>３－（２）</v>
      </c>
      <c r="C15" s="372" t="str">
        <f>'随時①-2'!C4</f>
        <v>生徒相談体制の充実</v>
      </c>
      <c r="D15" s="263">
        <v>101</v>
      </c>
      <c r="E15" s="315" t="str">
        <f>'2-2'!E104</f>
        <v>報償費</v>
      </c>
      <c r="F15" s="315" t="str">
        <f>'2-2'!F104</f>
        <v>不登校生徒に対するカウンセリング技術の習得</v>
      </c>
      <c r="G15" s="224">
        <f>'2-2'!G104</f>
        <v>5000</v>
      </c>
      <c r="H15" s="316">
        <f>'2-2'!H104</f>
        <v>1</v>
      </c>
      <c r="I15" s="316">
        <f>'2-2'!I104</f>
        <v>2</v>
      </c>
      <c r="J15" s="373">
        <f>'2-2'!J104</f>
        <v>10000</v>
      </c>
      <c r="K15" s="374" t="str">
        <f>'2-2'!K104</f>
        <v>不登校生徒に対するカウンセリング技術の習得</v>
      </c>
      <c r="L15" s="224">
        <f>'2-2'!L104</f>
        <v>5000</v>
      </c>
      <c r="M15" s="316">
        <f>'2-2'!M104</f>
        <v>1</v>
      </c>
      <c r="N15" s="316">
        <f>'2-2'!N104</f>
        <v>2</v>
      </c>
      <c r="O15" s="342">
        <f aca="true" t="shared" si="4" ref="O15:O25">L15*M15*N15</f>
        <v>10000</v>
      </c>
      <c r="P15" s="375">
        <f>'2-2'!P104</f>
        <v>0</v>
      </c>
      <c r="Q15" s="376" t="str">
        <f>'2-2'!Q104</f>
        <v>5月7日配当希望</v>
      </c>
      <c r="R15" s="25">
        <f>IF(AND(ISNA(MATCH($D15,'随時②-2'!$D$4:$D$18,0)),ISNA(MATCH($D15,'随時③-2'!$D$4:$D$18,0))),0,1)</f>
        <v>0</v>
      </c>
      <c r="S15" s="63">
        <f aca="true" t="shared" si="5" ref="S15:S25">IF(P15="◎",J15,"")</f>
      </c>
      <c r="T15" s="63">
        <f aca="true" t="shared" si="6" ref="T15:T25">IF(P15="◎",O15,"")</f>
      </c>
      <c r="U15" s="5">
        <f>IF($E15=0,"",VLOOKUP($E15,$V$5:$X$13,2))</f>
        <v>1</v>
      </c>
    </row>
    <row r="16" spans="1:21" ht="30" customHeight="1">
      <c r="A16" s="370" t="str">
        <f>'随時①-2'!A5</f>
        <v>Ⅱ</v>
      </c>
      <c r="B16" s="371" t="str">
        <f>'随時①-2'!B5</f>
        <v>４－（１）</v>
      </c>
      <c r="C16" s="372" t="str">
        <f>'随時①-2'!C5</f>
        <v>学校情報の発信</v>
      </c>
      <c r="D16" s="254">
        <v>102</v>
      </c>
      <c r="E16" s="314" t="str">
        <f>'2-2'!E105</f>
        <v>旅費</v>
      </c>
      <c r="F16" s="314" t="str">
        <f>'2-2'!F105</f>
        <v>全国総合学科校長会・研究協議会</v>
      </c>
      <c r="G16" s="321">
        <f>'2-2'!G105</f>
        <v>12000</v>
      </c>
      <c r="H16" s="322">
        <f>'2-2'!H105</f>
        <v>1</v>
      </c>
      <c r="I16" s="322">
        <f>'2-2'!I105</f>
        <v>1</v>
      </c>
      <c r="J16" s="380">
        <f>'2-2'!J105</f>
        <v>12000</v>
      </c>
      <c r="K16" s="374" t="str">
        <f>'2-2'!K105</f>
        <v>全国総合学科校長会・研究協議会</v>
      </c>
      <c r="L16" s="224">
        <f>'2-2'!L105</f>
        <v>8180</v>
      </c>
      <c r="M16" s="316">
        <f>'2-2'!M105</f>
        <v>1</v>
      </c>
      <c r="N16" s="316">
        <f>'2-2'!N105</f>
        <v>1</v>
      </c>
      <c r="O16" s="309">
        <f t="shared" si="4"/>
        <v>8180</v>
      </c>
      <c r="P16" s="375">
        <f>'2-2'!P105</f>
        <v>0</v>
      </c>
      <c r="Q16" s="376" t="str">
        <f>'2-2'!Q105</f>
        <v>　　　〃</v>
      </c>
      <c r="R16" s="25">
        <f>IF(AND(ISNA(MATCH($D16,'随時②-2'!$D$4:$D$18,0)),ISNA(MATCH($D16,'随時③-2'!$D$4:$D$18,0))),0,1)</f>
        <v>0</v>
      </c>
      <c r="S16" s="63">
        <f t="shared" si="5"/>
      </c>
      <c r="T16" s="63">
        <f t="shared" si="6"/>
      </c>
      <c r="U16" s="5">
        <f>IF($E16=0,"",VLOOKUP($E16,$V$5:$X$13,2))</f>
        <v>2</v>
      </c>
    </row>
    <row r="17" spans="1:20" ht="30" customHeight="1">
      <c r="A17" s="370">
        <f>'2-4'!A4</f>
        <v>0</v>
      </c>
      <c r="B17" s="371">
        <f>'2-4'!B4</f>
        <v>0</v>
      </c>
      <c r="C17" s="372">
        <f>'2-4'!C4</f>
        <v>0</v>
      </c>
      <c r="D17" s="263">
        <v>301</v>
      </c>
      <c r="E17" s="315" t="str">
        <f>IF($R17=1,"",VLOOKUP($D17,'2-4'!$D$4:$L$103,2))</f>
        <v>負担金、補助及び交付金</v>
      </c>
      <c r="F17" s="315" t="str">
        <f>IF($R17=1,"取消し",VLOOKUP($D17,'2-4'!$D$4:$L$103,3))</f>
        <v>各種団体負担金（会費）</v>
      </c>
      <c r="G17" s="224">
        <f>IF($R17=1,,VLOOKUP($D17,'2-4'!$D$4:$L$103,4))</f>
        <v>0</v>
      </c>
      <c r="H17" s="316">
        <f>IF($R17=1,,VLOOKUP($D17,'2-4'!$D$4:$L$103,5))</f>
        <v>0</v>
      </c>
      <c r="I17" s="316">
        <f>IF($R17=1,,VLOOKUP($D17,'2-4'!$D$4:$L$103,6))</f>
        <v>0</v>
      </c>
      <c r="J17" s="224">
        <f>IF($R17=1,,VLOOKUP($D17,'2-4'!$D$4:$L$103,7))</f>
        <v>0</v>
      </c>
      <c r="K17" s="339" t="str">
        <f aca="true" t="shared" si="7" ref="K17:N22">F17</f>
        <v>各種団体負担金（会費）</v>
      </c>
      <c r="L17" s="340">
        <f t="shared" si="7"/>
        <v>0</v>
      </c>
      <c r="M17" s="341">
        <f t="shared" si="7"/>
        <v>0</v>
      </c>
      <c r="N17" s="341">
        <f t="shared" si="7"/>
        <v>0</v>
      </c>
      <c r="O17" s="342">
        <f t="shared" si="4"/>
        <v>0</v>
      </c>
      <c r="P17" s="381">
        <f>IF($R17=1,"",VLOOKUP($D17,'2-4'!$D$4:$L$103,8))</f>
        <v>0</v>
      </c>
      <c r="Q17" s="279" t="s">
        <v>253</v>
      </c>
      <c r="R17" s="25">
        <f>IF(AND(ISNA(MATCH($D17,'随時②-2'!$D$4:$D$18,0)),ISNA(MATCH($D17,'随時③-2'!$D$4:$D$18,0))),0,1)</f>
        <v>0</v>
      </c>
      <c r="S17" s="63">
        <f t="shared" si="5"/>
      </c>
      <c r="T17" s="63">
        <f t="shared" si="6"/>
      </c>
    </row>
    <row r="18" spans="1:20" ht="30" customHeight="1">
      <c r="A18" s="377" t="str">
        <f>'2-4'!A5</f>
        <v>Ⅱ</v>
      </c>
      <c r="B18" s="378" t="str">
        <f>'2-4'!B5</f>
        <v>2-(1)</v>
      </c>
      <c r="C18" s="379" t="str">
        <f>'2-4'!C5</f>
        <v>総合学科の特性を活かしたカリキュラムの編成</v>
      </c>
      <c r="D18" s="254">
        <v>302</v>
      </c>
      <c r="E18" s="315" t="str">
        <f>IF($R18=1,"",VLOOKUP($D18,'2-4'!$D$4:$L$103,2))</f>
        <v>旅費</v>
      </c>
      <c r="F18" s="315" t="str">
        <f>IF($R18=1,"取消し",VLOOKUP($D18,'2-4'!$D$4:$L$103,3))</f>
        <v>他府県総合学科高校訪問</v>
      </c>
      <c r="G18" s="224">
        <f>IF($R18=1,,VLOOKUP($D18,'2-4'!$D$4:$L$103,4))</f>
        <v>82820</v>
      </c>
      <c r="H18" s="316">
        <f>IF($R18=1,,VLOOKUP($D18,'2-4'!$D$4:$L$103,5))</f>
        <v>1</v>
      </c>
      <c r="I18" s="316">
        <f>IF($R18=1,,VLOOKUP($D18,'2-4'!$D$4:$L$103,6))</f>
        <v>1</v>
      </c>
      <c r="J18" s="224">
        <f>IF($R18=1,,VLOOKUP($D18,'2-4'!$D$4:$L$103,7))</f>
        <v>82820</v>
      </c>
      <c r="K18" s="318" t="str">
        <f t="shared" si="7"/>
        <v>他府県総合学科高校訪問</v>
      </c>
      <c r="L18" s="319">
        <f t="shared" si="7"/>
        <v>82820</v>
      </c>
      <c r="M18" s="320">
        <f t="shared" si="7"/>
        <v>1</v>
      </c>
      <c r="N18" s="320">
        <f t="shared" si="7"/>
        <v>1</v>
      </c>
      <c r="O18" s="309">
        <f t="shared" si="4"/>
        <v>82820</v>
      </c>
      <c r="P18" s="381">
        <f>IF($R18=1,"",VLOOKUP($D18,'2-4'!$D$4:$L$103,8))</f>
        <v>0</v>
      </c>
      <c r="Q18" s="279">
        <f>IF($R18=1,"",VLOOKUP($D18,'2-4'!$D$4:$L$103,9))</f>
        <v>0</v>
      </c>
      <c r="R18" s="25">
        <f>IF(AND(ISNA(MATCH($D18,'随時②-2'!$D$4:$D$18,0)),ISNA(MATCH($D18,'随時③-2'!$D$4:$D$18,0))),0,1)</f>
        <v>0</v>
      </c>
      <c r="S18" s="63">
        <f t="shared" si="5"/>
      </c>
      <c r="T18" s="63">
        <f t="shared" si="6"/>
      </c>
    </row>
    <row r="19" spans="1:20" ht="30" customHeight="1">
      <c r="A19" s="377" t="str">
        <f>'2-4'!A6</f>
        <v>Ⅱ</v>
      </c>
      <c r="B19" s="378" t="str">
        <f>'2-4'!B6</f>
        <v>2-(1)</v>
      </c>
      <c r="C19" s="379" t="str">
        <f>'2-4'!C6</f>
        <v>総合学科の特性を活かしたカリキュラムの編成</v>
      </c>
      <c r="D19" s="254">
        <v>303</v>
      </c>
      <c r="E19" s="315" t="str">
        <f>IF($R19=1,"",VLOOKUP($D19,'2-4'!$D$4:$L$103,2))</f>
        <v>旅費</v>
      </c>
      <c r="F19" s="315" t="str">
        <f>IF($R19=1,"取消し",VLOOKUP($D19,'2-4'!$D$4:$L$103,3))</f>
        <v>近畿地区総合学科大会</v>
      </c>
      <c r="G19" s="224">
        <f>IF($R19=1,,VLOOKUP($D19,'2-4'!$D$4:$L$103,4))</f>
        <v>11380</v>
      </c>
      <c r="H19" s="316">
        <f>IF($R19=1,,VLOOKUP($D19,'2-4'!$D$4:$L$103,5))</f>
        <v>1</v>
      </c>
      <c r="I19" s="316">
        <f>IF($R19=1,,VLOOKUP($D19,'2-4'!$D$4:$L$103,6))</f>
        <v>1</v>
      </c>
      <c r="J19" s="224">
        <f>IF($R19=1,,VLOOKUP($D19,'2-4'!$D$4:$L$103,7))</f>
        <v>11380</v>
      </c>
      <c r="K19" s="318" t="str">
        <f t="shared" si="7"/>
        <v>近畿地区総合学科大会</v>
      </c>
      <c r="L19" s="319">
        <f t="shared" si="7"/>
        <v>11380</v>
      </c>
      <c r="M19" s="320">
        <f t="shared" si="7"/>
        <v>1</v>
      </c>
      <c r="N19" s="320">
        <f t="shared" si="7"/>
        <v>1</v>
      </c>
      <c r="O19" s="309">
        <f t="shared" si="4"/>
        <v>11380</v>
      </c>
      <c r="P19" s="381">
        <f>IF($R19=1,"",VLOOKUP($D19,'2-4'!$D$4:$L$103,8))</f>
        <v>0</v>
      </c>
      <c r="Q19" s="279">
        <f>IF($R19=1,"",VLOOKUP($D19,'2-4'!$D$4:$L$103,9))</f>
        <v>0</v>
      </c>
      <c r="R19" s="25">
        <f>IF(AND(ISNA(MATCH($D19,'随時②-2'!$D$4:$D$18,0)),ISNA(MATCH($D19,'随時③-2'!$D$4:$D$18,0))),0,1)</f>
        <v>0</v>
      </c>
      <c r="S19" s="63">
        <f t="shared" si="5"/>
      </c>
      <c r="T19" s="63">
        <f t="shared" si="6"/>
      </c>
    </row>
    <row r="20" spans="1:20" ht="30" customHeight="1">
      <c r="A20" s="377" t="str">
        <f>'2-4'!A7</f>
        <v>Ⅲ</v>
      </c>
      <c r="B20" s="378" t="str">
        <f>'2-4'!B7</f>
        <v>2-(2)</v>
      </c>
      <c r="C20" s="379" t="str">
        <f>'2-4'!C7</f>
        <v>授業の充実</v>
      </c>
      <c r="D20" s="254">
        <v>304</v>
      </c>
      <c r="E20" s="315">
        <f>IF($R20=1,"",VLOOKUP($D20,'2-4'!$D$4:$L$103,2))</f>
      </c>
      <c r="F20" s="315" t="str">
        <f>IF($R20=1,"取消し",VLOOKUP($D20,'2-4'!$D$4:$L$103,3))</f>
        <v>取消し</v>
      </c>
      <c r="G20" s="224">
        <f>IF($R20=1,,VLOOKUP($D20,'2-4'!$D$4:$L$103,4))</f>
        <v>0</v>
      </c>
      <c r="H20" s="316">
        <f>IF($R20=1,,VLOOKUP($D20,'2-4'!$D$4:$L$103,5))</f>
        <v>0</v>
      </c>
      <c r="I20" s="316">
        <f>IF($R20=1,,VLOOKUP($D20,'2-4'!$D$4:$L$103,6))</f>
        <v>0</v>
      </c>
      <c r="J20" s="224">
        <f>IF($R20=1,,VLOOKUP($D20,'2-4'!$D$4:$L$103,7))</f>
        <v>0</v>
      </c>
      <c r="K20" s="318" t="str">
        <f t="shared" si="7"/>
        <v>取消し</v>
      </c>
      <c r="L20" s="319">
        <f t="shared" si="7"/>
        <v>0</v>
      </c>
      <c r="M20" s="320">
        <f t="shared" si="7"/>
        <v>0</v>
      </c>
      <c r="N20" s="320">
        <f t="shared" si="7"/>
        <v>0</v>
      </c>
      <c r="O20" s="309">
        <f t="shared" si="4"/>
        <v>0</v>
      </c>
      <c r="P20" s="381">
        <f>IF($R20=1,"",VLOOKUP($D20,'2-4'!$D$4:$L$103,8))</f>
      </c>
      <c r="Q20" s="279">
        <f>IF($R20=1,"",VLOOKUP($D20,'2-4'!$D$4:$L$103,9))</f>
      </c>
      <c r="R20" s="25">
        <f>IF(AND(ISNA(MATCH($D20,'随時②-2'!$D$4:$D$18,0)),ISNA(MATCH($D20,'随時③-2'!$D$4:$D$18,0))),0,1)</f>
        <v>1</v>
      </c>
      <c r="S20" s="63">
        <f t="shared" si="5"/>
      </c>
      <c r="T20" s="63">
        <f t="shared" si="6"/>
      </c>
    </row>
    <row r="21" spans="1:20" ht="30" customHeight="1">
      <c r="A21" s="377" t="str">
        <f>'2-4'!A8</f>
        <v>Ⅳ</v>
      </c>
      <c r="B21" s="378" t="str">
        <f>'2-4'!B8</f>
        <v>4-(1)</v>
      </c>
      <c r="C21" s="379" t="str">
        <f>'2-4'!C8</f>
        <v>学校情報発信</v>
      </c>
      <c r="D21" s="254">
        <v>305</v>
      </c>
      <c r="E21" s="315" t="str">
        <f>IF($R21=1,"",VLOOKUP($D21,'2-4'!$D$4:$L$103,2))</f>
        <v>役務費</v>
      </c>
      <c r="F21" s="315" t="str">
        <f>IF($R21=1,"取消し",VLOOKUP($D21,'2-4'!$D$4:$L$103,3))</f>
        <v>学校案内送付</v>
      </c>
      <c r="G21" s="224">
        <f>IF($R21=1,,VLOOKUP($D21,'2-4'!$D$4:$L$103,4))</f>
        <v>42394</v>
      </c>
      <c r="H21" s="316">
        <f>IF($R21=1,,VLOOKUP($D21,'2-4'!$D$4:$L$103,5))</f>
        <v>1</v>
      </c>
      <c r="I21" s="316">
        <f>IF($R21=1,,VLOOKUP($D21,'2-4'!$D$4:$L$103,6))</f>
        <v>1</v>
      </c>
      <c r="J21" s="224">
        <f>IF($R21=1,,VLOOKUP($D21,'2-4'!$D$4:$L$103,7))</f>
        <v>42394</v>
      </c>
      <c r="K21" s="318" t="str">
        <f t="shared" si="7"/>
        <v>学校案内送付</v>
      </c>
      <c r="L21" s="319">
        <f t="shared" si="7"/>
        <v>42394</v>
      </c>
      <c r="M21" s="320">
        <f t="shared" si="7"/>
        <v>1</v>
      </c>
      <c r="N21" s="320">
        <f t="shared" si="7"/>
        <v>1</v>
      </c>
      <c r="O21" s="309">
        <f t="shared" si="4"/>
        <v>42394</v>
      </c>
      <c r="P21" s="381">
        <f>IF($R21=1,"",VLOOKUP($D21,'2-4'!$D$4:$L$103,8))</f>
        <v>0</v>
      </c>
      <c r="Q21" s="279">
        <f>IF($R21=1,"",VLOOKUP($D21,'2-4'!$D$4:$L$103,9))</f>
        <v>0</v>
      </c>
      <c r="R21" s="25">
        <f>IF(AND(ISNA(MATCH($D21,'随時②-2'!$D$4:$D$18,0)),ISNA(MATCH($D21,'随時③-2'!$D$4:$D$18,0))),0,1)</f>
        <v>0</v>
      </c>
      <c r="S21" s="63">
        <f t="shared" si="5"/>
      </c>
      <c r="T21" s="63">
        <f t="shared" si="6"/>
      </c>
    </row>
    <row r="22" spans="1:20" ht="30" customHeight="1">
      <c r="A22" s="370" t="str">
        <f>'随時③-2'!A21</f>
        <v>Ⅲ</v>
      </c>
      <c r="B22" s="371" t="str">
        <f>'随時③-2'!B21</f>
        <v>２－（３）</v>
      </c>
      <c r="C22" s="372" t="str">
        <f>'随時③-2'!C21</f>
        <v>国公立及び有名私大合格レベルの学力育成支援</v>
      </c>
      <c r="D22" s="263">
        <v>401</v>
      </c>
      <c r="E22" s="315" t="str">
        <f>'随時③-2'!E21</f>
        <v>消耗需用費</v>
      </c>
      <c r="F22" s="315" t="str">
        <f>'随時③-2'!F21</f>
        <v>進路指導用冊子作成</v>
      </c>
      <c r="G22" s="224">
        <f>'随時③-2'!G21</f>
        <v>48816</v>
      </c>
      <c r="H22" s="316">
        <f>'随時③-2'!H21</f>
        <v>1</v>
      </c>
      <c r="I22" s="316">
        <f>'随時③-2'!I21</f>
        <v>1</v>
      </c>
      <c r="J22" s="382">
        <f>G22*H22*I22</f>
        <v>48816</v>
      </c>
      <c r="K22" s="339" t="str">
        <f t="shared" si="7"/>
        <v>進路指導用冊子作成</v>
      </c>
      <c r="L22" s="340">
        <f t="shared" si="7"/>
        <v>48816</v>
      </c>
      <c r="M22" s="341">
        <f t="shared" si="7"/>
        <v>1</v>
      </c>
      <c r="N22" s="341">
        <f t="shared" si="7"/>
        <v>1</v>
      </c>
      <c r="O22" s="342">
        <f t="shared" si="4"/>
        <v>48816</v>
      </c>
      <c r="P22" s="343">
        <f>'随時③-2'!K21</f>
        <v>0</v>
      </c>
      <c r="Q22" s="344" t="str">
        <f>'随時③-2'!L21</f>
        <v>執行済み</v>
      </c>
      <c r="R22" s="25">
        <f>IF(AND(ISNA(MATCH($D22,'随時②-2'!$D$4:$D$18,0)),ISNA(MATCH($D22,'随時③-2'!$D$4:$D$18,0))),0,1)</f>
        <v>0</v>
      </c>
      <c r="S22" s="63">
        <f t="shared" si="5"/>
      </c>
      <c r="T22" s="63">
        <f t="shared" si="6"/>
      </c>
    </row>
    <row r="23" spans="1:20" ht="30" customHeight="1">
      <c r="A23" s="370" t="str">
        <f>'随時③-2'!A22</f>
        <v>Ⅴ</v>
      </c>
      <c r="B23" s="371" t="str">
        <f>'随時③-2'!B22</f>
        <v>４－（１）</v>
      </c>
      <c r="C23" s="372" t="str">
        <f>'随時③-2'!C22</f>
        <v>学校情報の発信</v>
      </c>
      <c r="D23" s="254">
        <v>402</v>
      </c>
      <c r="E23" s="314" t="str">
        <f>'随時③-2'!E22</f>
        <v>消耗需用費</v>
      </c>
      <c r="F23" s="315" t="str">
        <f>'随時③-2'!F22</f>
        <v>学校案内作成</v>
      </c>
      <c r="G23" s="224">
        <f>'随時③-2'!G22</f>
        <v>11000</v>
      </c>
      <c r="H23" s="316">
        <f>'随時③-2'!H22</f>
        <v>1</v>
      </c>
      <c r="I23" s="316">
        <f>'随時③-2'!I22</f>
        <v>1</v>
      </c>
      <c r="J23" s="383">
        <f>G23*H23*I23</f>
        <v>11000</v>
      </c>
      <c r="K23" s="318" t="str">
        <f>F23</f>
        <v>学校案内作成</v>
      </c>
      <c r="L23" s="319">
        <v>10395</v>
      </c>
      <c r="M23" s="320">
        <f>H23</f>
        <v>1</v>
      </c>
      <c r="N23" s="320">
        <f>I23</f>
        <v>1</v>
      </c>
      <c r="O23" s="309">
        <f t="shared" si="4"/>
        <v>10395</v>
      </c>
      <c r="P23" s="343">
        <f>'随時③-2'!K22</f>
        <v>0</v>
      </c>
      <c r="Q23" s="344" t="str">
        <f>'随時③-2'!L22</f>
        <v>執行済み</v>
      </c>
      <c r="R23" s="25">
        <f>IF(AND(ISNA(MATCH($D23,'随時②-2'!$D$4:$D$18,0)),ISNA(MATCH($D23,'随時③-2'!$D$4:$D$18,0))),0,1)</f>
        <v>0</v>
      </c>
      <c r="S23" s="63">
        <f t="shared" si="5"/>
      </c>
      <c r="T23" s="63">
        <f t="shared" si="6"/>
      </c>
    </row>
    <row r="24" spans="1:20" ht="30" customHeight="1">
      <c r="A24" s="370" t="str">
        <f>'随時③-2'!A23</f>
        <v>Ⅴ</v>
      </c>
      <c r="B24" s="371" t="str">
        <f>'随時③-2'!B23</f>
        <v>３－（２）</v>
      </c>
      <c r="C24" s="372" t="str">
        <f>'随時③-2'!C23</f>
        <v>生徒相談体制の充実</v>
      </c>
      <c r="D24" s="254">
        <v>403</v>
      </c>
      <c r="E24" s="314" t="str">
        <f>'随時③-2'!E23</f>
        <v>消耗需用費</v>
      </c>
      <c r="F24" s="315" t="str">
        <f>'随時③-2'!F23</f>
        <v>府立人権夏季セミナー資料</v>
      </c>
      <c r="G24" s="224">
        <f>'随時③-2'!G23</f>
        <v>2000</v>
      </c>
      <c r="H24" s="316">
        <f>'随時③-2'!H23</f>
        <v>4</v>
      </c>
      <c r="I24" s="316">
        <f>'随時③-2'!I23</f>
        <v>1</v>
      </c>
      <c r="J24" s="383">
        <f>G24*H24*I24</f>
        <v>8000</v>
      </c>
      <c r="K24" s="318" t="str">
        <f>F24</f>
        <v>府立人権夏季セミナー資料</v>
      </c>
      <c r="L24" s="319">
        <f>G24</f>
        <v>2000</v>
      </c>
      <c r="M24" s="320">
        <v>0</v>
      </c>
      <c r="N24" s="320">
        <f>I24</f>
        <v>1</v>
      </c>
      <c r="O24" s="309">
        <f t="shared" si="4"/>
        <v>0</v>
      </c>
      <c r="P24" s="343">
        <f>'随時③-2'!K23</f>
        <v>0</v>
      </c>
      <c r="Q24" s="344" t="str">
        <f>'随時③-2'!L23</f>
        <v>執行済み</v>
      </c>
      <c r="R24" s="25">
        <f>IF(AND(ISNA(MATCH($D24,'随時②-2'!$D$4:$D$18,0)),ISNA(MATCH($D24,'随時③-2'!$D$4:$D$18,0))),0,1)</f>
        <v>0</v>
      </c>
      <c r="S24" s="63">
        <f t="shared" si="5"/>
      </c>
      <c r="T24" s="63">
        <f t="shared" si="6"/>
      </c>
    </row>
    <row r="25" spans="1:20" ht="30" customHeight="1" thickBot="1">
      <c r="A25" s="377" t="str">
        <f>'随時③-2'!A24</f>
        <v>Ⅲ</v>
      </c>
      <c r="B25" s="378" t="str">
        <f>'随時③-2'!B24</f>
        <v>２－（２）</v>
      </c>
      <c r="C25" s="379" t="str">
        <f>'随時③-2'!C24</f>
        <v>授業の充実</v>
      </c>
      <c r="D25" s="254">
        <v>404</v>
      </c>
      <c r="E25" s="314" t="str">
        <f>'随時③-2'!E24</f>
        <v>消耗需用費</v>
      </c>
      <c r="F25" s="314" t="str">
        <f>'随時③-2'!F24</f>
        <v>プロジェクター用スクリーン購入</v>
      </c>
      <c r="G25" s="321">
        <f>'随時③-2'!G24</f>
        <v>92880</v>
      </c>
      <c r="H25" s="322">
        <f>'随時③-2'!H24</f>
        <v>1</v>
      </c>
      <c r="I25" s="322">
        <f>'随時③-2'!I24</f>
        <v>1</v>
      </c>
      <c r="J25" s="383">
        <f>G25*H25*I25</f>
        <v>92880</v>
      </c>
      <c r="K25" s="318" t="str">
        <f>F25</f>
        <v>プロジェクター用スクリーン購入</v>
      </c>
      <c r="L25" s="319">
        <f>G25</f>
        <v>92880</v>
      </c>
      <c r="M25" s="320">
        <f>H25</f>
        <v>1</v>
      </c>
      <c r="N25" s="320">
        <f>I25</f>
        <v>1</v>
      </c>
      <c r="O25" s="309">
        <f t="shared" si="4"/>
        <v>92880</v>
      </c>
      <c r="P25" s="310">
        <f>'随時③-2'!K24</f>
        <v>0</v>
      </c>
      <c r="Q25" s="311">
        <f>'随時③-2'!L24</f>
        <v>0</v>
      </c>
      <c r="R25" s="25">
        <f>IF(AND(ISNA(MATCH($D25,'随時②-2'!$D$4:$D$18,0)),ISNA(MATCH($D25,'随時③-2'!$D$4:$D$18,0))),0,1)</f>
        <v>0</v>
      </c>
      <c r="S25" s="63">
        <f t="shared" si="5"/>
      </c>
      <c r="T25" s="63">
        <f t="shared" si="6"/>
      </c>
    </row>
    <row r="26" spans="1:17" ht="13.5">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29" t="s">
        <v>15</v>
      </c>
      <c r="J27" s="529"/>
    </row>
    <row r="28" spans="4:15" ht="24" customHeight="1" thickBot="1">
      <c r="D28" s="5"/>
      <c r="F28" s="24"/>
      <c r="G28" s="24"/>
      <c r="I28" s="543" t="s">
        <v>96</v>
      </c>
      <c r="J28" s="544"/>
      <c r="K28" s="38" t="s">
        <v>190</v>
      </c>
      <c r="L28" s="530" t="s">
        <v>175</v>
      </c>
      <c r="M28" s="531"/>
      <c r="N28" s="532" t="s">
        <v>191</v>
      </c>
      <c r="O28" s="533"/>
    </row>
    <row r="29" spans="4:15" ht="14.25" thickTop="1">
      <c r="D29" s="5"/>
      <c r="I29" s="545" t="s">
        <v>85</v>
      </c>
      <c r="J29" s="546"/>
      <c r="K29" s="348">
        <f aca="true" t="shared" si="8" ref="K29:K37">SUMIF($E$4:$E$25,$I29,$O$4:$O$25)</f>
        <v>40000</v>
      </c>
      <c r="L29" s="539">
        <f aca="true" t="shared" si="9" ref="L29:L36">SUMIF($E$4:$E$25,$I29,$T$4:$T$25)</f>
        <v>0</v>
      </c>
      <c r="M29" s="540">
        <f aca="true" t="shared" si="10" ref="M29:M37">SUMIF($E$4:$E$25,$I29,$O$4:$O$25)</f>
        <v>40000</v>
      </c>
      <c r="N29" s="541">
        <f>K29-L29</f>
        <v>40000</v>
      </c>
      <c r="O29" s="542"/>
    </row>
    <row r="30" spans="4:15" ht="13.5">
      <c r="D30" s="5"/>
      <c r="I30" s="551" t="s">
        <v>86</v>
      </c>
      <c r="J30" s="552"/>
      <c r="K30" s="351">
        <f t="shared" si="8"/>
        <v>152380</v>
      </c>
      <c r="L30" s="547">
        <f t="shared" si="9"/>
        <v>0</v>
      </c>
      <c r="M30" s="548">
        <f t="shared" si="10"/>
        <v>152380</v>
      </c>
      <c r="N30" s="549">
        <f aca="true" t="shared" si="11" ref="N30:N37">K30-L30</f>
        <v>152380</v>
      </c>
      <c r="O30" s="550"/>
    </row>
    <row r="31" spans="4:15" ht="13.5">
      <c r="D31" s="5"/>
      <c r="I31" s="551" t="s">
        <v>124</v>
      </c>
      <c r="J31" s="552"/>
      <c r="K31" s="347">
        <f t="shared" si="8"/>
        <v>168591</v>
      </c>
      <c r="L31" s="547">
        <f t="shared" si="9"/>
        <v>0</v>
      </c>
      <c r="M31" s="548">
        <f t="shared" si="10"/>
        <v>168591</v>
      </c>
      <c r="N31" s="549">
        <f t="shared" si="11"/>
        <v>168591</v>
      </c>
      <c r="O31" s="550"/>
    </row>
    <row r="32" spans="4:15" ht="13.5">
      <c r="D32" s="5"/>
      <c r="I32" s="551" t="s">
        <v>125</v>
      </c>
      <c r="J32" s="552"/>
      <c r="K32" s="347">
        <f t="shared" si="8"/>
        <v>0</v>
      </c>
      <c r="L32" s="547">
        <f t="shared" si="9"/>
        <v>0</v>
      </c>
      <c r="M32" s="548">
        <f t="shared" si="10"/>
        <v>0</v>
      </c>
      <c r="N32" s="549">
        <f t="shared" si="11"/>
        <v>0</v>
      </c>
      <c r="O32" s="550"/>
    </row>
    <row r="33" spans="4:15" ht="13.5">
      <c r="D33" s="5"/>
      <c r="I33" s="551" t="s">
        <v>87</v>
      </c>
      <c r="J33" s="552"/>
      <c r="K33" s="347">
        <f t="shared" si="8"/>
        <v>84870</v>
      </c>
      <c r="L33" s="547">
        <f t="shared" si="9"/>
        <v>0</v>
      </c>
      <c r="M33" s="548">
        <f t="shared" si="10"/>
        <v>84870</v>
      </c>
      <c r="N33" s="549">
        <f t="shared" si="11"/>
        <v>84870</v>
      </c>
      <c r="O33" s="550"/>
    </row>
    <row r="34" spans="4:15" ht="13.5">
      <c r="D34" s="5"/>
      <c r="I34" s="551" t="s">
        <v>88</v>
      </c>
      <c r="J34" s="552"/>
      <c r="K34" s="347">
        <f t="shared" si="8"/>
        <v>591222</v>
      </c>
      <c r="L34" s="547">
        <f t="shared" si="9"/>
        <v>0</v>
      </c>
      <c r="M34" s="548">
        <f t="shared" si="10"/>
        <v>591222</v>
      </c>
      <c r="N34" s="549">
        <f t="shared" si="11"/>
        <v>591222</v>
      </c>
      <c r="O34" s="550"/>
    </row>
    <row r="35" spans="4:15" ht="13.5">
      <c r="D35" s="5"/>
      <c r="I35" s="551" t="s">
        <v>89</v>
      </c>
      <c r="J35" s="552"/>
      <c r="K35" s="347">
        <f t="shared" si="8"/>
        <v>0</v>
      </c>
      <c r="L35" s="547">
        <f t="shared" si="9"/>
        <v>0</v>
      </c>
      <c r="M35" s="548">
        <f t="shared" si="10"/>
        <v>0</v>
      </c>
      <c r="N35" s="549">
        <f t="shared" si="11"/>
        <v>0</v>
      </c>
      <c r="O35" s="550"/>
    </row>
    <row r="36" spans="4:15" ht="13.5">
      <c r="D36" s="5"/>
      <c r="I36" s="551" t="s">
        <v>90</v>
      </c>
      <c r="J36" s="552"/>
      <c r="K36" s="347">
        <f t="shared" si="8"/>
        <v>0</v>
      </c>
      <c r="L36" s="547">
        <f t="shared" si="9"/>
        <v>0</v>
      </c>
      <c r="M36" s="548">
        <f t="shared" si="10"/>
        <v>0</v>
      </c>
      <c r="N36" s="549">
        <f t="shared" si="11"/>
        <v>0</v>
      </c>
      <c r="O36" s="550"/>
    </row>
    <row r="37" spans="4:15" ht="14.25" thickBot="1">
      <c r="D37" s="5"/>
      <c r="I37" s="561" t="s">
        <v>137</v>
      </c>
      <c r="J37" s="562"/>
      <c r="K37" s="347">
        <f t="shared" si="8"/>
        <v>74330</v>
      </c>
      <c r="L37" s="557">
        <f>SUMIF($E$4:$E$25,$I37,$T$4:$T$25)+'3-3'!F25</f>
        <v>11000</v>
      </c>
      <c r="M37" s="558">
        <f t="shared" si="10"/>
        <v>74330</v>
      </c>
      <c r="N37" s="559">
        <f t="shared" si="11"/>
        <v>63330</v>
      </c>
      <c r="O37" s="560"/>
    </row>
    <row r="38" spans="4:15" ht="15" thickBot="1" thickTop="1">
      <c r="D38" s="5"/>
      <c r="I38" s="563" t="s">
        <v>15</v>
      </c>
      <c r="J38" s="564"/>
      <c r="K38" s="354">
        <f>SUM(K29:K37)</f>
        <v>1111393</v>
      </c>
      <c r="L38" s="553">
        <f>SUM(L29:L37)</f>
        <v>11000</v>
      </c>
      <c r="M38" s="554"/>
      <c r="N38" s="555">
        <f>SUM(N29:N37)</f>
        <v>1100393</v>
      </c>
      <c r="O38" s="556"/>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conditionalFormatting sqref="B2:E2 J22:J26 J4:J16">
    <cfRule type="cellIs" priority="32" dxfId="28" operator="equal" stopIfTrue="1">
      <formula>0</formula>
    </cfRule>
  </conditionalFormatting>
  <conditionalFormatting sqref="O4:O16 K17:O2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264</v>
      </c>
      <c r="B1" s="565"/>
      <c r="C1" s="565"/>
      <c r="D1" s="565"/>
      <c r="E1" s="565"/>
      <c r="F1" s="565"/>
    </row>
    <row r="2" spans="1:6" ht="15" customHeight="1" thickBot="1">
      <c r="A2" s="8"/>
      <c r="B2" s="7" t="s">
        <v>243</v>
      </c>
      <c r="C2" s="87"/>
      <c r="E2" s="72" t="s">
        <v>219</v>
      </c>
      <c r="F2" s="184">
        <f>SUM(E4:E22)</f>
        <v>74330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9">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9">
        <f>IF('2-3'!H51="",'2-3'!E51,'2-3'!H51)</f>
        <v>5000</v>
      </c>
      <c r="F8" s="83">
        <f>IF('2-3'!I51="",'2-3'!G51,'2-3'!I51)</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2">
        <v>76</v>
      </c>
      <c r="B10" s="171" t="str">
        <f>IF('1-3'!B79="","",'1-3'!B79)</f>
        <v>大阪</v>
      </c>
      <c r="C10" s="171" t="str">
        <f>IF('1-3'!C79="","",'1-3'!C79)</f>
        <v>校長</v>
      </c>
      <c r="D10" s="179" t="str">
        <f>IF('1-3'!D79="","",'1-3'!D79)</f>
        <v>大阪府総合学科高等学校長協会</v>
      </c>
      <c r="E10" s="209">
        <f>IF('2-3'!H80="",'2-3'!E80,'2-3'!H80)</f>
        <v>3000</v>
      </c>
      <c r="F10" s="83">
        <f>IF('2-3'!I80="",'2-3'!G80,'2-3'!I80)</f>
      </c>
    </row>
    <row r="11" spans="1:6" ht="15" customHeight="1">
      <c r="A11" s="104">
        <v>79</v>
      </c>
      <c r="B11" s="127" t="str">
        <f>IF('1-3'!B82="","",'1-3'!B82)</f>
        <v>大阪</v>
      </c>
      <c r="C11" s="176" t="str">
        <f>IF('1-3'!C82="","",'1-3'!C82)</f>
        <v>事務長</v>
      </c>
      <c r="D11" s="180" t="str">
        <f>IF('1-3'!D82="","",'1-3'!D82)</f>
        <v>大阪府立学校事務長会</v>
      </c>
      <c r="E11" s="214">
        <f>IF('2-3'!H83="",'2-3'!E83,'2-3'!H83)</f>
        <v>1000</v>
      </c>
      <c r="F11" s="178">
        <f>IF('2-3'!I83="",'2-3'!G83,'2-3'!I83)</f>
      </c>
    </row>
    <row r="12" spans="1:6" ht="15" customHeight="1">
      <c r="A12" s="104">
        <v>82</v>
      </c>
      <c r="B12" s="127" t="str">
        <f>IF('1-3'!B85="","",'1-3'!B85)</f>
        <v>大阪</v>
      </c>
      <c r="C12" s="127">
        <f>IF('1-3'!C85="","",'1-3'!C85)</f>
      </c>
      <c r="D12" s="143" t="str">
        <f>IF('1-3'!D85="","",'1-3'!D85)</f>
        <v>大阪府高等学校家庭クラブ連合会</v>
      </c>
      <c r="E12" s="209">
        <f>IF('2-3'!H86="",'2-3'!E86,'2-3'!H86)</f>
        <v>2000</v>
      </c>
      <c r="F12" s="83">
        <f>IF('2-3'!I86="",'2-3'!G86,'2-3'!I86)</f>
      </c>
    </row>
    <row r="13" spans="1:6" ht="15" customHeight="1">
      <c r="A13" s="104">
        <v>83</v>
      </c>
      <c r="B13" s="127" t="str">
        <f>IF('1-3'!B86="","",'1-3'!B86)</f>
        <v>大阪</v>
      </c>
      <c r="C13" s="127">
        <f>IF('1-3'!C86="","",'1-3'!C86)</f>
      </c>
      <c r="D13" s="143" t="str">
        <f>IF('1-3'!D86="","",'1-3'!D86)</f>
        <v>大阪府高等学校校外学習研究会</v>
      </c>
      <c r="E13" s="209">
        <f>IF('2-3'!H87="",'2-3'!E87,'2-3'!H87)</f>
        <v>3000</v>
      </c>
      <c r="F13" s="83">
        <f>IF('2-3'!I87="",'2-3'!G87,'2-3'!I87)</f>
      </c>
    </row>
    <row r="14" spans="1:6" ht="15" customHeight="1">
      <c r="A14" s="104">
        <v>85</v>
      </c>
      <c r="B14" s="127" t="str">
        <f>IF('1-3'!B88="","",'1-3'!B88)</f>
        <v>大阪</v>
      </c>
      <c r="C14" s="127">
        <f>IF('1-3'!C88="","",'1-3'!C88)</f>
      </c>
      <c r="D14" s="143" t="str">
        <f>IF('1-3'!D88="","",'1-3'!D88)</f>
        <v>大阪府高等学校進路指導研究会</v>
      </c>
      <c r="E14" s="209">
        <f>IF('2-3'!H89="",'2-3'!E89,'2-3'!H89)</f>
        <v>2000</v>
      </c>
      <c r="F14" s="83">
        <f>IF('2-3'!I89="",'2-3'!G89,'2-3'!I89)</f>
      </c>
    </row>
    <row r="15" spans="1:6" ht="15" customHeight="1">
      <c r="A15" s="104">
        <v>90</v>
      </c>
      <c r="B15" s="127" t="str">
        <f>IF('1-3'!B93="","",'1-3'!B93)</f>
        <v>大阪</v>
      </c>
      <c r="C15" s="127">
        <f>IF('1-3'!C93="","",'1-3'!C93)</f>
      </c>
      <c r="D15" s="143" t="str">
        <f>IF('1-3'!D93="","",'1-3'!D93)</f>
        <v>大阪府立学校在日外国人教育研究会</v>
      </c>
      <c r="E15" s="209">
        <f>IF('2-3'!H94="",'2-3'!E94,'2-3'!H94)</f>
        <v>2580</v>
      </c>
      <c r="F15" s="83">
        <f>IF('2-3'!I94="",'2-3'!G94,'2-3'!I94)</f>
      </c>
    </row>
    <row r="16" spans="1:6" ht="15" customHeight="1">
      <c r="A16" s="104">
        <v>91</v>
      </c>
      <c r="B16" s="127" t="str">
        <f>IF('1-3'!B94="","",'1-3'!B94)</f>
        <v>大阪</v>
      </c>
      <c r="C16" s="127">
        <f>IF('1-3'!C94="","",'1-3'!C94)</f>
      </c>
      <c r="D16" s="143" t="str">
        <f>IF('1-3'!D94="","",'1-3'!D94)</f>
        <v>大阪府立学校人権教育研究会</v>
      </c>
      <c r="E16" s="209">
        <f>IF('2-3'!H95="",'2-3'!E95,'2-3'!H95)</f>
        <v>3050</v>
      </c>
      <c r="F16" s="83">
        <f>IF('2-3'!I95="",'2-3'!G95,'2-3'!I95)</f>
      </c>
    </row>
    <row r="17" spans="1:6" ht="15" customHeight="1">
      <c r="A17" s="104">
        <v>92</v>
      </c>
      <c r="B17" s="127" t="str">
        <f>IF('1-3'!B95="","",'1-3'!B95)</f>
        <v>大阪</v>
      </c>
      <c r="C17" s="127">
        <f>IF('1-3'!C95="","",'1-3'!C95)</f>
      </c>
      <c r="D17" s="143" t="str">
        <f>IF('1-3'!D95="","",'1-3'!D95)</f>
        <v>大阪府立高等学校教務研究会</v>
      </c>
      <c r="E17" s="209">
        <f>IF('2-3'!H96="",'2-3'!E96,'2-3'!H96)</f>
        <v>4000</v>
      </c>
      <c r="F17" s="83">
        <f>IF('2-3'!I96="",'2-3'!G96,'2-3'!I96)</f>
      </c>
    </row>
    <row r="18" spans="1:6" ht="15" customHeight="1">
      <c r="A18" s="104">
        <v>93</v>
      </c>
      <c r="B18" s="127" t="str">
        <f>IF('1-3'!B96="","",'1-3'!B96)</f>
        <v>大阪</v>
      </c>
      <c r="C18" s="127">
        <f>IF('1-3'!C96="","",'1-3'!C96)</f>
      </c>
      <c r="D18" s="143" t="str">
        <f>IF('1-3'!D96="","",'1-3'!D96)</f>
        <v>大阪府立高等学校保健研究会</v>
      </c>
      <c r="E18" s="209">
        <f>IF('2-3'!H97="",'2-3'!E97,'2-3'!H97)</f>
        <v>2400</v>
      </c>
      <c r="F18" s="83">
        <f>IF('2-3'!I97="",'2-3'!G97,'2-3'!I97)</f>
      </c>
    </row>
    <row r="19" spans="1:6" ht="15" customHeight="1">
      <c r="A19" s="104">
        <v>94</v>
      </c>
      <c r="B19" s="127" t="str">
        <f>IF('1-3'!B97="","",'1-3'!B97)</f>
        <v>大阪</v>
      </c>
      <c r="C19" s="127">
        <f>IF('1-3'!C97="","",'1-3'!C97)</f>
      </c>
      <c r="D19" s="143" t="str">
        <f>IF('1-3'!D97="","",'1-3'!D97)</f>
        <v>大阪府立高等学校養護教諭研究会(府養研)</v>
      </c>
      <c r="E19" s="209">
        <f>IF('2-3'!H98="",'2-3'!E98,'2-3'!H98)</f>
        <v>5000</v>
      </c>
      <c r="F19" s="83">
        <f>IF('2-3'!I98="",'2-3'!G98,'2-3'!I98)</f>
      </c>
    </row>
    <row r="20" spans="1:6" ht="15" customHeight="1">
      <c r="A20" s="104">
        <v>96</v>
      </c>
      <c r="B20" s="127" t="str">
        <f>IF('1-3'!B99="","",'1-3'!B99)</f>
        <v>大阪</v>
      </c>
      <c r="C20" s="127">
        <f>IF('1-3'!C99="","",'1-3'!C99)</f>
      </c>
      <c r="D20" s="143" t="str">
        <f>IF('1-3'!D99="","",'1-3'!D99)</f>
        <v>大阪府高等学校図書館研究会</v>
      </c>
      <c r="E20" s="209">
        <f>IF('2-3'!H100="",'2-3'!E100,'2-3'!H100)</f>
        <v>3000</v>
      </c>
      <c r="F20" s="83">
        <f>IF('2-3'!I100="",'2-3'!G100,'2-3'!I100)</f>
      </c>
    </row>
    <row r="21" spans="1:6" ht="15" customHeight="1" thickBot="1">
      <c r="A21" s="104">
        <v>97</v>
      </c>
      <c r="B21" s="127" t="str">
        <f>IF('1-3'!B100="","",'1-3'!B100)</f>
        <v>大阪</v>
      </c>
      <c r="C21" s="127">
        <f>IF('1-3'!C100="","",'1-3'!C100)</f>
      </c>
      <c r="D21" s="143" t="str">
        <f>IF('1-3'!D100="","",'1-3'!D100)</f>
        <v>大阪府高等学校生活指導研究会</v>
      </c>
      <c r="E21" s="209">
        <f>IF('2-3'!H101="",'2-3'!E101,'2-3'!H101)</f>
        <v>4000</v>
      </c>
      <c r="F21" s="83">
        <f>IF('2-3'!I101="",'2-3'!G101,'2-3'!I101)</f>
      </c>
    </row>
    <row r="22" spans="1:6" ht="15" customHeight="1" thickBot="1">
      <c r="A22" s="99">
        <v>101</v>
      </c>
      <c r="B22" s="488" t="str">
        <f>IF('2-3'!B105="","",'2-3'!B105)</f>
        <v>大阪</v>
      </c>
      <c r="C22" s="488">
        <f>IF('2-3'!C105="","",'2-3'!C105)</f>
      </c>
      <c r="D22" s="489" t="str">
        <f>IF('2-3'!D105="","",'2-3'!D105)</f>
        <v>大阪市内南部地区公私立高等学校校外補導連絡協議会</v>
      </c>
      <c r="E22" s="490">
        <f>IF('2-3'!H105="",'2-3'!E105,'2-3'!H105)</f>
        <v>7000</v>
      </c>
      <c r="F22" s="491">
        <f>IF('2-3'!I105="",'2-3'!G105,'2-3'!I105)</f>
      </c>
    </row>
    <row r="23" spans="4:6" ht="15" customHeight="1" thickBot="1">
      <c r="D23" s="80"/>
      <c r="E23" s="80"/>
      <c r="F23" s="81"/>
    </row>
    <row r="24" spans="4:6" ht="15" customHeight="1">
      <c r="D24" s="80"/>
      <c r="E24" s="10" t="s">
        <v>219</v>
      </c>
      <c r="F24" s="181">
        <f>SUM(E4:E22)</f>
        <v>74330</v>
      </c>
    </row>
    <row r="25" spans="4:6" ht="15" customHeight="1">
      <c r="D25" s="80"/>
      <c r="E25" s="39" t="s">
        <v>175</v>
      </c>
      <c r="F25" s="182">
        <f>SUMIF($F$4:$F$22,"◎",$E$4:$E$22)</f>
        <v>11000</v>
      </c>
    </row>
    <row r="26" spans="4:6" ht="15" customHeight="1" thickBot="1">
      <c r="D26" s="80"/>
      <c r="E26" s="82" t="s">
        <v>13</v>
      </c>
      <c r="F26" s="183">
        <f>F24-F25</f>
        <v>63330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3" t="s">
        <v>271</v>
      </c>
      <c r="I1" s="513"/>
      <c r="J1" s="513"/>
      <c r="K1" s="513"/>
    </row>
    <row r="2" spans="8:11" s="1" customFormat="1" ht="18" customHeight="1">
      <c r="H2" s="513" t="s">
        <v>272</v>
      </c>
      <c r="I2" s="513"/>
      <c r="J2" s="513"/>
      <c r="K2" s="513"/>
    </row>
    <row r="3" s="1" customFormat="1" ht="18" customHeight="1">
      <c r="K3" s="2"/>
    </row>
    <row r="4" spans="8:11" s="1" customFormat="1" ht="18" customHeight="1">
      <c r="H4" s="514" t="s">
        <v>309</v>
      </c>
      <c r="I4" s="514"/>
      <c r="J4" s="514"/>
      <c r="K4" s="514"/>
    </row>
    <row r="5" spans="8:11" s="1" customFormat="1" ht="18" customHeight="1">
      <c r="H5" s="515">
        <v>42881</v>
      </c>
      <c r="I5" s="514"/>
      <c r="J5" s="514"/>
      <c r="K5" s="514"/>
    </row>
    <row r="6" spans="1:11" s="1" customFormat="1" ht="18" customHeight="1">
      <c r="A6" s="3" t="s">
        <v>2</v>
      </c>
      <c r="H6" s="4"/>
      <c r="K6" s="11"/>
    </row>
    <row r="7" spans="1:11" s="1" customFormat="1" ht="18" customHeight="1">
      <c r="A7" s="4"/>
      <c r="H7" s="514" t="s">
        <v>283</v>
      </c>
      <c r="I7" s="514"/>
      <c r="J7" s="514"/>
      <c r="K7" s="514"/>
    </row>
    <row r="8" spans="1:11" s="1" customFormat="1" ht="18" customHeight="1">
      <c r="A8" s="4"/>
      <c r="H8" s="514" t="s">
        <v>284</v>
      </c>
      <c r="I8" s="514"/>
      <c r="J8" s="514"/>
      <c r="K8" s="514"/>
    </row>
    <row r="9" spans="1:11" s="1" customFormat="1" ht="42" customHeight="1">
      <c r="A9" s="4"/>
      <c r="H9" s="2"/>
      <c r="K9" s="46"/>
    </row>
    <row r="10" spans="1:11" ht="24" customHeight="1">
      <c r="A10" s="516" t="s">
        <v>255</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1190000</v>
      </c>
      <c r="E14" s="572"/>
      <c r="F14" s="573"/>
      <c r="G14" s="574"/>
      <c r="H14" s="575"/>
      <c r="I14" s="575"/>
      <c r="J14" s="575"/>
      <c r="K14" s="6"/>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58.5" customHeight="1" thickTop="1">
      <c r="A16" s="30" t="s">
        <v>161</v>
      </c>
      <c r="B16" s="223">
        <f>'随時①-2'!G27</f>
        <v>10000</v>
      </c>
      <c r="C16" s="224">
        <f>'随時①-2'!G28</f>
        <v>12000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22000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50000</v>
      </c>
      <c r="C18" s="321">
        <f>'1-2'!G108</f>
        <v>170000</v>
      </c>
      <c r="D18" s="321">
        <f>'1-2'!G109</f>
        <v>20000</v>
      </c>
      <c r="E18" s="321">
        <f>'1-2'!G110</f>
        <v>0</v>
      </c>
      <c r="F18" s="321">
        <f>'1-2'!G111</f>
        <v>55000</v>
      </c>
      <c r="G18" s="321">
        <f>'1-2'!G112</f>
        <v>601000</v>
      </c>
      <c r="H18" s="321">
        <f>'1-2'!G113</f>
        <v>0</v>
      </c>
      <c r="I18" s="321">
        <f>'1-2'!G114</f>
        <v>130000</v>
      </c>
      <c r="J18" s="436">
        <f>'1-2'!G115</f>
        <v>79190</v>
      </c>
      <c r="K18" s="437">
        <f t="shared" si="0"/>
        <v>1105190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50000</v>
      </c>
      <c r="C20" s="443">
        <f>C18-C19</f>
        <v>170000</v>
      </c>
      <c r="D20" s="443">
        <f aca="true" t="shared" si="1" ref="D20:J20">D18-D19</f>
        <v>20000</v>
      </c>
      <c r="E20" s="443">
        <f t="shared" si="1"/>
        <v>0</v>
      </c>
      <c r="F20" s="443">
        <f t="shared" si="1"/>
        <v>55000</v>
      </c>
      <c r="G20" s="443">
        <f t="shared" si="1"/>
        <v>601000</v>
      </c>
      <c r="H20" s="443">
        <f t="shared" si="1"/>
        <v>0</v>
      </c>
      <c r="I20" s="443">
        <f t="shared" si="1"/>
        <v>130000</v>
      </c>
      <c r="J20" s="443">
        <f t="shared" si="1"/>
        <v>68190</v>
      </c>
      <c r="K20" s="444">
        <f t="shared" si="0"/>
        <v>1094190</v>
      </c>
    </row>
    <row r="21" spans="1:11" ht="58.5" customHeight="1" thickBot="1">
      <c r="A21" s="32" t="s">
        <v>102</v>
      </c>
      <c r="B21" s="442">
        <f>B16+B18</f>
        <v>60000</v>
      </c>
      <c r="C21" s="442">
        <f aca="true" t="shared" si="2" ref="C21:J21">C16+C18</f>
        <v>182000</v>
      </c>
      <c r="D21" s="442">
        <f t="shared" si="2"/>
        <v>20000</v>
      </c>
      <c r="E21" s="442">
        <f t="shared" si="2"/>
        <v>0</v>
      </c>
      <c r="F21" s="442">
        <f t="shared" si="2"/>
        <v>55000</v>
      </c>
      <c r="G21" s="442">
        <f t="shared" si="2"/>
        <v>601000</v>
      </c>
      <c r="H21" s="442">
        <f t="shared" si="2"/>
        <v>0</v>
      </c>
      <c r="I21" s="442">
        <f t="shared" si="2"/>
        <v>130000</v>
      </c>
      <c r="J21" s="442">
        <f t="shared" si="2"/>
        <v>79190</v>
      </c>
      <c r="K21" s="444">
        <f t="shared" si="0"/>
        <v>1127190</v>
      </c>
    </row>
    <row r="22" spans="1:11" ht="58.5" customHeight="1">
      <c r="A22" s="30" t="s">
        <v>162</v>
      </c>
      <c r="B22" s="445"/>
      <c r="C22" s="340"/>
      <c r="D22" s="340"/>
      <c r="E22" s="340">
        <v>22810</v>
      </c>
      <c r="F22" s="340">
        <v>40000</v>
      </c>
      <c r="G22" s="340"/>
      <c r="H22" s="340"/>
      <c r="I22" s="340"/>
      <c r="J22" s="446"/>
      <c r="K22" s="434">
        <f t="shared" si="0"/>
        <v>62810</v>
      </c>
    </row>
    <row r="23" spans="1:11" ht="58.5" customHeight="1" thickBot="1">
      <c r="A23" s="22" t="s">
        <v>163</v>
      </c>
      <c r="B23" s="219">
        <f>B21+B22</f>
        <v>60000</v>
      </c>
      <c r="C23" s="220">
        <f>C21+C22</f>
        <v>182000</v>
      </c>
      <c r="D23" s="220">
        <f aca="true" t="shared" si="3" ref="D23:J23">D21+D22</f>
        <v>20000</v>
      </c>
      <c r="E23" s="220">
        <f t="shared" si="3"/>
        <v>22810</v>
      </c>
      <c r="F23" s="220">
        <f t="shared" si="3"/>
        <v>95000</v>
      </c>
      <c r="G23" s="220">
        <f t="shared" si="3"/>
        <v>601000</v>
      </c>
      <c r="H23" s="220">
        <f t="shared" si="3"/>
        <v>0</v>
      </c>
      <c r="I23" s="220">
        <f t="shared" si="3"/>
        <v>130000</v>
      </c>
      <c r="J23" s="220">
        <f t="shared" si="3"/>
        <v>79190</v>
      </c>
      <c r="K23" s="222">
        <f t="shared" si="0"/>
        <v>1190000</v>
      </c>
    </row>
    <row r="24" spans="1:11" ht="39" customHeight="1" thickBot="1">
      <c r="A24" s="32" t="s">
        <v>104</v>
      </c>
      <c r="B24" s="566" t="s">
        <v>305</v>
      </c>
      <c r="C24" s="566"/>
      <c r="D24" s="566"/>
      <c r="E24" s="566"/>
      <c r="F24" s="566"/>
      <c r="G24" s="566"/>
      <c r="H24" s="566"/>
      <c r="I24" s="566"/>
      <c r="J24" s="566"/>
      <c r="K24" s="56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8" sqref="E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4" t="s">
        <v>141</v>
      </c>
      <c r="C3" s="60" t="s">
        <v>143</v>
      </c>
      <c r="D3" s="96" t="s">
        <v>145</v>
      </c>
      <c r="E3" s="96" t="s">
        <v>0</v>
      </c>
      <c r="F3" s="96" t="s">
        <v>197</v>
      </c>
      <c r="G3" s="96" t="s">
        <v>91</v>
      </c>
      <c r="H3" s="475" t="s">
        <v>245</v>
      </c>
      <c r="I3" s="96" t="s">
        <v>92</v>
      </c>
      <c r="J3" s="96" t="s">
        <v>93</v>
      </c>
      <c r="K3" s="227" t="s">
        <v>111</v>
      </c>
      <c r="L3" s="295" t="s">
        <v>94</v>
      </c>
      <c r="M3" s="29" t="s">
        <v>99</v>
      </c>
    </row>
    <row r="4" spans="1:13" ht="13.5" customHeight="1">
      <c r="A4" s="240"/>
      <c r="B4" s="241"/>
      <c r="C4" s="242"/>
      <c r="D4" s="243">
        <v>1</v>
      </c>
      <c r="E4" s="244" t="s">
        <v>137</v>
      </c>
      <c r="F4" s="245" t="s">
        <v>224</v>
      </c>
      <c r="G4" s="246">
        <v>79190</v>
      </c>
      <c r="H4" s="247">
        <v>1</v>
      </c>
      <c r="I4" s="247">
        <v>1</v>
      </c>
      <c r="J4" s="248">
        <f>G4*H4*I4</f>
        <v>79190</v>
      </c>
      <c r="K4" s="249"/>
      <c r="L4" s="250" t="s">
        <v>225</v>
      </c>
      <c r="M4" s="29">
        <f aca="true" t="shared" si="0" ref="M4:M67">IF(K4="◎",J4,"")</f>
      </c>
    </row>
    <row r="5" spans="1:13" ht="13.5" customHeight="1">
      <c r="A5" s="251" t="s">
        <v>273</v>
      </c>
      <c r="B5" s="252" t="s">
        <v>286</v>
      </c>
      <c r="C5" s="484" t="s">
        <v>287</v>
      </c>
      <c r="D5" s="254">
        <v>2</v>
      </c>
      <c r="E5" s="255" t="s">
        <v>88</v>
      </c>
      <c r="F5" s="256" t="s">
        <v>288</v>
      </c>
      <c r="G5" s="257">
        <v>140000</v>
      </c>
      <c r="H5" s="258">
        <v>4</v>
      </c>
      <c r="I5" s="258">
        <v>1</v>
      </c>
      <c r="J5" s="259">
        <f>G5*H5*I5</f>
        <v>560000</v>
      </c>
      <c r="K5" s="260"/>
      <c r="L5" s="261"/>
      <c r="M5" s="29">
        <f t="shared" si="0"/>
      </c>
    </row>
    <row r="6" spans="1:13" ht="13.5" customHeight="1">
      <c r="A6" s="251" t="s">
        <v>277</v>
      </c>
      <c r="B6" s="252" t="s">
        <v>292</v>
      </c>
      <c r="C6" s="485" t="s">
        <v>290</v>
      </c>
      <c r="D6" s="254">
        <v>3</v>
      </c>
      <c r="E6" s="255" t="s">
        <v>86</v>
      </c>
      <c r="F6" s="256" t="s">
        <v>291</v>
      </c>
      <c r="G6" s="257">
        <v>40000</v>
      </c>
      <c r="H6" s="258">
        <v>3</v>
      </c>
      <c r="I6" s="258">
        <v>1</v>
      </c>
      <c r="J6" s="259">
        <f aca="true" t="shared" si="1" ref="J6:J69">G6*H6*I6</f>
        <v>120000</v>
      </c>
      <c r="K6" s="260"/>
      <c r="L6" s="261"/>
      <c r="M6" s="29">
        <f t="shared" si="0"/>
      </c>
    </row>
    <row r="7" spans="1:13" ht="13.5" customHeight="1">
      <c r="A7" s="251" t="s">
        <v>306</v>
      </c>
      <c r="B7" s="252" t="s">
        <v>289</v>
      </c>
      <c r="C7" s="253" t="s">
        <v>293</v>
      </c>
      <c r="D7" s="254">
        <v>4</v>
      </c>
      <c r="E7" s="255" t="s">
        <v>88</v>
      </c>
      <c r="F7" s="256" t="s">
        <v>294</v>
      </c>
      <c r="G7" s="257">
        <v>41000</v>
      </c>
      <c r="H7" s="258">
        <v>1</v>
      </c>
      <c r="I7" s="258">
        <v>1</v>
      </c>
      <c r="J7" s="259">
        <f t="shared" si="1"/>
        <v>41000</v>
      </c>
      <c r="K7" s="260"/>
      <c r="L7" s="261"/>
      <c r="M7" s="29">
        <f t="shared" si="0"/>
      </c>
    </row>
    <row r="8" spans="1:13" ht="13.5" customHeight="1">
      <c r="A8" s="251"/>
      <c r="B8" s="252" t="s">
        <v>289</v>
      </c>
      <c r="C8" s="253" t="s">
        <v>293</v>
      </c>
      <c r="D8" s="263">
        <v>5</v>
      </c>
      <c r="E8" s="255" t="s">
        <v>90</v>
      </c>
      <c r="F8" s="256" t="s">
        <v>296</v>
      </c>
      <c r="G8" s="257">
        <v>130000</v>
      </c>
      <c r="H8" s="258">
        <v>1</v>
      </c>
      <c r="I8" s="258">
        <v>1</v>
      </c>
      <c r="J8" s="259">
        <f t="shared" si="1"/>
        <v>130000</v>
      </c>
      <c r="K8" s="260"/>
      <c r="L8" s="261"/>
      <c r="M8" s="29">
        <f t="shared" si="0"/>
      </c>
    </row>
    <row r="9" spans="1:13" ht="13.5" customHeight="1">
      <c r="A9" s="251" t="s">
        <v>307</v>
      </c>
      <c r="B9" s="252" t="s">
        <v>295</v>
      </c>
      <c r="C9" s="253" t="s">
        <v>275</v>
      </c>
      <c r="D9" s="254">
        <v>6</v>
      </c>
      <c r="E9" s="255" t="s">
        <v>85</v>
      </c>
      <c r="F9" s="256" t="s">
        <v>297</v>
      </c>
      <c r="G9" s="257">
        <v>30000</v>
      </c>
      <c r="H9" s="258">
        <v>1</v>
      </c>
      <c r="I9" s="258">
        <v>1</v>
      </c>
      <c r="J9" s="259">
        <f t="shared" si="1"/>
        <v>30000</v>
      </c>
      <c r="K9" s="260"/>
      <c r="L9" s="261"/>
      <c r="M9" s="29">
        <f t="shared" si="0"/>
      </c>
    </row>
    <row r="10" spans="1:13" ht="13.5" customHeight="1">
      <c r="A10" s="251"/>
      <c r="B10" s="252" t="s">
        <v>295</v>
      </c>
      <c r="C10" s="253" t="s">
        <v>275</v>
      </c>
      <c r="D10" s="254">
        <v>7</v>
      </c>
      <c r="E10" s="256" t="s">
        <v>85</v>
      </c>
      <c r="F10" s="256" t="s">
        <v>298</v>
      </c>
      <c r="G10" s="257">
        <v>5000</v>
      </c>
      <c r="H10" s="258">
        <v>1</v>
      </c>
      <c r="I10" s="258">
        <v>4</v>
      </c>
      <c r="J10" s="259">
        <f t="shared" si="1"/>
        <v>20000</v>
      </c>
      <c r="K10" s="260"/>
      <c r="L10" s="261"/>
      <c r="M10" s="29">
        <f t="shared" si="0"/>
      </c>
    </row>
    <row r="11" spans="1:13" ht="13.5" customHeight="1">
      <c r="A11" s="251"/>
      <c r="B11" s="252" t="s">
        <v>295</v>
      </c>
      <c r="C11" s="253" t="s">
        <v>275</v>
      </c>
      <c r="D11" s="263">
        <v>8</v>
      </c>
      <c r="E11" s="264" t="s">
        <v>124</v>
      </c>
      <c r="F11" s="264" t="s">
        <v>299</v>
      </c>
      <c r="G11" s="265">
        <v>2000</v>
      </c>
      <c r="H11" s="266">
        <v>5</v>
      </c>
      <c r="I11" s="266">
        <v>1</v>
      </c>
      <c r="J11" s="259">
        <f t="shared" si="1"/>
        <v>10000</v>
      </c>
      <c r="K11" s="267"/>
      <c r="L11" s="268"/>
      <c r="M11" s="29">
        <f t="shared" si="0"/>
      </c>
    </row>
    <row r="12" spans="1:13" ht="13.5" customHeight="1">
      <c r="A12" s="251" t="s">
        <v>308</v>
      </c>
      <c r="B12" s="252" t="s">
        <v>300</v>
      </c>
      <c r="C12" s="253" t="s">
        <v>301</v>
      </c>
      <c r="D12" s="263">
        <v>9</v>
      </c>
      <c r="E12" s="255" t="s">
        <v>86</v>
      </c>
      <c r="F12" s="255" t="s">
        <v>302</v>
      </c>
      <c r="G12" s="269">
        <v>50000</v>
      </c>
      <c r="H12" s="270">
        <v>1</v>
      </c>
      <c r="I12" s="270">
        <v>1</v>
      </c>
      <c r="J12" s="259">
        <f t="shared" si="1"/>
        <v>50000</v>
      </c>
      <c r="K12" s="271"/>
      <c r="L12" s="272"/>
      <c r="M12" s="29">
        <f t="shared" si="0"/>
      </c>
    </row>
    <row r="13" spans="1:13" ht="13.5" customHeight="1">
      <c r="A13" s="251"/>
      <c r="B13" s="252" t="s">
        <v>300</v>
      </c>
      <c r="C13" s="253" t="s">
        <v>301</v>
      </c>
      <c r="D13" s="273">
        <v>10</v>
      </c>
      <c r="E13" s="255" t="s">
        <v>124</v>
      </c>
      <c r="F13" s="255" t="s">
        <v>303</v>
      </c>
      <c r="G13" s="269">
        <v>10000</v>
      </c>
      <c r="H13" s="270">
        <v>1</v>
      </c>
      <c r="I13" s="270">
        <v>1</v>
      </c>
      <c r="J13" s="259">
        <f t="shared" si="1"/>
        <v>10000</v>
      </c>
      <c r="K13" s="260"/>
      <c r="L13" s="261"/>
      <c r="M13" s="29">
        <f t="shared" si="0"/>
      </c>
    </row>
    <row r="14" spans="1:13" ht="13.5" customHeight="1">
      <c r="A14" s="251"/>
      <c r="B14" s="252" t="s">
        <v>300</v>
      </c>
      <c r="C14" s="253" t="s">
        <v>301</v>
      </c>
      <c r="D14" s="254">
        <v>11</v>
      </c>
      <c r="E14" s="256" t="s">
        <v>87</v>
      </c>
      <c r="F14" s="256" t="s">
        <v>304</v>
      </c>
      <c r="G14" s="257">
        <v>55000</v>
      </c>
      <c r="H14" s="258">
        <v>1</v>
      </c>
      <c r="I14" s="258">
        <v>1</v>
      </c>
      <c r="J14" s="259">
        <f t="shared" si="1"/>
        <v>55000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6" t="s">
        <v>175</v>
      </c>
      <c r="I106" s="576"/>
      <c r="J106" s="576" t="s">
        <v>172</v>
      </c>
      <c r="K106" s="581"/>
    </row>
    <row r="107" spans="4:11" ht="14.25" thickTop="1">
      <c r="D107" s="67"/>
      <c r="F107" s="296" t="s">
        <v>85</v>
      </c>
      <c r="G107" s="226">
        <f>SUMIF($E$4:$E$103,F107,$J$4:$J$103)</f>
        <v>50000</v>
      </c>
      <c r="H107" s="577">
        <f>SUMIF($E$4:$E$103,F107,$M$4:$M$103)</f>
        <v>0</v>
      </c>
      <c r="I107" s="577"/>
      <c r="J107" s="577">
        <f aca="true" t="shared" si="5" ref="J107:J115">G107-H107</f>
        <v>50000</v>
      </c>
      <c r="K107" s="582"/>
    </row>
    <row r="108" spans="4:11" ht="13.5">
      <c r="D108" s="67"/>
      <c r="F108" s="297" t="s">
        <v>86</v>
      </c>
      <c r="G108" s="226">
        <f aca="true" t="shared" si="6" ref="G108:G115">SUMIF($E$4:$E$103,F108,$J$4:$J$103)</f>
        <v>170000</v>
      </c>
      <c r="H108" s="578">
        <f aca="true" t="shared" si="7" ref="H108:H114">SUMIF($E$4:$E$103,F108,$M$4:$M$103)</f>
        <v>0</v>
      </c>
      <c r="I108" s="578"/>
      <c r="J108" s="578">
        <f t="shared" si="5"/>
        <v>170000</v>
      </c>
      <c r="K108" s="583"/>
    </row>
    <row r="109" spans="4:11" ht="13.5">
      <c r="D109" s="67"/>
      <c r="F109" s="297" t="s">
        <v>124</v>
      </c>
      <c r="G109" s="226">
        <f t="shared" si="6"/>
        <v>20000</v>
      </c>
      <c r="H109" s="578">
        <f t="shared" si="7"/>
        <v>0</v>
      </c>
      <c r="I109" s="578"/>
      <c r="J109" s="578">
        <f t="shared" si="5"/>
        <v>20000</v>
      </c>
      <c r="K109" s="583"/>
    </row>
    <row r="110" spans="4:11" ht="13.5">
      <c r="D110" s="67"/>
      <c r="F110" s="297" t="s">
        <v>125</v>
      </c>
      <c r="G110" s="226">
        <f t="shared" si="6"/>
        <v>0</v>
      </c>
      <c r="H110" s="578">
        <f t="shared" si="7"/>
        <v>0</v>
      </c>
      <c r="I110" s="578"/>
      <c r="J110" s="578">
        <f t="shared" si="5"/>
        <v>0</v>
      </c>
      <c r="K110" s="583"/>
    </row>
    <row r="111" spans="4:11" ht="13.5">
      <c r="D111" s="67"/>
      <c r="F111" s="297" t="s">
        <v>87</v>
      </c>
      <c r="G111" s="226">
        <f t="shared" si="6"/>
        <v>55000</v>
      </c>
      <c r="H111" s="578">
        <f t="shared" si="7"/>
        <v>0</v>
      </c>
      <c r="I111" s="578"/>
      <c r="J111" s="578">
        <f t="shared" si="5"/>
        <v>55000</v>
      </c>
      <c r="K111" s="583"/>
    </row>
    <row r="112" spans="4:11" ht="13.5">
      <c r="D112" s="67"/>
      <c r="F112" s="297" t="s">
        <v>88</v>
      </c>
      <c r="G112" s="226">
        <f t="shared" si="6"/>
        <v>601000</v>
      </c>
      <c r="H112" s="578">
        <f t="shared" si="7"/>
        <v>0</v>
      </c>
      <c r="I112" s="578"/>
      <c r="J112" s="578">
        <f t="shared" si="5"/>
        <v>601000</v>
      </c>
      <c r="K112" s="583"/>
    </row>
    <row r="113" spans="4:11" ht="13.5">
      <c r="D113" s="67"/>
      <c r="F113" s="297" t="s">
        <v>89</v>
      </c>
      <c r="G113" s="226">
        <f t="shared" si="6"/>
        <v>0</v>
      </c>
      <c r="H113" s="578">
        <f t="shared" si="7"/>
        <v>0</v>
      </c>
      <c r="I113" s="578"/>
      <c r="J113" s="578">
        <f t="shared" si="5"/>
        <v>0</v>
      </c>
      <c r="K113" s="583"/>
    </row>
    <row r="114" spans="4:11" ht="13.5">
      <c r="D114" s="67"/>
      <c r="F114" s="297" t="s">
        <v>90</v>
      </c>
      <c r="G114" s="226">
        <f t="shared" si="6"/>
        <v>130000</v>
      </c>
      <c r="H114" s="578">
        <f t="shared" si="7"/>
        <v>0</v>
      </c>
      <c r="I114" s="578"/>
      <c r="J114" s="578">
        <f t="shared" si="5"/>
        <v>130000</v>
      </c>
      <c r="K114" s="583"/>
    </row>
    <row r="115" spans="4:11" ht="14.25" thickBot="1">
      <c r="D115" s="67"/>
      <c r="F115" s="429" t="s">
        <v>137</v>
      </c>
      <c r="G115" s="430">
        <f t="shared" si="6"/>
        <v>79190</v>
      </c>
      <c r="H115" s="579">
        <f>SUMIF($E$4:$E$103,F115,$M$4:$M$103)+'1-3'!F121</f>
        <v>11000</v>
      </c>
      <c r="I115" s="579"/>
      <c r="J115" s="579">
        <f t="shared" si="5"/>
        <v>68190</v>
      </c>
      <c r="K115" s="584"/>
    </row>
    <row r="116" spans="4:11" ht="15" thickBot="1" thickTop="1">
      <c r="D116" s="47"/>
      <c r="F116" s="427" t="s">
        <v>15</v>
      </c>
      <c r="G116" s="428">
        <f>SUM(G107:G115)</f>
        <v>1105190</v>
      </c>
      <c r="H116" s="580">
        <f>SUM(H107:I115)</f>
        <v>11000</v>
      </c>
      <c r="I116" s="580"/>
      <c r="J116" s="580">
        <f>SUM(J107:K115)</f>
        <v>1094190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8"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5" t="s">
        <v>257</v>
      </c>
      <c r="B1" s="565"/>
      <c r="C1" s="565"/>
      <c r="D1" s="565"/>
      <c r="E1" s="565"/>
      <c r="F1" s="565"/>
    </row>
    <row r="2" spans="1:6" ht="15" customHeight="1" thickBot="1">
      <c r="A2" s="8"/>
      <c r="B2" s="7" t="s">
        <v>243</v>
      </c>
      <c r="C2" s="87"/>
      <c r="E2" s="72" t="s">
        <v>184</v>
      </c>
      <c r="F2" s="465">
        <f>SUM(E4:E118)</f>
        <v>79190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312</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v>10000</v>
      </c>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4000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312</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v>5000</v>
      </c>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v>3000</v>
      </c>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c r="F96" s="78"/>
    </row>
    <row r="97" spans="1:6" ht="15" customHeight="1">
      <c r="A97" s="104">
        <v>94</v>
      </c>
      <c r="B97" s="160" t="s">
        <v>215</v>
      </c>
      <c r="C97" s="160"/>
      <c r="D97" s="161" t="s">
        <v>130</v>
      </c>
      <c r="E97" s="186">
        <v>1760</v>
      </c>
      <c r="F97" s="78"/>
    </row>
    <row r="98" spans="1:6" ht="15" customHeight="1">
      <c r="A98" s="104">
        <v>95</v>
      </c>
      <c r="B98" s="160" t="s">
        <v>215</v>
      </c>
      <c r="C98" s="160"/>
      <c r="D98" s="161" t="s">
        <v>236</v>
      </c>
      <c r="E98" s="186">
        <v>5000</v>
      </c>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311</v>
      </c>
      <c r="E104" s="191">
        <v>7000</v>
      </c>
      <c r="F104" s="110"/>
    </row>
    <row r="105" spans="1:6" ht="15" customHeight="1">
      <c r="A105" s="102">
        <v>102</v>
      </c>
      <c r="B105" s="153"/>
      <c r="C105" s="153"/>
      <c r="D105" s="112" t="s">
        <v>322</v>
      </c>
      <c r="E105" s="185">
        <v>2000</v>
      </c>
      <c r="F105" s="103"/>
    </row>
    <row r="106" spans="1:6" ht="15" customHeight="1">
      <c r="A106" s="104">
        <v>103</v>
      </c>
      <c r="B106" s="154"/>
      <c r="C106" s="154"/>
      <c r="D106" s="113" t="s">
        <v>323</v>
      </c>
      <c r="E106" s="186">
        <v>4000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79190</v>
      </c>
    </row>
    <row r="121" spans="4:6" ht="15" customHeight="1">
      <c r="D121" s="80"/>
      <c r="E121" s="39" t="s">
        <v>175</v>
      </c>
      <c r="F121" s="182">
        <f>SUMIF(F4:F118,"◎",E4:E118)</f>
        <v>11000</v>
      </c>
    </row>
    <row r="122" spans="4:6" ht="15" customHeight="1" thickBot="1">
      <c r="D122" s="80"/>
      <c r="E122" s="82" t="s">
        <v>13</v>
      </c>
      <c r="F122" s="183">
        <f>F120-F121</f>
        <v>68190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3" t="s">
        <v>271</v>
      </c>
      <c r="I1" s="513"/>
      <c r="J1" s="513"/>
      <c r="K1" s="513"/>
    </row>
    <row r="2" spans="8:11" s="1" customFormat="1" ht="18" customHeight="1">
      <c r="H2" s="513" t="s">
        <v>272</v>
      </c>
      <c r="I2" s="513"/>
      <c r="J2" s="513"/>
      <c r="K2" s="513"/>
    </row>
    <row r="3" s="1" customFormat="1" ht="18" customHeight="1">
      <c r="K3" s="2"/>
    </row>
    <row r="4" spans="8:11" s="1" customFormat="1" ht="18" customHeight="1">
      <c r="H4" s="514" t="s">
        <v>318</v>
      </c>
      <c r="I4" s="514"/>
      <c r="J4" s="514"/>
      <c r="K4" s="514"/>
    </row>
    <row r="5" spans="8:11" s="1" customFormat="1" ht="18" customHeight="1">
      <c r="H5" s="515">
        <v>42971</v>
      </c>
      <c r="I5" s="514"/>
      <c r="J5" s="514"/>
      <c r="K5" s="514"/>
    </row>
    <row r="6" spans="1:11" s="1" customFormat="1" ht="18" customHeight="1">
      <c r="A6" s="3" t="s">
        <v>2</v>
      </c>
      <c r="H6" s="4"/>
      <c r="K6" s="11"/>
    </row>
    <row r="7" spans="1:11" s="1" customFormat="1" ht="18" customHeight="1">
      <c r="A7" s="4"/>
      <c r="H7" s="514" t="s">
        <v>283</v>
      </c>
      <c r="I7" s="514"/>
      <c r="J7" s="514"/>
      <c r="K7" s="514"/>
    </row>
    <row r="8" spans="1:11" s="1" customFormat="1" ht="18" customHeight="1">
      <c r="A8" s="4"/>
      <c r="H8" s="514" t="s">
        <v>284</v>
      </c>
      <c r="I8" s="514"/>
      <c r="J8" s="514"/>
      <c r="K8" s="514"/>
    </row>
    <row r="9" spans="1:11" s="1" customFormat="1" ht="42" customHeight="1">
      <c r="A9" s="4"/>
      <c r="H9" s="2"/>
      <c r="K9" s="46"/>
    </row>
    <row r="10" spans="1:11" ht="24" customHeight="1">
      <c r="A10" s="516" t="s">
        <v>258</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6">
        <f>'1-1'!D14:F14</f>
        <v>1190000</v>
      </c>
      <c r="E14" s="587"/>
      <c r="F14" s="588"/>
      <c r="G14" s="589"/>
      <c r="H14" s="590"/>
      <c r="I14" s="590"/>
      <c r="J14" s="590"/>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30" t="s">
        <v>105</v>
      </c>
      <c r="B16" s="223">
        <f>'随時②-1'!B20</f>
        <v>60000</v>
      </c>
      <c r="C16" s="224">
        <f>'随時②-1'!C20</f>
        <v>182000</v>
      </c>
      <c r="D16" s="224">
        <f>'随時②-1'!D20</f>
        <v>20000</v>
      </c>
      <c r="E16" s="224">
        <f>'随時②-1'!E20</f>
        <v>0</v>
      </c>
      <c r="F16" s="224">
        <f>'随時②-1'!F20</f>
        <v>55000</v>
      </c>
      <c r="G16" s="224">
        <f>'随時②-1'!G20</f>
        <v>601000</v>
      </c>
      <c r="H16" s="224">
        <f>'随時②-1'!H20</f>
        <v>0</v>
      </c>
      <c r="I16" s="224">
        <f>'随時②-1'!I20</f>
        <v>130000</v>
      </c>
      <c r="J16" s="225">
        <f>'随時②-1'!J20</f>
        <v>79190</v>
      </c>
      <c r="K16" s="434">
        <f aca="true" t="shared" si="0" ref="K16:K26">SUM(B16:J16)</f>
        <v>1127190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60000</v>
      </c>
      <c r="C18" s="224">
        <f>C16-C17</f>
        <v>182000</v>
      </c>
      <c r="D18" s="224">
        <f aca="true" t="shared" si="1" ref="D18:J18">D16-D17</f>
        <v>20000</v>
      </c>
      <c r="E18" s="224">
        <f t="shared" si="1"/>
        <v>0</v>
      </c>
      <c r="F18" s="224">
        <f t="shared" si="1"/>
        <v>55000</v>
      </c>
      <c r="G18" s="224">
        <f t="shared" si="1"/>
        <v>601000</v>
      </c>
      <c r="H18" s="224">
        <f t="shared" si="1"/>
        <v>0</v>
      </c>
      <c r="I18" s="224">
        <f t="shared" si="1"/>
        <v>130000</v>
      </c>
      <c r="J18" s="224">
        <f t="shared" si="1"/>
        <v>68190</v>
      </c>
      <c r="K18" s="434">
        <f t="shared" si="0"/>
        <v>1116190</v>
      </c>
    </row>
    <row r="19" spans="1:11" ht="39" customHeight="1" thickBot="1">
      <c r="A19" s="32" t="s">
        <v>173</v>
      </c>
      <c r="B19" s="442">
        <f>'2-2'!K142</f>
        <v>40000</v>
      </c>
      <c r="C19" s="443">
        <f>'2-2'!K143</f>
        <v>58180</v>
      </c>
      <c r="D19" s="443">
        <f>'2-2'!K144</f>
        <v>16500</v>
      </c>
      <c r="E19" s="443">
        <f>'2-2'!K145</f>
        <v>0</v>
      </c>
      <c r="F19" s="443">
        <f>'2-2'!K146</f>
        <v>42476</v>
      </c>
      <c r="G19" s="443">
        <f>'2-2'!K147</f>
        <v>591222</v>
      </c>
      <c r="H19" s="443">
        <f>'2-2'!K148</f>
        <v>0</v>
      </c>
      <c r="I19" s="443">
        <f>'2-2'!K149</f>
        <v>0</v>
      </c>
      <c r="J19" s="447">
        <f>'2-2'!K150</f>
        <v>74330</v>
      </c>
      <c r="K19" s="444">
        <f t="shared" si="0"/>
        <v>822708</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40000</v>
      </c>
      <c r="C21" s="321">
        <f>C19-C20</f>
        <v>58180</v>
      </c>
      <c r="D21" s="321">
        <f aca="true" t="shared" si="2" ref="D21:J21">D19-D20</f>
        <v>16500</v>
      </c>
      <c r="E21" s="321">
        <f t="shared" si="2"/>
        <v>0</v>
      </c>
      <c r="F21" s="321">
        <f t="shared" si="2"/>
        <v>42476</v>
      </c>
      <c r="G21" s="321">
        <f t="shared" si="2"/>
        <v>591222</v>
      </c>
      <c r="H21" s="321">
        <f t="shared" si="2"/>
        <v>0</v>
      </c>
      <c r="I21" s="321">
        <f t="shared" si="2"/>
        <v>0</v>
      </c>
      <c r="J21" s="321">
        <f t="shared" si="2"/>
        <v>63330</v>
      </c>
      <c r="K21" s="437">
        <f t="shared" si="0"/>
        <v>811708</v>
      </c>
    </row>
    <row r="22" spans="1:11" ht="39" customHeight="1" thickBot="1">
      <c r="A22" s="32" t="s">
        <v>117</v>
      </c>
      <c r="B22" s="442">
        <f>B18-B21</f>
        <v>20000</v>
      </c>
      <c r="C22" s="442">
        <f aca="true" t="shared" si="3" ref="C22:J22">C18-C21</f>
        <v>123820</v>
      </c>
      <c r="D22" s="442">
        <f t="shared" si="3"/>
        <v>3500</v>
      </c>
      <c r="E22" s="442">
        <f t="shared" si="3"/>
        <v>0</v>
      </c>
      <c r="F22" s="442">
        <f t="shared" si="3"/>
        <v>12524</v>
      </c>
      <c r="G22" s="442">
        <f t="shared" si="3"/>
        <v>9778</v>
      </c>
      <c r="H22" s="442">
        <f t="shared" si="3"/>
        <v>0</v>
      </c>
      <c r="I22" s="442">
        <f t="shared" si="3"/>
        <v>130000</v>
      </c>
      <c r="J22" s="442">
        <f t="shared" si="3"/>
        <v>4860</v>
      </c>
      <c r="K22" s="444">
        <f t="shared" si="0"/>
        <v>304482</v>
      </c>
    </row>
    <row r="23" spans="1:11" ht="39" customHeight="1">
      <c r="A23" s="30" t="s">
        <v>166</v>
      </c>
      <c r="B23" s="224">
        <f>'2-4'!G107</f>
        <v>0</v>
      </c>
      <c r="C23" s="224">
        <f>'2-4'!G108</f>
        <v>94200</v>
      </c>
      <c r="D23" s="224">
        <f>'2-4'!G109</f>
        <v>0</v>
      </c>
      <c r="E23" s="224">
        <f>'2-4'!G110</f>
        <v>0</v>
      </c>
      <c r="F23" s="224">
        <f>'2-4'!G111</f>
        <v>42394</v>
      </c>
      <c r="G23" s="224">
        <f>'2-4'!G112</f>
        <v>0</v>
      </c>
      <c r="H23" s="224">
        <f>'2-4'!G113</f>
        <v>0</v>
      </c>
      <c r="I23" s="224">
        <f>'2-4'!G114</f>
        <v>0</v>
      </c>
      <c r="J23" s="224">
        <f>'2-4'!G115</f>
        <v>0</v>
      </c>
      <c r="K23" s="434">
        <f t="shared" si="0"/>
        <v>136594</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-20000</v>
      </c>
      <c r="C25" s="435">
        <f aca="true" t="shared" si="4" ref="C25:J25">C23-C24-C22</f>
        <v>-29620</v>
      </c>
      <c r="D25" s="435">
        <f t="shared" si="4"/>
        <v>-3500</v>
      </c>
      <c r="E25" s="435">
        <f t="shared" si="4"/>
        <v>0</v>
      </c>
      <c r="F25" s="435">
        <f t="shared" si="4"/>
        <v>29870</v>
      </c>
      <c r="G25" s="435">
        <f t="shared" si="4"/>
        <v>-9778</v>
      </c>
      <c r="H25" s="435">
        <f t="shared" si="4"/>
        <v>0</v>
      </c>
      <c r="I25" s="435">
        <f t="shared" si="4"/>
        <v>-130000</v>
      </c>
      <c r="J25" s="435">
        <f t="shared" si="4"/>
        <v>-4860</v>
      </c>
      <c r="K25" s="437">
        <f t="shared" si="0"/>
        <v>-167888</v>
      </c>
    </row>
    <row r="26" spans="1:11" ht="39" customHeight="1" thickBot="1">
      <c r="A26" s="22" t="s">
        <v>118</v>
      </c>
      <c r="B26" s="219">
        <f>B19+B23</f>
        <v>40000</v>
      </c>
      <c r="C26" s="219">
        <f aca="true" t="shared" si="5" ref="C26:J26">C19+C23</f>
        <v>152380</v>
      </c>
      <c r="D26" s="219">
        <f t="shared" si="5"/>
        <v>16500</v>
      </c>
      <c r="E26" s="219">
        <f t="shared" si="5"/>
        <v>0</v>
      </c>
      <c r="F26" s="219">
        <f t="shared" si="5"/>
        <v>84870</v>
      </c>
      <c r="G26" s="219">
        <f t="shared" si="5"/>
        <v>591222</v>
      </c>
      <c r="H26" s="219">
        <f t="shared" si="5"/>
        <v>0</v>
      </c>
      <c r="I26" s="219">
        <f t="shared" si="5"/>
        <v>0</v>
      </c>
      <c r="J26" s="219">
        <f t="shared" si="5"/>
        <v>74330</v>
      </c>
      <c r="K26" s="222">
        <f t="shared" si="0"/>
        <v>959302</v>
      </c>
    </row>
    <row r="27" spans="1:11" ht="39" customHeight="1" thickBot="1">
      <c r="A27" s="32" t="s">
        <v>104</v>
      </c>
      <c r="B27" s="566" t="s">
        <v>319</v>
      </c>
      <c r="C27" s="566"/>
      <c r="D27" s="566"/>
      <c r="E27" s="566"/>
      <c r="F27" s="566"/>
      <c r="G27" s="566"/>
      <c r="H27" s="566"/>
      <c r="I27" s="566"/>
      <c r="J27" s="566"/>
      <c r="K27" s="56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03" activePane="bottomRight" state="frozen"/>
      <selection pane="topLeft" activeCell="E23" sqref="E23"/>
      <selection pane="topRight" activeCell="E23" sqref="E23"/>
      <selection pane="bottomLeft" activeCell="E23" sqref="E23"/>
      <selection pane="bottomRight" activeCell="L9" sqref="L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8" t="s">
        <v>142</v>
      </c>
      <c r="G2" s="599"/>
      <c r="H2" s="599"/>
      <c r="I2" s="599"/>
      <c r="J2" s="599"/>
      <c r="K2" s="537" t="s">
        <v>115</v>
      </c>
      <c r="L2" s="535"/>
      <c r="M2" s="535"/>
      <c r="N2" s="535"/>
      <c r="O2" s="536"/>
      <c r="P2" s="13"/>
    </row>
    <row r="3" spans="1:21" ht="24" customHeight="1">
      <c r="A3" s="423" t="s">
        <v>140</v>
      </c>
      <c r="B3" s="299" t="s">
        <v>141</v>
      </c>
      <c r="C3" s="59" t="s">
        <v>143</v>
      </c>
      <c r="D3" s="96" t="s">
        <v>145</v>
      </c>
      <c r="E3" s="96" t="s">
        <v>0</v>
      </c>
      <c r="F3" s="96" t="s">
        <v>196</v>
      </c>
      <c r="G3" s="96" t="s">
        <v>91</v>
      </c>
      <c r="H3" s="475" t="s">
        <v>245</v>
      </c>
      <c r="I3" s="96" t="s">
        <v>92</v>
      </c>
      <c r="J3" s="96" t="s">
        <v>93</v>
      </c>
      <c r="K3" s="384" t="s">
        <v>198</v>
      </c>
      <c r="L3" s="385" t="s">
        <v>91</v>
      </c>
      <c r="M3" s="476" t="s">
        <v>245</v>
      </c>
      <c r="N3" s="385" t="s">
        <v>92</v>
      </c>
      <c r="O3" s="386" t="s">
        <v>93</v>
      </c>
      <c r="P3" s="227" t="s">
        <v>111</v>
      </c>
      <c r="Q3" s="295" t="s">
        <v>107</v>
      </c>
      <c r="R3" s="62" t="s">
        <v>147</v>
      </c>
      <c r="S3" s="61" t="s">
        <v>148</v>
      </c>
      <c r="T3" s="61" t="s">
        <v>149</v>
      </c>
      <c r="U3" s="61" t="s">
        <v>150</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79190</v>
      </c>
      <c r="H4" s="304">
        <f>IF($R4=1,,VLOOKUP($D4,'1-2'!$D$4:$L$103,5))</f>
        <v>1</v>
      </c>
      <c r="I4" s="304">
        <f>IF($R4=1,,VLOOKUP($D4,'1-2'!$D$4:$L$103,6))</f>
        <v>1</v>
      </c>
      <c r="J4" s="305">
        <f>IF($R4=1,,VLOOKUP($D4,'1-2'!$D$4:$L$103,7))</f>
        <v>79190</v>
      </c>
      <c r="K4" s="306" t="str">
        <f aca="true" t="shared" si="0" ref="K4:N5">F4</f>
        <v>各種団体負担金（会費）</v>
      </c>
      <c r="L4" s="307">
        <v>74330</v>
      </c>
      <c r="M4" s="308">
        <f t="shared" si="0"/>
        <v>1</v>
      </c>
      <c r="N4" s="308">
        <f t="shared" si="0"/>
        <v>1</v>
      </c>
      <c r="O4" s="309">
        <f>L4*M4*N4</f>
        <v>74330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t="str">
        <f>'1-2'!A5</f>
        <v>Ⅰ</v>
      </c>
      <c r="B5" s="313" t="str">
        <f>'1-2'!B5</f>
        <v>1-(3)</v>
      </c>
      <c r="C5" s="480" t="str">
        <f>'1-2'!C5</f>
        <v>国際感覚と国際交流力の育成</v>
      </c>
      <c r="D5" s="254">
        <v>2</v>
      </c>
      <c r="E5" s="314" t="str">
        <f>IF($R5=1,"",VLOOKUP($D5,'1-2'!$D$4:$L$103,2))</f>
        <v>委託料</v>
      </c>
      <c r="F5" s="315" t="str">
        <f>IF($R5=1,"取消し",VLOOKUP($D5,'1-2'!$D$4:$L$103,3))</f>
        <v>英語検定講師派遣委託</v>
      </c>
      <c r="G5" s="224">
        <f>IF($R5=1,,VLOOKUP($D5,'1-2'!$D$4:$L$103,4))</f>
        <v>140000</v>
      </c>
      <c r="H5" s="316">
        <f>IF($R5=1,,VLOOKUP($D5,'1-2'!$D$4:$L$103,5))</f>
        <v>4</v>
      </c>
      <c r="I5" s="316">
        <f>IF($R5=1,,VLOOKUP($D5,'1-2'!$D$4:$L$103,6))</f>
        <v>1</v>
      </c>
      <c r="J5" s="317">
        <f>IF($R5=1,,VLOOKUP($D5,'1-2'!$D$4:$L$103,7))</f>
        <v>560000</v>
      </c>
      <c r="K5" s="318" t="str">
        <f t="shared" si="0"/>
        <v>英語検定講師派遣委託</v>
      </c>
      <c r="L5" s="319">
        <v>137640</v>
      </c>
      <c r="M5" s="320">
        <f t="shared" si="0"/>
        <v>4</v>
      </c>
      <c r="N5" s="320">
        <f t="shared" si="0"/>
        <v>1</v>
      </c>
      <c r="O5" s="309">
        <f aca="true" t="shared" si="2" ref="O5:O68">L5*M5*N5</f>
        <v>550560</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151</v>
      </c>
      <c r="W5" s="5">
        <v>6</v>
      </c>
    </row>
    <row r="6" spans="1:23" ht="13.5" customHeight="1">
      <c r="A6" s="312" t="str">
        <f>'1-2'!A6</f>
        <v>Ⅱ</v>
      </c>
      <c r="B6" s="313" t="str">
        <f>'1-2'!B6</f>
        <v>2-(1)</v>
      </c>
      <c r="C6" s="480" t="str">
        <f>'1-2'!C6</f>
        <v>総合学科の特性を活かしたカリキュラムの編成</v>
      </c>
      <c r="D6" s="254">
        <v>3</v>
      </c>
      <c r="E6" s="314" t="str">
        <f>IF($R6=1,"",VLOOKUP($D6,'1-2'!$D$4:$L$103,2))</f>
        <v>旅費</v>
      </c>
      <c r="F6" s="315" t="str">
        <f>IF($R6=1,"取消し",VLOOKUP($D6,'1-2'!$D$4:$L$103,3))</f>
        <v>他府県総合学科高校訪問</v>
      </c>
      <c r="G6" s="224">
        <f>IF($R6=1,,VLOOKUP($D6,'1-2'!$D$4:$L$103,4))</f>
        <v>40000</v>
      </c>
      <c r="H6" s="316">
        <f>IF($R6=1,,VLOOKUP($D6,'1-2'!$D$4:$L$103,5))</f>
        <v>3</v>
      </c>
      <c r="I6" s="316">
        <f>IF($R6=1,,VLOOKUP($D6,'1-2'!$D$4:$L$103,6))</f>
        <v>1</v>
      </c>
      <c r="J6" s="317">
        <f>IF($R6=1,,VLOOKUP($D6,'1-2'!$D$4:$L$103,7))</f>
        <v>120000</v>
      </c>
      <c r="K6" s="318" t="str">
        <f aca="true" t="shared" si="5" ref="K6:K69">F6</f>
        <v>他府県総合学科高校訪問</v>
      </c>
      <c r="L6" s="319">
        <v>45000</v>
      </c>
      <c r="M6" s="320">
        <v>3</v>
      </c>
      <c r="N6" s="320">
        <v>0</v>
      </c>
      <c r="O6" s="309">
        <f t="shared" si="2"/>
        <v>0</v>
      </c>
      <c r="P6" s="310">
        <f>IF($R6=1,"",VLOOKUP($D6,'1-2'!$D$4:$L$103,8))</f>
        <v>0</v>
      </c>
      <c r="Q6" s="311">
        <f>IF($R6=1,"",VLOOKUP($D6,'1-2'!$D$4:$L$103,9))</f>
        <v>0</v>
      </c>
      <c r="R6" s="25">
        <f>IF(ISNA(MATCH($D6,'随時②-2'!$D$4:$D$18,0)),0,1)</f>
        <v>0</v>
      </c>
      <c r="S6" s="63">
        <f t="shared" si="1"/>
      </c>
      <c r="T6" s="63">
        <f t="shared" si="3"/>
      </c>
      <c r="U6" s="5">
        <f t="shared" si="4"/>
        <v>2</v>
      </c>
      <c r="V6" s="5" t="s">
        <v>152</v>
      </c>
      <c r="W6" s="5">
        <v>4</v>
      </c>
    </row>
    <row r="7" spans="1:23" ht="13.5" customHeight="1">
      <c r="A7" s="312" t="str">
        <f>'1-2'!A7</f>
        <v>Ⅲ</v>
      </c>
      <c r="B7" s="313" t="str">
        <f>'1-2'!B7</f>
        <v>2-(2)</v>
      </c>
      <c r="C7" s="480" t="str">
        <f>'1-2'!C7</f>
        <v>授業の充実</v>
      </c>
      <c r="D7" s="254">
        <v>4</v>
      </c>
      <c r="E7" s="314" t="str">
        <f>IF($R7=1,"",VLOOKUP($D7,'1-2'!$D$4:$L$103,2))</f>
        <v>委託料</v>
      </c>
      <c r="F7" s="315" t="str">
        <f>IF($R7=1,"取消し",VLOOKUP($D7,'1-2'!$D$4:$L$103,3))</f>
        <v>授業アンケート</v>
      </c>
      <c r="G7" s="224">
        <f>IF($R7=1,,VLOOKUP($D7,'1-2'!$D$4:$L$103,4))</f>
        <v>41000</v>
      </c>
      <c r="H7" s="316">
        <f>IF($R7=1,,VLOOKUP($D7,'1-2'!$D$4:$L$103,5))</f>
        <v>1</v>
      </c>
      <c r="I7" s="316">
        <f>IF($R7=1,,VLOOKUP($D7,'1-2'!$D$4:$L$103,6))</f>
        <v>1</v>
      </c>
      <c r="J7" s="317">
        <f>IF($R7=1,,VLOOKUP($D7,'1-2'!$D$4:$L$103,7))</f>
        <v>41000</v>
      </c>
      <c r="K7" s="318" t="str">
        <f t="shared" si="5"/>
        <v>授業アンケート</v>
      </c>
      <c r="L7" s="319">
        <v>40662</v>
      </c>
      <c r="M7" s="320">
        <f aca="true" t="shared" si="6" ref="L7:N10">H7</f>
        <v>1</v>
      </c>
      <c r="N7" s="320">
        <f t="shared" si="6"/>
        <v>1</v>
      </c>
      <c r="O7" s="309">
        <f t="shared" si="2"/>
        <v>40662</v>
      </c>
      <c r="P7" s="310">
        <f>IF($R7=1,"",VLOOKUP($D7,'1-2'!$D$4:$L$103,8))</f>
        <v>0</v>
      </c>
      <c r="Q7" s="311">
        <f>IF($R7=1,"",VLOOKUP($D7,'1-2'!$D$4:$L$103,9))</f>
        <v>0</v>
      </c>
      <c r="R7" s="25">
        <f>IF(ISNA(MATCH($D7,'随時②-2'!$D$4:$D$18,0)),0,1)</f>
        <v>0</v>
      </c>
      <c r="S7" s="63">
        <f t="shared" si="1"/>
      </c>
      <c r="T7" s="63">
        <f t="shared" si="3"/>
      </c>
      <c r="U7" s="5">
        <f t="shared" si="4"/>
        <v>6</v>
      </c>
      <c r="V7" s="5" t="s">
        <v>153</v>
      </c>
      <c r="W7" s="5">
        <v>7</v>
      </c>
    </row>
    <row r="8" spans="1:23" ht="13.5" customHeight="1">
      <c r="A8" s="312">
        <f>'1-2'!A8</f>
        <v>0</v>
      </c>
      <c r="B8" s="313" t="str">
        <f>'1-2'!B8</f>
        <v>2-(2)</v>
      </c>
      <c r="C8" s="480" t="str">
        <f>'1-2'!C8</f>
        <v>授業の充実</v>
      </c>
      <c r="D8" s="263">
        <v>5</v>
      </c>
      <c r="E8" s="314" t="str">
        <f>IF($R8=1,"",VLOOKUP($D8,'1-2'!$D$4:$L$103,2))</f>
        <v>備品購入費</v>
      </c>
      <c r="F8" s="315" t="str">
        <f>IF($R8=1,"取消し",VLOOKUP($D8,'1-2'!$D$4:$L$103,3))</f>
        <v>プロジェクター用スクリーン購入</v>
      </c>
      <c r="G8" s="224">
        <f>IF($R8=1,,VLOOKUP($D8,'1-2'!$D$4:$L$103,4))</f>
        <v>130000</v>
      </c>
      <c r="H8" s="316">
        <f>IF($R8=1,,VLOOKUP($D8,'1-2'!$D$4:$L$103,5))</f>
        <v>1</v>
      </c>
      <c r="I8" s="316">
        <f>IF($R8=1,,VLOOKUP($D8,'1-2'!$D$4:$L$103,6))</f>
        <v>1</v>
      </c>
      <c r="J8" s="317">
        <f>IF($R8=1,,VLOOKUP($D8,'1-2'!$D$4:$L$103,7))</f>
        <v>130000</v>
      </c>
      <c r="K8" s="318" t="str">
        <f t="shared" si="5"/>
        <v>プロジェクター用スクリーン購入</v>
      </c>
      <c r="L8" s="319">
        <f t="shared" si="6"/>
        <v>130000</v>
      </c>
      <c r="M8" s="320">
        <v>1</v>
      </c>
      <c r="N8" s="320">
        <v>0</v>
      </c>
      <c r="O8" s="309">
        <f t="shared" si="2"/>
        <v>0</v>
      </c>
      <c r="P8" s="310">
        <f>IF($R8=1,"",VLOOKUP($D8,'1-2'!$D$4:$L$103,8))</f>
        <v>0</v>
      </c>
      <c r="Q8" s="311">
        <f>IF($R8=1,"",VLOOKUP($D8,'1-2'!$D$4:$L$103,9))</f>
        <v>0</v>
      </c>
      <c r="R8" s="25">
        <f>IF(ISNA(MATCH($D8,'随時②-2'!$D$4:$D$18,0)),0,1)</f>
        <v>0</v>
      </c>
      <c r="S8" s="63">
        <f t="shared" si="1"/>
      </c>
      <c r="T8" s="63">
        <f t="shared" si="3"/>
      </c>
      <c r="U8" s="5">
        <f t="shared" si="4"/>
        <v>8</v>
      </c>
      <c r="V8" s="5" t="s">
        <v>154</v>
      </c>
      <c r="W8" s="5">
        <v>3</v>
      </c>
    </row>
    <row r="9" spans="1:23" ht="13.5" customHeight="1">
      <c r="A9" s="312" t="str">
        <f>'1-2'!A9</f>
        <v>Ⅳ</v>
      </c>
      <c r="B9" s="313" t="str">
        <f>'1-2'!B9</f>
        <v>3-(2)</v>
      </c>
      <c r="C9" s="480" t="str">
        <f>'1-2'!C9</f>
        <v>生徒相談体制の充実</v>
      </c>
      <c r="D9" s="254">
        <v>6</v>
      </c>
      <c r="E9" s="314" t="str">
        <f>IF($R9=1,"",VLOOKUP($D9,'1-2'!$D$4:$L$103,2))</f>
        <v>報償費</v>
      </c>
      <c r="F9" s="315" t="str">
        <f>IF($R9=1,"取消し",VLOOKUP($D9,'1-2'!$D$4:$L$103,3))</f>
        <v>教職員人権研修講師謝礼</v>
      </c>
      <c r="G9" s="224">
        <f>IF($R9=1,,VLOOKUP($D9,'1-2'!$D$4:$L$103,4))</f>
        <v>30000</v>
      </c>
      <c r="H9" s="316">
        <f>IF($R9=1,,VLOOKUP($D9,'1-2'!$D$4:$L$103,5))</f>
        <v>1</v>
      </c>
      <c r="I9" s="316">
        <f>IF($R9=1,,VLOOKUP($D9,'1-2'!$D$4:$L$103,6))</f>
        <v>1</v>
      </c>
      <c r="J9" s="317">
        <f>IF($R9=1,,VLOOKUP($D9,'1-2'!$D$4:$L$103,7))</f>
        <v>30000</v>
      </c>
      <c r="K9" s="318" t="str">
        <f t="shared" si="5"/>
        <v>教職員人権研修講師謝礼</v>
      </c>
      <c r="L9" s="319">
        <f t="shared" si="6"/>
        <v>30000</v>
      </c>
      <c r="M9" s="320">
        <f t="shared" si="6"/>
        <v>1</v>
      </c>
      <c r="N9" s="320">
        <v>1</v>
      </c>
      <c r="O9" s="309">
        <f t="shared" si="2"/>
        <v>30000</v>
      </c>
      <c r="P9" s="310">
        <f>IF($R9=1,"",VLOOKUP($D9,'1-2'!$D$4:$L$103,8))</f>
        <v>0</v>
      </c>
      <c r="Q9" s="311">
        <f>IF($R9=1,"",VLOOKUP($D9,'1-2'!$D$4:$L$103,9))</f>
        <v>0</v>
      </c>
      <c r="R9" s="25">
        <f>IF(ISNA(MATCH($D9,'随時②-2'!$D$4:$D$18,0)),0,1)</f>
        <v>0</v>
      </c>
      <c r="S9" s="63">
        <f t="shared" si="1"/>
      </c>
      <c r="T9" s="63">
        <f t="shared" si="3"/>
      </c>
      <c r="U9" s="5">
        <f t="shared" si="4"/>
        <v>1</v>
      </c>
      <c r="V9" s="5" t="s">
        <v>155</v>
      </c>
      <c r="W9" s="5">
        <v>8</v>
      </c>
    </row>
    <row r="10" spans="1:23" ht="13.5" customHeight="1">
      <c r="A10" s="312">
        <f>'1-2'!A10</f>
        <v>0</v>
      </c>
      <c r="B10" s="313" t="str">
        <f>'1-2'!B10</f>
        <v>3-(2)</v>
      </c>
      <c r="C10" s="480" t="str">
        <f>'1-2'!C10</f>
        <v>生徒相談体制の充実</v>
      </c>
      <c r="D10" s="254">
        <v>7</v>
      </c>
      <c r="E10" s="314" t="str">
        <f>IF($R10=1,"",VLOOKUP($D10,'1-2'!$D$4:$L$103,2))</f>
        <v>報償費</v>
      </c>
      <c r="F10" s="315" t="str">
        <f>IF($R10=1,"取消し",VLOOKUP($D10,'1-2'!$D$4:$L$103,3))</f>
        <v>不登校生徒に関するカウンセリング等</v>
      </c>
      <c r="G10" s="224">
        <f>IF($R10=1,,VLOOKUP($D10,'1-2'!$D$4:$L$103,4))</f>
        <v>5000</v>
      </c>
      <c r="H10" s="316">
        <f>IF($R10=1,,VLOOKUP($D10,'1-2'!$D$4:$L$103,5))</f>
        <v>1</v>
      </c>
      <c r="I10" s="316">
        <f>IF($R10=1,,VLOOKUP($D10,'1-2'!$D$4:$L$103,6))</f>
        <v>4</v>
      </c>
      <c r="J10" s="317">
        <f>IF($R10=1,,VLOOKUP($D10,'1-2'!$D$4:$L$103,7))</f>
        <v>20000</v>
      </c>
      <c r="K10" s="318" t="str">
        <f t="shared" si="5"/>
        <v>不登校生徒に関するカウンセリング等</v>
      </c>
      <c r="L10" s="319">
        <f t="shared" si="6"/>
        <v>5000</v>
      </c>
      <c r="M10" s="320">
        <f t="shared" si="6"/>
        <v>1</v>
      </c>
      <c r="N10" s="320">
        <v>0</v>
      </c>
      <c r="O10" s="309">
        <f t="shared" si="2"/>
        <v>0</v>
      </c>
      <c r="P10" s="310">
        <f>IF($R10=1,"",VLOOKUP($D10,'1-2'!$D$4:$L$103,8))</f>
        <v>0</v>
      </c>
      <c r="Q10" s="311">
        <f>IF($R10=1,"",VLOOKUP($D10,'1-2'!$D$4:$L$103,9))</f>
        <v>0</v>
      </c>
      <c r="R10" s="25">
        <f>IF(ISNA(MATCH($D10,'随時②-2'!$D$4:$D$18,0)),0,1)</f>
        <v>0</v>
      </c>
      <c r="S10" s="63">
        <f t="shared" si="1"/>
      </c>
      <c r="T10" s="63">
        <f t="shared" si="3"/>
      </c>
      <c r="U10" s="5">
        <f t="shared" si="4"/>
        <v>1</v>
      </c>
      <c r="V10" s="5" t="s">
        <v>159</v>
      </c>
      <c r="W10" s="5">
        <v>9</v>
      </c>
    </row>
    <row r="11" spans="1:23" ht="13.5" customHeight="1">
      <c r="A11" s="312">
        <f>'1-2'!A11</f>
        <v>0</v>
      </c>
      <c r="B11" s="313" t="str">
        <f>'1-2'!B11</f>
        <v>3-(2)</v>
      </c>
      <c r="C11" s="480" t="str">
        <f>'1-2'!C11</f>
        <v>生徒相談体制の充実</v>
      </c>
      <c r="D11" s="263">
        <v>8</v>
      </c>
      <c r="E11" s="314" t="str">
        <f>IF($R11=1,"",VLOOKUP($D11,'1-2'!$D$4:$L$103,2))</f>
        <v>消耗需用費</v>
      </c>
      <c r="F11" s="315" t="str">
        <f>IF($R11=1,"取消し",VLOOKUP($D11,'1-2'!$D$4:$L$103,3))</f>
        <v>府立人権夏季セミナー資料</v>
      </c>
      <c r="G11" s="224">
        <f>IF($R11=1,,VLOOKUP($D11,'1-2'!$D$4:$L$103,4))</f>
        <v>2000</v>
      </c>
      <c r="H11" s="316">
        <f>IF($R11=1,,VLOOKUP($D11,'1-2'!$D$4:$L$103,5))</f>
        <v>5</v>
      </c>
      <c r="I11" s="316">
        <f>IF($R11=1,,VLOOKUP($D11,'1-2'!$D$4:$L$103,6))</f>
        <v>1</v>
      </c>
      <c r="J11" s="317">
        <f>IF($R11=1,,VLOOKUP($D11,'1-2'!$D$4:$L$103,7))</f>
        <v>10000</v>
      </c>
      <c r="K11" s="318" t="str">
        <f t="shared" si="5"/>
        <v>府立人権夏季セミナー資料</v>
      </c>
      <c r="L11" s="319">
        <f aca="true" t="shared" si="7" ref="L11:L74">G11</f>
        <v>2000</v>
      </c>
      <c r="M11" s="320">
        <v>3</v>
      </c>
      <c r="N11" s="320">
        <f aca="true" t="shared" si="8" ref="N11:N74">I11</f>
        <v>1</v>
      </c>
      <c r="O11" s="309">
        <f t="shared" si="2"/>
        <v>6000</v>
      </c>
      <c r="P11" s="310">
        <f>IF($R11=1,"",VLOOKUP($D11,'1-2'!$D$4:$L$103,8))</f>
        <v>0</v>
      </c>
      <c r="Q11" s="311">
        <f>IF($R11=1,"",VLOOKUP($D11,'1-2'!$D$4:$L$103,9))</f>
        <v>0</v>
      </c>
      <c r="R11" s="25">
        <f>IF(ISNA(MATCH($D11,'随時②-2'!$D$4:$D$18,0)),0,1)</f>
        <v>0</v>
      </c>
      <c r="S11" s="63">
        <f t="shared" si="1"/>
      </c>
      <c r="T11" s="63">
        <f t="shared" si="3"/>
      </c>
      <c r="U11" s="5">
        <f t="shared" si="4"/>
        <v>7</v>
      </c>
      <c r="V11" s="5" t="s">
        <v>156</v>
      </c>
      <c r="W11" s="5">
        <v>1</v>
      </c>
    </row>
    <row r="12" spans="1:23" ht="13.5" customHeight="1">
      <c r="A12" s="312" t="str">
        <f>'1-2'!A12</f>
        <v>Ⅴ</v>
      </c>
      <c r="B12" s="313" t="str">
        <f>'1-2'!B12</f>
        <v>4-(1)</v>
      </c>
      <c r="C12" s="480" t="str">
        <f>'1-2'!C12</f>
        <v>学校情報発信</v>
      </c>
      <c r="D12" s="263">
        <v>9</v>
      </c>
      <c r="E12" s="314" t="str">
        <f>IF($R12=1,"",VLOOKUP($D12,'1-2'!$D$4:$L$103,2))</f>
        <v>旅費</v>
      </c>
      <c r="F12" s="315" t="str">
        <f>IF($R12=1,"取消し",VLOOKUP($D12,'1-2'!$D$4:$L$103,3))</f>
        <v>全国校長協会・総合学科校長会</v>
      </c>
      <c r="G12" s="224">
        <f>IF($R12=1,,VLOOKUP($D12,'1-2'!$D$4:$L$103,4))</f>
        <v>50000</v>
      </c>
      <c r="H12" s="316">
        <f>IF($R12=1,,VLOOKUP($D12,'1-2'!$D$4:$L$103,5))</f>
        <v>1</v>
      </c>
      <c r="I12" s="316">
        <f>IF($R12=1,,VLOOKUP($D12,'1-2'!$D$4:$L$103,6))</f>
        <v>1</v>
      </c>
      <c r="J12" s="317">
        <f>IF($R12=1,,VLOOKUP($D12,'1-2'!$D$4:$L$103,7))</f>
        <v>50000</v>
      </c>
      <c r="K12" s="318" t="str">
        <f t="shared" si="5"/>
        <v>全国校長協会・総合学科校長会</v>
      </c>
      <c r="L12" s="319">
        <f t="shared" si="7"/>
        <v>50000</v>
      </c>
      <c r="M12" s="320">
        <f aca="true" t="shared" si="9" ref="M12:M74">H12</f>
        <v>1</v>
      </c>
      <c r="N12" s="320">
        <f t="shared" si="8"/>
        <v>1</v>
      </c>
      <c r="O12" s="309">
        <f t="shared" si="2"/>
        <v>50000</v>
      </c>
      <c r="P12" s="310">
        <f>IF($R12=1,"",VLOOKUP($D12,'1-2'!$D$4:$L$103,8))</f>
        <v>0</v>
      </c>
      <c r="Q12" s="311">
        <f>IF($R12=1,"",VLOOKUP($D12,'1-2'!$D$4:$L$103,9))</f>
        <v>0</v>
      </c>
      <c r="R12" s="25">
        <f>IF(ISNA(MATCH($D12,'随時②-2'!$D$4:$D$18,0)),0,1)</f>
        <v>0</v>
      </c>
      <c r="S12" s="63">
        <f t="shared" si="1"/>
      </c>
      <c r="T12" s="63">
        <f t="shared" si="3"/>
      </c>
      <c r="U12" s="5">
        <f t="shared" si="4"/>
        <v>2</v>
      </c>
      <c r="V12" s="5" t="s">
        <v>157</v>
      </c>
      <c r="W12" s="5">
        <v>5</v>
      </c>
    </row>
    <row r="13" spans="1:23" ht="13.5" customHeight="1">
      <c r="A13" s="312">
        <f>'1-2'!A13</f>
        <v>0</v>
      </c>
      <c r="B13" s="313" t="str">
        <f>'1-2'!B13</f>
        <v>4-(1)</v>
      </c>
      <c r="C13" s="480" t="str">
        <f>'1-2'!C13</f>
        <v>学校情報発信</v>
      </c>
      <c r="D13" s="273">
        <v>10</v>
      </c>
      <c r="E13" s="314" t="str">
        <f>IF($R13=1,"",VLOOKUP($D13,'1-2'!$D$4:$L$103,2))</f>
        <v>消耗需用費</v>
      </c>
      <c r="F13" s="315" t="str">
        <f>IF($R13=1,"取消し",VLOOKUP($D13,'1-2'!$D$4:$L$103,3))</f>
        <v>校長協会会議資料代</v>
      </c>
      <c r="G13" s="224">
        <f>IF($R13=1,,VLOOKUP($D13,'1-2'!$D$4:$L$103,4))</f>
        <v>10000</v>
      </c>
      <c r="H13" s="316">
        <f>IF($R13=1,,VLOOKUP($D13,'1-2'!$D$4:$L$103,5))</f>
        <v>1</v>
      </c>
      <c r="I13" s="316">
        <f>IF($R13=1,,VLOOKUP($D13,'1-2'!$D$4:$L$103,6))</f>
        <v>1</v>
      </c>
      <c r="J13" s="317">
        <f>IF($R13=1,,VLOOKUP($D13,'1-2'!$D$4:$L$103,7))</f>
        <v>10000</v>
      </c>
      <c r="K13" s="318" t="str">
        <f t="shared" si="5"/>
        <v>校長協会会議資料代</v>
      </c>
      <c r="L13" s="319">
        <v>10500</v>
      </c>
      <c r="M13" s="320">
        <f t="shared" si="9"/>
        <v>1</v>
      </c>
      <c r="N13" s="320">
        <f t="shared" si="8"/>
        <v>1</v>
      </c>
      <c r="O13" s="309">
        <f t="shared" si="2"/>
        <v>10500</v>
      </c>
      <c r="P13" s="310">
        <f>IF($R13=1,"",VLOOKUP($D13,'1-2'!$D$4:$L$103,8))</f>
        <v>0</v>
      </c>
      <c r="Q13" s="311">
        <f>IF($R13=1,"",VLOOKUP($D13,'1-2'!$D$4:$L$103,9))</f>
        <v>0</v>
      </c>
      <c r="R13" s="25">
        <f>IF(ISNA(MATCH($D13,'随時②-2'!$D$4:$D$18,0)),0,1)</f>
        <v>0</v>
      </c>
      <c r="S13" s="63">
        <f t="shared" si="1"/>
      </c>
      <c r="T13" s="63">
        <f t="shared" si="3"/>
      </c>
      <c r="U13" s="5">
        <f t="shared" si="4"/>
        <v>7</v>
      </c>
      <c r="V13" s="5" t="s">
        <v>158</v>
      </c>
      <c r="W13" s="5">
        <v>2</v>
      </c>
    </row>
    <row r="14" spans="1:21" ht="13.5" customHeight="1">
      <c r="A14" s="312">
        <f>'1-2'!A14</f>
        <v>0</v>
      </c>
      <c r="B14" s="313" t="str">
        <f>'1-2'!B14</f>
        <v>4-(1)</v>
      </c>
      <c r="C14" s="480" t="str">
        <f>'1-2'!C14</f>
        <v>学校情報発信</v>
      </c>
      <c r="D14" s="254">
        <v>11</v>
      </c>
      <c r="E14" s="314" t="str">
        <f>IF($R14=1,"",VLOOKUP($D14,'1-2'!$D$4:$L$103,2))</f>
        <v>役務費</v>
      </c>
      <c r="F14" s="315" t="str">
        <f>IF($R14=1,"取消し",VLOOKUP($D14,'1-2'!$D$4:$L$103,3))</f>
        <v>オープンスクール郵送料</v>
      </c>
      <c r="G14" s="224">
        <f>IF($R14=1,,VLOOKUP($D14,'1-2'!$D$4:$L$103,4))</f>
        <v>55000</v>
      </c>
      <c r="H14" s="316">
        <f>IF($R14=1,,VLOOKUP($D14,'1-2'!$D$4:$L$103,5))</f>
        <v>1</v>
      </c>
      <c r="I14" s="316">
        <f>IF($R14=1,,VLOOKUP($D14,'1-2'!$D$4:$L$103,6))</f>
        <v>1</v>
      </c>
      <c r="J14" s="317">
        <f>IF($R14=1,,VLOOKUP($D14,'1-2'!$D$4:$L$103,7))</f>
        <v>55000</v>
      </c>
      <c r="K14" s="318" t="str">
        <f t="shared" si="5"/>
        <v>オープンスクール郵送料</v>
      </c>
      <c r="L14" s="319">
        <v>42476</v>
      </c>
      <c r="M14" s="320">
        <f t="shared" si="9"/>
        <v>1</v>
      </c>
      <c r="N14" s="320">
        <f t="shared" si="8"/>
        <v>1</v>
      </c>
      <c r="O14" s="309">
        <f t="shared" si="2"/>
        <v>42476</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f>'1-2'!A15</f>
        <v>0</v>
      </c>
      <c r="B15" s="313">
        <f>'1-2'!B15</f>
        <v>0</v>
      </c>
      <c r="C15" s="480">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7"/>
        <v>0</v>
      </c>
      <c r="M15" s="320">
        <f t="shared" si="9"/>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80">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9"/>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9"/>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9"/>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9"/>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9"/>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9"/>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9"/>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9"/>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9"/>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9"/>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9"/>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9"/>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9"/>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9"/>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9"/>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9"/>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9"/>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9"/>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9"/>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9"/>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9"/>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9"/>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9"/>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9"/>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9"/>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9"/>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9"/>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9"/>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9"/>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9"/>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9"/>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9"/>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9"/>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9"/>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9"/>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9"/>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9"/>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9"/>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9"/>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9"/>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9"/>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9"/>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9"/>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9"/>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9"/>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9"/>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9"/>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9"/>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9"/>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9"/>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9"/>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9"/>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9"/>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9"/>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9"/>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9"/>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9"/>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9"/>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9"/>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３－（２）</v>
      </c>
      <c r="C104" s="482" t="str">
        <f>'随時①-2'!C4</f>
        <v>生徒相談体制の充実</v>
      </c>
      <c r="D104" s="263">
        <v>101</v>
      </c>
      <c r="E104" s="315" t="str">
        <f>IF($R104=1,"",VLOOKUP($D104,'随時①-2'!$D$4:$L$23,2))</f>
        <v>報償費</v>
      </c>
      <c r="F104" s="315" t="str">
        <f>IF($R104=1,"取消し",VLOOKUP($D104,'随時①-2'!$D$4:$L$23,3))</f>
        <v>不登校生徒に対するカウンセリング技術の習得</v>
      </c>
      <c r="G104" s="224">
        <f>IF($R104=1,,VLOOKUP($D104,'随時①-2'!$D$4:$L$23,4))</f>
        <v>5000</v>
      </c>
      <c r="H104" s="316">
        <f>IF($R104=1,,VLOOKUP($D104,'随時①-2'!$D$4:$L$23,5))</f>
        <v>1</v>
      </c>
      <c r="I104" s="316">
        <f>IF($R104=1,,VLOOKUP($D104,'随時①-2'!$D$4:$L$23,6))</f>
        <v>2</v>
      </c>
      <c r="J104" s="224">
        <f>IF($R104=1,,VLOOKUP($D104,'随時①-2'!$D$4:$L$23,7))</f>
        <v>10000</v>
      </c>
      <c r="K104" s="339" t="str">
        <f t="shared" si="14"/>
        <v>不登校生徒に対するカウンセリング技術の習得</v>
      </c>
      <c r="L104" s="340">
        <f t="shared" si="15"/>
        <v>5000</v>
      </c>
      <c r="M104" s="341">
        <f t="shared" si="16"/>
        <v>1</v>
      </c>
      <c r="N104" s="341">
        <f t="shared" si="17"/>
        <v>2</v>
      </c>
      <c r="O104" s="342">
        <f t="shared" si="11"/>
        <v>10000</v>
      </c>
      <c r="P104" s="343">
        <f>IF($R104=1,"",VLOOKUP($D104,'随時①-2'!$D$4:$L$23,8))</f>
        <v>0</v>
      </c>
      <c r="Q104" s="344" t="str">
        <f>IF($R104=1,"",VLOOKUP($D104,'随時①-2'!$D$4:$L$23,9))</f>
        <v>5月7日配当希望</v>
      </c>
      <c r="R104" s="25">
        <f>IF(ISNA(MATCH($D104,'随時②-2'!$D$4:$D$18,0)),0,1)</f>
        <v>0</v>
      </c>
      <c r="S104" s="63">
        <f t="shared" si="10"/>
      </c>
      <c r="T104" s="63">
        <f t="shared" si="12"/>
      </c>
      <c r="U104" s="5">
        <f t="shared" si="13"/>
        <v>1</v>
      </c>
    </row>
    <row r="105" spans="1:21" ht="13.5" customHeight="1">
      <c r="A105" s="337" t="str">
        <f>'随時①-2'!A5</f>
        <v>Ⅱ</v>
      </c>
      <c r="B105" s="338" t="str">
        <f>'随時①-2'!B5</f>
        <v>４－（１）</v>
      </c>
      <c r="C105" s="482" t="str">
        <f>'随時①-2'!C5</f>
        <v>学校情報の発信</v>
      </c>
      <c r="D105" s="254">
        <v>102</v>
      </c>
      <c r="E105" s="314" t="str">
        <f>IF($R105=1,"",VLOOKUP($D105,'随時①-2'!$D$4:$L$23,2))</f>
        <v>旅費</v>
      </c>
      <c r="F105" s="314" t="str">
        <f>IF($R105=1,"取消し",VLOOKUP($D105,'随時①-2'!$D$4:$L$23,3))</f>
        <v>全国総合学科校長会・研究協議会</v>
      </c>
      <c r="G105" s="321">
        <f>IF($R105=1,,VLOOKUP($D105,'随時①-2'!$D$4:$L$23,4))</f>
        <v>12000</v>
      </c>
      <c r="H105" s="322">
        <f>IF($R105=1,,VLOOKUP($D105,'随時①-2'!$D$4:$L$23,5))</f>
        <v>1</v>
      </c>
      <c r="I105" s="322">
        <f>IF($R105=1,,VLOOKUP($D105,'随時①-2'!$D$4:$L$23,6))</f>
        <v>1</v>
      </c>
      <c r="J105" s="321">
        <f>IF($R105=1,,VLOOKUP($D105,'随時①-2'!$D$4:$L$23,7))</f>
        <v>12000</v>
      </c>
      <c r="K105" s="318" t="str">
        <f t="shared" si="14"/>
        <v>全国総合学科校長会・研究協議会</v>
      </c>
      <c r="L105" s="319">
        <v>8180</v>
      </c>
      <c r="M105" s="320">
        <f t="shared" si="16"/>
        <v>1</v>
      </c>
      <c r="N105" s="320">
        <f t="shared" si="17"/>
        <v>1</v>
      </c>
      <c r="O105" s="309">
        <f t="shared" si="11"/>
        <v>8180</v>
      </c>
      <c r="P105" s="310">
        <f>IF($R105=1,"",VLOOKUP($D105,'随時①-2'!$D$4:$L$23,8))</f>
        <v>0</v>
      </c>
      <c r="Q105" s="311" t="str">
        <f>IF($R105=1,"",VLOOKUP($D105,'随時①-2'!$D$4:$L$23,9))</f>
        <v>　　　〃</v>
      </c>
      <c r="R105" s="25">
        <f>IF(ISNA(MATCH($D105,'随時②-2'!$D$4:$D$18,0)),0,1)</f>
        <v>0</v>
      </c>
      <c r="S105" s="63">
        <f t="shared" si="10"/>
      </c>
      <c r="T105" s="63">
        <f t="shared" si="12"/>
      </c>
      <c r="U105" s="5">
        <f t="shared" si="13"/>
        <v>2</v>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2">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4" t="s">
        <v>177</v>
      </c>
      <c r="I141" s="605"/>
      <c r="J141" s="38" t="s">
        <v>113</v>
      </c>
      <c r="K141" s="38" t="s">
        <v>174</v>
      </c>
      <c r="L141" s="530" t="s">
        <v>175</v>
      </c>
      <c r="M141" s="606"/>
      <c r="N141" s="607" t="s">
        <v>176</v>
      </c>
      <c r="O141" s="608"/>
      <c r="P141" s="595" t="s">
        <v>114</v>
      </c>
      <c r="Q141" s="596"/>
    </row>
    <row r="142" spans="6:17" ht="14.25" thickTop="1">
      <c r="F142" s="346" t="s">
        <v>85</v>
      </c>
      <c r="G142" s="347">
        <f>SUMIF($E$4:$E$138,$F142,$J$4:$J$138)</f>
        <v>60000</v>
      </c>
      <c r="H142" s="609">
        <f>SUMIF($E$4:$E$138,$F142,$S$4:$S$138)</f>
        <v>0</v>
      </c>
      <c r="I142" s="610"/>
      <c r="J142" s="348">
        <f>G142-H142</f>
        <v>60000</v>
      </c>
      <c r="K142" s="347">
        <f>SUMIF($E$4:$E$138,$F142,$O$4:$O$138)</f>
        <v>40000</v>
      </c>
      <c r="L142" s="609">
        <f>SUMIF($E$4:$E$138,$F142,$T$4:$T$138)</f>
        <v>0</v>
      </c>
      <c r="M142" s="611"/>
      <c r="N142" s="612">
        <f>K142-L142</f>
        <v>40000</v>
      </c>
      <c r="O142" s="613"/>
      <c r="P142" s="557">
        <f>J142-N142</f>
        <v>20000</v>
      </c>
      <c r="Q142" s="597"/>
    </row>
    <row r="143" spans="6:17" ht="13.5">
      <c r="F143" s="346" t="s">
        <v>86</v>
      </c>
      <c r="G143" s="349">
        <f aca="true" t="shared" si="22" ref="G143:G150">SUMIF($E$4:$E$138,$F143,$J$4:$J$138)</f>
        <v>182000</v>
      </c>
      <c r="H143" s="548">
        <f>SUMIF($E$4:$E$138,$F143,$S$4:$S$138)</f>
        <v>0</v>
      </c>
      <c r="I143" s="602"/>
      <c r="J143" s="350">
        <f>G143-H143</f>
        <v>182000</v>
      </c>
      <c r="K143" s="347">
        <f aca="true" t="shared" si="23" ref="K143:K150">SUMIF($E$4:$E$138,$F143,$O$4:$O$138)</f>
        <v>58180</v>
      </c>
      <c r="L143" s="547">
        <f aca="true" t="shared" si="24" ref="L143:L149">SUMIF($E$4:$E$138,$F143,$T$4:$T$138)</f>
        <v>0</v>
      </c>
      <c r="M143" s="550"/>
      <c r="N143" s="603">
        <f>K143-L143</f>
        <v>58180</v>
      </c>
      <c r="O143" s="602"/>
      <c r="P143" s="547">
        <f aca="true" t="shared" si="25" ref="P143:P150">J143-N143</f>
        <v>123820</v>
      </c>
      <c r="Q143" s="550"/>
    </row>
    <row r="144" spans="6:17" ht="13.5">
      <c r="F144" s="346" t="s">
        <v>124</v>
      </c>
      <c r="G144" s="347">
        <f t="shared" si="22"/>
        <v>20000</v>
      </c>
      <c r="H144" s="548">
        <f aca="true" t="shared" si="26" ref="H144:H149">SUMIF($E$4:$E$138,$F144,$S$4:$S$138)</f>
        <v>0</v>
      </c>
      <c r="I144" s="602"/>
      <c r="J144" s="350">
        <f aca="true" t="shared" si="27" ref="J144:J150">G144-H144</f>
        <v>20000</v>
      </c>
      <c r="K144" s="347">
        <f t="shared" si="23"/>
        <v>16500</v>
      </c>
      <c r="L144" s="547">
        <f t="shared" si="24"/>
        <v>0</v>
      </c>
      <c r="M144" s="550"/>
      <c r="N144" s="603">
        <f aca="true" t="shared" si="28" ref="N144:N150">K144-L144</f>
        <v>16500</v>
      </c>
      <c r="O144" s="602"/>
      <c r="P144" s="547">
        <f t="shared" si="25"/>
        <v>3500</v>
      </c>
      <c r="Q144" s="550"/>
    </row>
    <row r="145" spans="6:17" ht="13.5">
      <c r="F145" s="346" t="s">
        <v>125</v>
      </c>
      <c r="G145" s="347">
        <f t="shared" si="22"/>
        <v>0</v>
      </c>
      <c r="H145" s="548">
        <f t="shared" si="26"/>
        <v>0</v>
      </c>
      <c r="I145" s="602"/>
      <c r="J145" s="350">
        <f t="shared" si="27"/>
        <v>0</v>
      </c>
      <c r="K145" s="347">
        <f t="shared" si="23"/>
        <v>0</v>
      </c>
      <c r="L145" s="547">
        <f t="shared" si="24"/>
        <v>0</v>
      </c>
      <c r="M145" s="550"/>
      <c r="N145" s="603">
        <f t="shared" si="28"/>
        <v>0</v>
      </c>
      <c r="O145" s="602"/>
      <c r="P145" s="547">
        <f t="shared" si="25"/>
        <v>0</v>
      </c>
      <c r="Q145" s="550"/>
    </row>
    <row r="146" spans="6:17" ht="13.5">
      <c r="F146" s="346" t="s">
        <v>87</v>
      </c>
      <c r="G146" s="347">
        <f t="shared" si="22"/>
        <v>55000</v>
      </c>
      <c r="H146" s="548">
        <f t="shared" si="26"/>
        <v>0</v>
      </c>
      <c r="I146" s="602"/>
      <c r="J146" s="350">
        <f t="shared" si="27"/>
        <v>55000</v>
      </c>
      <c r="K146" s="347">
        <f t="shared" si="23"/>
        <v>42476</v>
      </c>
      <c r="L146" s="547">
        <f t="shared" si="24"/>
        <v>0</v>
      </c>
      <c r="M146" s="550"/>
      <c r="N146" s="603">
        <f t="shared" si="28"/>
        <v>42476</v>
      </c>
      <c r="O146" s="602"/>
      <c r="P146" s="547">
        <f t="shared" si="25"/>
        <v>12524</v>
      </c>
      <c r="Q146" s="550"/>
    </row>
    <row r="147" spans="6:17" ht="13.5">
      <c r="F147" s="346" t="s">
        <v>88</v>
      </c>
      <c r="G147" s="347">
        <f t="shared" si="22"/>
        <v>601000</v>
      </c>
      <c r="H147" s="548">
        <f t="shared" si="26"/>
        <v>0</v>
      </c>
      <c r="I147" s="602"/>
      <c r="J147" s="350">
        <f t="shared" si="27"/>
        <v>601000</v>
      </c>
      <c r="K147" s="347">
        <f t="shared" si="23"/>
        <v>591222</v>
      </c>
      <c r="L147" s="547">
        <f t="shared" si="24"/>
        <v>0</v>
      </c>
      <c r="M147" s="550"/>
      <c r="N147" s="603">
        <f t="shared" si="28"/>
        <v>591222</v>
      </c>
      <c r="O147" s="602"/>
      <c r="P147" s="547">
        <f t="shared" si="25"/>
        <v>9778</v>
      </c>
      <c r="Q147" s="550"/>
    </row>
    <row r="148" spans="6:17" ht="13.5">
      <c r="F148" s="346" t="s">
        <v>89</v>
      </c>
      <c r="G148" s="347">
        <f t="shared" si="22"/>
        <v>0</v>
      </c>
      <c r="H148" s="548">
        <f t="shared" si="26"/>
        <v>0</v>
      </c>
      <c r="I148" s="602"/>
      <c r="J148" s="350">
        <f t="shared" si="27"/>
        <v>0</v>
      </c>
      <c r="K148" s="347">
        <f t="shared" si="23"/>
        <v>0</v>
      </c>
      <c r="L148" s="547">
        <f t="shared" si="24"/>
        <v>0</v>
      </c>
      <c r="M148" s="550"/>
      <c r="N148" s="603">
        <f t="shared" si="28"/>
        <v>0</v>
      </c>
      <c r="O148" s="602"/>
      <c r="P148" s="547">
        <f t="shared" si="25"/>
        <v>0</v>
      </c>
      <c r="Q148" s="550"/>
    </row>
    <row r="149" spans="6:17" ht="13.5">
      <c r="F149" s="346" t="s">
        <v>90</v>
      </c>
      <c r="G149" s="347">
        <f t="shared" si="22"/>
        <v>130000</v>
      </c>
      <c r="H149" s="548">
        <f t="shared" si="26"/>
        <v>0</v>
      </c>
      <c r="I149" s="602"/>
      <c r="J149" s="350">
        <f t="shared" si="27"/>
        <v>130000</v>
      </c>
      <c r="K149" s="347">
        <f t="shared" si="23"/>
        <v>0</v>
      </c>
      <c r="L149" s="547">
        <f t="shared" si="24"/>
        <v>0</v>
      </c>
      <c r="M149" s="550"/>
      <c r="N149" s="603">
        <f t="shared" si="28"/>
        <v>0</v>
      </c>
      <c r="O149" s="602"/>
      <c r="P149" s="547">
        <f t="shared" si="25"/>
        <v>130000</v>
      </c>
      <c r="Q149" s="550"/>
    </row>
    <row r="150" spans="6:17" ht="14.25" thickBot="1">
      <c r="F150" s="346" t="s">
        <v>137</v>
      </c>
      <c r="G150" s="347">
        <f t="shared" si="22"/>
        <v>79190</v>
      </c>
      <c r="H150" s="548">
        <f>SUMIF($E$4:$E$138,$F150,$S$4:$S$138)+'2-3'!G122</f>
        <v>11000</v>
      </c>
      <c r="I150" s="602"/>
      <c r="J150" s="350">
        <f t="shared" si="27"/>
        <v>68190</v>
      </c>
      <c r="K150" s="347">
        <f t="shared" si="23"/>
        <v>74330</v>
      </c>
      <c r="L150" s="591">
        <f>SUMIF($E$4:$E$138,$F150,$T$4:$T$138)+'2-3'!E122</f>
        <v>11000</v>
      </c>
      <c r="M150" s="592"/>
      <c r="N150" s="603">
        <f t="shared" si="28"/>
        <v>63330</v>
      </c>
      <c r="O150" s="602"/>
      <c r="P150" s="591">
        <f t="shared" si="25"/>
        <v>4860</v>
      </c>
      <c r="Q150" s="592"/>
    </row>
    <row r="151" spans="6:17" ht="15" thickBot="1" thickTop="1">
      <c r="F151" s="353" t="s">
        <v>15</v>
      </c>
      <c r="G151" s="354">
        <f>SUM(G142:G150)</f>
        <v>1127190</v>
      </c>
      <c r="H151" s="554">
        <f>SUM(H142:I150)</f>
        <v>11000</v>
      </c>
      <c r="I151" s="600"/>
      <c r="J151" s="354">
        <f>SUM(J142:J150)</f>
        <v>1116190</v>
      </c>
      <c r="K151" s="354">
        <f>SUM(K142:K150)</f>
        <v>822708</v>
      </c>
      <c r="L151" s="593">
        <f>SUM(L142:M150)</f>
        <v>11000</v>
      </c>
      <c r="M151" s="594"/>
      <c r="N151" s="600">
        <f>SUM(N142:O150)</f>
        <v>811708</v>
      </c>
      <c r="O151" s="601"/>
      <c r="P151" s="593">
        <f>SUM(P142:Q150)</f>
        <v>304482</v>
      </c>
      <c r="Q151" s="59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E106" sqref="E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260</v>
      </c>
      <c r="B1" s="618"/>
      <c r="C1" s="618"/>
      <c r="D1" s="618"/>
      <c r="E1" s="618"/>
      <c r="F1" s="618"/>
      <c r="G1" s="619"/>
      <c r="H1" s="619"/>
      <c r="I1" s="619"/>
    </row>
    <row r="2" spans="1:9" ht="15" customHeight="1" thickBot="1">
      <c r="A2" s="8"/>
      <c r="B2" s="7" t="s">
        <v>243</v>
      </c>
      <c r="C2" s="87"/>
      <c r="E2" s="116"/>
      <c r="F2" s="117" t="s">
        <v>112</v>
      </c>
      <c r="G2" s="208">
        <f>SUM(E5:E119)</f>
        <v>74330</v>
      </c>
      <c r="H2" s="72" t="s">
        <v>187</v>
      </c>
      <c r="I2" s="208">
        <f>SUM(H5:H119)</f>
        <v>0</v>
      </c>
    </row>
    <row r="3" spans="1:9" ht="15" customHeight="1" thickBot="1">
      <c r="A3" s="8"/>
      <c r="B3" s="7"/>
      <c r="C3" s="87"/>
      <c r="E3" s="614" t="s">
        <v>180</v>
      </c>
      <c r="F3" s="615"/>
      <c r="G3" s="616"/>
      <c r="H3" s="614" t="s">
        <v>181</v>
      </c>
      <c r="I3" s="617"/>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v>8000</v>
      </c>
      <c r="F5" s="193">
        <f>IF('1-3'!E4="","",'1-3'!E4)</f>
        <v>8000</v>
      </c>
      <c r="G5" s="128" t="s">
        <v>312</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v>3000</v>
      </c>
      <c r="F32" s="201">
        <f>IF('1-3'!E31="","",'1-3'!E31)</f>
        <v>3000</v>
      </c>
      <c r="G32" s="175" t="s">
        <v>312</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v>5000</v>
      </c>
      <c r="F98" s="195">
        <f>IF('1-3'!E97="","",'1-3'!E97)</f>
        <v>1760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v>0</v>
      </c>
      <c r="F99" s="195">
        <f>IF('1-3'!E98="","",'1-3'!E98)</f>
        <v>5000</v>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
        <v>310</v>
      </c>
      <c r="C105" s="152">
        <f>IF('1-3'!C104="","",'1-3'!C104)</f>
      </c>
      <c r="D105" s="131" t="s">
        <v>311</v>
      </c>
      <c r="E105" s="191">
        <v>7000</v>
      </c>
      <c r="F105" s="193">
        <f>IF('1-3'!E104="","",'1-3'!E104)</f>
        <v>7000</v>
      </c>
      <c r="G105" s="128">
        <f t="shared" si="3"/>
      </c>
      <c r="H105" s="215"/>
      <c r="I105" s="128"/>
      <c r="J105" s="125">
        <f>IF('1-3'!F104="","",'1-3'!F104)</f>
      </c>
    </row>
    <row r="106" spans="1:10" ht="15" customHeight="1">
      <c r="A106" s="102">
        <v>102</v>
      </c>
      <c r="B106" s="153" t="s">
        <v>313</v>
      </c>
      <c r="C106" s="153">
        <f>IF('1-3'!C105="","",'1-3'!C105)</f>
      </c>
      <c r="D106" s="132" t="s">
        <v>314</v>
      </c>
      <c r="E106" s="186"/>
      <c r="F106" s="195">
        <f>IF('1-3'!E105="","",'1-3'!E105)</f>
        <v>2000</v>
      </c>
      <c r="G106" s="84">
        <f t="shared" si="3"/>
      </c>
      <c r="H106" s="209"/>
      <c r="I106" s="83"/>
      <c r="J106" s="125">
        <f>IF('1-3'!F105="","",'1-3'!F105)</f>
      </c>
    </row>
    <row r="107" spans="1:10" ht="15" customHeight="1">
      <c r="A107" s="104">
        <v>103</v>
      </c>
      <c r="B107" s="154" t="s">
        <v>324</v>
      </c>
      <c r="C107" s="154">
        <f>IF('1-3'!C106="","",'1-3'!C106)</f>
      </c>
      <c r="D107" s="133" t="s">
        <v>323</v>
      </c>
      <c r="E107" s="186"/>
      <c r="F107" s="195">
        <f>IF('1-3'!E106="","",'1-3'!E106)</f>
        <v>4000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74330</v>
      </c>
      <c r="F121" s="118" t="s">
        <v>185</v>
      </c>
      <c r="G121" s="181">
        <f>SUM(F5:F119)</f>
        <v>79190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63330</v>
      </c>
      <c r="F123" s="120" t="s">
        <v>186</v>
      </c>
      <c r="G123" s="183">
        <f>G121-G122</f>
        <v>68190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2018-06-01T06:44:39Z</cp:lastPrinted>
  <dcterms:created xsi:type="dcterms:W3CDTF">2007-02-21T01:05:33Z</dcterms:created>
  <dcterms:modified xsi:type="dcterms:W3CDTF">2018-06-21T06:29:15Z</dcterms:modified>
  <cp:category/>
  <cp:version/>
  <cp:contentType/>
  <cp:contentStatus/>
</cp:coreProperties>
</file>