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670" tabRatio="723" activeTab="0"/>
  </bookViews>
  <sheets>
    <sheet name="表紙" sheetId="1" r:id="rId1"/>
    <sheet name="様式１" sheetId="2" r:id="rId2"/>
    <sheet name="様式２" sheetId="3" r:id="rId3"/>
  </sheets>
  <definedNames>
    <definedName name="_xlnm.Print_Area" localSheetId="0">'表紙'!$A$1:$O$36</definedName>
    <definedName name="_xlnm.Print_Area" localSheetId="1">'様式１'!$B$1:$L$389</definedName>
    <definedName name="_xlnm.Print_Area" localSheetId="2">'様式２'!$B$1:$U$775</definedName>
    <definedName name="_xlnm.Print_Titles" localSheetId="1">'様式１'!$4:$6</definedName>
    <definedName name="_xlnm.Print_Titles" localSheetId="2">'様式２'!$4:$6</definedName>
  </definedNames>
  <calcPr fullCalcOnLoad="1"/>
</workbook>
</file>

<file path=xl/comments3.xml><?xml version="1.0" encoding="utf-8"?>
<comments xmlns="http://schemas.openxmlformats.org/spreadsheetml/2006/main">
  <authors>
    <author>平田　誠和</author>
  </authors>
  <commentList>
    <comment ref="T471" authorId="0">
      <text>
        <r>
          <rPr>
            <sz val="10"/>
            <rFont val="ＭＳ Ｐゴシック"/>
            <family val="3"/>
          </rPr>
          <t>予算要求時の想定件数</t>
        </r>
      </text>
    </comment>
  </commentList>
</comments>
</file>

<file path=xl/sharedStrings.xml><?xml version="1.0" encoding="utf-8"?>
<sst xmlns="http://schemas.openxmlformats.org/spreadsheetml/2006/main" count="1996" uniqueCount="1353">
  <si>
    <t>成　　　　　　　　　果</t>
  </si>
  <si>
    <t>予算事業</t>
  </si>
  <si>
    <t>予算現額</t>
  </si>
  <si>
    <t>決算額</t>
  </si>
  <si>
    <t>成果指標</t>
  </si>
  <si>
    <t>円</t>
  </si>
  <si>
    <t>計</t>
  </si>
  <si>
    <t>（国庫支出金）</t>
  </si>
  <si>
    <t>（附帯歳入）</t>
  </si>
  <si>
    <t>（一般歳入）</t>
  </si>
  <si>
    <t>（起　　債）</t>
  </si>
  <si>
    <t>目</t>
  </si>
  <si>
    <t>計画</t>
  </si>
  <si>
    <t>実績</t>
  </si>
  <si>
    <t>－</t>
  </si>
  <si>
    <t>－</t>
  </si>
  <si>
    <t>（H23年度決算）</t>
  </si>
  <si>
    <t>管理事業名</t>
  </si>
  <si>
    <t>予算現額
（財源内訳）</t>
  </si>
  <si>
    <t>決 算 額
（財源内訳）</t>
  </si>
  <si>
    <t>環境農林水産部</t>
  </si>
  <si>
    <t>環境農林水産部</t>
  </si>
  <si>
    <t>管理事業名</t>
  </si>
  <si>
    <t>予算現額</t>
  </si>
  <si>
    <t>決算額</t>
  </si>
  <si>
    <t>施　　策　　成　　果</t>
  </si>
  <si>
    <t>参　考（部局長マニフェスト等で掲載した目標等）</t>
  </si>
  <si>
    <t>頁</t>
  </si>
  <si>
    <t>（財源内訳）</t>
  </si>
  <si>
    <t>■大阪農業を支える担い手の育成</t>
  </si>
  <si>
    <t>小規模な農業者の生産拡大を図り、地産地消を推進する。</t>
  </si>
  <si>
    <t>花の文化園</t>
  </si>
  <si>
    <t>円</t>
  </si>
  <si>
    <t>　（１） 農協への常例検査実施　７組合</t>
  </si>
  <si>
    <t>■安全・安心な府民の食の提供</t>
  </si>
  <si>
    <t>　（１）生鮮食料品等の安定供給の推進</t>
  </si>
  <si>
    <t>　　・卸売市場の指導・監督</t>
  </si>
  <si>
    <t>　（２）食品産業振興の推進</t>
  </si>
  <si>
    <t>　（２）食品産業への総合的支援</t>
  </si>
  <si>
    <t>　　・府内食品産業の振興</t>
  </si>
  <si>
    <t>　（３）食の安全安心確保対策</t>
  </si>
  <si>
    <t>　（３）食品表示の点検・指導</t>
  </si>
  <si>
    <t>　　・JAS法に基づく生鮮等巡回点検・指導</t>
  </si>
  <si>
    <t>■「重点研究」、「基礎研究」、「調査・モニタリング」各分野の試験研究</t>
  </si>
  <si>
    <t>■試験研究の推進</t>
  </si>
  <si>
    <t>■大気汚染状況等の監視・分析</t>
  </si>
  <si>
    <t>　（１）府域の大気汚染状況の常時監視や分析を行い、府民の健康被害等</t>
  </si>
  <si>
    <t>■遊休農地の解消や農空間保全活動の推進</t>
  </si>
  <si>
    <t>　（２）公的機関等の仲介による農地の貸借等で遊休農地の解消　</t>
  </si>
  <si>
    <t>　　農空間保全地域制度推進事業</t>
  </si>
  <si>
    <t>　　・遊休農地解消面積　</t>
  </si>
  <si>
    <t>農地調整</t>
  </si>
  <si>
    <t>■人工林における間伐の推進</t>
  </si>
  <si>
    <t>■人工林における間伐の推進</t>
  </si>
  <si>
    <t>緑化・自然</t>
  </si>
  <si>
    <t>■藻場・干潟の再生</t>
  </si>
  <si>
    <t>■美しく豊かな魚庭の海の実現</t>
  </si>
  <si>
    <t>漁業調整</t>
  </si>
  <si>
    <t>事業</t>
  </si>
  <si>
    <t>漁港事業</t>
  </si>
  <si>
    <t>温暖化対策</t>
  </si>
  <si>
    <t>環境保全</t>
  </si>
  <si>
    <t>事業所指導</t>
  </si>
  <si>
    <t>交通環境</t>
  </si>
  <si>
    <t>環境監視</t>
  </si>
  <si>
    <t>資源循環</t>
  </si>
  <si>
    <t>推進事業</t>
  </si>
  <si>
    <t>産業廃棄物</t>
  </si>
  <si>
    <t>指導事業</t>
  </si>
  <si>
    <t>野生動物</t>
  </si>
  <si>
    <t>■野生鳥獣の保護と農林業被害の軽減</t>
  </si>
  <si>
    <t>対策事業</t>
  </si>
  <si>
    <t>動物愛護</t>
  </si>
  <si>
    <t>■人と動物が共生できる社会の実現</t>
  </si>
  <si>
    <t>畜産保健</t>
  </si>
  <si>
    <t>衛生事業</t>
  </si>
  <si>
    <t>■農地農業用施設の早期復旧</t>
  </si>
  <si>
    <t>■豪雨などにより被災した農地農業用施設の早期復旧を図ることにより、</t>
  </si>
  <si>
    <t>　（１）現年災害復旧事業</t>
  </si>
  <si>
    <t>　（２）過年災害復旧事業</t>
  </si>
  <si>
    <t>（繰入金）</t>
  </si>
  <si>
    <t>（繰越金）</t>
  </si>
  <si>
    <t>（計画　　―）</t>
  </si>
  <si>
    <t>歳入歳出</t>
  </si>
  <si>
    <t>翌年度へ繰越</t>
  </si>
  <si>
    <t>資金事業</t>
  </si>
  <si>
    <t>　（１）沿岸漁業改善資金貸付</t>
  </si>
  <si>
    <t>　（１） 沿岸漁業改善資金貸付</t>
  </si>
  <si>
    <t>林業改善</t>
  </si>
  <si>
    <t>　（１）林業・木材産業改善資金貸付</t>
  </si>
  <si>
    <t>　（１） 林業・木材産業改善資金貸付</t>
  </si>
  <si>
    <t>（計画　　２件）</t>
  </si>
  <si>
    <t>環境農林水</t>
  </si>
  <si>
    <t>産総務事業</t>
  </si>
  <si>
    <t>環境農林水産部</t>
  </si>
  <si>
    <t>国庫支出金</t>
  </si>
  <si>
    <t>起債</t>
  </si>
  <si>
    <t>附帯歳入</t>
  </si>
  <si>
    <t>一般歳入</t>
  </si>
  <si>
    <t>環境農林水</t>
  </si>
  <si>
    <t>農業総務費</t>
  </si>
  <si>
    <t>農業総務職員費</t>
  </si>
  <si>
    <t>産総務事業</t>
  </si>
  <si>
    <t>(※海区漁業調整委員会分を含む)</t>
  </si>
  <si>
    <t>審議会費</t>
  </si>
  <si>
    <t>環境農林水産企画調整費</t>
  </si>
  <si>
    <t>－</t>
  </si>
  <si>
    <t>環境農林水産総合研究所独立行政法人化</t>
  </si>
  <si>
    <t>－</t>
  </si>
  <si>
    <t>　大阪府環境農林水産総合研究所地方独立</t>
  </si>
  <si>
    <t>　行政法人化コンサルティング業務委託料　</t>
  </si>
  <si>
    <t>事務事業の節減額</t>
  </si>
  <si>
    <t>一般管理費</t>
  </si>
  <si>
    <t>非常勤職員雇用費等</t>
  </si>
  <si>
    <t>－</t>
  </si>
  <si>
    <t>農業振興</t>
  </si>
  <si>
    <t>農業振興費</t>
  </si>
  <si>
    <t>認定農業者支援等事業費</t>
  </si>
  <si>
    <t>直売所等に出荷する農業者数(H27末現在)</t>
  </si>
  <si>
    <t>6,000人</t>
  </si>
  <si>
    <t>6,569人</t>
  </si>
  <si>
    <t>事業</t>
  </si>
  <si>
    <t>エコ農産物を生産する農業者数(H27末現在)</t>
  </si>
  <si>
    <t>1,200人</t>
  </si>
  <si>
    <t>1,042人</t>
  </si>
  <si>
    <t>　委譲事務（農業経営計画の受理）交付金</t>
  </si>
  <si>
    <t>　1,991,000円ほか</t>
  </si>
  <si>
    <t>大阪エコ農業総合推進対策事業費</t>
  </si>
  <si>
    <t>園芸振興総合対策費</t>
  </si>
  <si>
    <t>野菜及び果樹産地の指導　（計画策定数）</t>
  </si>
  <si>
    <t>13産地</t>
  </si>
  <si>
    <t>　農林水産祭参加品評会等補助金　</t>
  </si>
  <si>
    <t xml:space="preserve">  90,000円ほか</t>
  </si>
  <si>
    <t>農作物鳥獣被害防止対策事業費</t>
  </si>
  <si>
    <t>農作物鳥獣被害防止対策事業実施地区数</t>
  </si>
  <si>
    <t>　鳥獣被害防止総合対策交付金事業</t>
  </si>
  <si>
    <t>戸別所得補償対策費</t>
  </si>
  <si>
    <t>農業改良普及・担い手育成費</t>
  </si>
  <si>
    <t>16品目</t>
  </si>
  <si>
    <t>経営構造対策事業実施地区数</t>
  </si>
  <si>
    <t>1地区</t>
  </si>
  <si>
    <t>事務事業の節減額</t>
  </si>
  <si>
    <t>－</t>
  </si>
  <si>
    <t>花の文化園</t>
  </si>
  <si>
    <t>大阪府立花の文化園管理運営費</t>
  </si>
  <si>
    <t>大阪府立花の文化園　年間入園者数</t>
  </si>
  <si>
    <t>管理運営</t>
  </si>
  <si>
    <t>　花の文化園管理運営委託等</t>
  </si>
  <si>
    <t>農林漁業金</t>
  </si>
  <si>
    <t>農林漁業</t>
  </si>
  <si>
    <t>農林漁業制度融資資金特別会計繰出金</t>
  </si>
  <si>
    <t>融対策事業</t>
  </si>
  <si>
    <t>金融対策費</t>
  </si>
  <si>
    <t>農協等利子補給実績</t>
  </si>
  <si>
    <t>22組合</t>
  </si>
  <si>
    <t>検査指導</t>
  </si>
  <si>
    <t>検査指導費</t>
  </si>
  <si>
    <t>検査指導事業費</t>
  </si>
  <si>
    <t>農協への常例検査実施</t>
  </si>
  <si>
    <t>7組合</t>
  </si>
  <si>
    <t>事務事業の節削減</t>
  </si>
  <si>
    <t>流通対策</t>
  </si>
  <si>
    <t>流通対策費</t>
  </si>
  <si>
    <t>災害救助用食料備蓄事業費</t>
  </si>
  <si>
    <t>災害救助用精米流通在庫備蓄量</t>
  </si>
  <si>
    <t>984トン</t>
  </si>
  <si>
    <t>　災害救助用精米保管負担金　2,485,879円</t>
  </si>
  <si>
    <t>学校給食用牛乳供給促進費</t>
  </si>
  <si>
    <t>学校給食用牛乳供給事業による学乳供給本数</t>
  </si>
  <si>
    <t>千本</t>
  </si>
  <si>
    <t>食品産業振興事業費</t>
  </si>
  <si>
    <t>ＪＡＳ法に基づく生鮮食品等巡回点検・指導</t>
  </si>
  <si>
    <t>4,000店舗</t>
  </si>
  <si>
    <t>　米のDNA分析品種判別検査委託　388,000円</t>
  </si>
  <si>
    <t>食肉流通施設整備推進事業費</t>
  </si>
  <si>
    <t>卸売市場整備推進費</t>
  </si>
  <si>
    <t>地方卸売市場検査</t>
  </si>
  <si>
    <t>大阪府中央卸売市場事業会計繰出金</t>
  </si>
  <si>
    <t>　企業債償還金利息等対策事業補助金</t>
  </si>
  <si>
    <t>環境農林水</t>
  </si>
  <si>
    <t>環境農林</t>
  </si>
  <si>
    <t>産総合研究</t>
  </si>
  <si>
    <t>水産総合</t>
  </si>
  <si>
    <t>所管理運営</t>
  </si>
  <si>
    <t>研究所費</t>
  </si>
  <si>
    <t>　全国林業試験研究機関協議会負担金　</t>
  </si>
  <si>
    <t>環境農林水産総合研究所施設等整備事業</t>
  </si>
  <si>
    <t>事務事業の節減額</t>
  </si>
  <si>
    <t>試験研究費</t>
  </si>
  <si>
    <t>所試験研究</t>
  </si>
  <si>
    <t>　GC/MSシステム及び周辺装置他保守委託</t>
  </si>
  <si>
    <t>　2,118,900円ほか</t>
  </si>
  <si>
    <t>農空間整備</t>
  </si>
  <si>
    <t>土地改良費</t>
  </si>
  <si>
    <t>地籍調査費</t>
  </si>
  <si>
    <t>地籍調査事業実施地区・面積</t>
  </si>
  <si>
    <t>10地区</t>
  </si>
  <si>
    <t>事業</t>
  </si>
  <si>
    <t>　国土調査事業（地籍調査事業）補助金</t>
  </si>
  <si>
    <t>土地改良施設保全指導費</t>
  </si>
  <si>
    <t>土地改良施設診断、適正化事業実施件数</t>
  </si>
  <si>
    <t>農空間整備事業費</t>
  </si>
  <si>
    <t>　農村総合整備事業補助金（茨木北部地区）</t>
  </si>
  <si>
    <t>農空間整備事業費《国の補正（第１号）》</t>
  </si>
  <si>
    <t>農道整備等事業(泉南地区他3地区)</t>
  </si>
  <si>
    <t>4地区</t>
  </si>
  <si>
    <t>0地区</t>
  </si>
  <si>
    <t>農空間保全地域制度推進事業費</t>
  </si>
  <si>
    <t>遊休農地解消目標面積</t>
  </si>
  <si>
    <t>ため池防災事業費</t>
  </si>
  <si>
    <t>ため池防災事業費《国第３次補正》</t>
  </si>
  <si>
    <t>いきいき水路整備事業費</t>
  </si>
  <si>
    <t>8地区</t>
  </si>
  <si>
    <t>　52,773,000円ほか</t>
  </si>
  <si>
    <t>　まちづくり水路整備事業補助金（高瀬川水路）</t>
  </si>
  <si>
    <t>水質保全対策事業費</t>
  </si>
  <si>
    <t>水質保全対策事業（内ケ池地区）</t>
  </si>
  <si>
    <t>滝畑ダム事業費</t>
  </si>
  <si>
    <t>－</t>
  </si>
  <si>
    <t>農道橋等安全対策事業</t>
  </si>
  <si>
    <t>農道橋安全対策事業</t>
  </si>
  <si>
    <t>事務事業の節減額</t>
  </si>
  <si>
    <t>農地防災</t>
  </si>
  <si>
    <t>事業費</t>
  </si>
  <si>
    <t>ため池防災事業費《国の補正（第１号）》</t>
  </si>
  <si>
    <t>5地区</t>
  </si>
  <si>
    <t>農地調整費</t>
  </si>
  <si>
    <t>農業委員会等助成費</t>
  </si>
  <si>
    <t>助成農業委員会等数(農業会議含む)</t>
  </si>
  <si>
    <t>44委員会</t>
  </si>
  <si>
    <t>農地転用処理費</t>
  </si>
  <si>
    <t>農地利用調整処理件数</t>
  </si>
  <si>
    <t>国有農地管理費</t>
  </si>
  <si>
    <t>国有農地管理（年度末残筆数）</t>
  </si>
  <si>
    <t>国有農地売払等</t>
  </si>
  <si>
    <t>　大阪府農業経営基盤強化事業事務取扱</t>
  </si>
  <si>
    <t>林業振興</t>
  </si>
  <si>
    <t>林業振興費</t>
  </si>
  <si>
    <t>林業振興指導費</t>
  </si>
  <si>
    <t>労働安全衛生指導事業所数</t>
  </si>
  <si>
    <t>森林整備</t>
  </si>
  <si>
    <t>森林整備</t>
  </si>
  <si>
    <t>森林整備事業費</t>
  </si>
  <si>
    <t>整備面積</t>
  </si>
  <si>
    <t>保全事業</t>
  </si>
  <si>
    <t>保全費</t>
  </si>
  <si>
    <t>府営林整備事業費</t>
  </si>
  <si>
    <t>森林整備面積</t>
  </si>
  <si>
    <t>治山事業費</t>
  </si>
  <si>
    <t>事業実施面積</t>
  </si>
  <si>
    <t>府民の森保全整備事業費</t>
  </si>
  <si>
    <t>自然公園保全管理事業費</t>
  </si>
  <si>
    <t>保安林整備事業費</t>
  </si>
  <si>
    <t>森林保全事業費</t>
  </si>
  <si>
    <t>森林巡視による指導件数</t>
  </si>
  <si>
    <t>国営保険契約面積</t>
  </si>
  <si>
    <t>　自然公園区域内行為許可事務費交付金　</t>
  </si>
  <si>
    <t>　神峰山都市近郊林管理運営協議会負担金</t>
  </si>
  <si>
    <t>森林整備加速化・林業再生事業費</t>
  </si>
  <si>
    <t>除間伐の実施面積</t>
  </si>
  <si>
    <t>路網整備</t>
  </si>
  <si>
    <t>治山費</t>
  </si>
  <si>
    <t>治山事業</t>
  </si>
  <si>
    <t>治山事業《国の補正第１号》</t>
  </si>
  <si>
    <t>保安林管理道等安全対策事業</t>
  </si>
  <si>
    <t>府民の森管</t>
  </si>
  <si>
    <t>府民の森管理運営費</t>
  </si>
  <si>
    <t>理運営事業</t>
  </si>
  <si>
    <t>緑化・自然環</t>
  </si>
  <si>
    <t>自然保護</t>
  </si>
  <si>
    <t>自然環境保全推進費</t>
  </si>
  <si>
    <t>ブナ林保全事業面積</t>
  </si>
  <si>
    <t>境保全事業</t>
  </si>
  <si>
    <t>対策費</t>
  </si>
  <si>
    <t>　（財）大阪みどりのトラスト協会補助金</t>
  </si>
  <si>
    <t>大阪府みどりの基金事業費</t>
  </si>
  <si>
    <t>緑化樹配付本数</t>
  </si>
  <si>
    <t>2,500本</t>
  </si>
  <si>
    <t>環境緑化対策費</t>
  </si>
  <si>
    <t>市町村への届出件数（計画、変更、完了）</t>
  </si>
  <si>
    <t>　建築物緑化促進市町村事務移譲交付金</t>
  </si>
  <si>
    <t>みどりの風を感じる街づくり事業費</t>
  </si>
  <si>
    <t>公立小学校の芝生化実施校数</t>
  </si>
  <si>
    <t>53校</t>
  </si>
  <si>
    <t>　街かどシンボルツリー植栽事業委託　</t>
  </si>
  <si>
    <t>　公立小学校の芝生化推進事業補助金</t>
  </si>
  <si>
    <t>　大規模芝生化実施校助成事業補助金　</t>
  </si>
  <si>
    <t>自然公園施設安全対策事業</t>
  </si>
  <si>
    <t>水産業振興</t>
  </si>
  <si>
    <t>水産業</t>
  </si>
  <si>
    <t>水産業振興指導費</t>
  </si>
  <si>
    <t>栽培漁業推進対策　種苗生産量</t>
  </si>
  <si>
    <t>振興費</t>
  </si>
  <si>
    <t>栽培漁業推進対策　放流量</t>
  </si>
  <si>
    <t>　採捕禁止区域灯標の維持管理委託</t>
  </si>
  <si>
    <t>　4,920,000円ほか</t>
  </si>
  <si>
    <t>漁場整備事業費</t>
  </si>
  <si>
    <t>広域型増殖場（藻場＋餌料培養礁）の設置</t>
  </si>
  <si>
    <t>面積等（H26末現在）</t>
  </si>
  <si>
    <t>漁場保全対策費</t>
  </si>
  <si>
    <t>海中浮遊ゴミ除去海域面積</t>
  </si>
  <si>
    <t>23k㎡</t>
  </si>
  <si>
    <t>　漁場環境美化推進事業委託　1,512,000円ほか</t>
  </si>
  <si>
    <t>　大阪府海域美化安全協会負担金　2,000,000円</t>
  </si>
  <si>
    <t>　ほか</t>
  </si>
  <si>
    <t>漁業調整費</t>
  </si>
  <si>
    <t>海区漁業調整委員会費</t>
  </si>
  <si>
    <t>委員会・委員協議会</t>
  </si>
  <si>
    <t>12回</t>
  </si>
  <si>
    <t>　全国海区漁業調整委員会連合会負担金</t>
  </si>
  <si>
    <t>　160,000円</t>
  </si>
  <si>
    <t>内水面漁場管理委員会費</t>
  </si>
  <si>
    <t>　全国内水面漁場管理委員会連合会負担金</t>
  </si>
  <si>
    <t>　140,000円</t>
  </si>
  <si>
    <t>漁業監理費</t>
  </si>
  <si>
    <t>漁業取締船「はやなみ」保守点検</t>
  </si>
  <si>
    <t>2回</t>
  </si>
  <si>
    <t>　漁業取締船「はやなみ」保守点検業務委託</t>
  </si>
  <si>
    <t>　船舶無線電波利用料　400円</t>
  </si>
  <si>
    <t>漁港費</t>
  </si>
  <si>
    <t>漁港管理費</t>
  </si>
  <si>
    <t>漁港移管整備事業費</t>
  </si>
  <si>
    <t>物揚場整備工事（高石漁港ほか1漁港）</t>
  </si>
  <si>
    <t>2漁港</t>
  </si>
  <si>
    <t>漁港整備保全費</t>
  </si>
  <si>
    <t>漁港建設費</t>
  </si>
  <si>
    <t>漁港漁場機能高度化事業費</t>
  </si>
  <si>
    <t>7漁港</t>
  </si>
  <si>
    <t>漁港建設費（海岸）</t>
  </si>
  <si>
    <t>温暖化対策</t>
  </si>
  <si>
    <t>環境保全</t>
  </si>
  <si>
    <t>地球温暖化対策推進費</t>
  </si>
  <si>
    <t>　地球環境関西フォーラム負担金</t>
  </si>
  <si>
    <t>　300,000円ほか</t>
  </si>
  <si>
    <t>環境保全基金事業費</t>
  </si>
  <si>
    <t>補助件数　</t>
  </si>
  <si>
    <t>10件</t>
  </si>
  <si>
    <t>エコ燃料実用化地域システム実証事業費</t>
  </si>
  <si>
    <t>20,000台/月</t>
  </si>
  <si>
    <t>　Ｅ３の製造及び品質管理業務委託</t>
  </si>
  <si>
    <t>大阪版カーボン・オフセット制度推進事業費</t>
  </si>
  <si>
    <t>グリーンニューディール基金事業費</t>
  </si>
  <si>
    <t>　積立金　1,378,265円</t>
  </si>
  <si>
    <t>ヒートアイランド対策推進事業費</t>
  </si>
  <si>
    <t>省CO2対策普及促進事業費</t>
  </si>
  <si>
    <t>大気汚染防止計画推進事業費</t>
  </si>
  <si>
    <t>全国大気汚染防止連絡協議会への参画</t>
  </si>
  <si>
    <t>公害防止事務費交付金</t>
  </si>
  <si>
    <t>交付先市町村</t>
  </si>
  <si>
    <t>43市町村</t>
  </si>
  <si>
    <t>環境管理推進費</t>
  </si>
  <si>
    <t>公害審査会（全体会議）開催回数</t>
  </si>
  <si>
    <t>調停委員会（調停期日）開催回数</t>
  </si>
  <si>
    <t>中小企業公害防止資金特別融資促進費</t>
  </si>
  <si>
    <t>利子補給件数</t>
  </si>
  <si>
    <t>11件</t>
  </si>
  <si>
    <t>化学物質対策推進費</t>
  </si>
  <si>
    <t>－</t>
  </si>
  <si>
    <t>水質汚濁防止計画推進事業費</t>
  </si>
  <si>
    <t>瀬戸内海栄養塩類等削減対策調査</t>
  </si>
  <si>
    <t>100検体</t>
  </si>
  <si>
    <t>　瀬戸内海栄養塩類等削減対策基礎資料作成</t>
  </si>
  <si>
    <t>　（社）瀬戸内海環境保全協会負担金</t>
  </si>
  <si>
    <t>　1,080,000円ほか</t>
  </si>
  <si>
    <t>自然海浜保全地区管理費</t>
  </si>
  <si>
    <t>自然海浜保全地区整備費（清掃費）補助対象</t>
  </si>
  <si>
    <t>1町</t>
  </si>
  <si>
    <t>市町村数</t>
  </si>
  <si>
    <t>　自然海浜保全地区整備費（清掃費）補助金</t>
  </si>
  <si>
    <t>地盤沈下規制指導費</t>
  </si>
  <si>
    <t>工業用水法に基づく届出等件数</t>
  </si>
  <si>
    <t>土壌・地下水汚染対策費</t>
  </si>
  <si>
    <t>土壌汚染対策法・条例に基づく報告件数</t>
  </si>
  <si>
    <t>生活環境影響評価事業費</t>
  </si>
  <si>
    <t>事業所指導</t>
  </si>
  <si>
    <t>事業所指導費</t>
  </si>
  <si>
    <t>公害パトロール車運行（回数）実績</t>
  </si>
  <si>
    <t>ダイオキシン対策費</t>
  </si>
  <si>
    <t>ダイオキシン類排出ガスの採取等件数</t>
  </si>
  <si>
    <t>4件</t>
  </si>
  <si>
    <t>3件</t>
  </si>
  <si>
    <t>　ダイオキシン類排出ガスの採取等委託業務</t>
  </si>
  <si>
    <t>大気汚染防止規制指導費</t>
  </si>
  <si>
    <t>法・条例に基づく届出件数</t>
  </si>
  <si>
    <t>　大規模排出事業所Nox測定委託業務</t>
  </si>
  <si>
    <t>石綿健康被害救済促進事業費</t>
  </si>
  <si>
    <t>　石綿被害救済基金への拠出金</t>
  </si>
  <si>
    <t>水質汚濁防止規制指導費</t>
  </si>
  <si>
    <t>法・条例に基づく許可・届出件数</t>
  </si>
  <si>
    <t>産業廃棄物処理対策費</t>
  </si>
  <si>
    <t>産業廃棄物排出事業者等への立入検査等</t>
  </si>
  <si>
    <t>廃棄物等の検査分析項目</t>
  </si>
  <si>
    <t>　マニフェスト交付等状況報告書等電子化業務</t>
  </si>
  <si>
    <t>広域廃棄物埋立処分場対策事業費</t>
  </si>
  <si>
    <t>廃棄物等の検査分析項目</t>
  </si>
  <si>
    <t>交通環境</t>
  </si>
  <si>
    <t>騒音振動規制指導費</t>
  </si>
  <si>
    <t>規制権限事務、市町村支援事業など</t>
  </si>
  <si>
    <t>航空機公害実態調査費</t>
  </si>
  <si>
    <t>航空機騒音測定・分析箇所数</t>
  </si>
  <si>
    <t>2箇所</t>
  </si>
  <si>
    <t xml:space="preserve"> 関西国際空港周辺航空機騒音実態調査委託</t>
  </si>
  <si>
    <t>自動車公害対策費</t>
  </si>
  <si>
    <t>流入車対策推進事業費</t>
  </si>
  <si>
    <t>適合車等標章交付件数</t>
  </si>
  <si>
    <t>132,000枚</t>
  </si>
  <si>
    <t>　適合車等標章交付業務委託</t>
  </si>
  <si>
    <t>エコカー普及促進事業費</t>
  </si>
  <si>
    <t>環境監視</t>
  </si>
  <si>
    <t>環境教育推進事業費</t>
  </si>
  <si>
    <t>環境情報プラザ利用者数</t>
  </si>
  <si>
    <t>19,000人</t>
  </si>
  <si>
    <t>環境常時監視費</t>
  </si>
  <si>
    <t>大気汚染常時監視局数</t>
  </si>
  <si>
    <t>28局</t>
  </si>
  <si>
    <t>　大気汚染測定局保守管理業務委託</t>
  </si>
  <si>
    <t>　大気汚染測定局維持管理負担金</t>
  </si>
  <si>
    <t>環境情報管理費</t>
  </si>
  <si>
    <t>おおさかの環境ホームページアクセス件数</t>
  </si>
  <si>
    <t>1,320万件</t>
  </si>
  <si>
    <t>　環境情報システム保守管理業務委託</t>
  </si>
  <si>
    <t>環境常時監視機器整備事業費</t>
  </si>
  <si>
    <t>資源循環</t>
  </si>
  <si>
    <t>循環型社会</t>
  </si>
  <si>
    <t>一般廃棄物処理指導監督費</t>
  </si>
  <si>
    <t>一般廃棄物処理施設の立入検査</t>
  </si>
  <si>
    <t>推進費</t>
  </si>
  <si>
    <t>　全国環境衛生・廃棄物課長会負担金</t>
  </si>
  <si>
    <t>リサイクル社会推進事業費</t>
  </si>
  <si>
    <t>分別収集促進計画達成率</t>
  </si>
  <si>
    <t>100%</t>
  </si>
  <si>
    <t>　大阪府リサイクル社会推進会議負担金</t>
  </si>
  <si>
    <t>再生品普及促進事業費</t>
  </si>
  <si>
    <t>リサイクル製品認定</t>
  </si>
  <si>
    <t>堺第７－３区管理事業費</t>
  </si>
  <si>
    <t>　堺第7-3区管理事務所排水処理施設等運転</t>
  </si>
  <si>
    <t>バイオマス利活用推進事業費</t>
  </si>
  <si>
    <t>産業廃棄物</t>
  </si>
  <si>
    <t>産業廃棄物処理指導監督費</t>
  </si>
  <si>
    <t>産業廃棄物許可業者等に対する立入指導</t>
  </si>
  <si>
    <t>500回</t>
  </si>
  <si>
    <t>　近畿ブロック産業廃棄物処理対策推進協議会</t>
  </si>
  <si>
    <t>　負担金　80,000円</t>
  </si>
  <si>
    <t>自動車解体業等指導監督費</t>
  </si>
  <si>
    <t>登録・許可業者立入検査</t>
  </si>
  <si>
    <t>畜産振興</t>
  </si>
  <si>
    <t>動物愛護</t>
  </si>
  <si>
    <t>畜産振興事業費</t>
  </si>
  <si>
    <t>畜産振興費</t>
  </si>
  <si>
    <t>地域適応型家畜改良事業費</t>
  </si>
  <si>
    <t>府民牧場管</t>
  </si>
  <si>
    <t>府民牧場管理運営費</t>
  </si>
  <si>
    <t>入場者数</t>
  </si>
  <si>
    <t>140千人</t>
  </si>
  <si>
    <t>理運営事業</t>
  </si>
  <si>
    <t>　下水道整備負担金　480,000円</t>
  </si>
  <si>
    <t>野生動物対策事業費</t>
  </si>
  <si>
    <t>アライグマ捕獲頭数</t>
  </si>
  <si>
    <t>800頭</t>
  </si>
  <si>
    <t>　狩猟免許試験及び狩猟者登録事務委託</t>
  </si>
  <si>
    <t>　1,081,500円</t>
  </si>
  <si>
    <t>動物愛護管理事業費</t>
  </si>
  <si>
    <t>ねこの返還・譲渡数</t>
  </si>
  <si>
    <t>100匹</t>
  </si>
  <si>
    <t>　動物一時保護センター管理運営業務委託</t>
  </si>
  <si>
    <t>　16,000,000円ほか</t>
  </si>
  <si>
    <t>動物愛護管理センター基本構想策定事業費</t>
  </si>
  <si>
    <t>家畜保健</t>
  </si>
  <si>
    <t>家畜保健</t>
  </si>
  <si>
    <t>家畜保健衛生所費</t>
  </si>
  <si>
    <t>家畜保健衛生所の維持管理</t>
  </si>
  <si>
    <t>1ヶ所</t>
  </si>
  <si>
    <t>衛生事業</t>
  </si>
  <si>
    <t>衛生費</t>
  </si>
  <si>
    <t>　庁舎清掃作業委託　412,000円ほか</t>
  </si>
  <si>
    <t>　講習会受講負担金　 26,700円ほか</t>
  </si>
  <si>
    <t>家畜伝染病予防費</t>
  </si>
  <si>
    <t>家畜伝染病等の検査・注射の実施検体数</t>
  </si>
  <si>
    <t>615,000検体</t>
  </si>
  <si>
    <t>1,324,143検体</t>
  </si>
  <si>
    <t>家畜衛生対策事業費</t>
  </si>
  <si>
    <t>動物由来感染症等の検査等の実施検体数</t>
  </si>
  <si>
    <t>7,500検体</t>
  </si>
  <si>
    <t>14,940検体</t>
  </si>
  <si>
    <t>　ダイオキシン測定委託　422,100円ほか</t>
  </si>
  <si>
    <t>農業施設災</t>
  </si>
  <si>
    <t>農業施設災害復旧事業費</t>
  </si>
  <si>
    <t>害復旧事業</t>
  </si>
  <si>
    <t>就農支援資</t>
  </si>
  <si>
    <t>【就農支援資金等特別会計】</t>
  </si>
  <si>
    <t>金等貸付</t>
  </si>
  <si>
    <t>就農支援</t>
  </si>
  <si>
    <t>就農支援資金貸付金</t>
  </si>
  <si>
    <t>就農支援資金貸付実績</t>
  </si>
  <si>
    <t>資金貸付金</t>
  </si>
  <si>
    <t>取扱事務費</t>
  </si>
  <si>
    <t>農業改良資金取扱事務費</t>
  </si>
  <si>
    <t>－</t>
  </si>
  <si>
    <t>就農支援資金推進事業費</t>
  </si>
  <si>
    <t>歳入歳出差引残額</t>
  </si>
  <si>
    <t>諸費</t>
  </si>
  <si>
    <t>就農支援資金国庫借入金等償還金</t>
  </si>
  <si>
    <t>翌  年  度 へ 繰 越</t>
  </si>
  <si>
    <t>農業改良資金国庫補助金等償還金</t>
  </si>
  <si>
    <t>沿岸漁業改</t>
  </si>
  <si>
    <t>【沿岸漁業改善資金特別会計】</t>
  </si>
  <si>
    <t>善資金事業</t>
  </si>
  <si>
    <t>沿岸漁業</t>
  </si>
  <si>
    <t>沿岸漁業改善資金貸付金</t>
  </si>
  <si>
    <t>沿岸漁業改善資金の貸付実績</t>
  </si>
  <si>
    <t>13件</t>
  </si>
  <si>
    <t>改善資金</t>
  </si>
  <si>
    <t>貸付金</t>
  </si>
  <si>
    <t>沿岸漁業改善資金取扱事務費</t>
  </si>
  <si>
    <t>林業改善</t>
  </si>
  <si>
    <t>【林業改善資金特別会計】</t>
  </si>
  <si>
    <t>資金事業</t>
  </si>
  <si>
    <t>林業改善</t>
  </si>
  <si>
    <t>林業・木材産業改善資金貸付金</t>
  </si>
  <si>
    <t>林業・木材産業改善資金の貸付実績</t>
  </si>
  <si>
    <t>2件</t>
  </si>
  <si>
    <t>　貸付額　6,448,000円</t>
  </si>
  <si>
    <t>林業・木材産業改善資金取扱事務費</t>
  </si>
  <si>
    <t>農業振興</t>
  </si>
  <si>
    <t>事業</t>
  </si>
  <si>
    <t>管理運営</t>
  </si>
  <si>
    <t>農林漁業金</t>
  </si>
  <si>
    <t>融対策事業</t>
  </si>
  <si>
    <t>検査指導</t>
  </si>
  <si>
    <t>環境保全</t>
  </si>
  <si>
    <t>府民牧場管</t>
  </si>
  <si>
    <t>就農支援資</t>
  </si>
  <si>
    <t>金等貸付</t>
  </si>
  <si>
    <t>善資金事業</t>
  </si>
  <si>
    <t>農林漁業制度融資資金融通促進事業費</t>
  </si>
  <si>
    <t>いきいき水路整備事業費</t>
  </si>
  <si>
    <t>■地域振興・地産地消の推進</t>
  </si>
  <si>
    <t>環境農林水産総合研究所と連携した大阪産（もん）のブランドイメージアップ</t>
  </si>
  <si>
    <t>　（１）花の文化園入園者数　（目標　190,000人）</t>
  </si>
  <si>
    <t>　（２）施設内設備の適正な管理運営</t>
  </si>
  <si>
    <t>　（１）花の文化園入園者数　141,658人</t>
  </si>
  <si>
    <t>　・環境省の国庫事業による施設整備</t>
  </si>
  <si>
    <t>　　（太陽光設備の設置、照明機器の改修）</t>
  </si>
  <si>
    <t>　・大花壇周辺の園路整備およびイベント広場の舗装改修</t>
  </si>
  <si>
    <t>■農地保全に関する業務の推進</t>
  </si>
  <si>
    <t>■国有農地の適切な維持管理及び処分</t>
  </si>
  <si>
    <t>　（1）農地利用調整処理件数　461件</t>
  </si>
  <si>
    <t>　　　助成農業委員会（農業会議含む）　44委員会　</t>
  </si>
  <si>
    <t>　経営構造対策推進事業委託</t>
  </si>
  <si>
    <t>　1,675,800円</t>
  </si>
  <si>
    <t>540ha</t>
  </si>
  <si>
    <t>495ha</t>
  </si>
  <si>
    <t>　病害虫発生予察調査業務委託</t>
  </si>
  <si>
    <t>価格安定対策事業実施品目数(延べ)</t>
  </si>
  <si>
    <t>　特定野菜等供給産地育成価格差</t>
  </si>
  <si>
    <t xml:space="preserve">  補給事業補助金</t>
  </si>
  <si>
    <t>　5,579,829円ほか</t>
  </si>
  <si>
    <t>　（泉佐野市鳥獣被害防止対策協議会）</t>
  </si>
  <si>
    <t>　補助金　6,158,241円ほか</t>
  </si>
  <si>
    <t>加入件数</t>
  </si>
  <si>
    <t>7,500件</t>
  </si>
  <si>
    <t>3,884件</t>
  </si>
  <si>
    <t>平成23年度研修受講者数</t>
  </si>
  <si>
    <t>－</t>
  </si>
  <si>
    <t>191人</t>
  </si>
  <si>
    <t>　短期プロ農家養成コース研修ほ場の借上　</t>
  </si>
  <si>
    <t>　100,000円</t>
  </si>
  <si>
    <t>　就農就業啓発相談活動事業補助金　</t>
  </si>
  <si>
    <t>　594,000円</t>
  </si>
  <si>
    <t>　青年農業者等育成センター補助金　500,000円</t>
  </si>
  <si>
    <t>府民認知度（H23.3月→H24.3月）</t>
  </si>
  <si>
    <t>50%超</t>
  </si>
  <si>
    <t>52%</t>
  </si>
  <si>
    <t>　イベント実施運営業務委託　399,000円</t>
  </si>
  <si>
    <t>新規参入企業数</t>
  </si>
  <si>
    <t>３社</t>
  </si>
  <si>
    <t>５社</t>
  </si>
  <si>
    <t>新規就農者数</t>
  </si>
  <si>
    <t>１０名</t>
  </si>
  <si>
    <t>１４人</t>
  </si>
  <si>
    <t>準農家数</t>
  </si>
  <si>
    <t>１２人</t>
  </si>
  <si>
    <t>　都市農業参入サポート事業補助金</t>
  </si>
  <si>
    <t>　3,457,000円</t>
  </si>
  <si>
    <t>190,000人</t>
  </si>
  <si>
    <t>141,658人</t>
  </si>
  <si>
    <t>　花の文化園照明設備省エネ改修工事</t>
  </si>
  <si>
    <t>　21,210,000円ほか</t>
  </si>
  <si>
    <t>35箇所、7件</t>
  </si>
  <si>
    <t>　土地改良施設維持管理適正化資金</t>
  </si>
  <si>
    <t>農道整備等事業(泉南地区他9地区)</t>
  </si>
  <si>
    <t>　泉南農道用地測量(23)業務</t>
  </si>
  <si>
    <t>　5,974,500円ほか</t>
  </si>
  <si>
    <t>　堺南部地区橋梁高欄設置（23）工事</t>
  </si>
  <si>
    <t>　63,357,000円ほか</t>
  </si>
  <si>
    <t>　広域農道用地買収費　7,805,772円ほか</t>
  </si>
  <si>
    <t>　36,786,067円ほか</t>
  </si>
  <si>
    <t>翌年度繰越額　23,488,000円</t>
  </si>
  <si>
    <t>　広域農道岩湧地区22-1工区橋梁上部工工事</t>
  </si>
  <si>
    <t>　203,448,000円ほか</t>
  </si>
  <si>
    <t>　広域農道岩湧地区23-2附帯設計業務</t>
  </si>
  <si>
    <t>　420,000円ほか</t>
  </si>
  <si>
    <t>　広域農道用地買収費　4,100,000円ほか</t>
  </si>
  <si>
    <t>50ha</t>
  </si>
  <si>
    <t>47.7ha</t>
  </si>
  <si>
    <t>　大阪府農空間推進条例に基づく事務移譲</t>
  </si>
  <si>
    <t>ため池防災事業（池谷池他19地区）</t>
  </si>
  <si>
    <t>20地区</t>
  </si>
  <si>
    <t>　男里井堰改修実施設計（23）業務</t>
  </si>
  <si>
    <t>　7,163,100円ほか</t>
  </si>
  <si>
    <t>　ため池整備事業補助金（七池水路）</t>
  </si>
  <si>
    <t>　40,372,500円ほか</t>
  </si>
  <si>
    <t>翌年度繰越額　184,201,000円</t>
  </si>
  <si>
    <t>7地区</t>
  </si>
  <si>
    <t>翌年度繰越額　332,750,000円</t>
  </si>
  <si>
    <t>いきいき水路整備事業等(東部排水路他5地区)</t>
  </si>
  <si>
    <t>6地区</t>
  </si>
  <si>
    <t>　東部排水路実施設計（23）業務　</t>
  </si>
  <si>
    <t xml:space="preserve">  5,491,500円ほか</t>
  </si>
  <si>
    <t>　東部排水路整備（23）業務　</t>
  </si>
  <si>
    <t>　42,294,000円ほか</t>
  </si>
  <si>
    <t>翌年度繰越額　8,367,000円</t>
  </si>
  <si>
    <t>　内ケ池整備(23)工事　52,258,500円</t>
  </si>
  <si>
    <t>　滝畑ダム施設警備等業務　7,562,208円</t>
  </si>
  <si>
    <t>　モーターボート免許取得講習会受講料</t>
  </si>
  <si>
    <t>　73,000円ほか</t>
  </si>
  <si>
    <t>　河南工区（23）農道舗装工事</t>
  </si>
  <si>
    <t xml:space="preserve">  28,161,000円など</t>
  </si>
  <si>
    <t>ため池防災事業（今池七池他1地区）</t>
  </si>
  <si>
    <t>2地区</t>
  </si>
  <si>
    <t>　今池七池（23）改修工事　</t>
  </si>
  <si>
    <t>　4,261,000円ほか</t>
  </si>
  <si>
    <t>いきいき水路整備事業等(東部排水路他1地区)</t>
  </si>
  <si>
    <t>　東部排水路整備（23）工事　</t>
  </si>
  <si>
    <t xml:space="preserve">  7,005,000円ほか</t>
  </si>
  <si>
    <t>ため池防災事業（中ノ池他4地区）</t>
  </si>
  <si>
    <t>　中ノ池改修（23）工事　</t>
  </si>
  <si>
    <t>　59,640,000円ほか</t>
  </si>
  <si>
    <t>災害復旧事業(和泉市府中町他42地区)</t>
  </si>
  <si>
    <t>18地区</t>
  </si>
  <si>
    <t>43地区</t>
  </si>
  <si>
    <t>　災害復旧費補助金（和泉市）</t>
  </si>
  <si>
    <t>　25,796,160円ほか</t>
  </si>
  <si>
    <t>　貸付額　8,380,000円</t>
  </si>
  <si>
    <t>　就農支援資金事務委託　71,271円</t>
  </si>
  <si>
    <t>■農業協同組合等関係団体の活性化</t>
  </si>
  <si>
    <t>実績　　0件</t>
  </si>
  <si>
    <t>19組合</t>
  </si>
  <si>
    <t>6件</t>
  </si>
  <si>
    <t>　貸付額　13,300,000円</t>
  </si>
  <si>
    <t>0件</t>
  </si>
  <si>
    <t>■畜産経営の安定化</t>
  </si>
  <si>
    <t>　（3）畜産経営体基盤強化業務委託を公募型プロポーザルにより実施</t>
  </si>
  <si>
    <t>　　</t>
  </si>
  <si>
    <t>■動物由来感染症を含む家畜伝染病等の発生の発生予防とまん延防止</t>
  </si>
  <si>
    <t>環境巡回指導述べ戸数</t>
  </si>
  <si>
    <t>畜産物の計画生産や家畜改良増殖対策の推進</t>
  </si>
  <si>
    <t>収益性向上にかかる経営改善指導実施戸数</t>
  </si>
  <si>
    <t>16戸</t>
  </si>
  <si>
    <t>33戸</t>
  </si>
  <si>
    <t>事業実施のため、環境農林水産総合研究所食と</t>
  </si>
  <si>
    <t>みどり技術センター内の旧畜舎の改修を実施</t>
  </si>
  <si>
    <t>　実施設計費　　　2,883,300円</t>
  </si>
  <si>
    <t>53匹</t>
  </si>
  <si>
    <t>24年3月策定</t>
  </si>
  <si>
    <t>24年3月策定</t>
  </si>
  <si>
    <t>　　・大阪産（もん）名品・Eマーク商品の認定　合計363品目</t>
  </si>
  <si>
    <t>延105,016</t>
  </si>
  <si>
    <t>延98,480</t>
  </si>
  <si>
    <t>363件</t>
  </si>
  <si>
    <t>4,246店舗</t>
  </si>
  <si>
    <t>14市場</t>
  </si>
  <si>
    <t>　65,503,000円</t>
  </si>
  <si>
    <t>35万尾生産</t>
  </si>
  <si>
    <t>51.8万尾生産</t>
  </si>
  <si>
    <t>76万尾放流</t>
  </si>
  <si>
    <t>57.4万尾放流</t>
  </si>
  <si>
    <t>400ha</t>
  </si>
  <si>
    <t>約357ha</t>
  </si>
  <si>
    <t>　広域型増殖場造成工事　21648000円　</t>
  </si>
  <si>
    <t>　増殖場効果調査委託　1764,000円ほか　</t>
  </si>
  <si>
    <t>8回</t>
  </si>
  <si>
    <t>　5,806,500円ほか</t>
  </si>
  <si>
    <t>翌年度繰越額　20,000,000円</t>
  </si>
  <si>
    <t>附帯施設整備工事（小島漁港ほか６漁港）</t>
  </si>
  <si>
    <t>　附帯施設整備工事　26,952,600円ほか</t>
  </si>
  <si>
    <t>翌年度繰越額　70,790,000円</t>
  </si>
  <si>
    <t>過年度繰越分　西鳥取漁港</t>
  </si>
  <si>
    <t>　管理用道路改良工事　　1,407,350円</t>
  </si>
  <si>
    <t>過年度繰越分　岡田漁港</t>
  </si>
  <si>
    <t>　陸閘基礎改良工事　10,000,000円</t>
  </si>
  <si>
    <t>食とみどり技術センター運営管理</t>
  </si>
  <si>
    <t>　庁舎清掃業務委託料　9,569,028円ほか</t>
  </si>
  <si>
    <t>　32,000円　ほか</t>
  </si>
  <si>
    <t>環境科学センター運営管理</t>
  </si>
  <si>
    <t>　庁舎有人警備業務委託料 3,516,649円ほか</t>
  </si>
  <si>
    <t>　全国環境研協議会負担金　46,000円ほか</t>
  </si>
  <si>
    <t>水生生物センター運営管理</t>
  </si>
  <si>
    <t>　庁舎警備業務委託料　3,516,649円ほか</t>
  </si>
  <si>
    <t>　実験池排水設備改修工事　661,500円</t>
  </si>
  <si>
    <t>水産技術センター運営管理</t>
  </si>
  <si>
    <t>農業大学校事業</t>
  </si>
  <si>
    <t>　農業担い手育成人数（学生数）</t>
  </si>
  <si>
    <t>50人</t>
  </si>
  <si>
    <t>46人</t>
  </si>
  <si>
    <t>Ｘ線分析顕微鏡　ほか</t>
  </si>
  <si>
    <t>実施課題数</t>
  </si>
  <si>
    <t>110課題</t>
  </si>
  <si>
    <t>116課題</t>
  </si>
  <si>
    <t>行政検体・調査研究等分析検体数（大気）</t>
  </si>
  <si>
    <t>10,452検体</t>
  </si>
  <si>
    <t>19,616検体</t>
  </si>
  <si>
    <t>行政検体・調査研究等分析検体数（水質）</t>
  </si>
  <si>
    <t>2,297検体</t>
  </si>
  <si>
    <t>1,943検体</t>
  </si>
  <si>
    <t>おおさかエコテック評価件数</t>
  </si>
  <si>
    <t>5件</t>
  </si>
  <si>
    <t>調査船出航回数</t>
  </si>
  <si>
    <t>66回</t>
  </si>
  <si>
    <t>58回</t>
  </si>
  <si>
    <t>　調査船保守点検委託料　6,258,000円ほか</t>
  </si>
  <si>
    <t>　船舶無線電波利用料　400円</t>
  </si>
  <si>
    <t>13,787人</t>
  </si>
  <si>
    <t>　52,102,050円ほか</t>
  </si>
  <si>
    <t>　2,096,000円</t>
  </si>
  <si>
    <t>公共用水域及び地下水の水質常時監視地点数</t>
  </si>
  <si>
    <t>　監視地点数（河川）</t>
  </si>
  <si>
    <t>57地点</t>
  </si>
  <si>
    <t>　監視地点数（海域）</t>
  </si>
  <si>
    <t>15地点</t>
  </si>
  <si>
    <t>　監視地点数（地下水）</t>
  </si>
  <si>
    <t>88地点</t>
  </si>
  <si>
    <t>85地点</t>
  </si>
  <si>
    <t>　　公共用水域常時監視流量観測業務委託</t>
  </si>
  <si>
    <t>　　13,093,500円ほか</t>
  </si>
  <si>
    <t>有害大気汚染物質モニタリング地点数</t>
  </si>
  <si>
    <t>9地点</t>
  </si>
  <si>
    <t>　有害大気汚染物質モニタリング業務委託</t>
  </si>
  <si>
    <t>　10,691,940円</t>
  </si>
  <si>
    <t>ダイオキシン類監視地点数</t>
  </si>
  <si>
    <t>106地点</t>
  </si>
  <si>
    <t>　ダイオキシン類常時監視試料採取分析業務</t>
  </si>
  <si>
    <t>　委託　16,474,500円ほか</t>
  </si>
  <si>
    <t>1,012万件</t>
  </si>
  <si>
    <t>　2,241,120円ほか</t>
  </si>
  <si>
    <t>微小粒子状物質計　ほか</t>
  </si>
  <si>
    <t>■循環型社会づくりの道筋を示す</t>
  </si>
  <si>
    <t>53件</t>
  </si>
  <si>
    <t>44件</t>
  </si>
  <si>
    <t>　6,300円ほか</t>
  </si>
  <si>
    <t>142製品</t>
  </si>
  <si>
    <t>115製品</t>
  </si>
  <si>
    <t>－</t>
  </si>
  <si>
    <t>　堺第7-3区第１ゲート門扉改修工事</t>
  </si>
  <si>
    <t>　研修負担金　40,000円</t>
  </si>
  <si>
    <t>　大阪府バイオマス利活用推進補助金</t>
  </si>
  <si>
    <t>　698,275,000円</t>
  </si>
  <si>
    <t>858回</t>
  </si>
  <si>
    <t>278件</t>
  </si>
  <si>
    <t>275件</t>
  </si>
  <si>
    <t>　産業廃棄物処理実態調査　</t>
  </si>
  <si>
    <t xml:space="preserve">   6,142,500円ほか</t>
  </si>
  <si>
    <t>■健康で安心して暮らせる社会の構築</t>
  </si>
  <si>
    <t>　（2）多様な生物が棲む、豊かな大阪湾にする。</t>
  </si>
  <si>
    <t>■健康で安心して暮らせる資源循環型社会の構築</t>
  </si>
  <si>
    <t>　（1）ＰCＢ廃棄物適正処理の推進</t>
  </si>
  <si>
    <t>　（2）アスベスト飛散防止対策等の推進</t>
  </si>
  <si>
    <t>■低炭素・省エネルギー社会の構築</t>
  </si>
  <si>
    <t>■魅力と活力ある快適な地域づくりの推進</t>
  </si>
  <si>
    <t>64回</t>
  </si>
  <si>
    <t>13回</t>
  </si>
  <si>
    <t>中小企業公害防止資金特別融資</t>
  </si>
  <si>
    <t>　利子補給金　80,601円</t>
  </si>
  <si>
    <t>　貸付（預託）金　3,000,000円</t>
  </si>
  <si>
    <t>　損失保証　460,382円</t>
  </si>
  <si>
    <t>PRTR法・条例に基づく届出件数</t>
  </si>
  <si>
    <t>3,883件</t>
  </si>
  <si>
    <t>99検体</t>
  </si>
  <si>
    <t>生活環境影響評価委員会開催</t>
  </si>
  <si>
    <t>－</t>
  </si>
  <si>
    <t>　環境行政指導業務支援情報システム業務委託</t>
  </si>
  <si>
    <t>750件</t>
  </si>
  <si>
    <t>980件</t>
  </si>
  <si>
    <t>390件</t>
  </si>
  <si>
    <t>　工場排水等分析業務委託　4,045,860円ほか</t>
  </si>
  <si>
    <t>621件</t>
  </si>
  <si>
    <t>437項目</t>
  </si>
  <si>
    <t>621項目</t>
  </si>
  <si>
    <t>　委託 593,987円ほか</t>
  </si>
  <si>
    <t>　廃棄物等の検査分析業務委託470,700円ほか</t>
  </si>
  <si>
    <t>微量PCB汚染廃電気機器等把握支援事業</t>
  </si>
  <si>
    <t>23件</t>
  </si>
  <si>
    <t>26市町</t>
  </si>
  <si>
    <t>　自動車騒音常時監視に係る面的評価</t>
  </si>
  <si>
    <t>32市町村</t>
  </si>
  <si>
    <t>　実施業務委託　　　    　2,373,000円　ほか</t>
  </si>
  <si>
    <t>特定事業者数</t>
  </si>
  <si>
    <t>584社</t>
  </si>
  <si>
    <t>567社</t>
  </si>
  <si>
    <t>　特定事業者実績報告書及び計画書データベ</t>
  </si>
  <si>
    <t>　ース作成委託</t>
  </si>
  <si>
    <t>　　735,000円　ほか</t>
  </si>
  <si>
    <t>中小企業低公害車等購入資金特別融資利子</t>
  </si>
  <si>
    <t>65件</t>
  </si>
  <si>
    <t>補給件数</t>
  </si>
  <si>
    <t>　中小企業低公害車等購入資金特別融資</t>
  </si>
  <si>
    <t>　利子補給　513,649円　ほか</t>
  </si>
  <si>
    <t>　貸付金　500,000円</t>
  </si>
  <si>
    <t>エコカー展示・試乗会の開催数</t>
  </si>
  <si>
    <t>10回</t>
  </si>
  <si>
    <t xml:space="preserve">　（１）人工林における間伐の進捗率　87％
</t>
  </si>
  <si>
    <t>　（１）放置森林施策行動計画の目標に対する人工林の間伐進捗率　概ね90％</t>
  </si>
  <si>
    <t>■校庭の芝生化の推進</t>
  </si>
  <si>
    <t>■温室効果ガス対策の着実な推進</t>
  </si>
  <si>
    <t>■新たなエネルギー社会の構築と環境先進都市・大阪の実現</t>
  </si>
  <si>
    <t>　（２）業務部門、中小事業者への対策の普及</t>
  </si>
  <si>
    <t>18件</t>
  </si>
  <si>
    <t>293ha</t>
  </si>
  <si>
    <t>188ha</t>
  </si>
  <si>
    <t xml:space="preserve">  森林環境保全直接支援事業補助金（高槻市）</t>
  </si>
  <si>
    <t>56ha</t>
  </si>
  <si>
    <t>37ha</t>
  </si>
  <si>
    <t>370ha</t>
  </si>
  <si>
    <t>277ha</t>
  </si>
  <si>
    <t>府民の森整備箇所</t>
  </si>
  <si>
    <t>３箇所</t>
  </si>
  <si>
    <t>４箇所</t>
  </si>
  <si>
    <t>50ha</t>
  </si>
  <si>
    <t>58ha</t>
  </si>
  <si>
    <t>　間伐等工事（河内長野市内）</t>
  </si>
  <si>
    <t>800件</t>
  </si>
  <si>
    <t>686件</t>
  </si>
  <si>
    <t>1,316ha</t>
  </si>
  <si>
    <t>1,302ha</t>
  </si>
  <si>
    <t>　保安林台帳整備事業委託　4,095,000円ほか</t>
  </si>
  <si>
    <t>　40,260円ほか</t>
  </si>
  <si>
    <t>750ha</t>
  </si>
  <si>
    <t>810ha</t>
  </si>
  <si>
    <t>16,880ｍ</t>
  </si>
  <si>
    <t>15,220ｍ</t>
  </si>
  <si>
    <t>公衆トイレ設置箇所数</t>
  </si>
  <si>
    <t>翌年度繰越額　9,830,950円</t>
  </si>
  <si>
    <t>　23,801,900円ほか</t>
  </si>
  <si>
    <t>16ha</t>
  </si>
  <si>
    <t>　25,205,000円ほか</t>
  </si>
  <si>
    <t>　立木補償（能勢町内）</t>
  </si>
  <si>
    <t>　26,400円ほか</t>
  </si>
  <si>
    <t>施工延長</t>
  </si>
  <si>
    <t>1,146ｍ</t>
  </si>
  <si>
    <t>　作業道改修工事（河内長野市内）測量設計委託</t>
  </si>
  <si>
    <t>　892,500円</t>
  </si>
  <si>
    <t>　作業道改修工事（泉佐野市内）</t>
  </si>
  <si>
    <t>　38,273,550円ほか</t>
  </si>
  <si>
    <t>府民の森年間利用者数</t>
  </si>
  <si>
    <t>150万人</t>
  </si>
  <si>
    <t>143万人</t>
  </si>
  <si>
    <t>　　22,770,000円</t>
  </si>
  <si>
    <t>2,250本</t>
  </si>
  <si>
    <t>　堺第7－3区共生の森づくり活動協働事業委託</t>
  </si>
  <si>
    <t>　　4,200,000円</t>
  </si>
  <si>
    <t>　堺第7－3区共生の森植樹イベント業務委託</t>
  </si>
  <si>
    <t>　　1,942,500円</t>
  </si>
  <si>
    <t>　多奈川ビオトープ植樹イベント　1,179,150円</t>
  </si>
  <si>
    <t>1,216件</t>
  </si>
  <si>
    <t>933件</t>
  </si>
  <si>
    <t>　18,475,000円</t>
  </si>
  <si>
    <t>47校</t>
  </si>
  <si>
    <t xml:space="preserve">  840,000円</t>
  </si>
  <si>
    <t>　5,300,000円ほか</t>
  </si>
  <si>
    <t>　14,737,032円ほか</t>
  </si>
  <si>
    <t>766事業者</t>
  </si>
  <si>
    <t>755事業者</t>
  </si>
  <si>
    <t>　民間団体環境保全活動補助金</t>
  </si>
  <si>
    <t>Ｅ３利用車両台数</t>
  </si>
  <si>
    <t>60,000台/月</t>
  </si>
  <si>
    <t>　400,533,000円ほか</t>
  </si>
  <si>
    <t>仲介機関を通じたオフセットクレジット(J-VER)売買量</t>
  </si>
  <si>
    <t>5,953t</t>
  </si>
  <si>
    <t>855t</t>
  </si>
  <si>
    <t>　大阪版ｶｰﾎﾞﾝｵﾌｾｯﾄ制度推進補助　85,500円</t>
  </si>
  <si>
    <t>補助件数</t>
  </si>
  <si>
    <t>90事業</t>
  </si>
  <si>
    <t>民間事業者省ＣＯ２設備導入支援事業補助</t>
  </si>
  <si>
    <t>46件</t>
  </si>
  <si>
    <t>49件</t>
  </si>
  <si>
    <t>　補助金　80,157,000円</t>
  </si>
  <si>
    <t>建物や街区から出る熱負荷量や対策効果を</t>
  </si>
  <si>
    <t>定量的に評価する手法の開発</t>
  </si>
  <si>
    <t>　対策効果シミュレーション事業　5,250,000円</t>
  </si>
  <si>
    <t>相談件数等</t>
  </si>
  <si>
    <t>50件</t>
  </si>
  <si>
    <t>88件</t>
  </si>
  <si>
    <t>　大阪府環境農林水産総合研究所不動産</t>
  </si>
  <si>
    <t>　（土地及び建物）鑑定業務委託料　</t>
  </si>
  <si>
    <t>　1,449,000円　ほか</t>
  </si>
  <si>
    <t>　自然エネルギー協議会負担金　50,000円</t>
  </si>
  <si>
    <t>　　　大阪版認定農業者の農業経営計画実現に向けた支援</t>
  </si>
  <si>
    <t>　（１）新規参入者数（目標）</t>
  </si>
  <si>
    <t>　　</t>
  </si>
  <si>
    <t>　　　継続的なＰＲ（大阪産（もん）ホームページ閲覧数増加）</t>
  </si>
  <si>
    <t>　（１）大阪産（もん）五つの星大賞表彰事業、大阪産（もん）ＰＲ大使による</t>
  </si>
  <si>
    <t>　</t>
  </si>
  <si>
    <t>■大阪府立の植物園として、｢花に憩い｣｢花に学び｣｢花で交流する｣場を管理運営</t>
  </si>
  <si>
    <t>　（1）農地利用調整処理件数　計画：419件</t>
  </si>
  <si>
    <t>　　　助成農業委員会（農業会議含む）　計画：44委員会</t>
  </si>
  <si>
    <t>　　</t>
  </si>
  <si>
    <t>　　　を共催（健康医療部と連携）し、弁当など４メニューを商品化</t>
  </si>
  <si>
    <t>■融資等による農林業経営の支援</t>
  </si>
  <si>
    <t>　（１） 農協等利子補給実績　　19組合</t>
  </si>
  <si>
    <t>　（１）農協等利子補給　（計画　19組合）</t>
  </si>
  <si>
    <t>　（１）農協への常例検査実施　（計画　７組合）</t>
  </si>
  <si>
    <t>流通対策</t>
  </si>
  <si>
    <t>　　　　Ｈ22年度　13市場実施　→　Ｈ23年度　14市場実施</t>
  </si>
  <si>
    <t>環境農林水</t>
  </si>
  <si>
    <t>環境農林水</t>
  </si>
  <si>
    <t>事業</t>
  </si>
  <si>
    <t>　　　・農空間の再生活動にかかわった人数</t>
  </si>
  <si>
    <t>　（２）公的機関等の仲介による農地の貸借等で遊休農地の解消。</t>
  </si>
  <si>
    <t>林業振興</t>
  </si>
  <si>
    <t>森林整備</t>
  </si>
  <si>
    <t>保全事業</t>
  </si>
  <si>
    <t>事業</t>
  </si>
  <si>
    <t>　（１）温室効果ガスの着実な排出削減</t>
  </si>
  <si>
    <t xml:space="preserve">　　　（2010年度の温室効果ガス排出量は、1990年度比12.1％減） </t>
  </si>
  <si>
    <t>畜産振興</t>
  </si>
  <si>
    <t xml:space="preserve"> 　</t>
  </si>
  <si>
    <t>■人と動物が共生できる社会の実現</t>
  </si>
  <si>
    <t xml:space="preserve">   農林水産業の維持と経営の安定に寄与</t>
  </si>
  <si>
    <t>差引残額</t>
  </si>
  <si>
    <t>沿岸漁業改</t>
  </si>
  <si>
    <t>（貸付額　13,300,000円）</t>
  </si>
  <si>
    <t>関係機関と連携し、営農計画の策定や農地と参入希望者とのマッチング等を推進</t>
  </si>
  <si>
    <t>　　　新商品開発等を支援（６件）し、一部商品化見込み</t>
  </si>
  <si>
    <t>　（２）大阪産（もん）チャレンジ支援事業により、環境農林水産総合研究所が</t>
  </si>
  <si>
    <t>■農業への新規参入の拡大、強い農業を通じた農空間を保全</t>
  </si>
  <si>
    <t>■農業への新規参入の拡大、強い農業を通じた農空間の保全</t>
  </si>
  <si>
    <t>　　　・販売（６商品）、大阪産（もん）コンビニメニュー選手権</t>
  </si>
  <si>
    <t>　（３）コンビニエンスストアとの連携により、大阪産（もん）を活用した新商品開発</t>
  </si>
  <si>
    <t>　　・大阪の加工食品のブランド化を推進するとともに、大阪の食の魅力づくりを図る</t>
  </si>
  <si>
    <t>■都市農業・農空間条例に基づき、農空間の持つ多様な公益的機能を確保</t>
  </si>
  <si>
    <t>　（１）ため池や水路の清掃や小学生等による農業体験など農空間保全活動に取り組む。</t>
  </si>
  <si>
    <t>■様々なフィールドでの取り組みを通じた、府民、企業、NPO、市町村との連携強化</t>
  </si>
  <si>
    <t>　（１）【都市の緑】共生の森づくりの推進</t>
  </si>
  <si>
    <t>　（１）【都市の緑】府民協働でイベント実施</t>
  </si>
  <si>
    <t>　（１）校庭の芝生化　50校</t>
  </si>
  <si>
    <t>　（１）校庭の芝生化　47校実施</t>
  </si>
  <si>
    <t>　　　　（9月草刈参加者144名、2月植樹参加者585名）</t>
  </si>
  <si>
    <t>沿岸漁場整備開発事業の実施により、藻場面積の増加</t>
  </si>
  <si>
    <t>藻場・干潟の再生を進め、多様な生物が生息する環境、魚にとって快適な海を実現する</t>
  </si>
  <si>
    <t>　 　（2014年度までに温室効果ガス排出量を1990年度比で15％削減）</t>
  </si>
  <si>
    <t>　　業務部門の中小事業者が直ちに実践できる運用改善について、ランニングコストの低減</t>
  </si>
  <si>
    <t>　　やＣＯ２削減効果を検証し、効果的な対策マニュアルを取りまとめて発信するとともに、</t>
  </si>
  <si>
    <t>　　省エネ・省ＣＯ２相談窓口を設置し、業界団体と連携して、効果的な対策を促進する。</t>
  </si>
  <si>
    <t>　　実施。簡易省エネ診断の結果を基に20事業者を選定し、詳細な省エネ診断及び</t>
  </si>
  <si>
    <t>　（1）大気環境をさらに改善する。（光化学オキシダント濃度0.12ppm（注意報発令レベル）</t>
  </si>
  <si>
    <t>動物取扱業の適正化、動物の愛護及び適正飼養を推進し、人と動物が共生できる</t>
  </si>
  <si>
    <t>■動物由来感染症を含む家畜伝染病等の発生の発生予防とまん延防止</t>
  </si>
  <si>
    <t>府民に安心できる畜産物を安定的に供給するため、家畜保健衛生所を設置運営し、</t>
  </si>
  <si>
    <t>人と野生鳥獣との適切な関係の構築及び生物多様性の保全を基本として、野生鳥獣の</t>
  </si>
  <si>
    <t>■府民牧場の管理運営</t>
  </si>
  <si>
    <t>■府民牧場の管理運営</t>
  </si>
  <si>
    <t>環境農林水産総合研究所食とみどり技術センターの旧畜舎の改修について、</t>
  </si>
  <si>
    <t>設計業務を実施。</t>
  </si>
  <si>
    <t>■地域に適応した乳牛の選抜改良</t>
  </si>
  <si>
    <t>乳牛の生産性向上のため、府下の夏季の猛暑に適応できるような家畜改良を推進する。</t>
  </si>
  <si>
    <t>■地域に適応した乳牛の選抜改良</t>
  </si>
  <si>
    <t>■畜産経営の安定化</t>
  </si>
  <si>
    <t>牛トレサビリティー等を実施して、安全で良質な畜産物の安定供給を図る。</t>
  </si>
  <si>
    <t>畜産物の計画的生産や価格安定対策及び家畜増殖対策等を推進し、飼料の安全性確保や</t>
  </si>
  <si>
    <t>さらに、畜産環境保全の適切な指導により資源循環型農業を目指す。</t>
  </si>
  <si>
    <t>みどり豊かな自然の中で、家畜とのふれあい等を通じて府民に潤いを提供する。</t>
  </si>
  <si>
    <t>府民牧場の管理運営及び府内酪農家の乳用子牛の育成を実施し酪農振興を図る。</t>
  </si>
  <si>
    <t>保護と農林業被害の軽減、狩猟の適正化等を図る。</t>
  </si>
  <si>
    <t>社会の実現を図る。</t>
  </si>
  <si>
    <t>動物由来感染症を含む家畜伝染病等の発生予防やまん延防止を図る。</t>
  </si>
  <si>
    <t>（附帯歳入）</t>
  </si>
  <si>
    <t>■研究所の管理運営及び農業後継者等の養成</t>
  </si>
  <si>
    <t>　（１）農業担い手育成人数（農業大学校学生数）　実績：46人</t>
  </si>
  <si>
    <t>試験研究や技術支援、環境監視等を担う環境農林水産総合研究所の維持管理、</t>
  </si>
  <si>
    <t>運営を行うとともに、農業後継者及び農業技術者を養成する。</t>
  </si>
  <si>
    <t>　（１）農業担い手育成人数（農業大学校学生数）　計画：50人</t>
  </si>
  <si>
    <t>地方公設試験研究機関として、１.環境の保全、再生、創造を支える試験研究、</t>
  </si>
  <si>
    <t>領域を設定し、環境に重点を置いた試験研究を推進する。</t>
  </si>
  <si>
    <t>　　　　の未然防止を図る。</t>
  </si>
  <si>
    <t>　　　　　　　　　　　　　　</t>
  </si>
  <si>
    <t xml:space="preserve">　　　　   </t>
  </si>
  <si>
    <t>　水門等の機能高度化及び護岸・門扉等の耐震補強工事</t>
  </si>
  <si>
    <t>■「大阪府海区漁業調整委員会」及び「大阪府内水面漁場管理委員会」</t>
  </si>
  <si>
    <t>■「大阪府海区漁業調整委員会」及び「大阪府内水面漁場管理委員会」の運営</t>
  </si>
  <si>
    <t>　　の運営</t>
  </si>
  <si>
    <t>地方自治法等に基づく行政委員会である「大阪府海区漁業調整委員会」及び</t>
  </si>
  <si>
    <t>「大阪府内水面漁場管理委員会」の運営・開催を行う。</t>
  </si>
  <si>
    <t>　</t>
  </si>
  <si>
    <t>■漁港の整備</t>
  </si>
  <si>
    <t>■漁港の整備</t>
  </si>
  <si>
    <t>整備後相当の年数が経過していることから、岸壁護岸機能を維持するため、</t>
  </si>
  <si>
    <t>■海岸の整備</t>
  </si>
  <si>
    <t>■海岸の整備</t>
  </si>
  <si>
    <t>海岸事業：東南海・南海地震津波対策事業（H17年度～）</t>
  </si>
  <si>
    <t>の陸閘直下の液状化対策を実施する。</t>
  </si>
  <si>
    <t>　（１）新規参入者数</t>
  </si>
  <si>
    <t>　　・農空間活用の新たな担い手の確保：10年間で260人（企業含む）</t>
  </si>
  <si>
    <t>　府民認知度46.2％（H23.3）→50％超</t>
  </si>
  <si>
    <t>　農業改良資金収納事務委託　59,419円</t>
  </si>
  <si>
    <t>　（１） 就農支援資金貸付</t>
  </si>
  <si>
    <t>■農林漁業制度融資の貸付制度の普及と事業の適正かつ円滑な推進</t>
  </si>
  <si>
    <t>　施設管理運営委託　186,555,000円　ほか</t>
  </si>
  <si>
    <t>　みずのみ管理道溝蓋設置工事　</t>
  </si>
  <si>
    <t>　　　（DO5mg/l以上（湾奥部は3mg/l以上）を達成する。）</t>
  </si>
  <si>
    <t>　（1）光化学オキシダント・VOC対策</t>
  </si>
  <si>
    <t>　　　光化学スモッグ発令時の府民周知(予報４回、注意報４回発令）、</t>
  </si>
  <si>
    <t>　　　緊急時措置の対象工場への削減要請(のべ727回)</t>
  </si>
  <si>
    <t>　　　</t>
  </si>
  <si>
    <t>　　　法・条例に基づく排出規制や化学物質管理制度による自主的取組の促進</t>
  </si>
  <si>
    <t>　（2）総量削減計画の策定及び推進</t>
  </si>
  <si>
    <t>　　　(化学物質対策セミナー１回開催)</t>
  </si>
  <si>
    <t>　（3）化学物質対策の推進</t>
  </si>
  <si>
    <t>　　　法・条例に基づく排出量等の届出指導による自主的管理の促進</t>
  </si>
  <si>
    <t>　　　化学物質対策セミナー等を通じた府民・事業者・行政の対話の推進</t>
  </si>
  <si>
    <t>　　　(排出量等の届出件数：法1,703件、条例1,285件)</t>
  </si>
  <si>
    <t>　　　に限る。）の処理進捗率を、さらに高める。</t>
  </si>
  <si>
    <t>　（1）大阪府域におけるＰＣＢ廃棄物（現在ＪＥＳＣＯ大阪事業所の処理対象である高圧機器等</t>
  </si>
  <si>
    <t>　（2） 法・条例に基づく石綿排出等作業届出の審査、立入検査によるアスベストの飛散防止</t>
  </si>
  <si>
    <t>　　　（H21年度の府内におけるエコカー保有台数は約18万台）</t>
  </si>
  <si>
    <t>　　　エコカー保有台数35万台を目指す。</t>
  </si>
  <si>
    <t>　（1）H32年には大阪の自動車の半分がエコカーとなるよう、H23年度末の府内における</t>
  </si>
  <si>
    <t>　      (自動車排出ガス測定局33局平均）</t>
  </si>
  <si>
    <t>　（1）エコカー普及促進</t>
  </si>
  <si>
    <t>　（1）自動車排出ガス総量削減計画の推進</t>
  </si>
  <si>
    <t>　      (自動車排出ガス測定局33局平均）</t>
  </si>
  <si>
    <t>　（2）流入車対策の推進</t>
  </si>
  <si>
    <t>　（1）道路沿道における環境保全目標の達成率の向上　（H21年度　91.9％）</t>
  </si>
  <si>
    <t>　（1）道路交通騒音対策の推進</t>
  </si>
  <si>
    <t>　　　・府域の環境保全目標の達成率　　H22年度　91.8％</t>
  </si>
  <si>
    <t>公共空間での植栽数</t>
  </si>
  <si>
    <t>約1,000本</t>
  </si>
  <si>
    <t>約1,100本</t>
  </si>
  <si>
    <t>（H23～25年度</t>
  </si>
  <si>
    <t>約3,000本）</t>
  </si>
  <si>
    <t>民有地での植栽数</t>
  </si>
  <si>
    <t>約1,500本</t>
  </si>
  <si>
    <t>約2,300本</t>
  </si>
  <si>
    <t>約4,500本）</t>
  </si>
  <si>
    <t>翌年度繰越額　13,640,000円</t>
  </si>
  <si>
    <t>802人</t>
  </si>
  <si>
    <t>環境審議会、森林審議会ほか</t>
  </si>
  <si>
    <t>128回</t>
  </si>
  <si>
    <t>55回</t>
  </si>
  <si>
    <t>　8,925,000円</t>
  </si>
  <si>
    <t>■「みどりの風促進区域」における緑化の推進</t>
  </si>
  <si>
    <t>　（１）「みどりの風促進区域における地域の緑化プランの策定　41地域</t>
  </si>
  <si>
    <t>　（１）「みどりの風促進区域における地域の緑化プランの策定　30地域</t>
  </si>
  <si>
    <t>　（２）公共空間で約1,100本植栽</t>
  </si>
  <si>
    <t>　（２）公共空間で約3,000本植栽（H23年度～H25年度）：単年度約1,000本</t>
  </si>
  <si>
    <t xml:space="preserve"> 　　　民有地で約2,300本植栽</t>
  </si>
  <si>
    <t>　　　 民有地で約4,500本植栽（H23年度～H25年度）：単年度約1,500本</t>
  </si>
  <si>
    <t>　151,450,000円</t>
  </si>
  <si>
    <t>大阪エコ農産物認証面積（H28目標）</t>
  </si>
  <si>
    <t xml:space="preserve">  241,500円ほか</t>
  </si>
  <si>
    <t>　108,383,000円ほか</t>
  </si>
  <si>
    <t>　監査法人への業務委託　2,940,000円ほか</t>
  </si>
  <si>
    <t>　企業債償還金等出資金　18,754,000円</t>
  </si>
  <si>
    <t>　全国湖沼河川養殖研究会負担金</t>
  </si>
  <si>
    <t>　40,000円ほか</t>
  </si>
  <si>
    <t>　庁舎清掃業務委託料　2,133,760円ほか</t>
  </si>
  <si>
    <t>　調査船係船場補修工事　1,488,900円</t>
  </si>
  <si>
    <t>　瀬戸内海ブロック水産試験場長会負担金</t>
  </si>
  <si>
    <t>　10,000円ほか</t>
  </si>
  <si>
    <t>12地区</t>
  </si>
  <si>
    <t xml:space="preserve"> 2.49K㎡</t>
  </si>
  <si>
    <t>　地籍調査推進資料整理業務委託</t>
  </si>
  <si>
    <t>　892,500円 ほか</t>
  </si>
  <si>
    <t>　（吹田市）8,652,500円 ほか</t>
  </si>
  <si>
    <t>40箇所、7件</t>
  </si>
  <si>
    <t>　拠出事業補助金　7,902,000円ほか</t>
  </si>
  <si>
    <t>　交付金(H23実績）　1,846,000円　ほか</t>
  </si>
  <si>
    <t xml:space="preserve">11地区 </t>
  </si>
  <si>
    <t>2.47K㎡</t>
  </si>
  <si>
    <t>　大阪府農業会議補助金　61,210,000円ほか</t>
  </si>
  <si>
    <t>419件</t>
  </si>
  <si>
    <t>461件</t>
  </si>
  <si>
    <t>392筆12.01ha</t>
  </si>
  <si>
    <t>397筆12.43ha</t>
  </si>
  <si>
    <t>8,650㎡</t>
  </si>
  <si>
    <t>4,452㎡</t>
  </si>
  <si>
    <t>　国有財産登記測量(23測-4)業務委託</t>
  </si>
  <si>
    <t>　955,500円ほか</t>
  </si>
  <si>
    <t>12事業所</t>
  </si>
  <si>
    <t>14事業所</t>
  </si>
  <si>
    <t>　林業労働安全衛生定着促進活動事業補助金</t>
  </si>
  <si>
    <t>　200,000円</t>
  </si>
  <si>
    <t>森林整備加速化・林業再生事業補助金補助件数</t>
  </si>
  <si>
    <t>　木材加工流通施設等整備</t>
  </si>
  <si>
    <t>　54,200,000円</t>
  </si>
  <si>
    <t>　地域材利用開発</t>
  </si>
  <si>
    <t>　43,161,000円　　　ほか</t>
  </si>
  <si>
    <r>
      <t xml:space="preserve">  交付金　</t>
    </r>
    <r>
      <rPr>
        <sz val="11"/>
        <rFont val="ＭＳ Ｐゴシック"/>
        <family val="3"/>
      </rPr>
      <t>1,233,500</t>
    </r>
    <r>
      <rPr>
        <sz val="11"/>
        <rFont val="ＭＳ Ｐゴシック"/>
        <family val="3"/>
      </rPr>
      <t>円</t>
    </r>
  </si>
  <si>
    <t>　木造公共施設等整備　15,891,000円</t>
  </si>
  <si>
    <t>　4,519,438円ほか</t>
  </si>
  <si>
    <t>　間伐等工事（岬町内）</t>
  </si>
  <si>
    <t xml:space="preserve">  6,090,000円ほか</t>
  </si>
  <si>
    <t>　交付金（土地所有者分収金　高槻市）</t>
  </si>
  <si>
    <t>　297,641円ほか</t>
  </si>
  <si>
    <t>　予防治山工事（高槻市内）測量設計委託　</t>
  </si>
  <si>
    <t>　1,286,250円ほか</t>
  </si>
  <si>
    <t>　予防治山工事(高槻市内)</t>
  </si>
  <si>
    <t>　16,611,000円ほか</t>
  </si>
  <si>
    <t>　立木補償(高槻市内) 70,600円ほか</t>
  </si>
  <si>
    <t>翌年度繰越額　36,197,500円</t>
  </si>
  <si>
    <t>　7,980,000円ほか</t>
  </si>
  <si>
    <t xml:space="preserve">  間伐事業補助金（豊能町） 16,830,000円ほか</t>
  </si>
  <si>
    <t>　都市緑地保全事業市町村交付金　1,132,000円</t>
  </si>
  <si>
    <t>　緑化樹養成配付事業委託　15,750,000円</t>
  </si>
  <si>
    <t>　（うち地域緑化　14,419,270円）ほか</t>
  </si>
  <si>
    <t>　みどりの基金積立金　242,938,576円</t>
  </si>
  <si>
    <t>　みどりづくり推進事業補助金　1,990,000円ほか</t>
  </si>
  <si>
    <t>　3,386,250円ほか</t>
  </si>
  <si>
    <t>　資源回復計画支援事業負担金</t>
  </si>
  <si>
    <t>　1,129,722円ほか</t>
  </si>
  <si>
    <t xml:space="preserve"> 　9,100,000円ほか</t>
  </si>
  <si>
    <t>浚渫工事（西鳥取漁港ほか）</t>
  </si>
  <si>
    <t>　遠隔監視制御設備点検業務　4,095,957円ほか</t>
  </si>
  <si>
    <t>　維持浚渫工事　6,380,850円ほか</t>
  </si>
  <si>
    <t>　大阪府漁港漁場協会負担金　299,000円ほか</t>
  </si>
  <si>
    <t>　物揚場整備工事　43,865,850円ほか</t>
  </si>
  <si>
    <t>　機能保全工事　21,420,000円ほか</t>
  </si>
  <si>
    <t xml:space="preserve">　水門等遠隔監視施設設備工事 </t>
  </si>
  <si>
    <t>1漁港</t>
  </si>
  <si>
    <t>温暖化防止条例に基づく事業者からの実績報告数</t>
  </si>
  <si>
    <t>　(番川を守る会)　97,051円　ほか</t>
  </si>
  <si>
    <t>　基金取崩額　509,270円</t>
  </si>
  <si>
    <t>　積立金　501,780円</t>
  </si>
  <si>
    <t>－</t>
  </si>
  <si>
    <t>　省エネ・省ＣＯ２相談窓口設置・運営費　</t>
  </si>
  <si>
    <t>　995,000円</t>
  </si>
  <si>
    <t>　公害防止事務費交付金　85,053,000円</t>
  </si>
  <si>
    <t>　移譲事務交付金　 5,815,000円</t>
  </si>
  <si>
    <t>　業務委託　756,000円ほか</t>
  </si>
  <si>
    <t>　958,000円</t>
  </si>
  <si>
    <t xml:space="preserve">  34件</t>
  </si>
  <si>
    <t>　地下水位等観測委託　2,415,000円</t>
  </si>
  <si>
    <t>130件</t>
  </si>
  <si>
    <t>大阪府廃棄物処理施設等の設置に係る</t>
  </si>
  <si>
    <t>　微量PCB汚染廃電気機器等把握支援事業</t>
  </si>
  <si>
    <t>　補助金　1,328,000円</t>
  </si>
  <si>
    <t>315回</t>
  </si>
  <si>
    <t xml:space="preserve">  1,596,000円ほか</t>
  </si>
  <si>
    <t xml:space="preserve">  544,950円ほか</t>
  </si>
  <si>
    <t>　168,000円ほか</t>
  </si>
  <si>
    <t>　47,000,000円</t>
  </si>
  <si>
    <t>　権限移譲事務交付金　3,686,000円</t>
  </si>
  <si>
    <t>　2,058,000円　ほか</t>
  </si>
  <si>
    <t>82,691枚</t>
  </si>
  <si>
    <t>　23,143,908円　ほか</t>
  </si>
  <si>
    <t>　ばいじん等の検査分析業務委託　533,925円</t>
  </si>
  <si>
    <t>　1,200,000円ほか</t>
  </si>
  <si>
    <t>　リサイクル製品認定審査業務、HP更新業務</t>
  </si>
  <si>
    <t>　委託　900,900円ほか</t>
  </si>
  <si>
    <t>　管理等業務委託　32,770,500円ほか</t>
  </si>
  <si>
    <t>　2,493,000円ほか</t>
  </si>
  <si>
    <t>　原状回復支援事業出えん金返還　13,000円</t>
  </si>
  <si>
    <t>　畜産経営技術の高度化推進業務委託</t>
  </si>
  <si>
    <t>　5,863,000円</t>
  </si>
  <si>
    <t>150戸</t>
  </si>
  <si>
    <t>168戸</t>
  </si>
  <si>
    <t>148千人</t>
  </si>
  <si>
    <t>770頭</t>
  </si>
  <si>
    <t>狩猟免許受検者数</t>
  </si>
  <si>
    <t>220人</t>
  </si>
  <si>
    <t>264人</t>
  </si>
  <si>
    <t>シカ・イノシシ捕獲頭数</t>
  </si>
  <si>
    <t>3,000頭</t>
  </si>
  <si>
    <t>3,754頭</t>
  </si>
  <si>
    <t>　野生鹿生息状況調査委託　1,664,135円ほか</t>
  </si>
  <si>
    <t>　森林整備工事費　840,000円</t>
  </si>
  <si>
    <t>　野生鹿被害防止事業補助金　1,650,000円ほか</t>
  </si>
  <si>
    <t>　犬猫死体処理費市町村交付金　6,263,300円</t>
  </si>
  <si>
    <t>大阪府動物愛護管理センター（仮称）基本構想</t>
  </si>
  <si>
    <t>の策定</t>
  </si>
  <si>
    <t>　主要地方道大阪中央環状線道路緑化工事　</t>
  </si>
  <si>
    <t>　みどりの風の道形成事業補助金交付</t>
  </si>
  <si>
    <t>　沿岸漁業改善資金事務委託　242,838円</t>
  </si>
  <si>
    <r>
      <t>　（１）大阪版認定農業者数　</t>
    </r>
    <r>
      <rPr>
        <sz val="11"/>
        <rFont val="ＭＳ Ｐゴシック"/>
        <family val="3"/>
      </rPr>
      <t>180件(累計2,033件)</t>
    </r>
  </si>
  <si>
    <r>
      <t>　（１）実施課題数（漁場環境調査研究など）　実績：</t>
    </r>
    <r>
      <rPr>
        <sz val="11"/>
        <rFont val="ＭＳ Ｐゴシック"/>
        <family val="3"/>
      </rPr>
      <t>116課題　</t>
    </r>
  </si>
  <si>
    <r>
      <t>　（１）実施課題数（漁場環境調査研究など）　計画：</t>
    </r>
    <r>
      <rPr>
        <sz val="11"/>
        <rFont val="ＭＳ Ｐゴシック"/>
        <family val="3"/>
      </rPr>
      <t>110課題　</t>
    </r>
  </si>
  <si>
    <r>
      <t>　（１）農空間の再生活動に関わった府民の人数　</t>
    </r>
    <r>
      <rPr>
        <sz val="11"/>
        <rFont val="ＭＳ Ｐゴシック"/>
        <family val="3"/>
      </rPr>
      <t>50,000人</t>
    </r>
  </si>
  <si>
    <r>
      <t>■</t>
    </r>
    <r>
      <rPr>
        <sz val="11"/>
        <rFont val="ＭＳ Ｐゴシック"/>
        <family val="3"/>
      </rPr>
      <t>森で楽しむ機会の拡大
■H22 里山の自然学校「紀泉わいわい村」の年間利用者数　3.2万人</t>
    </r>
  </si>
  <si>
    <r>
      <t>■</t>
    </r>
    <r>
      <rPr>
        <sz val="11"/>
        <rFont val="ＭＳ Ｐゴシック"/>
        <family val="3"/>
      </rPr>
      <t xml:space="preserve">森で楽しむ機会の拡大
</t>
    </r>
  </si>
  <si>
    <r>
      <t>　（1）,（2） ＮＯ</t>
    </r>
    <r>
      <rPr>
        <vertAlign val="subscript"/>
        <sz val="11"/>
        <rFont val="ＭＳ Ｐゴシック"/>
        <family val="3"/>
      </rPr>
      <t>２</t>
    </r>
    <r>
      <rPr>
        <sz val="11"/>
        <rFont val="ＭＳ Ｐゴシック"/>
        <family val="3"/>
      </rPr>
      <t>・SPMの環境濃度の改善</t>
    </r>
  </si>
  <si>
    <r>
      <t>　（１）観測地点　</t>
    </r>
    <r>
      <rPr>
        <sz val="11"/>
        <rFont val="ＭＳ Ｐゴシック"/>
        <family val="3"/>
      </rPr>
      <t>28箇所　</t>
    </r>
  </si>
  <si>
    <r>
      <t>実績　　</t>
    </r>
    <r>
      <rPr>
        <sz val="11"/>
        <rFont val="ＭＳ Ｐゴシック"/>
        <family val="3"/>
      </rPr>
      <t>３件</t>
    </r>
  </si>
  <si>
    <r>
      <t>（貸付額　</t>
    </r>
    <r>
      <rPr>
        <sz val="11"/>
        <rFont val="ＭＳ Ｐゴシック"/>
        <family val="3"/>
      </rPr>
      <t>8,380,000円）</t>
    </r>
  </si>
  <si>
    <t>■リサイクル製品の普及促進</t>
  </si>
  <si>
    <t>大阪府循環型社会形成推進条例に基づき、リサイクル製品に対する需要の拡大を通じて、</t>
  </si>
  <si>
    <t>■産業廃棄物の適正処理</t>
  </si>
  <si>
    <t>■循環型社会づくりの道筋を示す</t>
  </si>
  <si>
    <t>建設廃棄物の発生抑制・リサイクルの促進、排出事業者に対する指導の徹底や健全な</t>
  </si>
  <si>
    <t>産業廃棄物処理業者の育成等の施策を推進する。</t>
  </si>
  <si>
    <t>　平成23年度農業者戸別所得補償制度推進</t>
  </si>
  <si>
    <t>　事業費補助金　49,094323円</t>
  </si>
  <si>
    <t>大阪産（もん）名品・Eマーク商品の認定</t>
  </si>
  <si>
    <r>
      <t>　池谷池改修（23）工事　</t>
    </r>
    <r>
      <rPr>
        <sz val="11"/>
        <rFont val="ＭＳ Ｐゴシック"/>
        <family val="3"/>
      </rPr>
      <t>38,850,000</t>
    </r>
    <r>
      <rPr>
        <sz val="11"/>
        <rFont val="ＭＳ Ｐゴシック"/>
        <family val="3"/>
      </rPr>
      <t>円ほか</t>
    </r>
  </si>
  <si>
    <t>　9,915,000円</t>
  </si>
  <si>
    <t>■循環型社会づくりの道筋を示す</t>
  </si>
  <si>
    <t>から脱却する。</t>
  </si>
  <si>
    <t>循環型社会の形成に寄与する事業者の育成を図る。</t>
  </si>
  <si>
    <t>生活環境</t>
  </si>
  <si>
    <t>施設整備</t>
  </si>
  <si>
    <t>促進費</t>
  </si>
  <si>
    <t>農業施設</t>
  </si>
  <si>
    <t>災害復旧費</t>
  </si>
  <si>
    <t>　15,000,000円ほか</t>
  </si>
  <si>
    <t>　畜産環境保全推進委託　300,000円ほか</t>
  </si>
  <si>
    <t>　管理運営委託　71,426,000円ほか</t>
  </si>
  <si>
    <t>　家畜改良増殖対策事業補助金　420,000円ほか　</t>
  </si>
  <si>
    <t xml:space="preserve">       ：約23回</t>
  </si>
  <si>
    <t>　　　大阪府担い手育成総合支援協議会による大阪版認定農業者への経営指導等</t>
  </si>
  <si>
    <t>２.安全で豊かな食や地域特性に応じた農林水産業の振興・活性化を支える</t>
  </si>
  <si>
    <t>調査及び試験研究、３.危機管理事象への対応を支える試験研究の３つ研究</t>
  </si>
  <si>
    <t>　　　</t>
  </si>
  <si>
    <t>　（3）環境リスクの高い化学物質の排出量をＨ２２年より削減する。</t>
  </si>
  <si>
    <t>　（3）生活排水対策の促進及び産業排水対策の推進</t>
  </si>
  <si>
    <t>　　　第7次総量削減計画を策定するとともに、COD、T-N、T-Pの府内での発生</t>
  </si>
  <si>
    <t>　　　負荷量の削減を推進</t>
  </si>
  <si>
    <t>　　　計画の進行管理を行い、施策の実施状況や目標の達成状況のとりまとめ等</t>
  </si>
  <si>
    <t>　　　規制指導、作業実施中における敷地境界濃度測定、パトロール等を実施し、アスベスト</t>
  </si>
  <si>
    <t>　　　の飛散防止に努める。</t>
  </si>
  <si>
    <t>　（２）府域の公共用水域等の常時監視や分析を行い、府民の健康被害等の未然防止を</t>
  </si>
  <si>
    <t>　　　　図る。　 計画：河川海域72地点、広域総合水域7地点、地下水質85地点</t>
  </si>
  <si>
    <t>35万トン）</t>
  </si>
  <si>
    <t>（2015年度におけるごみ排出量305万トン、リサイクル率29％、最終処分量　</t>
  </si>
  <si>
    <t>（2015年度に産業廃棄物の排出量1,565万ﾄン、ﾘｻｲｸﾙ率35％、最終処分量49万ﾄﾝ）</t>
  </si>
  <si>
    <t>　（２）狩猟免許取得の推進</t>
  </si>
  <si>
    <t>　（３）イノシシ・ニホンジカの捕獲の推進</t>
  </si>
  <si>
    <t>　(１)動物一時保護センターの管理運営</t>
  </si>
  <si>
    <t>　（１）家畜保健衛生所の維持管理</t>
  </si>
  <si>
    <t>　（２）家畜伝染病等の検査・注射の実施検体数</t>
  </si>
  <si>
    <t>　（３）動物由来感染症等の検査等の実施検体数</t>
  </si>
  <si>
    <t>■農林漁業制度融資の貸付制度の普及と事業の適正かつ円滑な推進</t>
  </si>
  <si>
    <t>推進事業費</t>
  </si>
  <si>
    <t>みどりの風促進区域重点緑化事業費</t>
  </si>
  <si>
    <t>大阪産（もん）チャレンジ支援・表彰事業費</t>
  </si>
  <si>
    <t>都市農業参入サポート事業費</t>
  </si>
  <si>
    <t>食品表示適正化推進事業費</t>
  </si>
  <si>
    <t>環境農林水産総合研究所管理運営費</t>
  </si>
  <si>
    <t>森林整備加速化・林業再生事業費</t>
  </si>
  <si>
    <t>給料　　　　　3,093,595,549円</t>
  </si>
  <si>
    <t>職員手当等　　2,380,163,982円</t>
  </si>
  <si>
    <r>
      <t>7</t>
    </r>
    <r>
      <rPr>
        <sz val="11"/>
        <rFont val="ＭＳ Ｐゴシック"/>
        <family val="3"/>
      </rPr>
      <t>78</t>
    </r>
    <r>
      <rPr>
        <sz val="11"/>
        <rFont val="ＭＳ Ｐゴシック"/>
        <family val="3"/>
      </rPr>
      <t>人</t>
    </r>
  </si>
  <si>
    <t>　760,000円</t>
  </si>
  <si>
    <t>　復旧治山工事（千早赤阪村内）</t>
  </si>
  <si>
    <t>　奥地保安林保全緊急対策工事（能勢町内）　</t>
  </si>
  <si>
    <t>　測量設計委託　1,852,200円ほか</t>
  </si>
  <si>
    <t>　奥地保安林保全緊急対策工事（能勢町内）</t>
  </si>
  <si>
    <t>■間伐材利用の推進</t>
  </si>
  <si>
    <t>放置森林対策行動計画における間伐材利用量目標値　3,000㎥</t>
  </si>
  <si>
    <t>　　　 「みどりの風促進区域」の協力企業　106社</t>
  </si>
  <si>
    <t>「みどりの風促進区域」において、地域が主体となった公共空間と民有地の</t>
  </si>
  <si>
    <t>一体的な緑化を促進</t>
  </si>
  <si>
    <t>　　　 「みどりの風促進区域」の協力企業　100社</t>
  </si>
  <si>
    <t>農地法の適切な運用と農業委員会の円滑な運営を図るための</t>
  </si>
  <si>
    <t>■国有農地の維持管理及び処分</t>
  </si>
  <si>
    <t>国有農地のうち、処分未済の土地等について、維持管理及び</t>
  </si>
  <si>
    <t>売払い等の処分の実施</t>
  </si>
  <si>
    <t>助成の実施</t>
  </si>
  <si>
    <t>間伐必要面積3,203haに対し、 1,197haの間伐を実施</t>
  </si>
  <si>
    <t>　　　（敷地境界基準を超過した事例は皆無）</t>
  </si>
  <si>
    <t>　　　流入車規制を実施し、適合車等への表示が必要なステッカーの交付と</t>
  </si>
  <si>
    <t>　　　立入検査・指導の実施</t>
  </si>
  <si>
    <t xml:space="preserve">      道路沿道における騒音に係る環境保全目標の達成状況を把握と、</t>
  </si>
  <si>
    <t>　　　関係機関に対する騒音対策の取組みの働きかけ</t>
  </si>
  <si>
    <t>循環型社会推進計画における具体的な目標の策定</t>
  </si>
  <si>
    <t>　　エネルギー消費をモニタリングする装置によるデータ収集を実施</t>
  </si>
  <si>
    <t>　　　 旧計画（地球温暖化対策地域推進計画）の目標年度である2010年度の目標</t>
  </si>
  <si>
    <t>　　　運用改善によるランニングコストの低減やＣＯ２削減効果を検証し、省エネ診断</t>
  </si>
  <si>
    <t>　　　省エネ・省ＣＯ2相談窓口において活用</t>
  </si>
  <si>
    <t>　　　なお、H23年9 月の速報値ではエコカー保有台数は約35 万台</t>
  </si>
  <si>
    <t>　　　啓発活動や充電インフラの整備などの取組みを実施</t>
  </si>
  <si>
    <t>　　　府内のH22年度のエコカー保有台数は約31 万台</t>
  </si>
  <si>
    <t>「みどりの風促進区域」の指定実施（12路線　約200km）</t>
  </si>
  <si>
    <t>　　企業参入　５社、新規就農（農外）　14人、準農家　12人</t>
  </si>
  <si>
    <t>　　・H23年度目標：企業参入　３社、新規就農（農外）　10人、準農家　10人</t>
  </si>
  <si>
    <t>　（４）大阪産（もん）府民認知度H24.3月：52％</t>
  </si>
  <si>
    <t>　　・地方卸売市場検査・指導（全29市場）　　</t>
  </si>
  <si>
    <t>　　　　Ｈ22年度4,333店舗実施　→　Ｈ23年度4,246店舗実施</t>
  </si>
  <si>
    <t>　　　・遊休農地50haを解消　</t>
  </si>
  <si>
    <t>　（1）Ｈ23年度末　管理面積　計画：12.01ha</t>
  </si>
  <si>
    <t>　（1）Ｈ23年度末　管理面積　12.43ha</t>
  </si>
  <si>
    <t>　Ｈ23年度　間伐材利用量　　5,336㎥</t>
  </si>
  <si>
    <t>森林機能の向上を図るため、Ｈ24年度までのスギ・ヒノキ人工林の</t>
  </si>
  <si>
    <t>漁港事業：水産物供給基盤機能保全事業（H21年度～）</t>
  </si>
  <si>
    <t>　　ソフトの開発及び業種ごとに対策マニュアルをまとめ、24年１月に開設</t>
  </si>
  <si>
    <t>佐野漁港の岸壁護岸については、昭和30年代に整備された鋼構造物が多く、</t>
  </si>
  <si>
    <t>H21年度に作成した機能保全計画書を基に、岸壁の補修工事を行う。</t>
  </si>
  <si>
    <t>　　　（地球温暖化対策実行計画において目標や対策を示す。）</t>
  </si>
  <si>
    <t>　　　未満を目指す。）</t>
  </si>
  <si>
    <t>　　　（Ｈ22年：4,670トン）</t>
  </si>
  <si>
    <t>　　　処理進捗率　Ｈ23年12月末　約63％</t>
  </si>
  <si>
    <t>　　　届出の審査や現場への立入指導（203件）の実施</t>
  </si>
  <si>
    <t>　　　生活排水適正処理率　Ｈ23年度末　93.7％
　　　</t>
  </si>
  <si>
    <t>　　　（Ｈ22年12月末　約58％）</t>
  </si>
  <si>
    <t>　（３）生活排水適正処理率100％を目指す。</t>
  </si>
  <si>
    <t>　　　　（Ｈ22年度末　93.3％）</t>
  </si>
  <si>
    <r>
      <t>　　　　H22年度年平均値 NO</t>
    </r>
    <r>
      <rPr>
        <vertAlign val="subscript"/>
        <sz val="11"/>
        <rFont val="ＭＳ Ｐゴシック"/>
        <family val="3"/>
      </rPr>
      <t>2　</t>
    </r>
    <r>
      <rPr>
        <sz val="11"/>
        <rFont val="ＭＳ Ｐゴシック"/>
        <family val="3"/>
      </rPr>
      <t>0.026ppm、SPM　0.024mg/m</t>
    </r>
    <r>
      <rPr>
        <vertAlign val="superscript"/>
        <sz val="11"/>
        <rFont val="ＭＳ Ｐゴシック"/>
        <family val="3"/>
      </rPr>
      <t>3</t>
    </r>
    <r>
      <rPr>
        <sz val="11"/>
        <rFont val="ＭＳ Ｐゴシック"/>
        <family val="3"/>
      </rPr>
      <t xml:space="preserve"> </t>
    </r>
  </si>
  <si>
    <t>　　　　　ステッカー交付枚数：約8.3万枚</t>
  </si>
  <si>
    <t>　　　　　立入検査：48回、約4,500台</t>
  </si>
  <si>
    <t>　　　　光化学スモッグ予報等発令回数　予報４回　注意報４回</t>
  </si>
  <si>
    <t>　（２）観測地点　実績：河川海域72地点、広域総合水域７地点、地下水質85地点　</t>
  </si>
  <si>
    <t>設定し、施策体系を確立した上で、市町村等と連携した施策に着手し５年以内にワースト１</t>
  </si>
  <si>
    <t>　不適正処理件数　Ｈ23年度　316件</t>
  </si>
  <si>
    <t>Ｈ23年度末の閉場まで、管理運営を適切に実施する。</t>
  </si>
  <si>
    <t>（計画　13件）</t>
  </si>
  <si>
    <t>実績　　６件</t>
  </si>
  <si>
    <t>　　　H22年度: 平均12,000回/月→H23.6月以降：約20,000/月</t>
  </si>
  <si>
    <t>　　　H23年度：47.7ha（累計178.9ha）</t>
  </si>
  <si>
    <t>　（１）H23年度 里山の自然学校「紀泉わいわい村」の年間利用者数　（年間2.9万人）</t>
  </si>
  <si>
    <t>　　（１）Ｈ22年度末　約356ha　→　Ｈ23年度末　約357ha　　　　</t>
  </si>
  <si>
    <t>　　（１）大阪府の藻場面積を400haに（Ｈ26年度末）</t>
  </si>
  <si>
    <t>　　　海区漁業調整委員会等開催回数　H22年度　７回　⇒　H23年度　12回</t>
  </si>
  <si>
    <t>　　　内水面漁場管理委員会等開催回数　H22年度　５回　⇒　H23年度　10回</t>
  </si>
  <si>
    <t>　岸壁補修工事　　H23年度　佐野漁港</t>
  </si>
  <si>
    <t>東南海・南海地震対策として、Ｈ17年～18年度にかけて調査した防潮堤や水門等</t>
  </si>
  <si>
    <t>　H23年度　田尻漁港・岡田漁港</t>
  </si>
  <si>
    <t>　（1）鶏飼養羽数調査　　（H22年度：50戸→H23年度：50戸）</t>
  </si>
  <si>
    <t>　（2）環境巡回指導延べ戸数　　（H22年度：155戸→H23年度：168戸）</t>
  </si>
  <si>
    <t>　　　　経営改善指導戸数　（H23年度：33戸）</t>
  </si>
  <si>
    <t>　（１）入場者数（H22年度：135千人→H23年度：148千人）</t>
  </si>
  <si>
    <t>　（１）アライグマの捕獲の推進（H22年度：1,062頭→H23年度：770頭）</t>
  </si>
  <si>
    <t>　　　（狩猟免許受検者数　H22年度：264人→H23年度：264人）</t>
  </si>
  <si>
    <t>　　　（H22年度：4,436頭→H23年度：3,754頭）</t>
  </si>
  <si>
    <t>　　　・収容数（H22年度：592頭・匹→H23年度：343頭・匹）</t>
  </si>
  <si>
    <r>
      <t>　(２)ねこの返還譲渡</t>
    </r>
    <r>
      <rPr>
        <sz val="11"/>
        <rFont val="ＭＳ Ｐゴシック"/>
        <family val="3"/>
      </rPr>
      <t>（H22年度：46匹→H23年度：53匹）</t>
    </r>
  </si>
  <si>
    <t xml:space="preserve">        （H22年度：１ヵ所→H23年度：１ヵ所）</t>
  </si>
  <si>
    <t xml:space="preserve">        （H22年度：1,324,143検体→H23年度：930,704検体）</t>
  </si>
  <si>
    <t>　　　（H22年度：14,940検体→H23年度：12,965検体）</t>
  </si>
  <si>
    <t>　　　・事業実施地区数　H22年度：61地区　→　H23年度：25地区</t>
  </si>
  <si>
    <t>　　　・事業実施地区数　H22年度：20地区　→　H23年度：18地区</t>
  </si>
  <si>
    <t>　（２）乳用子牛育成頭数（H22年度：65頭→H23年度：50頭）</t>
  </si>
  <si>
    <t>　（２）業務部門の中小事業者、160事業所に対して、簡易エネルギー診断を</t>
  </si>
  <si>
    <t>　　 （９％削減）は達成</t>
  </si>
  <si>
    <t>　（１）地球温暖化対策実行計画（平成24年３月策定）において具体的な目標を設定</t>
  </si>
  <si>
    <t>　　　　（H21年度～23年度末165校（同一校追加実施除く））</t>
  </si>
  <si>
    <t>　（１）里山の自然学校「紀泉わいわい村」の利用者数（年間２万人以上）</t>
  </si>
  <si>
    <t xml:space="preserve">        Ｈ23年度処分面積　4,452㎡</t>
  </si>
  <si>
    <t>　　 　Ｈ23年度処分面積　計画：8,650㎡</t>
  </si>
  <si>
    <t>　　　　Ｈ22年度：37,000人→Ｈ23年度：46,500人</t>
  </si>
  <si>
    <t>　　　　⇒　Ｈ29年度までに500ha解消</t>
  </si>
  <si>
    <t xml:space="preserve">           ・H23年度：50ha</t>
  </si>
  <si>
    <t xml:space="preserve">           ・H23年度まで：170ha</t>
  </si>
  <si>
    <t>　　リサイクル製品の全製品認定数　Ｈ23年度　115製品</t>
  </si>
  <si>
    <t>2015年度に達成すべき府民1人当たりごみ排出量、リサイクル率、最終処分量の目標を</t>
  </si>
  <si>
    <t>府民の良好な生活環境を保全するため、産業廃棄物の不適正処理の根絶を図る。</t>
  </si>
  <si>
    <r>
      <t>　　　　を実施。H23年度年平均値 NO</t>
    </r>
    <r>
      <rPr>
        <vertAlign val="subscript"/>
        <sz val="11"/>
        <rFont val="ＭＳ Ｐゴシック"/>
        <family val="3"/>
      </rPr>
      <t xml:space="preserve">2　 </t>
    </r>
    <r>
      <rPr>
        <sz val="11"/>
        <rFont val="ＭＳ Ｐゴシック"/>
        <family val="3"/>
      </rPr>
      <t xml:space="preserve">0.025ppm、SPＭ　0.023mg/m3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</si>
</sst>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
  </numFmts>
  <fonts count="75">
    <font>
      <sz val="11"/>
      <name val="ＭＳ Ｐゴシック"/>
      <family val="3"/>
    </font>
    <font>
      <sz val="11"/>
      <color indexed="8"/>
      <name val="ＭＳ Ｐゴシック"/>
      <family val="3"/>
    </font>
    <font>
      <sz val="16"/>
      <name val="ＭＳ 明朝"/>
      <family val="1"/>
    </font>
    <font>
      <sz val="6"/>
      <name val="ＭＳ 明朝"/>
      <family val="1"/>
    </font>
    <font>
      <sz val="10"/>
      <name val="ＭＳ 明朝"/>
      <family val="1"/>
    </font>
    <font>
      <sz val="9"/>
      <name val="ＭＳ 明朝"/>
      <family val="1"/>
    </font>
    <font>
      <sz val="11"/>
      <name val="ＭＳ 明朝"/>
      <family val="1"/>
    </font>
    <font>
      <sz val="14"/>
      <name val="ＭＳ 明朝"/>
      <family val="1"/>
    </font>
    <font>
      <b/>
      <i/>
      <sz val="16"/>
      <name val="ＭＳ 明朝"/>
      <family val="1"/>
    </font>
    <font>
      <b/>
      <i/>
      <sz val="11"/>
      <name val="ＭＳ 明朝"/>
      <family val="1"/>
    </font>
    <font>
      <sz val="12"/>
      <name val="ＭＳ 明朝"/>
      <family val="1"/>
    </font>
    <font>
      <b/>
      <sz val="16"/>
      <name val="ＭＳ ゴシック"/>
      <family val="3"/>
    </font>
    <font>
      <b/>
      <sz val="11"/>
      <name val="ＭＳ ゴシック"/>
      <family val="3"/>
    </font>
    <font>
      <sz val="6"/>
      <name val="ＭＳ Ｐゴシック"/>
      <family val="3"/>
    </font>
    <font>
      <b/>
      <sz val="11"/>
      <color indexed="8"/>
      <name val="ＭＳ Ｐゴシック"/>
      <family val="3"/>
    </font>
    <font>
      <b/>
      <sz val="18"/>
      <color indexed="8"/>
      <name val="ＭＳ Ｐゴシック"/>
      <family val="3"/>
    </font>
    <font>
      <sz val="12"/>
      <color indexed="8"/>
      <name val="ＭＳ Ｐゴシック"/>
      <family val="3"/>
    </font>
    <font>
      <sz val="10"/>
      <name val="ＭＳ Ｐゴシック"/>
      <family val="3"/>
    </font>
    <font>
      <b/>
      <sz val="28"/>
      <name val="ＭＳ Ｐゴシック"/>
      <family val="3"/>
    </font>
    <font>
      <sz val="28"/>
      <name val="ＭＳ Ｐゴシック"/>
      <family val="3"/>
    </font>
    <font>
      <sz val="12"/>
      <name val="ＭＳ Ｐゴシック"/>
      <family val="3"/>
    </font>
    <font>
      <b/>
      <i/>
      <sz val="9"/>
      <color indexed="10"/>
      <name val="ＭＳ 明朝"/>
      <family val="1"/>
    </font>
    <font>
      <strike/>
      <sz val="11"/>
      <name val="ＭＳ Ｐゴシック"/>
      <family val="3"/>
    </font>
    <font>
      <sz val="11"/>
      <color indexed="12"/>
      <name val="ＭＳ Ｐゴシック"/>
      <family val="3"/>
    </font>
    <font>
      <sz val="11"/>
      <color indexed="10"/>
      <name val="ＭＳ Ｐゴシック"/>
      <family val="3"/>
    </font>
    <font>
      <sz val="10"/>
      <color indexed="10"/>
      <name val="ＭＳ Ｐゴシック"/>
      <family val="3"/>
    </font>
    <font>
      <sz val="9"/>
      <name val="ＭＳ Ｐ明朝"/>
      <family val="1"/>
    </font>
    <font>
      <sz val="16"/>
      <name val="ＭＳ Ｐゴシック"/>
      <family val="3"/>
    </font>
    <font>
      <b/>
      <sz val="11"/>
      <name val="ＭＳ Ｐゴシック"/>
      <family val="3"/>
    </font>
    <font>
      <b/>
      <sz val="11"/>
      <color indexed="10"/>
      <name val="ＭＳ Ｐゴシック"/>
      <family val="3"/>
    </font>
    <font>
      <sz val="13"/>
      <name val="ＭＳ Ｐゴシック"/>
      <family val="3"/>
    </font>
    <font>
      <vertAlign val="subscript"/>
      <sz val="11"/>
      <name val="ＭＳ Ｐゴシック"/>
      <family val="3"/>
    </font>
    <font>
      <vertAlign val="superscrip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4"/>
      <color indexed="8"/>
      <name val="ＭＳ Ｐゴシック"/>
      <family val="3"/>
    </font>
    <font>
      <b/>
      <sz val="36"/>
      <color indexed="8"/>
      <name val="ＭＳ Ｐゴシック"/>
      <family val="3"/>
    </font>
    <font>
      <sz val="2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sz val="12"/>
      <color theme="1"/>
      <name val="Calibri"/>
      <family val="3"/>
    </font>
    <font>
      <b/>
      <i/>
      <sz val="9"/>
      <color rgb="FFFF0000"/>
      <name val="ＭＳ 明朝"/>
      <family val="1"/>
    </font>
    <font>
      <sz val="11"/>
      <color rgb="FFFF0000"/>
      <name val="ＭＳ Ｐゴシック"/>
      <family val="3"/>
    </font>
    <font>
      <b/>
      <sz val="11"/>
      <color rgb="FFFF0000"/>
      <name val="Calibri"/>
      <family val="3"/>
    </font>
    <font>
      <sz val="11"/>
      <name val="Calibri"/>
      <family val="3"/>
    </font>
    <font>
      <b/>
      <sz val="11"/>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style="thin"/>
      <right style="thin"/>
      <top/>
      <bottom/>
    </border>
    <border>
      <left style="medium"/>
      <right/>
      <top/>
      <bottom/>
    </border>
    <border>
      <left style="medium"/>
      <right style="thin"/>
      <top/>
      <bottom/>
    </border>
    <border>
      <left/>
      <right/>
      <top/>
      <bottom style="medium"/>
    </border>
    <border>
      <left style="thin"/>
      <right/>
      <top/>
      <bottom/>
    </border>
    <border>
      <left style="thin"/>
      <right style="thin"/>
      <top style="thin"/>
      <bottom style="medium"/>
    </border>
    <border>
      <left/>
      <right style="thin"/>
      <top/>
      <bottom/>
    </border>
    <border>
      <left style="thin"/>
      <right style="medium"/>
      <top/>
      <bottom/>
    </border>
    <border>
      <left style="medium"/>
      <right style="thin"/>
      <top/>
      <bottom style="medium"/>
    </border>
    <border>
      <left style="thin"/>
      <right/>
      <top/>
      <bottom style="medium"/>
    </border>
    <border>
      <left/>
      <right style="thin"/>
      <top/>
      <bottom style="medium"/>
    </border>
    <border>
      <left style="thin"/>
      <right style="medium"/>
      <top/>
      <bottom style="medium"/>
    </border>
    <border>
      <left style="medium"/>
      <right style="thin"/>
      <top style="medium"/>
      <bottom/>
    </border>
    <border>
      <left style="thin"/>
      <right/>
      <top style="medium"/>
      <bottom/>
    </border>
    <border>
      <left/>
      <right/>
      <top style="medium"/>
      <bottom/>
    </border>
    <border>
      <left/>
      <right style="thin"/>
      <top style="medium"/>
      <bottom/>
    </border>
    <border>
      <left style="thin"/>
      <right style="medium"/>
      <top style="medium"/>
      <bottom/>
    </border>
    <border>
      <left/>
      <right style="medium"/>
      <top/>
      <bottom/>
    </border>
    <border>
      <left style="medium"/>
      <right style="medium"/>
      <top/>
      <bottom/>
    </border>
    <border>
      <left style="medium"/>
      <right style="medium"/>
      <top style="medium"/>
      <bottom/>
    </border>
    <border>
      <left/>
      <right style="medium"/>
      <top/>
      <bottom style="medium"/>
    </border>
    <border>
      <left style="medium"/>
      <right/>
      <top/>
      <bottom style="medium"/>
    </border>
    <border>
      <left style="medium"/>
      <right style="medium"/>
      <top/>
      <bottom style="medium"/>
    </border>
    <border>
      <left style="medium"/>
      <right/>
      <top style="medium"/>
      <bottom/>
    </border>
    <border>
      <left/>
      <right style="medium"/>
      <top style="medium"/>
      <bottom/>
    </border>
    <border>
      <left style="thin"/>
      <right/>
      <top style="thin"/>
      <bottom style="medium"/>
    </border>
    <border>
      <left style="thin"/>
      <right style="medium"/>
      <top style="thin"/>
      <bottom style="medium"/>
    </border>
    <border>
      <left style="thin"/>
      <right style="thin"/>
      <top/>
      <bottom style="thin"/>
    </border>
    <border>
      <left style="thin"/>
      <right/>
      <top/>
      <bottom style="thin"/>
    </border>
    <border>
      <left/>
      <right/>
      <top/>
      <bottom style="thin"/>
    </border>
    <border>
      <left/>
      <right style="medium"/>
      <top/>
      <bottom style="thin"/>
    </border>
    <border>
      <left style="medium"/>
      <right/>
      <top/>
      <bottom style="thin"/>
    </border>
    <border>
      <left style="medium"/>
      <right style="medium"/>
      <top/>
      <bottom style="thin"/>
    </border>
    <border>
      <left style="medium"/>
      <right style="thin"/>
      <top/>
      <bottom style="thin"/>
    </border>
    <border>
      <left style="thin"/>
      <right style="thin"/>
      <top style="medium"/>
      <bottom style="thin"/>
    </border>
    <border>
      <left style="thin"/>
      <right style="medium"/>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thin"/>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lignment/>
      <protection/>
    </xf>
    <xf numFmtId="0" fontId="66" fillId="32" borderId="0" applyNumberFormat="0" applyBorder="0" applyAlignment="0" applyProtection="0"/>
  </cellStyleXfs>
  <cellXfs count="525">
    <xf numFmtId="0" fontId="0" fillId="0" borderId="0" xfId="0" applyAlignment="1">
      <alignment vertical="center"/>
    </xf>
    <xf numFmtId="0" fontId="2" fillId="0" borderId="0" xfId="60" applyFont="1" applyBorder="1" applyAlignment="1">
      <alignment horizontal="left" vertical="center" indent="3"/>
      <protection/>
    </xf>
    <xf numFmtId="0" fontId="7" fillId="0" borderId="0" xfId="0" applyFont="1" applyAlignment="1">
      <alignment horizontal="right" vertical="center"/>
    </xf>
    <xf numFmtId="0" fontId="6" fillId="0" borderId="0" xfId="60" applyFont="1">
      <alignment/>
      <protection/>
    </xf>
    <xf numFmtId="0" fontId="6" fillId="0" borderId="0" xfId="60" applyFont="1" applyBorder="1">
      <alignment/>
      <protection/>
    </xf>
    <xf numFmtId="0" fontId="67" fillId="0" borderId="0" xfId="0" applyFont="1" applyAlignment="1">
      <alignment/>
    </xf>
    <xf numFmtId="0" fontId="62" fillId="0" borderId="10" xfId="0" applyFont="1" applyBorder="1" applyAlignment="1">
      <alignment horizontal="center" vertical="center"/>
    </xf>
    <xf numFmtId="0" fontId="0" fillId="0" borderId="0" xfId="0" applyAlignment="1">
      <alignment horizontal="center" vertical="center"/>
    </xf>
    <xf numFmtId="0" fontId="62" fillId="0" borderId="11" xfId="0" applyFont="1" applyBorder="1" applyAlignment="1">
      <alignment horizontal="center" vertical="center"/>
    </xf>
    <xf numFmtId="38" fontId="0" fillId="0" borderId="12" xfId="48" applyFont="1" applyBorder="1" applyAlignment="1">
      <alignment horizontal="right" vertical="center"/>
    </xf>
    <xf numFmtId="38" fontId="0" fillId="0" borderId="12" xfId="48" applyFont="1" applyBorder="1" applyAlignment="1">
      <alignment horizontal="center" vertical="center"/>
    </xf>
    <xf numFmtId="38" fontId="0" fillId="0" borderId="12" xfId="48" applyFont="1" applyBorder="1" applyAlignment="1">
      <alignment horizontal="left" vertical="center"/>
    </xf>
    <xf numFmtId="38" fontId="0" fillId="0" borderId="11" xfId="48" applyFont="1" applyBorder="1" applyAlignment="1">
      <alignment horizontal="right" vertical="center"/>
    </xf>
    <xf numFmtId="0" fontId="68" fillId="0" borderId="0" xfId="0" applyFont="1" applyAlignment="1">
      <alignment vertical="center"/>
    </xf>
    <xf numFmtId="0" fontId="0" fillId="0" borderId="13" xfId="0" applyBorder="1" applyAlignment="1">
      <alignment vertical="center"/>
    </xf>
    <xf numFmtId="0" fontId="6" fillId="0" borderId="0" xfId="60" applyFont="1" applyFill="1">
      <alignment/>
      <protection/>
    </xf>
    <xf numFmtId="176" fontId="17" fillId="0" borderId="12" xfId="60" applyNumberFormat="1" applyFont="1" applyFill="1" applyBorder="1" applyAlignment="1">
      <alignment horizontal="right"/>
      <protection/>
    </xf>
    <xf numFmtId="0" fontId="20" fillId="0" borderId="14" xfId="60" applyFont="1" applyBorder="1" applyAlignment="1">
      <alignment horizontal="distributed"/>
      <protection/>
    </xf>
    <xf numFmtId="176" fontId="17" fillId="0" borderId="12" xfId="60" applyNumberFormat="1" applyFont="1" applyFill="1" applyBorder="1">
      <alignment/>
      <protection/>
    </xf>
    <xf numFmtId="176" fontId="17" fillId="0" borderId="0" xfId="60" applyNumberFormat="1" applyFont="1" applyFill="1" applyBorder="1" applyAlignment="1">
      <alignment horizontal="distributed"/>
      <protection/>
    </xf>
    <xf numFmtId="0" fontId="0" fillId="0" borderId="12" xfId="60" applyFont="1" applyFill="1" applyBorder="1" applyAlignment="1">
      <alignment/>
      <protection/>
    </xf>
    <xf numFmtId="0" fontId="0" fillId="0" borderId="12" xfId="60" applyFont="1" applyFill="1" applyBorder="1" applyAlignment="1">
      <alignment horizontal="center"/>
      <protection/>
    </xf>
    <xf numFmtId="0" fontId="17" fillId="0" borderId="0" xfId="60" applyFont="1" applyFill="1">
      <alignment/>
      <protection/>
    </xf>
    <xf numFmtId="0" fontId="17" fillId="0" borderId="15" xfId="60" applyFont="1" applyFill="1" applyBorder="1">
      <alignment/>
      <protection/>
    </xf>
    <xf numFmtId="176" fontId="17" fillId="0" borderId="15" xfId="60" applyNumberFormat="1" applyFont="1" applyFill="1" applyBorder="1" applyAlignment="1">
      <alignment horizontal="distributed"/>
      <protection/>
    </xf>
    <xf numFmtId="176" fontId="17" fillId="0" borderId="10" xfId="60" applyNumberFormat="1" applyFont="1" applyBorder="1">
      <alignment/>
      <protection/>
    </xf>
    <xf numFmtId="176" fontId="17" fillId="0" borderId="12" xfId="60" applyNumberFormat="1" applyFont="1" applyBorder="1">
      <alignment/>
      <protection/>
    </xf>
    <xf numFmtId="176" fontId="17" fillId="0" borderId="11" xfId="60" applyNumberFormat="1" applyFont="1" applyBorder="1">
      <alignment/>
      <protection/>
    </xf>
    <xf numFmtId="176" fontId="17" fillId="0" borderId="16" xfId="60" applyNumberFormat="1" applyFont="1" applyFill="1" applyBorder="1">
      <alignment/>
      <protection/>
    </xf>
    <xf numFmtId="0" fontId="9" fillId="0" borderId="0" xfId="0" applyFont="1" applyFill="1" applyBorder="1" applyAlignment="1">
      <alignment horizontal="center" vertical="center"/>
    </xf>
    <xf numFmtId="0" fontId="2" fillId="0" borderId="0" xfId="60" applyFont="1" applyAlignment="1">
      <alignment horizontal="left" vertical="center"/>
      <protection/>
    </xf>
    <xf numFmtId="0" fontId="2" fillId="0" borderId="0" xfId="60" applyFont="1" applyBorder="1" applyAlignment="1">
      <alignment horizontal="left" vertical="center"/>
      <protection/>
    </xf>
    <xf numFmtId="0" fontId="69" fillId="0" borderId="0" xfId="60" applyFont="1" applyFill="1" applyBorder="1" applyAlignment="1">
      <alignment vertical="center"/>
      <protection/>
    </xf>
    <xf numFmtId="177" fontId="6" fillId="0" borderId="0" xfId="60" applyNumberFormat="1" applyFont="1" applyBorder="1">
      <alignment/>
      <protection/>
    </xf>
    <xf numFmtId="177" fontId="2" fillId="0" borderId="0" xfId="60" applyNumberFormat="1" applyFont="1" applyBorder="1" applyAlignment="1">
      <alignment horizontal="right" vertical="center"/>
      <protection/>
    </xf>
    <xf numFmtId="0" fontId="6" fillId="0" borderId="0" xfId="0" applyFont="1" applyBorder="1" applyAlignment="1">
      <alignment horizontal="left" vertical="center"/>
    </xf>
    <xf numFmtId="0" fontId="20" fillId="0" borderId="15" xfId="60" applyFont="1" applyFill="1" applyBorder="1" applyAlignment="1">
      <alignment horizontal="center"/>
      <protection/>
    </xf>
    <xf numFmtId="177" fontId="20" fillId="33" borderId="17" xfId="60" applyNumberFormat="1" applyFont="1" applyFill="1" applyBorder="1" applyAlignment="1">
      <alignment horizontal="center" vertical="center"/>
      <protection/>
    </xf>
    <xf numFmtId="0" fontId="6" fillId="0" borderId="0" xfId="60" applyFont="1" applyBorder="1" applyAlignment="1">
      <alignment horizontal="left" vertical="center"/>
      <protection/>
    </xf>
    <xf numFmtId="0" fontId="0" fillId="0" borderId="16" xfId="60" applyFont="1" applyFill="1" applyBorder="1">
      <alignment/>
      <protection/>
    </xf>
    <xf numFmtId="0" fontId="0" fillId="0" borderId="0" xfId="60" applyFont="1" applyFill="1" applyBorder="1">
      <alignment/>
      <protection/>
    </xf>
    <xf numFmtId="0" fontId="0" fillId="0" borderId="18" xfId="60" applyFont="1" applyFill="1" applyBorder="1">
      <alignment/>
      <protection/>
    </xf>
    <xf numFmtId="177" fontId="17" fillId="0" borderId="12" xfId="60" applyNumberFormat="1" applyFont="1" applyFill="1" applyBorder="1" applyAlignment="1">
      <alignment horizontal="right"/>
      <protection/>
    </xf>
    <xf numFmtId="177" fontId="17" fillId="33" borderId="12" xfId="60" applyNumberFormat="1" applyFont="1" applyFill="1" applyBorder="1" applyAlignment="1">
      <alignment horizontal="right"/>
      <protection/>
    </xf>
    <xf numFmtId="177" fontId="0" fillId="33" borderId="12" xfId="60" applyNumberFormat="1" applyFont="1" applyFill="1" applyBorder="1" applyAlignment="1">
      <alignment horizontal="right"/>
      <protection/>
    </xf>
    <xf numFmtId="177" fontId="0" fillId="0" borderId="12" xfId="60" applyNumberFormat="1" applyFont="1" applyFill="1" applyBorder="1">
      <alignment/>
      <protection/>
    </xf>
    <xf numFmtId="177" fontId="0" fillId="0" borderId="16" xfId="60" applyNumberFormat="1" applyFont="1" applyFill="1" applyBorder="1" applyAlignment="1">
      <alignment horizontal="right"/>
      <protection/>
    </xf>
    <xf numFmtId="177" fontId="0" fillId="0" borderId="19" xfId="60" applyNumberFormat="1" applyFont="1" applyFill="1" applyBorder="1" applyAlignment="1">
      <alignment horizontal="right"/>
      <protection/>
    </xf>
    <xf numFmtId="0" fontId="6" fillId="0" borderId="0" xfId="60" applyFont="1" applyBorder="1" applyAlignment="1">
      <alignment horizontal="left"/>
      <protection/>
    </xf>
    <xf numFmtId="0" fontId="20" fillId="0" borderId="14" xfId="60" applyFont="1" applyFill="1" applyBorder="1" applyAlignment="1">
      <alignment horizontal="distributed"/>
      <protection/>
    </xf>
    <xf numFmtId="176" fontId="17" fillId="0" borderId="0" xfId="60" applyNumberFormat="1" applyFont="1" applyFill="1" applyBorder="1" applyAlignment="1">
      <alignment horizontal="distributed" vertical="center"/>
      <protection/>
    </xf>
    <xf numFmtId="0" fontId="0" fillId="0" borderId="16" xfId="60" applyFont="1" applyFill="1" applyBorder="1" applyAlignment="1">
      <alignment/>
      <protection/>
    </xf>
    <xf numFmtId="0" fontId="0" fillId="0" borderId="0" xfId="60" applyFont="1" applyFill="1" applyBorder="1" applyAlignment="1">
      <alignment/>
      <protection/>
    </xf>
    <xf numFmtId="177" fontId="0" fillId="0" borderId="12" xfId="60" applyNumberFormat="1" applyFont="1" applyFill="1" applyBorder="1" applyAlignment="1">
      <alignment horizontal="left"/>
      <protection/>
    </xf>
    <xf numFmtId="177" fontId="0" fillId="0" borderId="12" xfId="60" applyNumberFormat="1" applyFont="1" applyFill="1" applyBorder="1" applyAlignment="1">
      <alignment horizontal="right"/>
      <protection/>
    </xf>
    <xf numFmtId="0" fontId="6" fillId="0" borderId="0" xfId="60" applyFont="1" applyFill="1" applyBorder="1" applyAlignment="1">
      <alignment horizontal="left"/>
      <protection/>
    </xf>
    <xf numFmtId="0" fontId="0" fillId="0" borderId="18" xfId="60" applyFont="1" applyFill="1" applyBorder="1" applyAlignment="1">
      <alignment/>
      <protection/>
    </xf>
    <xf numFmtId="177" fontId="0" fillId="0" borderId="12" xfId="60" applyNumberFormat="1" applyFont="1" applyFill="1" applyBorder="1" applyAlignment="1">
      <alignment/>
      <protection/>
    </xf>
    <xf numFmtId="177" fontId="0" fillId="0" borderId="12" xfId="60" applyNumberFormat="1" applyFont="1" applyFill="1" applyBorder="1" applyAlignment="1">
      <alignment horizontal="center"/>
      <protection/>
    </xf>
    <xf numFmtId="177" fontId="0" fillId="0" borderId="19" xfId="60" applyNumberFormat="1" applyFont="1" applyFill="1" applyBorder="1" applyAlignment="1">
      <alignment horizontal="center"/>
      <protection/>
    </xf>
    <xf numFmtId="0" fontId="20" fillId="0" borderId="14" xfId="60" applyFont="1" applyBorder="1" applyAlignment="1">
      <alignment horizontal="center"/>
      <protection/>
    </xf>
    <xf numFmtId="0" fontId="0" fillId="0" borderId="18" xfId="60" applyFont="1" applyFill="1" applyBorder="1" applyAlignment="1">
      <alignment/>
      <protection/>
    </xf>
    <xf numFmtId="0" fontId="0" fillId="0" borderId="18" xfId="0" applyFill="1" applyBorder="1" applyAlignment="1">
      <alignment vertical="center"/>
    </xf>
    <xf numFmtId="177" fontId="17" fillId="0" borderId="18" xfId="60" applyNumberFormat="1" applyFont="1" applyFill="1" applyBorder="1" applyAlignment="1">
      <alignment horizontal="right"/>
      <protection/>
    </xf>
    <xf numFmtId="0" fontId="0" fillId="0" borderId="18" xfId="60" applyFont="1" applyFill="1" applyBorder="1">
      <alignment/>
      <protection/>
    </xf>
    <xf numFmtId="0" fontId="0" fillId="0" borderId="12" xfId="60" applyFont="1" applyFill="1" applyBorder="1" applyAlignment="1">
      <alignment/>
      <protection/>
    </xf>
    <xf numFmtId="177" fontId="23" fillId="0" borderId="12" xfId="60" applyNumberFormat="1" applyFont="1" applyFill="1" applyBorder="1" applyAlignment="1">
      <alignment/>
      <protection/>
    </xf>
    <xf numFmtId="177" fontId="0" fillId="0" borderId="16" xfId="60" applyNumberFormat="1" applyFont="1" applyFill="1" applyBorder="1" applyAlignment="1">
      <alignment horizontal="center"/>
      <protection/>
    </xf>
    <xf numFmtId="0" fontId="6" fillId="0" borderId="0" xfId="60" applyFont="1" applyBorder="1" applyAlignment="1">
      <alignment/>
      <protection/>
    </xf>
    <xf numFmtId="0" fontId="20" fillId="0" borderId="20" xfId="60" applyFont="1" applyBorder="1" applyAlignment="1">
      <alignment horizontal="center"/>
      <protection/>
    </xf>
    <xf numFmtId="176" fontId="17" fillId="0" borderId="11" xfId="60" applyNumberFormat="1" applyFont="1" applyFill="1" applyBorder="1" applyAlignment="1">
      <alignment horizontal="distributed"/>
      <protection/>
    </xf>
    <xf numFmtId="0" fontId="0" fillId="0" borderId="21" xfId="60" applyFont="1" applyFill="1" applyBorder="1" applyAlignment="1">
      <alignment/>
      <protection/>
    </xf>
    <xf numFmtId="0" fontId="0" fillId="0" borderId="15" xfId="60" applyFont="1" applyFill="1" applyBorder="1" applyAlignment="1">
      <alignment/>
      <protection/>
    </xf>
    <xf numFmtId="0" fontId="0" fillId="0" borderId="22" xfId="60" applyFont="1" applyFill="1" applyBorder="1" applyAlignment="1">
      <alignment/>
      <protection/>
    </xf>
    <xf numFmtId="177" fontId="17" fillId="0" borderId="11" xfId="48" applyNumberFormat="1" applyFont="1" applyFill="1" applyBorder="1" applyAlignment="1">
      <alignment horizontal="right"/>
    </xf>
    <xf numFmtId="177" fontId="17" fillId="33" borderId="11" xfId="48" applyNumberFormat="1" applyFont="1" applyFill="1" applyBorder="1" applyAlignment="1">
      <alignment horizontal="right"/>
    </xf>
    <xf numFmtId="177" fontId="0" fillId="33" borderId="11" xfId="48" applyNumberFormat="1" applyFont="1" applyFill="1" applyBorder="1" applyAlignment="1">
      <alignment horizontal="right"/>
    </xf>
    <xf numFmtId="177" fontId="0" fillId="0" borderId="11" xfId="60" applyNumberFormat="1" applyFont="1" applyFill="1" applyBorder="1" applyAlignment="1">
      <alignment/>
      <protection/>
    </xf>
    <xf numFmtId="177" fontId="0" fillId="0" borderId="21" xfId="60" applyNumberFormat="1" applyFont="1" applyFill="1" applyBorder="1" applyAlignment="1">
      <alignment horizontal="right"/>
      <protection/>
    </xf>
    <xf numFmtId="177" fontId="0" fillId="0" borderId="23" xfId="60" applyNumberFormat="1" applyFont="1" applyFill="1" applyBorder="1" applyAlignment="1">
      <alignment horizontal="right"/>
      <protection/>
    </xf>
    <xf numFmtId="0" fontId="20" fillId="0" borderId="24" xfId="60" applyFont="1" applyBorder="1" applyAlignment="1">
      <alignment horizontal="distributed"/>
      <protection/>
    </xf>
    <xf numFmtId="176" fontId="17" fillId="0" borderId="25" xfId="60" applyNumberFormat="1" applyFont="1" applyBorder="1">
      <alignment/>
      <protection/>
    </xf>
    <xf numFmtId="176" fontId="17" fillId="0" borderId="26" xfId="60" applyNumberFormat="1" applyFont="1" applyFill="1" applyBorder="1" applyAlignment="1">
      <alignment horizontal="distributed"/>
      <protection/>
    </xf>
    <xf numFmtId="0" fontId="0" fillId="0" borderId="25" xfId="60" applyFont="1" applyFill="1" applyBorder="1" applyAlignment="1">
      <alignment/>
      <protection/>
    </xf>
    <xf numFmtId="0" fontId="0" fillId="0" borderId="26" xfId="60" applyFont="1" applyFill="1" applyBorder="1" applyAlignment="1">
      <alignment/>
      <protection/>
    </xf>
    <xf numFmtId="0" fontId="0" fillId="0" borderId="27" xfId="60" applyFont="1" applyFill="1" applyBorder="1">
      <alignment/>
      <protection/>
    </xf>
    <xf numFmtId="177" fontId="17" fillId="0" borderId="10" xfId="48" applyNumberFormat="1" applyFont="1" applyFill="1" applyBorder="1" applyAlignment="1">
      <alignment horizontal="right"/>
    </xf>
    <xf numFmtId="177" fontId="17" fillId="33" borderId="10" xfId="48" applyNumberFormat="1" applyFont="1" applyFill="1" applyBorder="1" applyAlignment="1">
      <alignment horizontal="right"/>
    </xf>
    <xf numFmtId="177" fontId="0" fillId="33" borderId="10" xfId="48" applyNumberFormat="1" applyFont="1" applyFill="1" applyBorder="1" applyAlignment="1">
      <alignment horizontal="right"/>
    </xf>
    <xf numFmtId="177" fontId="0" fillId="0" borderId="10" xfId="60" applyNumberFormat="1" applyFont="1" applyFill="1" applyBorder="1" applyAlignment="1">
      <alignment horizontal="left"/>
      <protection/>
    </xf>
    <xf numFmtId="177" fontId="0" fillId="0" borderId="25" xfId="60" applyNumberFormat="1" applyFont="1" applyFill="1" applyBorder="1" applyAlignment="1">
      <alignment horizontal="right"/>
      <protection/>
    </xf>
    <xf numFmtId="177" fontId="0" fillId="0" borderId="28" xfId="60" applyNumberFormat="1" applyFont="1" applyFill="1" applyBorder="1" applyAlignment="1">
      <alignment horizontal="right"/>
      <protection/>
    </xf>
    <xf numFmtId="177" fontId="17" fillId="33" borderId="12" xfId="48" applyNumberFormat="1" applyFont="1" applyFill="1" applyBorder="1" applyAlignment="1">
      <alignment horizontal="right"/>
    </xf>
    <xf numFmtId="177" fontId="0" fillId="33" borderId="12" xfId="48" applyNumberFormat="1" applyFont="1" applyFill="1" applyBorder="1" applyAlignment="1">
      <alignment horizontal="right"/>
    </xf>
    <xf numFmtId="177" fontId="17" fillId="0" borderId="12" xfId="48" applyNumberFormat="1" applyFont="1" applyFill="1" applyBorder="1" applyAlignment="1">
      <alignment horizontal="right"/>
    </xf>
    <xf numFmtId="176" fontId="6" fillId="0" borderId="0" xfId="60" applyNumberFormat="1" applyFont="1" applyFill="1" applyBorder="1" applyAlignment="1">
      <alignment horizontal="left"/>
      <protection/>
    </xf>
    <xf numFmtId="176" fontId="17" fillId="0" borderId="12" xfId="60" applyNumberFormat="1" applyFont="1" applyFill="1" applyBorder="1" applyAlignment="1">
      <alignment horizontal="distributed"/>
      <protection/>
    </xf>
    <xf numFmtId="176" fontId="17" fillId="0" borderId="0" xfId="60" applyNumberFormat="1" applyFont="1" applyBorder="1">
      <alignment/>
      <protection/>
    </xf>
    <xf numFmtId="0" fontId="0" fillId="0" borderId="0" xfId="60" applyFont="1" applyFill="1">
      <alignment/>
      <protection/>
    </xf>
    <xf numFmtId="177" fontId="0" fillId="0" borderId="12" xfId="60" applyNumberFormat="1" applyFont="1" applyFill="1" applyBorder="1" applyAlignment="1">
      <alignment horizontal="left"/>
      <protection/>
    </xf>
    <xf numFmtId="0" fontId="17" fillId="0" borderId="0" xfId="60" applyFont="1" applyBorder="1">
      <alignment/>
      <protection/>
    </xf>
    <xf numFmtId="0" fontId="17" fillId="0" borderId="12" xfId="60" applyFont="1" applyBorder="1">
      <alignment/>
      <protection/>
    </xf>
    <xf numFmtId="177" fontId="17" fillId="0" borderId="12" xfId="60" applyNumberFormat="1" applyFont="1" applyFill="1" applyBorder="1">
      <alignment/>
      <protection/>
    </xf>
    <xf numFmtId="176" fontId="17" fillId="0" borderId="18" xfId="60" applyNumberFormat="1" applyFont="1" applyFill="1" applyBorder="1" applyAlignment="1">
      <alignment horizontal="distributed"/>
      <protection/>
    </xf>
    <xf numFmtId="38" fontId="6" fillId="0" borderId="0" xfId="48" applyFont="1" applyBorder="1" applyAlignment="1">
      <alignment horizontal="left"/>
    </xf>
    <xf numFmtId="177" fontId="22" fillId="0" borderId="16" xfId="60" applyNumberFormat="1" applyFont="1" applyFill="1" applyBorder="1" applyAlignment="1">
      <alignment horizontal="right"/>
      <protection/>
    </xf>
    <xf numFmtId="176" fontId="17" fillId="0" borderId="16" xfId="60" applyNumberFormat="1" applyFont="1" applyBorder="1">
      <alignment/>
      <protection/>
    </xf>
    <xf numFmtId="177" fontId="0" fillId="0" borderId="12" xfId="60" applyNumberFormat="1" applyFont="1" applyFill="1" applyBorder="1" applyAlignment="1">
      <alignment wrapText="1"/>
      <protection/>
    </xf>
    <xf numFmtId="177" fontId="0" fillId="0" borderId="12" xfId="60" applyNumberFormat="1" applyFont="1" applyFill="1" applyBorder="1" applyAlignment="1">
      <alignment horizontal="center" vertical="center"/>
      <protection/>
    </xf>
    <xf numFmtId="177" fontId="0" fillId="0" borderId="16" xfId="48" applyNumberFormat="1" applyFont="1" applyFill="1" applyBorder="1" applyAlignment="1">
      <alignment horizontal="right"/>
    </xf>
    <xf numFmtId="176" fontId="17" fillId="0" borderId="21" xfId="60" applyNumberFormat="1" applyFont="1" applyBorder="1">
      <alignment/>
      <protection/>
    </xf>
    <xf numFmtId="0" fontId="0" fillId="0" borderId="22" xfId="60" applyFont="1" applyFill="1" applyBorder="1">
      <alignment/>
      <protection/>
    </xf>
    <xf numFmtId="177" fontId="17" fillId="0" borderId="11" xfId="60" applyNumberFormat="1" applyFont="1" applyFill="1" applyBorder="1" applyAlignment="1">
      <alignment horizontal="right"/>
      <protection/>
    </xf>
    <xf numFmtId="177" fontId="17" fillId="33" borderId="11" xfId="60" applyNumberFormat="1" applyFont="1" applyFill="1" applyBorder="1" applyAlignment="1">
      <alignment horizontal="right"/>
      <protection/>
    </xf>
    <xf numFmtId="177" fontId="0" fillId="33" borderId="11" xfId="60" applyNumberFormat="1" applyFont="1" applyFill="1" applyBorder="1" applyAlignment="1">
      <alignment horizontal="right"/>
      <protection/>
    </xf>
    <xf numFmtId="177" fontId="0" fillId="0" borderId="11" xfId="60" applyNumberFormat="1" applyFont="1" applyFill="1" applyBorder="1" applyAlignment="1">
      <alignment horizontal="left"/>
      <protection/>
    </xf>
    <xf numFmtId="0" fontId="20" fillId="0" borderId="14" xfId="60" applyFont="1" applyFill="1" applyBorder="1" applyAlignment="1">
      <alignment horizontal="distributed" vertical="center"/>
      <protection/>
    </xf>
    <xf numFmtId="177" fontId="70" fillId="0" borderId="16" xfId="60" applyNumberFormat="1" applyFont="1" applyFill="1" applyBorder="1" applyAlignment="1">
      <alignment horizontal="right"/>
      <protection/>
    </xf>
    <xf numFmtId="177" fontId="70" fillId="0" borderId="19" xfId="60" applyNumberFormat="1" applyFont="1" applyFill="1" applyBorder="1" applyAlignment="1">
      <alignment horizontal="right"/>
      <protection/>
    </xf>
    <xf numFmtId="177" fontId="24" fillId="33" borderId="12" xfId="60" applyNumberFormat="1" applyFont="1" applyFill="1" applyBorder="1" applyAlignment="1">
      <alignment horizontal="right"/>
      <protection/>
    </xf>
    <xf numFmtId="0" fontId="17" fillId="0" borderId="15" xfId="60" applyFont="1" applyBorder="1">
      <alignment/>
      <protection/>
    </xf>
    <xf numFmtId="0" fontId="17" fillId="0" borderId="11" xfId="60" applyFont="1" applyBorder="1">
      <alignment/>
      <protection/>
    </xf>
    <xf numFmtId="177" fontId="0" fillId="0" borderId="11" xfId="60" applyNumberFormat="1" applyFont="1" applyFill="1" applyBorder="1" applyAlignment="1">
      <alignment horizontal="left"/>
      <protection/>
    </xf>
    <xf numFmtId="177" fontId="0" fillId="0" borderId="19" xfId="60" applyNumberFormat="1" applyFont="1" applyFill="1" applyBorder="1" applyAlignment="1">
      <alignment horizontal="right"/>
      <protection/>
    </xf>
    <xf numFmtId="177" fontId="25" fillId="0" borderId="12" xfId="48" applyNumberFormat="1" applyFont="1" applyFill="1" applyBorder="1" applyAlignment="1">
      <alignment horizontal="right"/>
    </xf>
    <xf numFmtId="0" fontId="70" fillId="0" borderId="18" xfId="60" applyFont="1" applyFill="1" applyBorder="1">
      <alignment/>
      <protection/>
    </xf>
    <xf numFmtId="177" fontId="0" fillId="0" borderId="12" xfId="60" applyNumberFormat="1" applyFont="1" applyFill="1" applyBorder="1" applyAlignment="1">
      <alignment horizontal="left" shrinkToFit="1"/>
      <protection/>
    </xf>
    <xf numFmtId="177" fontId="25" fillId="0" borderId="12" xfId="60" applyNumberFormat="1" applyFont="1" applyFill="1" applyBorder="1" applyAlignment="1">
      <alignment horizontal="right"/>
      <protection/>
    </xf>
    <xf numFmtId="177" fontId="0" fillId="0" borderId="12" xfId="60" applyNumberFormat="1" applyFont="1" applyFill="1" applyBorder="1" applyAlignment="1">
      <alignment horizontal="center" wrapText="1"/>
      <protection/>
    </xf>
    <xf numFmtId="177" fontId="0" fillId="0" borderId="16" xfId="60" applyNumberFormat="1" applyFont="1" applyFill="1" applyBorder="1" applyAlignment="1">
      <alignment horizontal="right" shrinkToFit="1"/>
      <protection/>
    </xf>
    <xf numFmtId="177" fontId="0" fillId="0" borderId="19" xfId="60" applyNumberFormat="1" applyFont="1" applyFill="1" applyBorder="1" applyAlignment="1">
      <alignment horizontal="right" shrinkToFit="1"/>
      <protection/>
    </xf>
    <xf numFmtId="177" fontId="0" fillId="0" borderId="12" xfId="60" applyNumberFormat="1" applyFont="1" applyFill="1" applyBorder="1" applyAlignment="1">
      <alignment/>
      <protection/>
    </xf>
    <xf numFmtId="177" fontId="0" fillId="0" borderId="11" xfId="60" applyNumberFormat="1" applyFont="1" applyFill="1" applyBorder="1">
      <alignment/>
      <protection/>
    </xf>
    <xf numFmtId="177" fontId="0" fillId="0" borderId="11" xfId="60" applyNumberFormat="1" applyFont="1" applyFill="1" applyBorder="1" applyAlignment="1">
      <alignment horizontal="center"/>
      <protection/>
    </xf>
    <xf numFmtId="0" fontId="6" fillId="0" borderId="0" xfId="60" applyFont="1" applyAlignment="1">
      <alignment horizontal="left"/>
      <protection/>
    </xf>
    <xf numFmtId="176" fontId="17" fillId="0" borderId="22" xfId="60" applyNumberFormat="1" applyFont="1" applyFill="1" applyBorder="1" applyAlignment="1">
      <alignment horizontal="distributed"/>
      <protection/>
    </xf>
    <xf numFmtId="0" fontId="17" fillId="0" borderId="0" xfId="60" applyFont="1" applyFill="1" applyBorder="1">
      <alignment/>
      <protection/>
    </xf>
    <xf numFmtId="177" fontId="0" fillId="0" borderId="19" xfId="48" applyNumberFormat="1" applyFont="1" applyFill="1" applyBorder="1" applyAlignment="1">
      <alignment horizontal="right"/>
    </xf>
    <xf numFmtId="177" fontId="0" fillId="0" borderId="21" xfId="60" applyNumberFormat="1" applyFont="1" applyFill="1" applyBorder="1" applyAlignment="1">
      <alignment horizontal="center"/>
      <protection/>
    </xf>
    <xf numFmtId="177" fontId="0" fillId="0" borderId="23" xfId="60" applyNumberFormat="1" applyFont="1" applyFill="1" applyBorder="1" applyAlignment="1">
      <alignment horizontal="center"/>
      <protection/>
    </xf>
    <xf numFmtId="0" fontId="0" fillId="0" borderId="15" xfId="60" applyFont="1" applyFill="1" applyBorder="1">
      <alignment/>
      <protection/>
    </xf>
    <xf numFmtId="177" fontId="0" fillId="33" borderId="12" xfId="60" applyNumberFormat="1" applyFont="1" applyFill="1" applyBorder="1" applyAlignment="1" quotePrefix="1">
      <alignment horizontal="right"/>
      <protection/>
    </xf>
    <xf numFmtId="177" fontId="0" fillId="0" borderId="11" xfId="60" applyNumberFormat="1" applyFont="1" applyFill="1" applyBorder="1" applyAlignment="1">
      <alignment horizontal="left" shrinkToFit="1"/>
      <protection/>
    </xf>
    <xf numFmtId="3" fontId="17" fillId="0" borderId="12" xfId="0" applyNumberFormat="1" applyFont="1" applyFill="1" applyBorder="1" applyAlignment="1">
      <alignment vertical="center"/>
    </xf>
    <xf numFmtId="176" fontId="17" fillId="0" borderId="16" xfId="60" applyNumberFormat="1" applyFont="1" applyFill="1" applyBorder="1" applyAlignment="1">
      <alignment horizontal="distributed"/>
      <protection/>
    </xf>
    <xf numFmtId="177" fontId="0" fillId="0" borderId="11" xfId="60" applyNumberFormat="1" applyFont="1" applyFill="1" applyBorder="1" applyAlignment="1">
      <alignment wrapText="1"/>
      <protection/>
    </xf>
    <xf numFmtId="0" fontId="0" fillId="0" borderId="16" xfId="60" applyFont="1" applyFill="1" applyBorder="1" applyAlignment="1">
      <alignment/>
      <protection/>
    </xf>
    <xf numFmtId="176" fontId="0" fillId="0" borderId="0" xfId="60" applyNumberFormat="1" applyFont="1" applyFill="1" applyBorder="1" applyAlignment="1">
      <alignment horizontal="distributed"/>
      <protection/>
    </xf>
    <xf numFmtId="0" fontId="20" fillId="0" borderId="14" xfId="60" applyFont="1" applyFill="1" applyBorder="1" applyAlignment="1">
      <alignment horizontal="center"/>
      <protection/>
    </xf>
    <xf numFmtId="176" fontId="17" fillId="0" borderId="12" xfId="60" applyNumberFormat="1" applyFont="1" applyFill="1" applyBorder="1" applyAlignment="1">
      <alignment horizontal="center"/>
      <protection/>
    </xf>
    <xf numFmtId="0" fontId="20" fillId="0" borderId="14" xfId="60" applyFont="1" applyFill="1" applyBorder="1">
      <alignment/>
      <protection/>
    </xf>
    <xf numFmtId="0" fontId="6" fillId="0" borderId="0" xfId="60" applyFont="1" applyFill="1" applyAlignment="1">
      <alignment horizontal="left"/>
      <protection/>
    </xf>
    <xf numFmtId="176" fontId="17" fillId="0" borderId="0" xfId="60" applyNumberFormat="1" applyFont="1" applyFill="1" applyBorder="1">
      <alignment/>
      <protection/>
    </xf>
    <xf numFmtId="0" fontId="20" fillId="0" borderId="20" xfId="60" applyFont="1" applyBorder="1">
      <alignment/>
      <protection/>
    </xf>
    <xf numFmtId="176" fontId="17" fillId="0" borderId="15" xfId="60" applyNumberFormat="1" applyFont="1" applyFill="1" applyBorder="1">
      <alignment/>
      <protection/>
    </xf>
    <xf numFmtId="0" fontId="0" fillId="0" borderId="21" xfId="60" applyFont="1" applyFill="1" applyBorder="1" applyAlignment="1">
      <alignment horizontal="center"/>
      <protection/>
    </xf>
    <xf numFmtId="0" fontId="0" fillId="0" borderId="15" xfId="60" applyFont="1" applyFill="1" applyBorder="1" applyAlignment="1">
      <alignment horizontal="center"/>
      <protection/>
    </xf>
    <xf numFmtId="177" fontId="0" fillId="0" borderId="11" xfId="48" applyNumberFormat="1" applyFont="1" applyFill="1" applyBorder="1" applyAlignment="1">
      <alignment horizontal="right"/>
    </xf>
    <xf numFmtId="0" fontId="5" fillId="0" borderId="0" xfId="60" applyFont="1" applyBorder="1" applyAlignment="1">
      <alignment horizontal="left"/>
      <protection/>
    </xf>
    <xf numFmtId="0" fontId="6" fillId="0" borderId="0" xfId="60" applyFont="1" applyAlignment="1">
      <alignment horizontal="right"/>
      <protection/>
    </xf>
    <xf numFmtId="177" fontId="4" fillId="0" borderId="0" xfId="60" applyNumberFormat="1" applyFont="1">
      <alignment/>
      <protection/>
    </xf>
    <xf numFmtId="177" fontId="4" fillId="0" borderId="0" xfId="60" applyNumberFormat="1" applyFont="1" applyAlignment="1">
      <alignment shrinkToFit="1"/>
      <protection/>
    </xf>
    <xf numFmtId="177" fontId="6" fillId="0" borderId="0" xfId="60" applyNumberFormat="1" applyFont="1">
      <alignment/>
      <protection/>
    </xf>
    <xf numFmtId="176" fontId="6" fillId="0" borderId="0" xfId="60" applyNumberFormat="1" applyFont="1">
      <alignment/>
      <protection/>
    </xf>
    <xf numFmtId="177" fontId="6" fillId="0" borderId="0" xfId="60" applyNumberFormat="1" applyFont="1" applyAlignment="1">
      <alignment shrinkToFit="1"/>
      <protection/>
    </xf>
    <xf numFmtId="176" fontId="6" fillId="0" borderId="0" xfId="60" applyNumberFormat="1" applyFont="1" applyAlignment="1">
      <alignment shrinkToFit="1"/>
      <protection/>
    </xf>
    <xf numFmtId="177" fontId="70" fillId="0" borderId="12" xfId="60" applyNumberFormat="1" applyFont="1" applyFill="1" applyBorder="1" applyAlignment="1">
      <alignment horizontal="left"/>
      <protection/>
    </xf>
    <xf numFmtId="177" fontId="0" fillId="34" borderId="16" xfId="60" applyNumberFormat="1" applyFont="1" applyFill="1" applyBorder="1" applyAlignment="1">
      <alignment horizontal="right"/>
      <protection/>
    </xf>
    <xf numFmtId="177" fontId="0" fillId="34" borderId="19" xfId="60" applyNumberFormat="1" applyFont="1" applyFill="1" applyBorder="1" applyAlignment="1">
      <alignment horizontal="right"/>
      <protection/>
    </xf>
    <xf numFmtId="177" fontId="0" fillId="34" borderId="16" xfId="60" applyNumberFormat="1" applyFont="1" applyFill="1" applyBorder="1" applyAlignment="1">
      <alignment horizontal="center"/>
      <protection/>
    </xf>
    <xf numFmtId="177" fontId="0" fillId="34" borderId="19" xfId="60" applyNumberFormat="1" applyFont="1" applyFill="1" applyBorder="1" applyAlignment="1">
      <alignment horizontal="center"/>
      <protection/>
    </xf>
    <xf numFmtId="177" fontId="0" fillId="0" borderId="29" xfId="60" applyNumberFormat="1" applyFont="1" applyFill="1" applyBorder="1" applyAlignment="1">
      <alignment horizontal="right"/>
      <protection/>
    </xf>
    <xf numFmtId="0" fontId="71" fillId="0" borderId="13" xfId="0" applyFont="1" applyBorder="1" applyAlignment="1">
      <alignment horizontal="center" vertical="center"/>
    </xf>
    <xf numFmtId="0" fontId="62" fillId="0" borderId="12" xfId="0" applyFont="1" applyBorder="1" applyAlignment="1">
      <alignment horizontal="center" vertical="center"/>
    </xf>
    <xf numFmtId="0" fontId="62" fillId="0" borderId="30" xfId="0" applyFont="1" applyFill="1" applyBorder="1" applyAlignment="1">
      <alignment horizontal="center" vertical="center"/>
    </xf>
    <xf numFmtId="0" fontId="0" fillId="0" borderId="14" xfId="60" applyFont="1" applyBorder="1" applyAlignment="1">
      <alignment horizontal="distributed"/>
      <protection/>
    </xf>
    <xf numFmtId="0" fontId="0" fillId="0" borderId="30" xfId="0" applyFont="1" applyBorder="1" applyAlignment="1">
      <alignment horizontal="center" vertical="center"/>
    </xf>
    <xf numFmtId="0" fontId="0" fillId="0" borderId="14" xfId="0" applyFont="1" applyBorder="1" applyAlignment="1">
      <alignment horizontal="center" vertical="center" shrinkToFit="1"/>
    </xf>
    <xf numFmtId="0" fontId="0" fillId="0" borderId="24" xfId="0" applyFont="1" applyBorder="1" applyAlignment="1">
      <alignment horizontal="center" vertical="center"/>
    </xf>
    <xf numFmtId="0" fontId="50" fillId="0" borderId="10" xfId="0" applyFont="1" applyBorder="1" applyAlignment="1">
      <alignment horizontal="right" vertical="center"/>
    </xf>
    <xf numFmtId="0" fontId="0" fillId="0" borderId="25" xfId="0" applyFont="1" applyBorder="1" applyAlignment="1">
      <alignment vertical="center" wrapText="1"/>
    </xf>
    <xf numFmtId="0" fontId="0" fillId="0" borderId="31"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15"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0" xfId="0" applyFont="1" applyBorder="1" applyAlignment="1">
      <alignment horizontal="right" vertical="center"/>
    </xf>
    <xf numFmtId="0" fontId="0" fillId="34" borderId="30" xfId="0" applyFont="1" applyFill="1" applyBorder="1" applyAlignment="1">
      <alignment horizontal="center" vertical="center"/>
    </xf>
    <xf numFmtId="0" fontId="0" fillId="0" borderId="0" xfId="0" applyFont="1" applyBorder="1" applyAlignment="1">
      <alignment vertical="center" wrapText="1"/>
    </xf>
    <xf numFmtId="0" fontId="0" fillId="0" borderId="20" xfId="0" applyFont="1" applyBorder="1" applyAlignment="1">
      <alignment horizontal="center" vertical="center" shrinkToFit="1"/>
    </xf>
    <xf numFmtId="0" fontId="0" fillId="0" borderId="14" xfId="0" applyFont="1" applyBorder="1" applyAlignment="1">
      <alignment horizontal="distributed" shrinkToFit="1"/>
    </xf>
    <xf numFmtId="0" fontId="0" fillId="0" borderId="24" xfId="0" applyFont="1" applyBorder="1" applyAlignment="1">
      <alignment horizontal="center" vertical="center" shrinkToFit="1"/>
    </xf>
    <xf numFmtId="38" fontId="0" fillId="0" borderId="10" xfId="48" applyFont="1" applyBorder="1" applyAlignment="1">
      <alignment horizontal="right" vertical="center"/>
    </xf>
    <xf numFmtId="0" fontId="0" fillId="0" borderId="25" xfId="0" applyFont="1" applyBorder="1" applyAlignment="1">
      <alignment vertical="center"/>
    </xf>
    <xf numFmtId="0" fontId="0" fillId="0" borderId="35" xfId="0" applyFont="1" applyBorder="1" applyAlignment="1">
      <alignment vertical="center"/>
    </xf>
    <xf numFmtId="0" fontId="0" fillId="0" borderId="27" xfId="0" applyFont="1" applyBorder="1" applyAlignment="1">
      <alignment vertical="center"/>
    </xf>
    <xf numFmtId="0" fontId="0" fillId="0" borderId="31" xfId="0" applyFont="1" applyBorder="1" applyAlignment="1">
      <alignment vertical="center"/>
    </xf>
    <xf numFmtId="0" fontId="0" fillId="0" borderId="18" xfId="0" applyFont="1" applyBorder="1" applyAlignment="1">
      <alignment vertical="center"/>
    </xf>
    <xf numFmtId="0" fontId="0" fillId="0" borderId="30" xfId="0" applyFont="1" applyBorder="1" applyAlignment="1">
      <alignment vertical="center"/>
    </xf>
    <xf numFmtId="0" fontId="0" fillId="0" borderId="22" xfId="0" applyFont="1" applyBorder="1" applyAlignment="1">
      <alignment vertical="center"/>
    </xf>
    <xf numFmtId="0" fontId="0" fillId="0" borderId="34" xfId="0" applyFont="1" applyBorder="1" applyAlignment="1">
      <alignment vertical="center"/>
    </xf>
    <xf numFmtId="0" fontId="0" fillId="0" borderId="14" xfId="0" applyFont="1" applyBorder="1" applyAlignment="1">
      <alignment vertical="center"/>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20" xfId="0" applyFont="1" applyBorder="1" applyAlignment="1">
      <alignment vertical="center"/>
    </xf>
    <xf numFmtId="0" fontId="0" fillId="0" borderId="21" xfId="0" applyFont="1" applyFill="1" applyBorder="1" applyAlignment="1">
      <alignment vertical="top" wrapText="1"/>
    </xf>
    <xf numFmtId="0" fontId="0" fillId="0" borderId="15" xfId="0" applyFont="1" applyFill="1" applyBorder="1" applyAlignment="1">
      <alignment vertical="top"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35" xfId="0" applyFont="1" applyFill="1" applyBorder="1" applyAlignment="1">
      <alignment vertical="top" wrapText="1"/>
    </xf>
    <xf numFmtId="0" fontId="0" fillId="0" borderId="0" xfId="0" applyFont="1" applyFill="1" applyAlignment="1">
      <alignment vertical="center"/>
    </xf>
    <xf numFmtId="0" fontId="0" fillId="0" borderId="13" xfId="0" applyFont="1" applyFill="1" applyBorder="1" applyAlignment="1">
      <alignment vertical="center"/>
    </xf>
    <xf numFmtId="0" fontId="0" fillId="0" borderId="24" xfId="0" applyFont="1" applyBorder="1" applyAlignment="1">
      <alignment vertical="center"/>
    </xf>
    <xf numFmtId="0" fontId="0" fillId="0" borderId="26" xfId="0" applyFont="1" applyFill="1" applyBorder="1" applyAlignment="1">
      <alignment vertical="top"/>
    </xf>
    <xf numFmtId="0" fontId="0" fillId="0" borderId="36" xfId="0" applyFont="1" applyFill="1" applyBorder="1" applyAlignment="1">
      <alignment vertical="top"/>
    </xf>
    <xf numFmtId="0" fontId="0" fillId="0" borderId="21" xfId="0" applyFont="1" applyFill="1" applyBorder="1" applyAlignment="1">
      <alignment vertical="top"/>
    </xf>
    <xf numFmtId="0" fontId="0" fillId="0" borderId="15" xfId="0" applyFont="1" applyFill="1" applyBorder="1" applyAlignment="1">
      <alignment vertical="top"/>
    </xf>
    <xf numFmtId="0" fontId="0" fillId="0" borderId="32" xfId="0" applyFont="1" applyFill="1" applyBorder="1" applyAlignment="1">
      <alignment vertical="top"/>
    </xf>
    <xf numFmtId="0" fontId="0" fillId="0" borderId="33" xfId="0" applyFont="1" applyFill="1" applyBorder="1" applyAlignment="1">
      <alignment vertical="top"/>
    </xf>
    <xf numFmtId="0" fontId="0" fillId="0" borderId="0" xfId="0" applyFont="1" applyAlignment="1">
      <alignment vertical="top"/>
    </xf>
    <xf numFmtId="0" fontId="0" fillId="0" borderId="29" xfId="0" applyFont="1" applyBorder="1" applyAlignment="1">
      <alignment vertical="top"/>
    </xf>
    <xf numFmtId="0" fontId="0" fillId="0" borderId="16" xfId="0" applyFont="1" applyBorder="1" applyAlignment="1">
      <alignment horizontal="left" vertical="center"/>
    </xf>
    <xf numFmtId="0" fontId="72" fillId="0" borderId="0" xfId="0" applyFont="1" applyBorder="1" applyAlignment="1">
      <alignment horizontal="left" vertical="center" wrapText="1"/>
    </xf>
    <xf numFmtId="0" fontId="72" fillId="0" borderId="29" xfId="0" applyFont="1" applyBorder="1" applyAlignment="1">
      <alignment horizontal="left" vertical="center" wrapText="1"/>
    </xf>
    <xf numFmtId="0" fontId="0" fillId="0" borderId="0" xfId="0" applyFont="1" applyBorder="1" applyAlignment="1">
      <alignment horizontal="left" vertical="top" wrapText="1"/>
    </xf>
    <xf numFmtId="0" fontId="0" fillId="0" borderId="14" xfId="60" applyFont="1" applyFill="1" applyBorder="1" applyAlignment="1">
      <alignment horizontal="distributed" shrinkToFit="1"/>
      <protection/>
    </xf>
    <xf numFmtId="0" fontId="0" fillId="0" borderId="0" xfId="0" applyFont="1" applyBorder="1" applyAlignment="1">
      <alignment vertical="top"/>
    </xf>
    <xf numFmtId="0" fontId="0" fillId="0" borderId="13" xfId="0" applyFont="1" applyBorder="1" applyAlignment="1">
      <alignment vertical="top"/>
    </xf>
    <xf numFmtId="0" fontId="0" fillId="0" borderId="0" xfId="0" applyFont="1" applyBorder="1" applyAlignment="1">
      <alignment horizontal="right" vertical="top"/>
    </xf>
    <xf numFmtId="0" fontId="0" fillId="0" borderId="16" xfId="0" applyFont="1" applyBorder="1" applyAlignment="1">
      <alignment horizontal="right" vertical="center"/>
    </xf>
    <xf numFmtId="0" fontId="0" fillId="0" borderId="0" xfId="0" applyFont="1" applyBorder="1" applyAlignment="1">
      <alignment horizontal="left" vertical="center"/>
    </xf>
    <xf numFmtId="176" fontId="0" fillId="0" borderId="12" xfId="60" applyNumberFormat="1" applyFont="1" applyFill="1" applyBorder="1" applyAlignment="1">
      <alignment horizontal="distributed"/>
      <protection/>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0" xfId="0" applyFont="1" applyFill="1" applyBorder="1" applyAlignment="1">
      <alignment horizontal="left" vertical="center"/>
    </xf>
    <xf numFmtId="0" fontId="72" fillId="0" borderId="16" xfId="0" applyFont="1" applyBorder="1" applyAlignment="1">
      <alignment horizontal="left" vertical="top" wrapText="1"/>
    </xf>
    <xf numFmtId="0" fontId="0" fillId="0" borderId="29" xfId="0" applyFont="1" applyBorder="1" applyAlignment="1">
      <alignment horizontal="left" vertical="top" wrapText="1"/>
    </xf>
    <xf numFmtId="0" fontId="0" fillId="0" borderId="0" xfId="0" applyFont="1" applyAlignment="1">
      <alignment vertical="center"/>
    </xf>
    <xf numFmtId="0" fontId="0" fillId="0" borderId="29" xfId="0" applyFont="1" applyBorder="1" applyAlignment="1">
      <alignment vertical="center"/>
    </xf>
    <xf numFmtId="0" fontId="0" fillId="0" borderId="16" xfId="0" applyFont="1" applyBorder="1" applyAlignment="1">
      <alignment vertical="center"/>
    </xf>
    <xf numFmtId="0" fontId="72" fillId="0" borderId="16" xfId="0" applyFont="1" applyBorder="1" applyAlignment="1">
      <alignment vertical="top" wrapText="1"/>
    </xf>
    <xf numFmtId="0" fontId="0" fillId="0" borderId="13" xfId="0" applyFont="1" applyBorder="1" applyAlignment="1">
      <alignmen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29" xfId="0" applyFont="1" applyFill="1" applyBorder="1" applyAlignment="1">
      <alignment vertical="top"/>
    </xf>
    <xf numFmtId="0" fontId="0" fillId="0" borderId="0" xfId="0" applyFont="1" applyBorder="1" applyAlignment="1">
      <alignment vertical="center"/>
    </xf>
    <xf numFmtId="0" fontId="0" fillId="0" borderId="13" xfId="0" applyFont="1" applyFill="1" applyBorder="1" applyAlignment="1">
      <alignment vertical="top" wrapText="1"/>
    </xf>
    <xf numFmtId="0" fontId="0" fillId="0" borderId="0" xfId="0" applyFont="1" applyFill="1" applyBorder="1" applyAlignment="1">
      <alignment vertical="top" wrapText="1"/>
    </xf>
    <xf numFmtId="0" fontId="0" fillId="0" borderId="29" xfId="0" applyFont="1" applyFill="1" applyBorder="1" applyAlignment="1">
      <alignment vertical="top" wrapText="1"/>
    </xf>
    <xf numFmtId="0" fontId="72" fillId="0" borderId="0" xfId="0" applyFont="1" applyBorder="1" applyAlignment="1">
      <alignment horizontal="left" vertical="top" wrapText="1"/>
    </xf>
    <xf numFmtId="0" fontId="72" fillId="0" borderId="29"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29" xfId="0" applyFont="1" applyFill="1" applyBorder="1" applyAlignment="1">
      <alignment vertical="center"/>
    </xf>
    <xf numFmtId="0" fontId="0" fillId="0" borderId="16"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shrinkToFit="1"/>
    </xf>
    <xf numFmtId="0" fontId="0" fillId="0" borderId="29" xfId="0" applyFont="1" applyFill="1" applyBorder="1" applyAlignment="1">
      <alignment vertical="top" shrinkToFit="1"/>
    </xf>
    <xf numFmtId="0" fontId="0" fillId="0" borderId="0" xfId="0" applyFont="1" applyFill="1" applyAlignment="1">
      <alignment vertical="top" wrapText="1"/>
    </xf>
    <xf numFmtId="0" fontId="0" fillId="0" borderId="0" xfId="0" applyFont="1" applyFill="1" applyAlignment="1">
      <alignment vertical="center"/>
    </xf>
    <xf numFmtId="0" fontId="0" fillId="0" borderId="13" xfId="0" applyFont="1" applyFill="1" applyBorder="1" applyAlignment="1">
      <alignment vertical="center"/>
    </xf>
    <xf numFmtId="0" fontId="0" fillId="0" borderId="35" xfId="0" applyFont="1" applyBorder="1" applyAlignment="1">
      <alignment vertical="center" wrapText="1"/>
    </xf>
    <xf numFmtId="0" fontId="0" fillId="0" borderId="26" xfId="0" applyFont="1" applyBorder="1" applyAlignment="1">
      <alignment vertical="center"/>
    </xf>
    <xf numFmtId="0" fontId="0" fillId="0" borderId="36" xfId="0" applyFont="1" applyBorder="1" applyAlignment="1">
      <alignment vertical="center"/>
    </xf>
    <xf numFmtId="177" fontId="20" fillId="0" borderId="17" xfId="60" applyNumberFormat="1" applyFont="1" applyFill="1" applyBorder="1" applyAlignment="1">
      <alignment horizontal="center" vertical="center"/>
      <protection/>
    </xf>
    <xf numFmtId="177" fontId="20" fillId="0" borderId="37" xfId="60" applyNumberFormat="1" applyFont="1" applyFill="1" applyBorder="1" applyAlignment="1">
      <alignment horizontal="center" vertical="center"/>
      <protection/>
    </xf>
    <xf numFmtId="177" fontId="20" fillId="0" borderId="38" xfId="60" applyNumberFormat="1" applyFont="1" applyFill="1" applyBorder="1" applyAlignment="1">
      <alignment horizontal="center" vertical="center"/>
      <protection/>
    </xf>
    <xf numFmtId="49" fontId="0" fillId="0" borderId="19" xfId="60" applyNumberFormat="1" applyFont="1" applyFill="1" applyBorder="1" applyAlignment="1">
      <alignment horizontal="right"/>
      <protection/>
    </xf>
    <xf numFmtId="177" fontId="0" fillId="0" borderId="0" xfId="60" applyNumberFormat="1" applyFont="1" applyFill="1">
      <alignment/>
      <protection/>
    </xf>
    <xf numFmtId="177" fontId="72" fillId="0" borderId="12" xfId="60" applyNumberFormat="1" applyFont="1" applyFill="1" applyBorder="1" applyAlignment="1">
      <alignment horizontal="left"/>
      <protection/>
    </xf>
    <xf numFmtId="177" fontId="72" fillId="0" borderId="16" xfId="60" applyNumberFormat="1" applyFont="1" applyFill="1" applyBorder="1" applyAlignment="1">
      <alignment horizontal="right"/>
      <protection/>
    </xf>
    <xf numFmtId="177" fontId="72" fillId="0" borderId="19" xfId="60" applyNumberFormat="1" applyFont="1" applyFill="1" applyBorder="1" applyAlignment="1">
      <alignment horizontal="right"/>
      <protection/>
    </xf>
    <xf numFmtId="177" fontId="72" fillId="0" borderId="12" xfId="60" applyNumberFormat="1" applyFont="1" applyBorder="1">
      <alignment/>
      <protection/>
    </xf>
    <xf numFmtId="177" fontId="72" fillId="0" borderId="19" xfId="60" applyNumberFormat="1" applyFont="1" applyBorder="1">
      <alignment/>
      <protection/>
    </xf>
    <xf numFmtId="177" fontId="72" fillId="0" borderId="16" xfId="60" applyNumberFormat="1" applyFont="1" applyBorder="1">
      <alignment/>
      <protection/>
    </xf>
    <xf numFmtId="177" fontId="72" fillId="0" borderId="16" xfId="60" applyNumberFormat="1" applyFont="1" applyBorder="1" applyAlignment="1">
      <alignment horizontal="right"/>
      <protection/>
    </xf>
    <xf numFmtId="177" fontId="72" fillId="0" borderId="19" xfId="60" applyNumberFormat="1" applyFont="1" applyBorder="1" applyAlignment="1">
      <alignment horizontal="right"/>
      <protection/>
    </xf>
    <xf numFmtId="177" fontId="0" fillId="0" borderId="12" xfId="60" applyNumberFormat="1" applyFont="1" applyFill="1" applyBorder="1" applyAlignment="1">
      <alignment shrinkToFit="1"/>
      <protection/>
    </xf>
    <xf numFmtId="177" fontId="22" fillId="0" borderId="19" xfId="60" applyNumberFormat="1" applyFont="1" applyFill="1" applyBorder="1" applyAlignment="1">
      <alignment horizontal="right"/>
      <protection/>
    </xf>
    <xf numFmtId="177" fontId="0" fillId="0" borderId="16" xfId="60" applyNumberFormat="1" applyFont="1" applyFill="1" applyBorder="1" applyAlignment="1">
      <alignment horizontal="center"/>
      <protection/>
    </xf>
    <xf numFmtId="178" fontId="0" fillId="34" borderId="19" xfId="60" applyNumberFormat="1" applyFont="1" applyFill="1" applyBorder="1" applyAlignment="1">
      <alignment horizontal="right"/>
      <protection/>
    </xf>
    <xf numFmtId="177" fontId="0" fillId="0" borderId="0" xfId="60" applyNumberFormat="1" applyFont="1">
      <alignment/>
      <protection/>
    </xf>
    <xf numFmtId="0" fontId="6" fillId="0" borderId="0" xfId="60" applyFont="1" applyBorder="1" applyAlignment="1">
      <alignment shrinkToFit="1"/>
      <protection/>
    </xf>
    <xf numFmtId="176" fontId="6" fillId="0" borderId="0" xfId="60" applyNumberFormat="1" applyFont="1" applyBorder="1" applyAlignment="1">
      <alignment shrinkToFit="1"/>
      <protection/>
    </xf>
    <xf numFmtId="176" fontId="0" fillId="0" borderId="12" xfId="48" applyNumberFormat="1" applyFont="1" applyBorder="1" applyAlignment="1">
      <alignment horizontal="right" vertical="center"/>
    </xf>
    <xf numFmtId="38" fontId="0" fillId="0" borderId="12" xfId="48" applyFont="1" applyBorder="1" applyAlignment="1">
      <alignment horizontal="right"/>
    </xf>
    <xf numFmtId="38" fontId="0" fillId="0" borderId="12" xfId="48" applyFont="1" applyBorder="1" applyAlignment="1">
      <alignment horizontal="right" vertical="center"/>
    </xf>
    <xf numFmtId="38" fontId="0" fillId="0" borderId="12" xfId="48" applyFont="1" applyBorder="1" applyAlignment="1">
      <alignment vertical="center"/>
    </xf>
    <xf numFmtId="49" fontId="0" fillId="0" borderId="16" xfId="0" applyNumberFormat="1" applyFont="1" applyFill="1" applyBorder="1" applyAlignment="1">
      <alignment vertical="center"/>
    </xf>
    <xf numFmtId="0" fontId="30" fillId="0" borderId="16" xfId="0" applyFont="1" applyFill="1" applyBorder="1" applyAlignment="1">
      <alignment vertical="center"/>
    </xf>
    <xf numFmtId="0" fontId="30" fillId="0" borderId="0" xfId="0" applyFont="1" applyFill="1" applyBorder="1" applyAlignment="1">
      <alignment vertical="center"/>
    </xf>
    <xf numFmtId="0" fontId="30" fillId="0" borderId="29" xfId="0" applyFont="1" applyFill="1" applyBorder="1" applyAlignment="1">
      <alignment vertical="center"/>
    </xf>
    <xf numFmtId="0" fontId="30" fillId="0" borderId="13" xfId="0" applyFont="1" applyFill="1" applyBorder="1" applyAlignment="1">
      <alignment vertical="center"/>
    </xf>
    <xf numFmtId="0" fontId="0" fillId="0" borderId="16" xfId="0" applyFont="1" applyFill="1" applyBorder="1" applyAlignment="1">
      <alignment vertical="top" shrinkToFit="1"/>
    </xf>
    <xf numFmtId="0" fontId="0" fillId="0" borderId="16" xfId="0" applyFont="1" applyFill="1" applyBorder="1" applyAlignment="1">
      <alignment vertical="top"/>
    </xf>
    <xf numFmtId="0" fontId="0" fillId="0" borderId="13" xfId="0" applyFont="1" applyBorder="1" applyAlignment="1">
      <alignment vertical="center"/>
    </xf>
    <xf numFmtId="0" fontId="0" fillId="0" borderId="29" xfId="0" applyFont="1" applyFill="1" applyBorder="1" applyAlignment="1">
      <alignment horizontal="left" vertical="top" wrapText="1"/>
    </xf>
    <xf numFmtId="0" fontId="0" fillId="0" borderId="16" xfId="0" applyFont="1" applyFill="1" applyBorder="1" applyAlignment="1">
      <alignment horizontal="left" vertical="top"/>
    </xf>
    <xf numFmtId="0" fontId="0" fillId="0" borderId="0" xfId="0" applyFont="1" applyFill="1" applyBorder="1" applyAlignment="1">
      <alignment horizontal="left" vertical="top"/>
    </xf>
    <xf numFmtId="0" fontId="0" fillId="0" borderId="29" xfId="0" applyFont="1" applyFill="1" applyBorder="1" applyAlignment="1">
      <alignment horizontal="left" vertical="top"/>
    </xf>
    <xf numFmtId="0" fontId="0" fillId="0" borderId="16" xfId="0" applyFont="1" applyBorder="1" applyAlignment="1">
      <alignment horizontal="left" vertical="top" wrapText="1"/>
    </xf>
    <xf numFmtId="0" fontId="0" fillId="0" borderId="0" xfId="0" applyFont="1" applyAlignment="1">
      <alignment horizontal="left" vertical="center"/>
    </xf>
    <xf numFmtId="177" fontId="0" fillId="0" borderId="16" xfId="60" applyNumberFormat="1" applyFont="1" applyFill="1" applyBorder="1" applyAlignment="1">
      <alignment horizontal="left"/>
      <protection/>
    </xf>
    <xf numFmtId="177" fontId="0" fillId="0" borderId="0" xfId="60" applyNumberFormat="1" applyFont="1" applyFill="1" applyBorder="1" applyAlignment="1">
      <alignment horizontal="left"/>
      <protection/>
    </xf>
    <xf numFmtId="177" fontId="0" fillId="0" borderId="18" xfId="60" applyNumberFormat="1" applyFont="1" applyFill="1" applyBorder="1" applyAlignment="1">
      <alignment horizontal="left"/>
      <protection/>
    </xf>
    <xf numFmtId="177" fontId="0" fillId="0" borderId="0" xfId="60" applyNumberFormat="1" applyFont="1" applyFill="1" applyBorder="1" applyAlignment="1">
      <alignment wrapText="1"/>
      <protection/>
    </xf>
    <xf numFmtId="177" fontId="0" fillId="0" borderId="18" xfId="60" applyNumberFormat="1" applyFont="1" applyFill="1" applyBorder="1" applyAlignment="1">
      <alignment wrapText="1"/>
      <protection/>
    </xf>
    <xf numFmtId="177" fontId="0" fillId="0" borderId="16" xfId="60" applyNumberFormat="1" applyFont="1" applyFill="1" applyBorder="1" applyAlignment="1">
      <alignment wrapText="1"/>
      <protection/>
    </xf>
    <xf numFmtId="0" fontId="0" fillId="0" borderId="16"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0" xfId="0" applyAlignment="1">
      <alignment vertical="center"/>
    </xf>
    <xf numFmtId="176" fontId="17" fillId="0" borderId="21" xfId="60" applyNumberFormat="1" applyFont="1" applyFill="1" applyBorder="1" applyAlignment="1">
      <alignment horizontal="distributed"/>
      <protection/>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16" xfId="0" applyFont="1" applyFill="1" applyBorder="1" applyAlignment="1">
      <alignment vertical="top"/>
    </xf>
    <xf numFmtId="0" fontId="0" fillId="0" borderId="29" xfId="0" applyFont="1" applyFill="1" applyBorder="1" applyAlignment="1">
      <alignment vertical="top"/>
    </xf>
    <xf numFmtId="0" fontId="0" fillId="0" borderId="0" xfId="0" applyFont="1" applyFill="1" applyAlignment="1">
      <alignment vertical="top"/>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29" xfId="0" applyFont="1" applyFill="1" applyBorder="1" applyAlignment="1">
      <alignment vertical="center"/>
    </xf>
    <xf numFmtId="0" fontId="20" fillId="0" borderId="20" xfId="60" applyFont="1" applyFill="1" applyBorder="1" applyAlignment="1">
      <alignment horizontal="center"/>
      <protection/>
    </xf>
    <xf numFmtId="176" fontId="17" fillId="0" borderId="11" xfId="60" applyNumberFormat="1" applyFont="1" applyFill="1" applyBorder="1">
      <alignment/>
      <protection/>
    </xf>
    <xf numFmtId="38" fontId="17" fillId="0" borderId="11" xfId="48" applyFont="1" applyBorder="1" applyAlignment="1">
      <alignmen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20" fillId="0" borderId="20" xfId="60" applyFont="1" applyBorder="1" applyAlignment="1">
      <alignment horizontal="distributed"/>
      <protection/>
    </xf>
    <xf numFmtId="176" fontId="17" fillId="0" borderId="15" xfId="60" applyNumberFormat="1" applyFont="1" applyBorder="1">
      <alignment/>
      <protection/>
    </xf>
    <xf numFmtId="177" fontId="0" fillId="0" borderId="12" xfId="60" applyNumberFormat="1" applyFont="1" applyFill="1" applyBorder="1" applyAlignment="1">
      <alignment shrinkToFit="1"/>
      <protection/>
    </xf>
    <xf numFmtId="177" fontId="17" fillId="0" borderId="12" xfId="60" applyNumberFormat="1" applyFont="1" applyBorder="1">
      <alignment/>
      <protection/>
    </xf>
    <xf numFmtId="177" fontId="0" fillId="0" borderId="12" xfId="60" applyNumberFormat="1" applyFont="1" applyFill="1" applyBorder="1" applyAlignment="1">
      <alignment horizontal="left" shrinkToFit="1"/>
      <protection/>
    </xf>
    <xf numFmtId="0" fontId="0" fillId="0" borderId="16" xfId="0" applyFont="1" applyBorder="1" applyAlignment="1">
      <alignment vertical="center" wrapText="1"/>
    </xf>
    <xf numFmtId="0" fontId="0" fillId="0" borderId="29" xfId="0" applyFont="1" applyBorder="1" applyAlignment="1">
      <alignment vertical="center"/>
    </xf>
    <xf numFmtId="0" fontId="0" fillId="0" borderId="13" xfId="0" applyFont="1" applyBorder="1" applyAlignment="1">
      <alignment vertical="center" wrapText="1"/>
    </xf>
    <xf numFmtId="0" fontId="0" fillId="0" borderId="0" xfId="0" applyFont="1" applyBorder="1" applyAlignment="1">
      <alignment vertical="center"/>
    </xf>
    <xf numFmtId="0" fontId="0" fillId="0" borderId="16" xfId="0" applyFont="1" applyBorder="1" applyAlignment="1">
      <alignment vertical="center"/>
    </xf>
    <xf numFmtId="0" fontId="0" fillId="0" borderId="16" xfId="0" applyFont="1" applyFill="1" applyBorder="1" applyAlignment="1">
      <alignment vertical="top" wrapText="1"/>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9"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29"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lignment vertical="center"/>
    </xf>
    <xf numFmtId="0" fontId="50" fillId="0" borderId="12" xfId="0" applyFont="1" applyBorder="1" applyAlignment="1">
      <alignment horizontal="right" vertical="center"/>
    </xf>
    <xf numFmtId="38" fontId="0" fillId="0" borderId="39" xfId="48" applyFont="1" applyBorder="1" applyAlignment="1">
      <alignment horizontal="righ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shrinkToFit="1"/>
    </xf>
    <xf numFmtId="0" fontId="0" fillId="0" borderId="16" xfId="0" applyFont="1" applyFill="1" applyBorder="1" applyAlignment="1">
      <alignment vertical="top" wrapText="1"/>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0" xfId="0" applyFont="1" applyFill="1" applyBorder="1" applyAlignment="1">
      <alignment vertical="top" wrapText="1"/>
    </xf>
    <xf numFmtId="0" fontId="0" fillId="0" borderId="29" xfId="0" applyFont="1" applyBorder="1" applyAlignment="1">
      <alignment vertical="center"/>
    </xf>
    <xf numFmtId="0" fontId="62" fillId="0" borderId="31" xfId="0" applyFont="1" applyFill="1" applyBorder="1" applyAlignment="1">
      <alignment horizontal="center" vertical="center"/>
    </xf>
    <xf numFmtId="0" fontId="0" fillId="0" borderId="0" xfId="0" applyFont="1" applyBorder="1" applyAlignment="1">
      <alignment vertical="center"/>
    </xf>
    <xf numFmtId="0" fontId="0" fillId="0" borderId="16" xfId="0" applyFont="1" applyBorder="1" applyAlignment="1">
      <alignment vertical="center" wrapText="1"/>
    </xf>
    <xf numFmtId="0" fontId="0" fillId="0" borderId="13" xfId="0" applyFont="1" applyBorder="1" applyAlignment="1">
      <alignment vertical="center" wrapText="1"/>
    </xf>
    <xf numFmtId="0" fontId="71" fillId="0" borderId="35" xfId="0" applyFont="1" applyBorder="1" applyAlignment="1">
      <alignment horizontal="center" vertical="center"/>
    </xf>
    <xf numFmtId="0" fontId="73" fillId="0" borderId="25" xfId="0" applyFont="1" applyBorder="1" applyAlignment="1">
      <alignment horizontal="center" vertical="center"/>
    </xf>
    <xf numFmtId="0" fontId="73" fillId="0" borderId="26" xfId="0" applyFont="1" applyBorder="1" applyAlignment="1">
      <alignment horizontal="center" vertical="center"/>
    </xf>
    <xf numFmtId="0" fontId="73" fillId="0" borderId="36"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wrapText="1"/>
    </xf>
    <xf numFmtId="0" fontId="0" fillId="0" borderId="13" xfId="0" applyFont="1" applyBorder="1" applyAlignment="1">
      <alignment vertical="center" wrapText="1"/>
    </xf>
    <xf numFmtId="0" fontId="0" fillId="0" borderId="0" xfId="0" applyFont="1" applyAlignment="1">
      <alignment vertical="center"/>
    </xf>
    <xf numFmtId="0" fontId="0" fillId="0" borderId="29" xfId="0" applyFont="1" applyBorder="1" applyAlignment="1">
      <alignment vertical="center"/>
    </xf>
    <xf numFmtId="0" fontId="0" fillId="0" borderId="13" xfId="0" applyFont="1" applyBorder="1" applyAlignment="1">
      <alignment vertical="center"/>
    </xf>
    <xf numFmtId="0" fontId="0" fillId="0" borderId="16" xfId="0" applyFont="1" applyFill="1" applyBorder="1" applyAlignment="1">
      <alignment vertical="top" wrapText="1"/>
    </xf>
    <xf numFmtId="0" fontId="0" fillId="0" borderId="0" xfId="0" applyFont="1" applyFill="1" applyBorder="1" applyAlignment="1">
      <alignment vertical="top" wrapText="1"/>
    </xf>
    <xf numFmtId="0" fontId="0" fillId="0" borderId="29" xfId="0" applyFont="1" applyFill="1" applyBorder="1" applyAlignment="1">
      <alignment vertical="top" wrapText="1"/>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29" xfId="0" applyFont="1" applyFill="1" applyBorder="1" applyAlignment="1">
      <alignment vertical="top"/>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13" xfId="0" applyFont="1" applyFill="1" applyBorder="1" applyAlignment="1" quotePrefix="1">
      <alignment vertical="top" wrapText="1"/>
    </xf>
    <xf numFmtId="0" fontId="0" fillId="0" borderId="13" xfId="0" applyFont="1" applyFill="1" applyBorder="1" applyAlignment="1">
      <alignment vertical="top" wrapText="1"/>
    </xf>
    <xf numFmtId="0" fontId="0" fillId="0" borderId="0" xfId="0" applyFont="1" applyAlignment="1">
      <alignment vertical="top"/>
    </xf>
    <xf numFmtId="0" fontId="0" fillId="0" borderId="29" xfId="0" applyFont="1" applyBorder="1" applyAlignment="1">
      <alignment vertical="top"/>
    </xf>
    <xf numFmtId="0" fontId="0" fillId="0" borderId="13" xfId="0" applyFont="1" applyFill="1" applyBorder="1" applyAlignment="1" quotePrefix="1">
      <alignment horizontal="left" vertical="center" wrapText="1"/>
    </xf>
    <xf numFmtId="0" fontId="0" fillId="0" borderId="0" xfId="0" applyFont="1" applyFill="1" applyBorder="1" applyAlignment="1" quotePrefix="1">
      <alignment horizontal="left" vertical="center" wrapText="1"/>
    </xf>
    <xf numFmtId="0" fontId="0" fillId="0" borderId="29" xfId="0" applyFont="1" applyFill="1" applyBorder="1" applyAlignment="1" quotePrefix="1">
      <alignment horizontal="left" vertical="center" wrapText="1"/>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0" fillId="0" borderId="29" xfId="0" applyFont="1" applyFill="1" applyBorder="1" applyAlignment="1">
      <alignment horizontal="left" vertical="center"/>
    </xf>
    <xf numFmtId="0" fontId="0" fillId="0" borderId="16" xfId="0" applyFont="1" applyFill="1" applyBorder="1" applyAlignment="1">
      <alignment horizontal="left" vertical="top"/>
    </xf>
    <xf numFmtId="0" fontId="0" fillId="0" borderId="0" xfId="0" applyFont="1" applyFill="1" applyBorder="1" applyAlignment="1">
      <alignment horizontal="left" vertical="top"/>
    </xf>
    <xf numFmtId="0" fontId="0" fillId="0" borderId="29" xfId="0" applyFont="1" applyFill="1" applyBorder="1" applyAlignment="1">
      <alignment horizontal="left" vertical="top"/>
    </xf>
    <xf numFmtId="0" fontId="0" fillId="0" borderId="13" xfId="0" applyFont="1" applyFill="1" applyBorder="1" applyAlignment="1">
      <alignment horizontal="left" vertical="top" wrapText="1"/>
    </xf>
    <xf numFmtId="0" fontId="0" fillId="0" borderId="0" xfId="0" applyFont="1" applyAlignment="1">
      <alignment horizontal="left" vertical="top" wrapText="1"/>
    </xf>
    <xf numFmtId="0" fontId="0" fillId="0" borderId="29" xfId="0" applyFont="1" applyBorder="1" applyAlignment="1">
      <alignment horizontal="left" vertical="top" wrapText="1"/>
    </xf>
    <xf numFmtId="0" fontId="0" fillId="0" borderId="0" xfId="0" applyFont="1" applyAlignment="1">
      <alignment horizontal="left" vertical="center" wrapText="1"/>
    </xf>
    <xf numFmtId="0" fontId="0" fillId="0" borderId="29" xfId="0" applyFont="1" applyBorder="1" applyAlignment="1">
      <alignment horizontal="left" vertical="center"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16" xfId="0" applyFont="1" applyFill="1" applyBorder="1" applyAlignment="1">
      <alignment horizontal="left" vertical="center"/>
    </xf>
    <xf numFmtId="0" fontId="0" fillId="0" borderId="16" xfId="0" applyFont="1"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34" borderId="16" xfId="0" applyFont="1" applyFill="1" applyBorder="1" applyAlignment="1">
      <alignment vertical="top"/>
    </xf>
    <xf numFmtId="0" fontId="0" fillId="34" borderId="0" xfId="0" applyFont="1" applyFill="1" applyAlignment="1">
      <alignment vertical="top"/>
    </xf>
    <xf numFmtId="0" fontId="0" fillId="34" borderId="29" xfId="0" applyFont="1" applyFill="1" applyBorder="1" applyAlignment="1">
      <alignment vertical="top"/>
    </xf>
    <xf numFmtId="0" fontId="0" fillId="34" borderId="13" xfId="0" applyFont="1" applyFill="1" applyBorder="1" applyAlignment="1">
      <alignment vertical="top"/>
    </xf>
    <xf numFmtId="0" fontId="0" fillId="34" borderId="0" xfId="0" applyFont="1" applyFill="1" applyBorder="1" applyAlignment="1">
      <alignment vertical="top"/>
    </xf>
    <xf numFmtId="0" fontId="0" fillId="0" borderId="0" xfId="0" applyFont="1" applyFill="1" applyAlignment="1">
      <alignment vertical="top"/>
    </xf>
    <xf numFmtId="0" fontId="0" fillId="0" borderId="16" xfId="0" applyFont="1" applyBorder="1" applyAlignment="1">
      <alignment horizontal="left" vertical="top"/>
    </xf>
    <xf numFmtId="0" fontId="0" fillId="0" borderId="0" xfId="0" applyFont="1" applyBorder="1" applyAlignment="1">
      <alignment horizontal="left" vertical="top"/>
    </xf>
    <xf numFmtId="0" fontId="0" fillId="0" borderId="29" xfId="0" applyFont="1" applyBorder="1" applyAlignment="1">
      <alignment horizontal="left" vertical="top"/>
    </xf>
    <xf numFmtId="0" fontId="0" fillId="0" borderId="16" xfId="0" applyFont="1" applyBorder="1" applyAlignment="1">
      <alignment vertical="center"/>
    </xf>
    <xf numFmtId="0" fontId="0" fillId="34" borderId="16" xfId="0" applyFont="1" applyFill="1" applyBorder="1" applyAlignment="1">
      <alignment vertical="center"/>
    </xf>
    <xf numFmtId="0" fontId="0" fillId="34" borderId="0" xfId="0" applyFont="1" applyFill="1" applyAlignment="1">
      <alignment vertical="center"/>
    </xf>
    <xf numFmtId="0" fontId="0" fillId="34" borderId="29" xfId="0" applyFont="1" applyFill="1" applyBorder="1" applyAlignment="1">
      <alignment vertical="center"/>
    </xf>
    <xf numFmtId="0" fontId="0" fillId="34" borderId="13" xfId="0" applyFont="1" applyFill="1" applyBorder="1" applyAlignment="1">
      <alignment vertical="top" wrapText="1"/>
    </xf>
    <xf numFmtId="0" fontId="0" fillId="34" borderId="0" xfId="0" applyFont="1" applyFill="1" applyBorder="1" applyAlignment="1">
      <alignment vertical="center"/>
    </xf>
    <xf numFmtId="0" fontId="0" fillId="34" borderId="16" xfId="0" applyFont="1" applyFill="1" applyBorder="1" applyAlignment="1">
      <alignment vertical="top" wrapText="1"/>
    </xf>
    <xf numFmtId="0" fontId="0" fillId="34" borderId="0" xfId="0" applyFont="1" applyFill="1" applyAlignment="1">
      <alignment vertical="top" wrapText="1"/>
    </xf>
    <xf numFmtId="0" fontId="0" fillId="34" borderId="29" xfId="0" applyFont="1" applyFill="1" applyBorder="1" applyAlignment="1">
      <alignment vertical="top" wrapText="1"/>
    </xf>
    <xf numFmtId="0" fontId="0" fillId="0" borderId="16" xfId="0" applyFont="1" applyBorder="1" applyAlignment="1">
      <alignment horizontal="left" vertical="center"/>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Alignment="1">
      <alignment horizontal="left" vertical="top" wrapText="1"/>
    </xf>
    <xf numFmtId="0" fontId="0" fillId="0" borderId="13" xfId="0" applyFont="1" applyBorder="1" applyAlignment="1">
      <alignment horizontal="left" vertical="top" wrapText="1"/>
    </xf>
    <xf numFmtId="0" fontId="0" fillId="0" borderId="16" xfId="0" applyFont="1" applyFill="1" applyBorder="1" applyAlignment="1">
      <alignment vertical="top"/>
    </xf>
    <xf numFmtId="0" fontId="72" fillId="0" borderId="16" xfId="0" applyFont="1" applyBorder="1" applyAlignment="1">
      <alignment horizontal="left" vertical="top" wrapText="1"/>
    </xf>
    <xf numFmtId="0" fontId="72" fillId="0" borderId="0" xfId="0" applyFont="1" applyBorder="1" applyAlignment="1">
      <alignment horizontal="left" vertical="top" wrapText="1"/>
    </xf>
    <xf numFmtId="0" fontId="72" fillId="0" borderId="29" xfId="0" applyFont="1" applyBorder="1" applyAlignment="1">
      <alignment horizontal="left" vertical="top" wrapText="1"/>
    </xf>
    <xf numFmtId="0" fontId="72" fillId="0" borderId="16" xfId="0" applyFont="1" applyBorder="1" applyAlignment="1">
      <alignment horizontal="left" vertical="top"/>
    </xf>
    <xf numFmtId="0" fontId="0" fillId="0" borderId="0" xfId="0" applyFont="1" applyAlignment="1">
      <alignment horizontal="left" vertical="center"/>
    </xf>
    <xf numFmtId="0" fontId="0" fillId="0" borderId="29" xfId="0" applyFont="1" applyBorder="1" applyAlignment="1">
      <alignment horizontal="left" vertical="center"/>
    </xf>
    <xf numFmtId="0" fontId="72" fillId="0" borderId="16" xfId="0" applyFont="1" applyBorder="1" applyAlignment="1">
      <alignment vertical="top"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29" xfId="0" applyFont="1" applyFill="1" applyBorder="1" applyAlignment="1">
      <alignment horizontal="left" vertical="center" wrapText="1"/>
    </xf>
    <xf numFmtId="0" fontId="0" fillId="0" borderId="0" xfId="0" applyAlignment="1">
      <alignment horizontal="left" vertical="top" wrapText="1"/>
    </xf>
    <xf numFmtId="0" fontId="0" fillId="0" borderId="29" xfId="0" applyBorder="1" applyAlignment="1">
      <alignment horizontal="left" vertical="top" wrapText="1"/>
    </xf>
    <xf numFmtId="0" fontId="0" fillId="0" borderId="16" xfId="0" applyFont="1" applyFill="1" applyBorder="1" applyAlignment="1">
      <alignment horizontal="left" vertical="center" wrapText="1"/>
    </xf>
    <xf numFmtId="0" fontId="0" fillId="0" borderId="0" xfId="0" applyFont="1" applyAlignment="1">
      <alignment vertical="top" wrapText="1"/>
    </xf>
    <xf numFmtId="0" fontId="0" fillId="0" borderId="29" xfId="0" applyFont="1" applyBorder="1" applyAlignment="1">
      <alignment vertical="top" wrapText="1"/>
    </xf>
    <xf numFmtId="0" fontId="0" fillId="0" borderId="29" xfId="0" applyFont="1" applyFill="1" applyBorder="1" applyAlignment="1">
      <alignment vertical="center"/>
    </xf>
    <xf numFmtId="0" fontId="0" fillId="34" borderId="0" xfId="0" applyFont="1" applyFill="1" applyBorder="1" applyAlignment="1">
      <alignment vertical="top" wrapText="1"/>
    </xf>
    <xf numFmtId="0" fontId="0" fillId="0" borderId="13" xfId="0" applyFont="1" applyFill="1" applyBorder="1" applyAlignment="1" quotePrefix="1">
      <alignment horizontal="left" vertical="top" wrapText="1"/>
    </xf>
    <xf numFmtId="0" fontId="0" fillId="0" borderId="0" xfId="0" applyFont="1" applyFill="1" applyBorder="1" applyAlignment="1" quotePrefix="1">
      <alignment horizontal="left" vertical="top" wrapText="1"/>
    </xf>
    <xf numFmtId="0" fontId="0" fillId="0" borderId="29" xfId="0" applyFont="1" applyFill="1" applyBorder="1" applyAlignment="1" quotePrefix="1">
      <alignment horizontal="left" vertical="top" wrapText="1"/>
    </xf>
    <xf numFmtId="0" fontId="0" fillId="0" borderId="16"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29" xfId="0" applyFont="1" applyFill="1" applyBorder="1" applyAlignment="1" applyProtection="1">
      <alignment horizontal="left" vertical="center"/>
      <protection/>
    </xf>
    <xf numFmtId="0" fontId="0" fillId="0" borderId="16"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29" xfId="0" applyFont="1" applyFill="1" applyBorder="1" applyAlignment="1" applyProtection="1">
      <alignment horizontal="left" vertical="top"/>
      <protection/>
    </xf>
    <xf numFmtId="0" fontId="0" fillId="0" borderId="16" xfId="0" applyFont="1" applyBorder="1" applyAlignment="1">
      <alignment horizontal="left" vertical="top" wrapText="1"/>
    </xf>
    <xf numFmtId="0" fontId="0" fillId="0" borderId="16" xfId="0" applyFont="1" applyFill="1" applyBorder="1" applyAlignment="1">
      <alignment vertical="center" shrinkToFit="1"/>
    </xf>
    <xf numFmtId="0" fontId="0" fillId="0" borderId="0" xfId="0" applyFont="1" applyFill="1" applyBorder="1" applyAlignment="1">
      <alignment vertical="center" shrinkToFit="1"/>
    </xf>
    <xf numFmtId="0" fontId="0" fillId="0" borderId="29" xfId="0" applyFont="1" applyFill="1" applyBorder="1" applyAlignment="1">
      <alignment vertical="center" shrinkToFit="1"/>
    </xf>
    <xf numFmtId="0" fontId="0" fillId="0" borderId="16" xfId="0" applyFont="1" applyFill="1" applyBorder="1" applyAlignment="1">
      <alignment vertical="top" shrinkToFit="1"/>
    </xf>
    <xf numFmtId="0" fontId="0" fillId="0" borderId="0" xfId="0" applyFont="1" applyFill="1" applyAlignment="1">
      <alignment vertical="top" shrinkToFit="1"/>
    </xf>
    <xf numFmtId="0" fontId="0" fillId="0" borderId="29" xfId="0" applyFont="1" applyFill="1" applyBorder="1" applyAlignment="1">
      <alignment vertical="top" shrinkToFit="1"/>
    </xf>
    <xf numFmtId="0" fontId="0" fillId="0" borderId="0" xfId="0" applyFont="1" applyFill="1" applyBorder="1" applyAlignment="1">
      <alignment vertical="top" shrinkToFit="1"/>
    </xf>
    <xf numFmtId="0" fontId="0" fillId="0" borderId="16"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0" xfId="0" applyFont="1" applyFill="1" applyAlignment="1">
      <alignment vertical="center"/>
    </xf>
    <xf numFmtId="0" fontId="0" fillId="0" borderId="13" xfId="0" applyFont="1" applyFill="1" applyBorder="1" applyAlignment="1">
      <alignment vertical="center"/>
    </xf>
    <xf numFmtId="0" fontId="30" fillId="0" borderId="16" xfId="0" applyFont="1" applyFill="1" applyBorder="1" applyAlignment="1">
      <alignment vertical="center"/>
    </xf>
    <xf numFmtId="0" fontId="30" fillId="0" borderId="0" xfId="0" applyFont="1" applyFill="1" applyAlignment="1">
      <alignment vertical="center"/>
    </xf>
    <xf numFmtId="0" fontId="30" fillId="0" borderId="29" xfId="0" applyFont="1" applyFill="1" applyBorder="1" applyAlignment="1">
      <alignment vertical="center"/>
    </xf>
    <xf numFmtId="0" fontId="30" fillId="0" borderId="13" xfId="0" applyFont="1" applyFill="1" applyBorder="1" applyAlignment="1">
      <alignment vertical="center"/>
    </xf>
    <xf numFmtId="0" fontId="0" fillId="0" borderId="0" xfId="0" applyFont="1" applyFill="1" applyAlignment="1">
      <alignment vertical="top" wrapText="1"/>
    </xf>
    <xf numFmtId="0" fontId="0" fillId="0" borderId="0" xfId="0" applyFont="1" applyBorder="1" applyAlignment="1">
      <alignment vertical="center"/>
    </xf>
    <xf numFmtId="0" fontId="0" fillId="0" borderId="16" xfId="0" applyFont="1" applyBorder="1" applyAlignment="1">
      <alignment vertical="top"/>
    </xf>
    <xf numFmtId="0" fontId="0" fillId="0" borderId="0" xfId="0" applyAlignment="1">
      <alignment vertical="center"/>
    </xf>
    <xf numFmtId="0" fontId="0" fillId="0" borderId="29" xfId="0" applyBorder="1" applyAlignment="1">
      <alignment vertical="center"/>
    </xf>
    <xf numFmtId="0" fontId="0" fillId="0" borderId="13" xfId="0" applyFont="1" applyBorder="1" applyAlignment="1">
      <alignment vertical="top"/>
    </xf>
    <xf numFmtId="0" fontId="0" fillId="0" borderId="35" xfId="0" applyFont="1" applyBorder="1" applyAlignment="1">
      <alignment vertical="center" wrapText="1"/>
    </xf>
    <xf numFmtId="0" fontId="0" fillId="0" borderId="26" xfId="0" applyFont="1" applyBorder="1" applyAlignment="1">
      <alignment vertical="center"/>
    </xf>
    <xf numFmtId="0" fontId="0" fillId="0" borderId="36" xfId="0" applyFont="1" applyBorder="1" applyAlignment="1">
      <alignment vertical="center"/>
    </xf>
    <xf numFmtId="0" fontId="0" fillId="0" borderId="16" xfId="0" applyFont="1" applyBorder="1" applyAlignment="1">
      <alignment vertical="center" wrapText="1"/>
    </xf>
    <xf numFmtId="0" fontId="0" fillId="0" borderId="13" xfId="0" applyFont="1" applyBorder="1" applyAlignment="1" quotePrefix="1">
      <alignment vertical="center"/>
    </xf>
    <xf numFmtId="0" fontId="0" fillId="0" borderId="15" xfId="0" applyBorder="1" applyAlignment="1">
      <alignment horizontal="right" vertical="center"/>
    </xf>
    <xf numFmtId="0" fontId="10" fillId="0" borderId="0" xfId="60" applyFont="1" applyBorder="1" applyAlignment="1">
      <alignment horizontal="right" vertical="center"/>
      <protection/>
    </xf>
    <xf numFmtId="0" fontId="2" fillId="0" borderId="0" xfId="60" applyFont="1" applyBorder="1" applyAlignment="1">
      <alignment horizontal="right" vertical="center"/>
      <protection/>
    </xf>
    <xf numFmtId="0" fontId="73" fillId="0" borderId="35" xfId="0" applyFont="1" applyBorder="1" applyAlignment="1">
      <alignment horizontal="center" vertical="center"/>
    </xf>
    <xf numFmtId="0" fontId="73" fillId="0" borderId="33" xfId="0" applyFont="1" applyBorder="1" applyAlignment="1">
      <alignment horizontal="center" vertical="center"/>
    </xf>
    <xf numFmtId="0" fontId="62" fillId="0" borderId="46" xfId="0" applyFont="1" applyBorder="1" applyAlignment="1">
      <alignment horizontal="center" vertical="center"/>
    </xf>
    <xf numFmtId="0" fontId="62" fillId="0" borderId="47" xfId="0" applyFont="1" applyBorder="1" applyAlignment="1">
      <alignment horizontal="center" vertical="center"/>
    </xf>
    <xf numFmtId="0" fontId="62" fillId="0" borderId="17" xfId="0" applyFont="1" applyBorder="1" applyAlignment="1">
      <alignment horizontal="center" vertical="center"/>
    </xf>
    <xf numFmtId="0" fontId="62" fillId="0" borderId="38" xfId="0" applyFont="1" applyBorder="1" applyAlignment="1">
      <alignment horizontal="center" vertical="center"/>
    </xf>
    <xf numFmtId="0" fontId="62" fillId="0" borderId="31" xfId="0" applyFont="1" applyFill="1" applyBorder="1" applyAlignment="1">
      <alignment horizontal="center" vertical="center"/>
    </xf>
    <xf numFmtId="0" fontId="62" fillId="0" borderId="34" xfId="0" applyFont="1" applyFill="1" applyBorder="1" applyAlignment="1">
      <alignment horizontal="center" vertical="center"/>
    </xf>
    <xf numFmtId="0" fontId="11" fillId="0" borderId="0" xfId="60" applyFont="1" applyAlignment="1">
      <alignment horizontal="left" vertical="center"/>
      <protection/>
    </xf>
    <xf numFmtId="0" fontId="12" fillId="0" borderId="0" xfId="0" applyFont="1" applyAlignment="1">
      <alignment horizontal="left" vertical="center"/>
    </xf>
    <xf numFmtId="0" fontId="8" fillId="0" borderId="0" xfId="60" applyFont="1" applyFill="1" applyBorder="1" applyAlignment="1">
      <alignment horizontal="center" vertical="center"/>
      <protection/>
    </xf>
    <xf numFmtId="0" fontId="9" fillId="0" borderId="0" xfId="0" applyFont="1" applyFill="1" applyBorder="1" applyAlignment="1">
      <alignment horizontal="center" vertical="center"/>
    </xf>
    <xf numFmtId="177" fontId="2" fillId="0" borderId="0" xfId="60" applyNumberFormat="1" applyFont="1" applyAlignment="1">
      <alignment horizontal="right" vertical="center" wrapText="1"/>
      <protection/>
    </xf>
    <xf numFmtId="177" fontId="2" fillId="0" borderId="0" xfId="60" applyNumberFormat="1" applyFont="1" applyAlignment="1">
      <alignment horizontal="right" vertical="center"/>
      <protection/>
    </xf>
    <xf numFmtId="177" fontId="2" fillId="0" borderId="0" xfId="60" applyNumberFormat="1" applyFont="1" applyBorder="1" applyAlignment="1">
      <alignment horizontal="right" vertical="center"/>
      <protection/>
    </xf>
    <xf numFmtId="177" fontId="20" fillId="0" borderId="0" xfId="60" applyNumberFormat="1" applyFont="1" applyFill="1" applyBorder="1" applyAlignment="1">
      <alignment horizontal="right" vertical="center"/>
      <protection/>
    </xf>
    <xf numFmtId="177" fontId="27" fillId="0" borderId="0" xfId="60" applyNumberFormat="1" applyFont="1" applyFill="1" applyBorder="1" applyAlignment="1">
      <alignment horizontal="right" vertical="center"/>
      <protection/>
    </xf>
    <xf numFmtId="0" fontId="20" fillId="0" borderId="24" xfId="60" applyFont="1" applyBorder="1" applyAlignment="1">
      <alignment horizontal="center" vertical="center"/>
      <protection/>
    </xf>
    <xf numFmtId="0" fontId="20" fillId="0" borderId="20" xfId="0" applyFont="1" applyBorder="1" applyAlignment="1">
      <alignment horizontal="center" vertical="center"/>
    </xf>
    <xf numFmtId="0" fontId="20" fillId="0" borderId="10" xfId="60" applyFont="1" applyBorder="1" applyAlignment="1">
      <alignment horizontal="center" vertical="center" wrapText="1"/>
      <protection/>
    </xf>
    <xf numFmtId="0" fontId="20" fillId="0" borderId="11" xfId="0" applyFont="1" applyBorder="1" applyAlignment="1">
      <alignment horizontal="center" vertical="center"/>
    </xf>
    <xf numFmtId="0" fontId="20" fillId="0" borderId="48" xfId="60" applyFont="1" applyBorder="1" applyAlignment="1">
      <alignment horizontal="center" vertical="center"/>
      <protection/>
    </xf>
    <xf numFmtId="0" fontId="20" fillId="0" borderId="49" xfId="0" applyFont="1" applyBorder="1" applyAlignment="1">
      <alignment vertical="center"/>
    </xf>
    <xf numFmtId="0" fontId="20" fillId="0" borderId="50" xfId="0" applyFont="1" applyBorder="1" applyAlignment="1">
      <alignment vertical="center"/>
    </xf>
    <xf numFmtId="0" fontId="20" fillId="0" borderId="37" xfId="60" applyFont="1" applyFill="1" applyBorder="1" applyAlignment="1">
      <alignment horizontal="center" vertical="center"/>
      <protection/>
    </xf>
    <xf numFmtId="0" fontId="20" fillId="0" borderId="51" xfId="60" applyFont="1" applyFill="1" applyBorder="1" applyAlignment="1">
      <alignment horizontal="center" vertical="center"/>
      <protection/>
    </xf>
    <xf numFmtId="0" fontId="20" fillId="0" borderId="52"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主要施策成果報告書（様式）_府民文化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0</xdr:rowOff>
    </xdr:from>
    <xdr:to>
      <xdr:col>13</xdr:col>
      <xdr:colOff>352425</xdr:colOff>
      <xdr:row>11</xdr:row>
      <xdr:rowOff>19050</xdr:rowOff>
    </xdr:to>
    <xdr:sp>
      <xdr:nvSpPr>
        <xdr:cNvPr id="1"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平成２３年度　主要施策成果報告書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2324100</xdr:colOff>
      <xdr:row>0</xdr:row>
      <xdr:rowOff>95250</xdr:rowOff>
    </xdr:from>
    <xdr:to>
      <xdr:col>8</xdr:col>
      <xdr:colOff>1619250</xdr:colOff>
      <xdr:row>2</xdr:row>
      <xdr:rowOff>76200</xdr:rowOff>
    </xdr:to>
    <xdr:sp>
      <xdr:nvSpPr>
        <xdr:cNvPr id="1" name="正方形/長方形 1"/>
        <xdr:cNvSpPr>
          <a:spLocks/>
        </xdr:cNvSpPr>
      </xdr:nvSpPr>
      <xdr:spPr>
        <a:xfrm>
          <a:off x="6248400" y="95250"/>
          <a:ext cx="5724525" cy="476250"/>
        </a:xfrm>
        <a:prstGeom prst="rect">
          <a:avLst/>
        </a:prstGeom>
        <a:solidFill>
          <a:srgbClr val="FFFFFF"/>
        </a:solidFill>
        <a:ln w="25400" cmpd="sng">
          <a:noFill/>
        </a:ln>
      </xdr:spPr>
      <xdr:txBody>
        <a:bodyPr vertOverflow="clip" wrap="square"/>
        <a:p>
          <a:pPr algn="ctr">
            <a:defRPr/>
          </a:pPr>
          <a:r>
            <a:rPr lang="en-US" cap="none" sz="2300" b="0" i="0" u="none" baseline="0">
              <a:solidFill>
                <a:srgbClr val="000000"/>
              </a:solidFill>
            </a:rPr>
            <a:t>（</a:t>
          </a:r>
          <a:r>
            <a:rPr lang="en-US" cap="none" sz="2300" b="0" i="0" u="none" baseline="0">
              <a:solidFill>
                <a:srgbClr val="000000"/>
              </a:solidFill>
            </a:rPr>
            <a:t> </a:t>
          </a:r>
          <a:r>
            <a:rPr lang="en-US" cap="none" sz="2300" b="0" i="0" u="none" baseline="0">
              <a:solidFill>
                <a:srgbClr val="000000"/>
              </a:solidFill>
            </a:rPr>
            <a:t>主　な　施　策　成　果</a:t>
          </a:r>
          <a:r>
            <a:rPr lang="en-US" cap="none" sz="2300" b="0" i="0" u="none" baseline="0">
              <a:solidFill>
                <a:srgbClr val="000000"/>
              </a:solidFill>
            </a:rPr>
            <a:t> </a:t>
          </a:r>
          <a:r>
            <a:rPr lang="en-US" cap="none" sz="2300" b="0" i="0" u="none" baseline="0">
              <a:solidFill>
                <a:srgbClr val="000000"/>
              </a:solidFill>
            </a:rPr>
            <a:t>）</a:t>
          </a:r>
        </a:p>
      </xdr:txBody>
    </xdr:sp>
    <xdr:clientData/>
  </xdr:twoCellAnchor>
  <xdr:twoCellAnchor>
    <xdr:from>
      <xdr:col>3</xdr:col>
      <xdr:colOff>19050</xdr:colOff>
      <xdr:row>384</xdr:row>
      <xdr:rowOff>19050</xdr:rowOff>
    </xdr:from>
    <xdr:to>
      <xdr:col>3</xdr:col>
      <xdr:colOff>1228725</xdr:colOff>
      <xdr:row>388</xdr:row>
      <xdr:rowOff>0</xdr:rowOff>
    </xdr:to>
    <xdr:sp>
      <xdr:nvSpPr>
        <xdr:cNvPr id="2" name="大かっこ 2"/>
        <xdr:cNvSpPr>
          <a:spLocks/>
        </xdr:cNvSpPr>
      </xdr:nvSpPr>
      <xdr:spPr>
        <a:xfrm>
          <a:off x="2686050" y="73523475"/>
          <a:ext cx="120967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369</xdr:row>
      <xdr:rowOff>19050</xdr:rowOff>
    </xdr:from>
    <xdr:to>
      <xdr:col>3</xdr:col>
      <xdr:colOff>1238250</xdr:colOff>
      <xdr:row>373</xdr:row>
      <xdr:rowOff>0</xdr:rowOff>
    </xdr:to>
    <xdr:sp>
      <xdr:nvSpPr>
        <xdr:cNvPr id="3" name="大かっこ 3"/>
        <xdr:cNvSpPr>
          <a:spLocks/>
        </xdr:cNvSpPr>
      </xdr:nvSpPr>
      <xdr:spPr>
        <a:xfrm>
          <a:off x="2686050" y="70665975"/>
          <a:ext cx="1219200"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354</xdr:row>
      <xdr:rowOff>19050</xdr:rowOff>
    </xdr:from>
    <xdr:to>
      <xdr:col>3</xdr:col>
      <xdr:colOff>1228725</xdr:colOff>
      <xdr:row>358</xdr:row>
      <xdr:rowOff>66675</xdr:rowOff>
    </xdr:to>
    <xdr:sp>
      <xdr:nvSpPr>
        <xdr:cNvPr id="4" name="大かっこ 4"/>
        <xdr:cNvSpPr>
          <a:spLocks/>
        </xdr:cNvSpPr>
      </xdr:nvSpPr>
      <xdr:spPr>
        <a:xfrm>
          <a:off x="2686050" y="67808475"/>
          <a:ext cx="1209675" cy="809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0</xdr:rowOff>
    </xdr:from>
    <xdr:to>
      <xdr:col>1</xdr:col>
      <xdr:colOff>962025</xdr:colOff>
      <xdr:row>4</xdr:row>
      <xdr:rowOff>0</xdr:rowOff>
    </xdr:to>
    <xdr:sp>
      <xdr:nvSpPr>
        <xdr:cNvPr id="1" name="AutoShape 1"/>
        <xdr:cNvSpPr>
          <a:spLocks/>
        </xdr:cNvSpPr>
      </xdr:nvSpPr>
      <xdr:spPr>
        <a:xfrm>
          <a:off x="400050" y="733425"/>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739</xdr:row>
      <xdr:rowOff>152400</xdr:rowOff>
    </xdr:from>
    <xdr:to>
      <xdr:col>3</xdr:col>
      <xdr:colOff>1133475</xdr:colOff>
      <xdr:row>743</xdr:row>
      <xdr:rowOff>0</xdr:rowOff>
    </xdr:to>
    <xdr:sp>
      <xdr:nvSpPr>
        <xdr:cNvPr id="2" name="大かっこ 2"/>
        <xdr:cNvSpPr>
          <a:spLocks/>
        </xdr:cNvSpPr>
      </xdr:nvSpPr>
      <xdr:spPr>
        <a:xfrm>
          <a:off x="2428875" y="133911975"/>
          <a:ext cx="113347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753</xdr:row>
      <xdr:rowOff>152400</xdr:rowOff>
    </xdr:from>
    <xdr:to>
      <xdr:col>3</xdr:col>
      <xdr:colOff>1133475</xdr:colOff>
      <xdr:row>757</xdr:row>
      <xdr:rowOff>0</xdr:rowOff>
    </xdr:to>
    <xdr:sp>
      <xdr:nvSpPr>
        <xdr:cNvPr id="3" name="大かっこ 3"/>
        <xdr:cNvSpPr>
          <a:spLocks/>
        </xdr:cNvSpPr>
      </xdr:nvSpPr>
      <xdr:spPr>
        <a:xfrm>
          <a:off x="2428875" y="136445625"/>
          <a:ext cx="113347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767</xdr:row>
      <xdr:rowOff>152400</xdr:rowOff>
    </xdr:from>
    <xdr:to>
      <xdr:col>3</xdr:col>
      <xdr:colOff>1133475</xdr:colOff>
      <xdr:row>771</xdr:row>
      <xdr:rowOff>47625</xdr:rowOff>
    </xdr:to>
    <xdr:sp>
      <xdr:nvSpPr>
        <xdr:cNvPr id="4" name="大かっこ 4"/>
        <xdr:cNvSpPr>
          <a:spLocks/>
        </xdr:cNvSpPr>
      </xdr:nvSpPr>
      <xdr:spPr>
        <a:xfrm>
          <a:off x="2428875" y="138979275"/>
          <a:ext cx="113347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1</xdr:row>
      <xdr:rowOff>85725</xdr:rowOff>
    </xdr:from>
    <xdr:to>
      <xdr:col>18</xdr:col>
      <xdr:colOff>752475</xdr:colOff>
      <xdr:row>3</xdr:row>
      <xdr:rowOff>161925</xdr:rowOff>
    </xdr:to>
    <xdr:sp>
      <xdr:nvSpPr>
        <xdr:cNvPr id="5" name="左中かっこ 5"/>
        <xdr:cNvSpPr>
          <a:spLocks/>
        </xdr:cNvSpPr>
      </xdr:nvSpPr>
      <xdr:spPr>
        <a:xfrm>
          <a:off x="10096500" y="266700"/>
          <a:ext cx="600075" cy="438150"/>
        </a:xfrm>
        <a:prstGeom prst="leftBrace">
          <a:avLst>
            <a:gd name="adj" fmla="val -435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O31"/>
  <sheetViews>
    <sheetView tabSelected="1" view="pageBreakPreview" zoomScale="70" zoomScaleSheetLayoutView="70" zoomScalePageLayoutView="0" workbookViewId="0" topLeftCell="A1">
      <selection activeCell="K26" sqref="K26"/>
    </sheetView>
  </sheetViews>
  <sheetFormatPr defaultColWidth="9.00390625" defaultRowHeight="13.5"/>
  <sheetData>
    <row r="1" ht="13.5">
      <c r="O1" s="376">
        <v>4</v>
      </c>
    </row>
    <row r="2" ht="13.5">
      <c r="O2" s="376"/>
    </row>
    <row r="27" spans="3:13" ht="13.5" customHeight="1">
      <c r="C27" s="377" t="s">
        <v>20</v>
      </c>
      <c r="D27" s="377"/>
      <c r="E27" s="377"/>
      <c r="F27" s="377"/>
      <c r="G27" s="377"/>
      <c r="H27" s="377"/>
      <c r="I27" s="377"/>
      <c r="J27" s="377"/>
      <c r="K27" s="377"/>
      <c r="L27" s="377"/>
      <c r="M27" s="377"/>
    </row>
    <row r="28" spans="3:13" ht="13.5" customHeight="1">
      <c r="C28" s="377"/>
      <c r="D28" s="377"/>
      <c r="E28" s="377"/>
      <c r="F28" s="377"/>
      <c r="G28" s="377"/>
      <c r="H28" s="377"/>
      <c r="I28" s="377"/>
      <c r="J28" s="377"/>
      <c r="K28" s="377"/>
      <c r="L28" s="377"/>
      <c r="M28" s="377"/>
    </row>
    <row r="29" spans="3:13" ht="13.5" customHeight="1">
      <c r="C29" s="377"/>
      <c r="D29" s="377"/>
      <c r="E29" s="377"/>
      <c r="F29" s="377"/>
      <c r="G29" s="377"/>
      <c r="H29" s="377"/>
      <c r="I29" s="377"/>
      <c r="J29" s="377"/>
      <c r="K29" s="377"/>
      <c r="L29" s="377"/>
      <c r="M29" s="377"/>
    </row>
    <row r="30" spans="3:13" ht="13.5" customHeight="1">
      <c r="C30" s="377"/>
      <c r="D30" s="377"/>
      <c r="E30" s="377"/>
      <c r="F30" s="377"/>
      <c r="G30" s="377"/>
      <c r="H30" s="377"/>
      <c r="I30" s="377"/>
      <c r="J30" s="377"/>
      <c r="K30" s="377"/>
      <c r="L30" s="377"/>
      <c r="M30" s="377"/>
    </row>
    <row r="31" spans="3:13" ht="13.5">
      <c r="C31" s="377"/>
      <c r="D31" s="377"/>
      <c r="E31" s="377"/>
      <c r="F31" s="377"/>
      <c r="G31" s="377"/>
      <c r="H31" s="377"/>
      <c r="I31" s="377"/>
      <c r="J31" s="377"/>
      <c r="K31" s="377"/>
      <c r="L31" s="377"/>
      <c r="M31" s="377"/>
    </row>
  </sheetData>
  <sheetProtection/>
  <mergeCells count="2">
    <mergeCell ref="O1:O2"/>
    <mergeCell ref="C27:M31"/>
  </mergeCells>
  <printOptions horizontalCentered="1"/>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M390"/>
  <sheetViews>
    <sheetView view="pageBreakPreview" zoomScale="60" zoomScaleNormal="75" zoomScalePageLayoutView="0" workbookViewId="0" topLeftCell="A347">
      <selection activeCell="K26" sqref="K26"/>
    </sheetView>
  </sheetViews>
  <sheetFormatPr defaultColWidth="9.00390625" defaultRowHeight="13.5"/>
  <cols>
    <col min="1" max="1" width="2.75390625" style="0" customWidth="1"/>
    <col min="2" max="2" width="15.75390625" style="0" customWidth="1"/>
    <col min="3" max="4" width="16.50390625" style="0" customWidth="1"/>
    <col min="5" max="5" width="46.00390625" style="0" customWidth="1"/>
    <col min="6" max="6" width="13.50390625" style="0" customWidth="1"/>
    <col min="7" max="7" width="13.25390625" style="0" customWidth="1"/>
    <col min="8" max="8" width="11.625" style="0" customWidth="1"/>
    <col min="9" max="9" width="36.00390625" style="0" customWidth="1"/>
    <col min="10" max="11" width="15.375" style="0" customWidth="1"/>
    <col min="12" max="12" width="7.75390625" style="0" customWidth="1"/>
  </cols>
  <sheetData>
    <row r="2" ht="25.5" customHeight="1">
      <c r="B2" s="5" t="s">
        <v>21</v>
      </c>
    </row>
    <row r="3" spans="6:12" ht="19.5" thickBot="1">
      <c r="F3" s="495"/>
      <c r="G3" s="495"/>
      <c r="K3" s="496" t="s">
        <v>16</v>
      </c>
      <c r="L3" s="497"/>
    </row>
    <row r="4" spans="2:13" ht="16.5" customHeight="1">
      <c r="B4" s="498" t="s">
        <v>22</v>
      </c>
      <c r="C4" s="6" t="s">
        <v>23</v>
      </c>
      <c r="D4" s="6" t="s">
        <v>24</v>
      </c>
      <c r="E4" s="500" t="s">
        <v>25</v>
      </c>
      <c r="F4" s="500"/>
      <c r="G4" s="501"/>
      <c r="H4" s="500" t="s">
        <v>26</v>
      </c>
      <c r="I4" s="500"/>
      <c r="J4" s="500"/>
      <c r="K4" s="500"/>
      <c r="L4" s="504" t="s">
        <v>27</v>
      </c>
      <c r="M4" s="7"/>
    </row>
    <row r="5" spans="2:13" ht="16.5" customHeight="1" thickBot="1">
      <c r="B5" s="499"/>
      <c r="C5" s="8" t="s">
        <v>28</v>
      </c>
      <c r="D5" s="8" t="s">
        <v>28</v>
      </c>
      <c r="E5" s="502"/>
      <c r="F5" s="502"/>
      <c r="G5" s="503"/>
      <c r="H5" s="502"/>
      <c r="I5" s="502"/>
      <c r="J5" s="502"/>
      <c r="K5" s="502"/>
      <c r="L5" s="505"/>
      <c r="M5" s="7"/>
    </row>
    <row r="6" spans="2:13" ht="16.5" customHeight="1">
      <c r="B6" s="372"/>
      <c r="C6" s="179" t="s">
        <v>32</v>
      </c>
      <c r="D6" s="179" t="s">
        <v>32</v>
      </c>
      <c r="E6" s="373"/>
      <c r="F6" s="374"/>
      <c r="G6" s="375"/>
      <c r="H6" s="374"/>
      <c r="I6" s="374"/>
      <c r="J6" s="374"/>
      <c r="K6" s="374"/>
      <c r="L6" s="368"/>
      <c r="M6" s="7"/>
    </row>
    <row r="7" spans="2:13" ht="16.5" customHeight="1">
      <c r="B7" s="175" t="s">
        <v>92</v>
      </c>
      <c r="C7" s="9">
        <f>'様式２'!C7</f>
        <v>7397958940</v>
      </c>
      <c r="D7" s="9">
        <f>'様式２'!D7</f>
        <v>7293130767</v>
      </c>
      <c r="E7" s="446" t="s">
        <v>1049</v>
      </c>
      <c r="F7" s="478"/>
      <c r="G7" s="456"/>
      <c r="H7" s="479" t="s">
        <v>1049</v>
      </c>
      <c r="I7" s="478"/>
      <c r="J7" s="478"/>
      <c r="K7" s="456"/>
      <c r="L7" s="176"/>
      <c r="M7" s="7"/>
    </row>
    <row r="8" spans="2:13" ht="16.5" customHeight="1">
      <c r="B8" s="175" t="s">
        <v>93</v>
      </c>
      <c r="C8" s="9"/>
      <c r="D8" s="9"/>
      <c r="E8" s="446" t="s">
        <v>1279</v>
      </c>
      <c r="F8" s="478"/>
      <c r="G8" s="456"/>
      <c r="H8" s="479" t="s">
        <v>1257</v>
      </c>
      <c r="I8" s="478"/>
      <c r="J8" s="478"/>
      <c r="K8" s="456"/>
      <c r="L8" s="176"/>
      <c r="M8" s="7"/>
    </row>
    <row r="9" spans="2:13" ht="16.5" customHeight="1">
      <c r="B9" s="175"/>
      <c r="C9" s="11" t="s">
        <v>7</v>
      </c>
      <c r="D9" s="11" t="s">
        <v>7</v>
      </c>
      <c r="E9" s="350" t="s">
        <v>1050</v>
      </c>
      <c r="F9" s="353"/>
      <c r="G9" s="352"/>
      <c r="H9" s="479" t="s">
        <v>1258</v>
      </c>
      <c r="I9" s="478"/>
      <c r="J9" s="478"/>
      <c r="K9" s="456"/>
      <c r="L9" s="176"/>
      <c r="M9" s="7"/>
    </row>
    <row r="10" spans="2:13" ht="16.5" customHeight="1">
      <c r="B10" s="177"/>
      <c r="C10" s="9">
        <f>'様式２'!C10</f>
        <v>36158000</v>
      </c>
      <c r="D10" s="9">
        <f>'様式２'!D10</f>
        <v>36158000</v>
      </c>
      <c r="E10" s="350" t="s">
        <v>1256</v>
      </c>
      <c r="F10" s="351"/>
      <c r="G10" s="352"/>
      <c r="H10" s="354" t="s">
        <v>1051</v>
      </c>
      <c r="I10" s="353"/>
      <c r="J10" s="353"/>
      <c r="K10" s="352"/>
      <c r="L10" s="176">
        <v>10</v>
      </c>
      <c r="M10" s="7"/>
    </row>
    <row r="11" spans="2:13" ht="16.5" customHeight="1">
      <c r="B11" s="177"/>
      <c r="C11" s="11" t="s">
        <v>8</v>
      </c>
      <c r="D11" s="11" t="s">
        <v>8</v>
      </c>
      <c r="E11" s="350" t="s">
        <v>1052</v>
      </c>
      <c r="F11" s="351"/>
      <c r="G11" s="352"/>
      <c r="H11" s="354" t="s">
        <v>1259</v>
      </c>
      <c r="I11" s="353"/>
      <c r="J11" s="353"/>
      <c r="K11" s="352"/>
      <c r="L11" s="176"/>
      <c r="M11" s="7"/>
    </row>
    <row r="12" spans="2:13" ht="16.5" customHeight="1">
      <c r="B12" s="177"/>
      <c r="C12" s="9">
        <f>'様式２'!C12</f>
        <v>193902000</v>
      </c>
      <c r="D12" s="9">
        <f>'様式２'!D12</f>
        <v>194257344</v>
      </c>
      <c r="E12" s="350" t="s">
        <v>1054</v>
      </c>
      <c r="F12" s="351"/>
      <c r="G12" s="352"/>
      <c r="H12" s="354" t="s">
        <v>1053</v>
      </c>
      <c r="I12" s="353"/>
      <c r="J12" s="353"/>
      <c r="K12" s="352"/>
      <c r="L12" s="176"/>
      <c r="M12" s="7"/>
    </row>
    <row r="13" spans="2:13" ht="16.5" customHeight="1">
      <c r="B13" s="172"/>
      <c r="C13" s="11" t="s">
        <v>9</v>
      </c>
      <c r="D13" s="11" t="s">
        <v>9</v>
      </c>
      <c r="E13" s="257"/>
      <c r="F13" s="258"/>
      <c r="G13" s="259"/>
      <c r="H13" s="479" t="s">
        <v>1055</v>
      </c>
      <c r="I13" s="478"/>
      <c r="J13" s="478"/>
      <c r="K13" s="456"/>
      <c r="L13" s="174"/>
      <c r="M13" s="7"/>
    </row>
    <row r="14" spans="2:13" ht="16.5" customHeight="1">
      <c r="B14" s="172"/>
      <c r="C14" s="9">
        <f>'様式２'!C14</f>
        <v>7167898940</v>
      </c>
      <c r="D14" s="9">
        <f>'様式２'!D14</f>
        <v>7062715423</v>
      </c>
      <c r="E14" s="257"/>
      <c r="F14" s="258"/>
      <c r="G14" s="259"/>
      <c r="H14" s="479"/>
      <c r="I14" s="478"/>
      <c r="J14" s="478"/>
      <c r="K14" s="456"/>
      <c r="L14" s="174"/>
      <c r="M14" s="7"/>
    </row>
    <row r="15" spans="2:13" ht="16.5" customHeight="1" thickBot="1">
      <c r="B15" s="172"/>
      <c r="C15" s="173"/>
      <c r="D15" s="173"/>
      <c r="E15" s="257"/>
      <c r="F15" s="258"/>
      <c r="G15" s="259"/>
      <c r="H15" s="266"/>
      <c r="I15" s="265"/>
      <c r="J15" s="265"/>
      <c r="K15" s="259"/>
      <c r="L15" s="174"/>
      <c r="M15" s="7"/>
    </row>
    <row r="16" spans="2:13" ht="15" customHeight="1">
      <c r="B16" s="178"/>
      <c r="C16" s="179"/>
      <c r="D16" s="179"/>
      <c r="E16" s="180"/>
      <c r="F16" s="268"/>
      <c r="G16" s="269"/>
      <c r="H16" s="490"/>
      <c r="I16" s="491"/>
      <c r="J16" s="491"/>
      <c r="K16" s="492"/>
      <c r="L16" s="181"/>
      <c r="M16" s="7"/>
    </row>
    <row r="17" spans="2:13" ht="15" customHeight="1">
      <c r="B17" s="175" t="s">
        <v>523</v>
      </c>
      <c r="C17" s="9">
        <f>'様式２'!C39</f>
        <v>159932000</v>
      </c>
      <c r="D17" s="9">
        <f>'様式２'!D39</f>
        <v>138738224</v>
      </c>
      <c r="E17" s="493" t="s">
        <v>29</v>
      </c>
      <c r="F17" s="379"/>
      <c r="G17" s="380"/>
      <c r="H17" s="378" t="s">
        <v>29</v>
      </c>
      <c r="I17" s="485"/>
      <c r="J17" s="485"/>
      <c r="K17" s="380"/>
      <c r="L17" s="176"/>
      <c r="M17" s="7"/>
    </row>
    <row r="18" spans="2:13" ht="15" customHeight="1">
      <c r="B18" s="175" t="s">
        <v>524</v>
      </c>
      <c r="C18" s="10"/>
      <c r="D18" s="10"/>
      <c r="E18" s="424" t="s">
        <v>1182</v>
      </c>
      <c r="F18" s="379"/>
      <c r="G18" s="380"/>
      <c r="H18" s="381" t="s">
        <v>30</v>
      </c>
      <c r="I18" s="379"/>
      <c r="J18" s="379"/>
      <c r="K18" s="380"/>
      <c r="L18" s="176"/>
      <c r="M18" s="7"/>
    </row>
    <row r="19" spans="2:13" ht="15" customHeight="1">
      <c r="B19" s="182"/>
      <c r="C19" s="11" t="s">
        <v>7</v>
      </c>
      <c r="D19" s="11" t="s">
        <v>7</v>
      </c>
      <c r="E19" s="424" t="s">
        <v>896</v>
      </c>
      <c r="F19" s="379"/>
      <c r="G19" s="380"/>
      <c r="H19" s="494"/>
      <c r="I19" s="379"/>
      <c r="J19" s="379"/>
      <c r="K19" s="380"/>
      <c r="L19" s="176"/>
      <c r="M19" s="7"/>
    </row>
    <row r="20" spans="2:13" ht="15" customHeight="1">
      <c r="B20" s="182"/>
      <c r="C20" s="9">
        <f>'様式２'!C42</f>
        <v>96198000</v>
      </c>
      <c r="D20" s="9">
        <f>'様式２'!D42</f>
        <v>90855988</v>
      </c>
      <c r="E20" s="424" t="s">
        <v>1216</v>
      </c>
      <c r="F20" s="379"/>
      <c r="G20" s="380"/>
      <c r="H20" s="246"/>
      <c r="I20" s="250"/>
      <c r="J20" s="250"/>
      <c r="K20" s="243"/>
      <c r="L20" s="176"/>
      <c r="M20" s="7"/>
    </row>
    <row r="21" spans="2:13" ht="15" customHeight="1">
      <c r="B21" s="182"/>
      <c r="C21" s="11" t="s">
        <v>8</v>
      </c>
      <c r="D21" s="11" t="s">
        <v>8</v>
      </c>
      <c r="E21" s="424" t="s">
        <v>1215</v>
      </c>
      <c r="F21" s="379"/>
      <c r="G21" s="380"/>
      <c r="H21" s="381"/>
      <c r="I21" s="379"/>
      <c r="J21" s="379"/>
      <c r="K21" s="380"/>
      <c r="L21" s="176"/>
      <c r="M21" s="7"/>
    </row>
    <row r="22" spans="2:13" ht="15" customHeight="1">
      <c r="B22" s="182"/>
      <c r="C22" s="9">
        <f>'様式２'!C44</f>
        <v>1382000</v>
      </c>
      <c r="D22" s="9">
        <f>'様式２'!D44</f>
        <v>729000</v>
      </c>
      <c r="E22" s="183"/>
      <c r="F22" s="183"/>
      <c r="G22" s="183"/>
      <c r="H22" s="246"/>
      <c r="I22" s="250"/>
      <c r="J22" s="250"/>
      <c r="K22" s="243"/>
      <c r="L22" s="176"/>
      <c r="M22" s="7"/>
    </row>
    <row r="23" spans="2:13" ht="15" customHeight="1">
      <c r="B23" s="182"/>
      <c r="C23" s="11" t="s">
        <v>9</v>
      </c>
      <c r="D23" s="11" t="s">
        <v>9</v>
      </c>
      <c r="E23" s="424" t="s">
        <v>935</v>
      </c>
      <c r="F23" s="379"/>
      <c r="G23" s="380"/>
      <c r="H23" s="381" t="s">
        <v>934</v>
      </c>
      <c r="I23" s="379"/>
      <c r="J23" s="379"/>
      <c r="K23" s="380"/>
      <c r="L23" s="176"/>
      <c r="M23" s="7"/>
    </row>
    <row r="24" spans="2:13" ht="15" customHeight="1">
      <c r="B24" s="182"/>
      <c r="C24" s="9">
        <f>'様式２'!C46</f>
        <v>62352000</v>
      </c>
      <c r="D24" s="9">
        <f>'様式２'!D46</f>
        <v>47153236</v>
      </c>
      <c r="E24" s="244" t="s">
        <v>931</v>
      </c>
      <c r="F24" s="242"/>
      <c r="G24" s="243"/>
      <c r="H24" s="381" t="s">
        <v>897</v>
      </c>
      <c r="I24" s="485"/>
      <c r="J24" s="485"/>
      <c r="K24" s="243"/>
      <c r="L24" s="176"/>
      <c r="M24" s="7"/>
    </row>
    <row r="25" spans="2:13" ht="15" customHeight="1">
      <c r="B25" s="182"/>
      <c r="C25" s="11"/>
      <c r="D25" s="11"/>
      <c r="E25" s="244" t="s">
        <v>1000</v>
      </c>
      <c r="F25" s="242"/>
      <c r="G25" s="243"/>
      <c r="H25" s="381" t="s">
        <v>1001</v>
      </c>
      <c r="I25" s="485"/>
      <c r="J25" s="485"/>
      <c r="K25" s="243"/>
      <c r="L25" s="176"/>
      <c r="M25" s="7"/>
    </row>
    <row r="26" spans="2:13" ht="15" customHeight="1">
      <c r="B26" s="182"/>
      <c r="C26" s="9"/>
      <c r="D26" s="9"/>
      <c r="E26" s="446" t="s">
        <v>1280</v>
      </c>
      <c r="F26" s="478"/>
      <c r="G26" s="456"/>
      <c r="H26" s="246" t="s">
        <v>1281</v>
      </c>
      <c r="I26" s="250"/>
      <c r="J26" s="250"/>
      <c r="K26" s="243"/>
      <c r="L26" s="176">
        <v>10</v>
      </c>
      <c r="M26" s="7"/>
    </row>
    <row r="27" spans="2:13" ht="15" customHeight="1">
      <c r="B27" s="182"/>
      <c r="C27" s="9"/>
      <c r="D27" s="9"/>
      <c r="E27" s="446"/>
      <c r="F27" s="478"/>
      <c r="G27" s="456"/>
      <c r="H27" s="246" t="s">
        <v>905</v>
      </c>
      <c r="I27" s="250"/>
      <c r="J27" s="250"/>
      <c r="K27" s="243"/>
      <c r="L27" s="176"/>
      <c r="M27" s="7"/>
    </row>
    <row r="28" spans="2:13" ht="15" customHeight="1">
      <c r="B28" s="182"/>
      <c r="C28" s="9"/>
      <c r="D28" s="9"/>
      <c r="E28" s="244" t="s">
        <v>536</v>
      </c>
      <c r="F28" s="250"/>
      <c r="G28" s="243"/>
      <c r="H28" s="246" t="s">
        <v>536</v>
      </c>
      <c r="I28" s="250"/>
      <c r="J28" s="250"/>
      <c r="K28" s="243"/>
      <c r="L28" s="176"/>
      <c r="M28" s="7"/>
    </row>
    <row r="29" spans="2:13" ht="15" customHeight="1">
      <c r="B29" s="182"/>
      <c r="C29" s="9"/>
      <c r="D29" s="9"/>
      <c r="E29" s="244" t="s">
        <v>900</v>
      </c>
      <c r="F29" s="250"/>
      <c r="G29" s="243"/>
      <c r="H29" s="246" t="s">
        <v>537</v>
      </c>
      <c r="I29" s="250"/>
      <c r="J29" s="250"/>
      <c r="K29" s="243"/>
      <c r="L29" s="176"/>
      <c r="M29" s="7"/>
    </row>
    <row r="30" spans="2:13" ht="15" customHeight="1">
      <c r="B30" s="182"/>
      <c r="C30" s="9"/>
      <c r="D30" s="9"/>
      <c r="E30" s="258" t="s">
        <v>899</v>
      </c>
      <c r="F30" s="250"/>
      <c r="G30" s="243"/>
      <c r="H30" s="246" t="s">
        <v>1002</v>
      </c>
      <c r="I30" s="250"/>
      <c r="J30" s="250"/>
      <c r="K30" s="243"/>
      <c r="L30" s="176"/>
      <c r="M30" s="7"/>
    </row>
    <row r="31" spans="2:13" ht="15" customHeight="1">
      <c r="B31" s="182"/>
      <c r="C31" s="9"/>
      <c r="D31" s="9"/>
      <c r="E31" s="244" t="s">
        <v>1313</v>
      </c>
      <c r="F31" s="250"/>
      <c r="G31" s="243"/>
      <c r="H31" s="246"/>
      <c r="I31" s="250"/>
      <c r="J31" s="250"/>
      <c r="K31" s="243"/>
      <c r="L31" s="176"/>
      <c r="M31" s="7"/>
    </row>
    <row r="32" spans="2:13" ht="15" customHeight="1">
      <c r="B32" s="182"/>
      <c r="C32" s="9"/>
      <c r="D32" s="9"/>
      <c r="E32" s="244" t="s">
        <v>933</v>
      </c>
      <c r="F32" s="250"/>
      <c r="G32" s="243"/>
      <c r="H32" s="246"/>
      <c r="I32" s="250"/>
      <c r="J32" s="250"/>
      <c r="K32" s="243"/>
      <c r="L32" s="176"/>
      <c r="M32" s="7"/>
    </row>
    <row r="33" spans="2:13" ht="15" customHeight="1">
      <c r="B33" s="182"/>
      <c r="C33" s="9"/>
      <c r="D33" s="9"/>
      <c r="E33" s="244" t="s">
        <v>932</v>
      </c>
      <c r="F33" s="250"/>
      <c r="G33" s="243"/>
      <c r="H33" s="246"/>
      <c r="I33" s="250"/>
      <c r="J33" s="250"/>
      <c r="K33" s="243"/>
      <c r="L33" s="176"/>
      <c r="M33" s="7"/>
    </row>
    <row r="34" spans="2:13" ht="15" customHeight="1">
      <c r="B34" s="182"/>
      <c r="C34" s="9"/>
      <c r="D34" s="9"/>
      <c r="E34" s="244" t="s">
        <v>937</v>
      </c>
      <c r="F34" s="250"/>
      <c r="G34" s="243"/>
      <c r="H34" s="246"/>
      <c r="I34" s="250"/>
      <c r="J34" s="250"/>
      <c r="K34" s="243"/>
      <c r="L34" s="176"/>
      <c r="M34" s="7"/>
    </row>
    <row r="35" spans="2:13" ht="15" customHeight="1">
      <c r="B35" s="182"/>
      <c r="C35" s="9"/>
      <c r="D35" s="9"/>
      <c r="E35" s="244" t="s">
        <v>936</v>
      </c>
      <c r="F35" s="250"/>
      <c r="G35" s="243"/>
      <c r="H35" s="246"/>
      <c r="I35" s="250"/>
      <c r="J35" s="250"/>
      <c r="K35" s="243"/>
      <c r="L35" s="176"/>
      <c r="M35" s="7"/>
    </row>
    <row r="36" spans="2:13" ht="15" customHeight="1">
      <c r="B36" s="182"/>
      <c r="C36" s="9"/>
      <c r="D36" s="9"/>
      <c r="E36" s="244" t="s">
        <v>906</v>
      </c>
      <c r="F36" s="250"/>
      <c r="G36" s="243"/>
      <c r="H36" s="246"/>
      <c r="I36" s="250"/>
      <c r="J36" s="250"/>
      <c r="K36" s="243"/>
      <c r="L36" s="176"/>
      <c r="M36" s="7"/>
    </row>
    <row r="37" spans="2:13" ht="15" customHeight="1">
      <c r="B37" s="182"/>
      <c r="C37" s="9"/>
      <c r="D37" s="9"/>
      <c r="E37" s="244" t="s">
        <v>1282</v>
      </c>
      <c r="F37" s="250"/>
      <c r="G37" s="243"/>
      <c r="H37" s="246"/>
      <c r="I37" s="250"/>
      <c r="J37" s="250"/>
      <c r="K37" s="243"/>
      <c r="L37" s="176"/>
      <c r="M37" s="7"/>
    </row>
    <row r="38" spans="2:13" ht="15" customHeight="1" thickBot="1">
      <c r="B38" s="184"/>
      <c r="C38" s="12"/>
      <c r="D38" s="12"/>
      <c r="E38" s="185"/>
      <c r="F38" s="186"/>
      <c r="G38" s="187"/>
      <c r="H38" s="188"/>
      <c r="I38" s="186"/>
      <c r="J38" s="186"/>
      <c r="K38" s="187"/>
      <c r="L38" s="189"/>
      <c r="M38" s="7"/>
    </row>
    <row r="39" spans="2:13" ht="15" customHeight="1">
      <c r="B39" s="182"/>
      <c r="C39" s="9"/>
      <c r="D39" s="9"/>
      <c r="E39" s="244"/>
      <c r="F39" s="250"/>
      <c r="G39" s="243"/>
      <c r="H39" s="246"/>
      <c r="I39" s="250"/>
      <c r="J39" s="250"/>
      <c r="K39" s="243"/>
      <c r="L39" s="176"/>
      <c r="M39" s="7"/>
    </row>
    <row r="40" spans="2:13" ht="15" customHeight="1">
      <c r="B40" s="175" t="s">
        <v>31</v>
      </c>
      <c r="C40" s="9">
        <f>'様式２'!C87</f>
        <v>164831000</v>
      </c>
      <c r="D40" s="9">
        <f>'様式２'!D87</f>
        <v>143993225</v>
      </c>
      <c r="E40" s="446" t="s">
        <v>902</v>
      </c>
      <c r="F40" s="478"/>
      <c r="G40" s="456"/>
      <c r="H40" s="479" t="s">
        <v>902</v>
      </c>
      <c r="I40" s="478"/>
      <c r="J40" s="478"/>
      <c r="K40" s="456"/>
      <c r="L40" s="176"/>
      <c r="M40" s="7"/>
    </row>
    <row r="41" spans="2:13" ht="15" customHeight="1">
      <c r="B41" s="175" t="s">
        <v>525</v>
      </c>
      <c r="C41" s="10"/>
      <c r="D41" s="10"/>
      <c r="E41" s="257" t="s">
        <v>540</v>
      </c>
      <c r="F41" s="258"/>
      <c r="G41" s="259"/>
      <c r="H41" s="397" t="s">
        <v>538</v>
      </c>
      <c r="I41" s="398"/>
      <c r="J41" s="398"/>
      <c r="K41" s="399"/>
      <c r="L41" s="176"/>
      <c r="M41" s="7"/>
    </row>
    <row r="42" spans="2:13" ht="15" customHeight="1">
      <c r="B42" s="175" t="s">
        <v>524</v>
      </c>
      <c r="C42" s="11" t="s">
        <v>8</v>
      </c>
      <c r="D42" s="11" t="s">
        <v>8</v>
      </c>
      <c r="E42" s="294" t="s">
        <v>539</v>
      </c>
      <c r="F42" s="258"/>
      <c r="G42" s="259"/>
      <c r="H42" s="266" t="s">
        <v>539</v>
      </c>
      <c r="I42" s="258"/>
      <c r="J42" s="258"/>
      <c r="K42" s="259"/>
      <c r="L42" s="176">
        <v>11</v>
      </c>
      <c r="M42" s="7"/>
    </row>
    <row r="43" spans="2:13" ht="15" customHeight="1">
      <c r="B43" s="182"/>
      <c r="C43" s="9">
        <f>'様式２'!C90</f>
        <v>37486000</v>
      </c>
      <c r="D43" s="9">
        <f>'様式２'!D90</f>
        <v>22497950</v>
      </c>
      <c r="E43" s="257" t="s">
        <v>541</v>
      </c>
      <c r="F43" s="258"/>
      <c r="G43" s="259"/>
      <c r="H43" s="266"/>
      <c r="I43" s="258"/>
      <c r="J43" s="258"/>
      <c r="K43" s="259"/>
      <c r="L43" s="176"/>
      <c r="M43" s="7"/>
    </row>
    <row r="44" spans="2:13" ht="15" customHeight="1">
      <c r="B44" s="182"/>
      <c r="C44" s="11" t="s">
        <v>9</v>
      </c>
      <c r="D44" s="11" t="s">
        <v>9</v>
      </c>
      <c r="E44" s="257" t="s">
        <v>542</v>
      </c>
      <c r="F44" s="258"/>
      <c r="G44" s="259"/>
      <c r="H44" s="266"/>
      <c r="I44" s="258"/>
      <c r="J44" s="258"/>
      <c r="K44" s="259"/>
      <c r="L44" s="176"/>
      <c r="M44" s="7"/>
    </row>
    <row r="45" spans="2:13" ht="15" customHeight="1">
      <c r="B45" s="182"/>
      <c r="C45" s="9">
        <f>'様式２'!C92</f>
        <v>127345000</v>
      </c>
      <c r="D45" s="9">
        <f>'様式２'!D92</f>
        <v>121495275</v>
      </c>
      <c r="E45" s="257" t="s">
        <v>543</v>
      </c>
      <c r="F45" s="258"/>
      <c r="G45" s="259"/>
      <c r="H45" s="246"/>
      <c r="I45" s="250"/>
      <c r="J45" s="250"/>
      <c r="K45" s="243"/>
      <c r="L45" s="176"/>
      <c r="M45" s="7"/>
    </row>
    <row r="46" spans="2:13" ht="15" customHeight="1" thickBot="1">
      <c r="B46" s="184"/>
      <c r="C46" s="12"/>
      <c r="D46" s="12"/>
      <c r="E46" s="185"/>
      <c r="F46" s="186"/>
      <c r="G46" s="187"/>
      <c r="H46" s="188"/>
      <c r="I46" s="186"/>
      <c r="J46" s="186"/>
      <c r="K46" s="187"/>
      <c r="L46" s="189"/>
      <c r="M46" s="7"/>
    </row>
    <row r="47" spans="2:13" ht="15" customHeight="1">
      <c r="B47" s="182"/>
      <c r="C47" s="355"/>
      <c r="D47" s="355"/>
      <c r="E47" s="339"/>
      <c r="F47" s="342"/>
      <c r="G47" s="340"/>
      <c r="H47" s="341"/>
      <c r="I47" s="342"/>
      <c r="J47" s="342"/>
      <c r="K47" s="340"/>
      <c r="L47" s="176"/>
      <c r="M47" s="7"/>
    </row>
    <row r="48" spans="2:13" ht="15" customHeight="1">
      <c r="B48" s="175" t="s">
        <v>526</v>
      </c>
      <c r="C48" s="9">
        <f>'様式２'!C95</f>
        <v>4679000</v>
      </c>
      <c r="D48" s="9">
        <f>'様式２'!D95</f>
        <v>4055723</v>
      </c>
      <c r="E48" s="250" t="s">
        <v>907</v>
      </c>
      <c r="F48" s="250"/>
      <c r="G48" s="243"/>
      <c r="H48" s="246" t="s">
        <v>907</v>
      </c>
      <c r="I48" s="250"/>
      <c r="J48" s="250"/>
      <c r="K48" s="243"/>
      <c r="L48" s="176"/>
      <c r="M48" s="7"/>
    </row>
    <row r="49" spans="2:13" ht="15" customHeight="1">
      <c r="B49" s="175" t="s">
        <v>527</v>
      </c>
      <c r="C49" s="10"/>
      <c r="D49" s="10"/>
      <c r="E49" s="258" t="s">
        <v>908</v>
      </c>
      <c r="F49" s="190"/>
      <c r="G49" s="243"/>
      <c r="H49" s="246" t="s">
        <v>909</v>
      </c>
      <c r="I49" s="250"/>
      <c r="J49" s="250"/>
      <c r="K49" s="243"/>
      <c r="L49" s="176"/>
      <c r="M49" s="7"/>
    </row>
    <row r="50" spans="2:13" ht="15" customHeight="1">
      <c r="B50" s="177"/>
      <c r="C50" s="11" t="s">
        <v>8</v>
      </c>
      <c r="D50" s="11" t="s">
        <v>8</v>
      </c>
      <c r="E50" s="258"/>
      <c r="F50" s="190"/>
      <c r="G50" s="243"/>
      <c r="H50" s="246"/>
      <c r="I50" s="250"/>
      <c r="J50" s="250"/>
      <c r="K50" s="243"/>
      <c r="L50" s="191">
        <v>12</v>
      </c>
      <c r="M50" s="7"/>
    </row>
    <row r="51" spans="2:13" ht="15" customHeight="1">
      <c r="B51" s="177"/>
      <c r="C51" s="9">
        <f>'様式２'!C98</f>
        <v>195000</v>
      </c>
      <c r="D51" s="9">
        <f>'様式２'!D98</f>
        <v>195000</v>
      </c>
      <c r="E51" s="258"/>
      <c r="F51" s="190"/>
      <c r="G51" s="243"/>
      <c r="H51" s="246"/>
      <c r="I51" s="250"/>
      <c r="J51" s="250"/>
      <c r="K51" s="243"/>
      <c r="L51" s="176"/>
      <c r="M51" s="7"/>
    </row>
    <row r="52" spans="2:13" ht="15" customHeight="1">
      <c r="B52" s="177"/>
      <c r="C52" s="11" t="s">
        <v>9</v>
      </c>
      <c r="D52" s="11" t="s">
        <v>9</v>
      </c>
      <c r="E52" s="183"/>
      <c r="F52" s="190"/>
      <c r="G52" s="243"/>
      <c r="H52" s="183"/>
      <c r="I52" s="250"/>
      <c r="J52" s="192"/>
      <c r="K52" s="243"/>
      <c r="L52" s="176"/>
      <c r="M52" s="7"/>
    </row>
    <row r="53" spans="2:13" ht="15" customHeight="1">
      <c r="B53" s="177"/>
      <c r="C53" s="9">
        <f>'様式２'!C100</f>
        <v>4484000</v>
      </c>
      <c r="D53" s="9">
        <f>'様式２'!D100</f>
        <v>3860723</v>
      </c>
      <c r="E53" s="183"/>
      <c r="F53" s="190"/>
      <c r="G53" s="243"/>
      <c r="H53" s="246"/>
      <c r="I53" s="250"/>
      <c r="J53" s="250"/>
      <c r="K53" s="243"/>
      <c r="L53" s="176"/>
      <c r="M53" s="7"/>
    </row>
    <row r="54" spans="2:13" ht="15" customHeight="1" thickBot="1">
      <c r="B54" s="193"/>
      <c r="C54" s="12"/>
      <c r="D54" s="12"/>
      <c r="E54" s="185"/>
      <c r="F54" s="186"/>
      <c r="G54" s="187"/>
      <c r="H54" s="188"/>
      <c r="I54" s="186"/>
      <c r="J54" s="186"/>
      <c r="K54" s="187"/>
      <c r="L54" s="189"/>
      <c r="M54" s="7"/>
    </row>
    <row r="55" spans="2:13" ht="15" customHeight="1">
      <c r="B55" s="178"/>
      <c r="C55" s="179"/>
      <c r="D55" s="179"/>
      <c r="E55" s="180"/>
      <c r="F55" s="268"/>
      <c r="G55" s="269"/>
      <c r="H55" s="267"/>
      <c r="I55" s="268"/>
      <c r="J55" s="268"/>
      <c r="K55" s="269"/>
      <c r="L55" s="181"/>
      <c r="M55" s="7"/>
    </row>
    <row r="56" spans="2:13" ht="15" customHeight="1">
      <c r="B56" s="194" t="s">
        <v>528</v>
      </c>
      <c r="C56" s="9">
        <f>'様式２'!C103</f>
        <v>7643000</v>
      </c>
      <c r="D56" s="9">
        <f>'様式２'!D103</f>
        <v>6185440</v>
      </c>
      <c r="E56" s="250" t="s">
        <v>645</v>
      </c>
      <c r="F56" s="250"/>
      <c r="G56" s="243"/>
      <c r="H56" s="246" t="s">
        <v>645</v>
      </c>
      <c r="I56" s="250"/>
      <c r="J56" s="250"/>
      <c r="K56" s="243"/>
      <c r="L56" s="176"/>
      <c r="M56" s="7"/>
    </row>
    <row r="57" spans="2:13" ht="15" customHeight="1">
      <c r="B57" s="175" t="s">
        <v>524</v>
      </c>
      <c r="C57" s="10"/>
      <c r="D57" s="10"/>
      <c r="E57" s="244" t="s">
        <v>33</v>
      </c>
      <c r="F57" s="190"/>
      <c r="G57" s="243"/>
      <c r="H57" s="183" t="s">
        <v>910</v>
      </c>
      <c r="I57" s="250"/>
      <c r="J57" s="250"/>
      <c r="K57" s="243"/>
      <c r="L57" s="176">
        <v>12</v>
      </c>
      <c r="M57" s="7"/>
    </row>
    <row r="58" spans="2:13" ht="15" customHeight="1">
      <c r="B58" s="177"/>
      <c r="C58" s="11" t="s">
        <v>9</v>
      </c>
      <c r="D58" s="11" t="s">
        <v>9</v>
      </c>
      <c r="E58" s="258"/>
      <c r="F58" s="190"/>
      <c r="G58" s="243"/>
      <c r="H58" s="246"/>
      <c r="I58" s="250"/>
      <c r="J58" s="250"/>
      <c r="K58" s="243"/>
      <c r="L58" s="191"/>
      <c r="M58" s="7"/>
    </row>
    <row r="59" spans="2:13" ht="15" customHeight="1">
      <c r="B59" s="177"/>
      <c r="C59" s="9">
        <f>'様式２'!C106</f>
        <v>7643000</v>
      </c>
      <c r="D59" s="9">
        <f>'様式２'!D106</f>
        <v>6185440</v>
      </c>
      <c r="E59" s="258"/>
      <c r="F59" s="190"/>
      <c r="G59" s="243"/>
      <c r="H59" s="246"/>
      <c r="I59" s="250"/>
      <c r="J59" s="250"/>
      <c r="K59" s="243"/>
      <c r="L59" s="176"/>
      <c r="M59" s="7"/>
    </row>
    <row r="60" spans="2:13" ht="15" customHeight="1" thickBot="1">
      <c r="B60" s="193"/>
      <c r="C60" s="12"/>
      <c r="D60" s="12"/>
      <c r="E60" s="185"/>
      <c r="F60" s="186"/>
      <c r="G60" s="187"/>
      <c r="H60" s="188"/>
      <c r="I60" s="186"/>
      <c r="J60" s="186"/>
      <c r="K60" s="187"/>
      <c r="L60" s="189"/>
      <c r="M60" s="7"/>
    </row>
    <row r="61" spans="2:13" ht="15" customHeight="1">
      <c r="B61" s="178"/>
      <c r="C61" s="179"/>
      <c r="D61" s="179"/>
      <c r="E61" s="180"/>
      <c r="F61" s="268"/>
      <c r="G61" s="269"/>
      <c r="H61" s="267"/>
      <c r="I61" s="268"/>
      <c r="J61" s="268"/>
      <c r="K61" s="269"/>
      <c r="L61" s="181"/>
      <c r="M61" s="7"/>
    </row>
    <row r="62" spans="2:13" ht="15" customHeight="1">
      <c r="B62" s="175" t="s">
        <v>911</v>
      </c>
      <c r="C62" s="9">
        <f>'様式２'!C109</f>
        <v>1079399000</v>
      </c>
      <c r="D62" s="9">
        <f>'様式２'!D109</f>
        <v>1075208959</v>
      </c>
      <c r="E62" s="424" t="s">
        <v>34</v>
      </c>
      <c r="F62" s="379"/>
      <c r="G62" s="380"/>
      <c r="H62" s="381" t="s">
        <v>34</v>
      </c>
      <c r="I62" s="379"/>
      <c r="J62" s="379"/>
      <c r="K62" s="380"/>
      <c r="L62" s="176"/>
      <c r="M62" s="7"/>
    </row>
    <row r="63" spans="2:13" ht="15" customHeight="1">
      <c r="B63" s="175" t="s">
        <v>524</v>
      </c>
      <c r="C63" s="9"/>
      <c r="D63" s="9"/>
      <c r="E63" s="424" t="s">
        <v>35</v>
      </c>
      <c r="F63" s="379"/>
      <c r="G63" s="380"/>
      <c r="H63" s="246" t="s">
        <v>35</v>
      </c>
      <c r="I63" s="250"/>
      <c r="J63" s="250"/>
      <c r="K63" s="243"/>
      <c r="L63" s="176"/>
      <c r="M63" s="7"/>
    </row>
    <row r="64" spans="2:13" ht="15" customHeight="1">
      <c r="B64" s="182"/>
      <c r="C64" s="11" t="s">
        <v>7</v>
      </c>
      <c r="D64" s="11" t="s">
        <v>7</v>
      </c>
      <c r="E64" s="244" t="s">
        <v>1283</v>
      </c>
      <c r="F64" s="242"/>
      <c r="G64" s="243"/>
      <c r="H64" s="381" t="s">
        <v>36</v>
      </c>
      <c r="I64" s="379"/>
      <c r="J64" s="379"/>
      <c r="K64" s="380"/>
      <c r="L64" s="176"/>
      <c r="M64" s="7"/>
    </row>
    <row r="65" spans="2:13" ht="15" customHeight="1">
      <c r="B65" s="182"/>
      <c r="C65" s="9">
        <f>'様式２'!C112</f>
        <v>962468000</v>
      </c>
      <c r="D65" s="9">
        <f>'様式２'!D112</f>
        <v>962468000</v>
      </c>
      <c r="E65" s="183" t="s">
        <v>912</v>
      </c>
      <c r="F65" s="242"/>
      <c r="G65" s="243"/>
      <c r="H65" s="183"/>
      <c r="I65" s="183"/>
      <c r="J65" s="183"/>
      <c r="K65" s="183"/>
      <c r="L65" s="176"/>
      <c r="M65" s="7"/>
    </row>
    <row r="66" spans="2:13" ht="15" customHeight="1">
      <c r="B66" s="182"/>
      <c r="C66" s="11" t="s">
        <v>8</v>
      </c>
      <c r="D66" s="11" t="s">
        <v>8</v>
      </c>
      <c r="E66" s="244" t="s">
        <v>37</v>
      </c>
      <c r="F66" s="242"/>
      <c r="G66" s="243"/>
      <c r="H66" s="246" t="s">
        <v>38</v>
      </c>
      <c r="I66" s="242"/>
      <c r="J66" s="242"/>
      <c r="K66" s="243"/>
      <c r="L66" s="176">
        <v>12</v>
      </c>
      <c r="M66" s="7"/>
    </row>
    <row r="67" spans="2:13" ht="15" customHeight="1">
      <c r="B67" s="182"/>
      <c r="C67" s="9">
        <f>'様式２'!C114</f>
        <v>22745000</v>
      </c>
      <c r="D67" s="9">
        <f>'様式２'!D114</f>
        <v>22021826</v>
      </c>
      <c r="E67" s="244" t="s">
        <v>938</v>
      </c>
      <c r="F67" s="242"/>
      <c r="G67" s="243"/>
      <c r="H67" s="246" t="s">
        <v>39</v>
      </c>
      <c r="I67" s="242"/>
      <c r="J67" s="242"/>
      <c r="K67" s="243"/>
      <c r="L67" s="176"/>
      <c r="M67" s="7"/>
    </row>
    <row r="68" spans="2:13" ht="15" customHeight="1">
      <c r="B68" s="182"/>
      <c r="C68" s="11" t="s">
        <v>9</v>
      </c>
      <c r="D68" s="11" t="s">
        <v>9</v>
      </c>
      <c r="E68" s="244" t="s">
        <v>666</v>
      </c>
      <c r="F68" s="242"/>
      <c r="G68" s="243"/>
      <c r="H68" s="246"/>
      <c r="I68" s="242"/>
      <c r="J68" s="242"/>
      <c r="K68" s="243"/>
      <c r="L68" s="176"/>
      <c r="M68" s="7"/>
    </row>
    <row r="69" spans="2:13" ht="15" customHeight="1">
      <c r="B69" s="182"/>
      <c r="C69" s="9">
        <f>'様式２'!C116</f>
        <v>94186000</v>
      </c>
      <c r="D69" s="9">
        <f>'様式２'!D116</f>
        <v>90719133</v>
      </c>
      <c r="E69" s="244" t="s">
        <v>40</v>
      </c>
      <c r="F69" s="242"/>
      <c r="G69" s="243"/>
      <c r="H69" s="381" t="s">
        <v>41</v>
      </c>
      <c r="I69" s="379"/>
      <c r="J69" s="379"/>
      <c r="K69" s="380"/>
      <c r="L69" s="176"/>
      <c r="M69" s="7"/>
    </row>
    <row r="70" spans="2:13" ht="15" customHeight="1">
      <c r="B70" s="182"/>
      <c r="C70" s="9"/>
      <c r="D70" s="9"/>
      <c r="E70" s="244" t="s">
        <v>42</v>
      </c>
      <c r="F70" s="242"/>
      <c r="G70" s="243"/>
      <c r="H70" s="381"/>
      <c r="I70" s="379"/>
      <c r="J70" s="379"/>
      <c r="K70" s="380"/>
      <c r="L70" s="176"/>
      <c r="M70" s="7"/>
    </row>
    <row r="71" spans="2:13" ht="15" customHeight="1">
      <c r="B71" s="182"/>
      <c r="C71" s="11"/>
      <c r="D71" s="11"/>
      <c r="E71" s="244" t="s">
        <v>1284</v>
      </c>
      <c r="F71" s="242"/>
      <c r="G71" s="243"/>
      <c r="H71" s="381"/>
      <c r="I71" s="379"/>
      <c r="J71" s="379"/>
      <c r="K71" s="380"/>
      <c r="L71" s="176"/>
      <c r="M71" s="7"/>
    </row>
    <row r="72" spans="2:13" ht="15" customHeight="1" thickBot="1">
      <c r="B72" s="184"/>
      <c r="C72" s="12"/>
      <c r="D72" s="12"/>
      <c r="E72" s="185"/>
      <c r="F72" s="186"/>
      <c r="G72" s="187"/>
      <c r="H72" s="188"/>
      <c r="I72" s="186"/>
      <c r="J72" s="186"/>
      <c r="K72" s="187"/>
      <c r="L72" s="189"/>
      <c r="M72" s="7"/>
    </row>
    <row r="73" spans="2:13" ht="15" customHeight="1">
      <c r="B73" s="177"/>
      <c r="C73" s="9"/>
      <c r="D73" s="9"/>
      <c r="E73" s="244"/>
      <c r="F73" s="250"/>
      <c r="G73" s="243"/>
      <c r="H73" s="246"/>
      <c r="I73" s="250"/>
      <c r="J73" s="250"/>
      <c r="K73" s="243"/>
      <c r="L73" s="176"/>
      <c r="M73" s="7"/>
    </row>
    <row r="74" spans="2:13" ht="15" customHeight="1">
      <c r="B74" s="175" t="s">
        <v>913</v>
      </c>
      <c r="C74" s="9">
        <f>'様式２'!C134</f>
        <v>482837000</v>
      </c>
      <c r="D74" s="9">
        <f>'様式２'!D134</f>
        <v>467775662</v>
      </c>
      <c r="E74" s="424" t="s">
        <v>976</v>
      </c>
      <c r="F74" s="379"/>
      <c r="G74" s="380"/>
      <c r="H74" s="381" t="s">
        <v>976</v>
      </c>
      <c r="I74" s="379"/>
      <c r="J74" s="379"/>
      <c r="K74" s="380"/>
      <c r="L74" s="176"/>
      <c r="M74" s="7"/>
    </row>
    <row r="75" spans="2:13" ht="15" customHeight="1">
      <c r="B75" s="175" t="s">
        <v>181</v>
      </c>
      <c r="C75" s="9"/>
      <c r="D75" s="9"/>
      <c r="E75" s="424" t="s">
        <v>977</v>
      </c>
      <c r="F75" s="379"/>
      <c r="G75" s="380"/>
      <c r="H75" s="381" t="s">
        <v>978</v>
      </c>
      <c r="I75" s="379"/>
      <c r="J75" s="379"/>
      <c r="K75" s="380"/>
      <c r="L75" s="176"/>
      <c r="M75" s="7"/>
    </row>
    <row r="76" spans="2:13" ht="15" customHeight="1">
      <c r="B76" s="175" t="s">
        <v>183</v>
      </c>
      <c r="C76" s="11" t="s">
        <v>7</v>
      </c>
      <c r="D76" s="11" t="s">
        <v>7</v>
      </c>
      <c r="E76" s="244"/>
      <c r="F76" s="250"/>
      <c r="G76" s="243"/>
      <c r="H76" s="381" t="s">
        <v>979</v>
      </c>
      <c r="I76" s="379"/>
      <c r="J76" s="379"/>
      <c r="K76" s="380"/>
      <c r="L76" s="176"/>
      <c r="M76" s="7"/>
    </row>
    <row r="77" spans="2:13" ht="15" customHeight="1">
      <c r="B77" s="175" t="s">
        <v>524</v>
      </c>
      <c r="C77" s="9">
        <f>'様式２'!C137</f>
        <v>301601000</v>
      </c>
      <c r="D77" s="9">
        <f>'様式２'!D137</f>
        <v>297670264</v>
      </c>
      <c r="E77" s="244"/>
      <c r="F77" s="242"/>
      <c r="G77" s="243"/>
      <c r="H77" s="381" t="s">
        <v>980</v>
      </c>
      <c r="I77" s="379"/>
      <c r="J77" s="379"/>
      <c r="K77" s="380"/>
      <c r="L77" s="176">
        <v>13</v>
      </c>
      <c r="M77" s="7"/>
    </row>
    <row r="78" spans="2:13" ht="15" customHeight="1">
      <c r="B78" s="177"/>
      <c r="C78" s="11" t="s">
        <v>8</v>
      </c>
      <c r="D78" s="11" t="s">
        <v>8</v>
      </c>
      <c r="E78" s="446"/>
      <c r="F78" s="478"/>
      <c r="G78" s="456"/>
      <c r="H78" s="479"/>
      <c r="I78" s="478"/>
      <c r="J78" s="478"/>
      <c r="K78" s="456"/>
      <c r="L78" s="176"/>
      <c r="M78" s="7"/>
    </row>
    <row r="79" spans="2:13" ht="15" customHeight="1">
      <c r="B79" s="177"/>
      <c r="C79" s="9">
        <f>'様式２'!C139</f>
        <v>41005000</v>
      </c>
      <c r="D79" s="9">
        <f>'様式２'!D139</f>
        <v>42861885</v>
      </c>
      <c r="E79" s="257"/>
      <c r="F79" s="258"/>
      <c r="G79" s="259"/>
      <c r="H79" s="479"/>
      <c r="I79" s="478"/>
      <c r="J79" s="478"/>
      <c r="K79" s="456"/>
      <c r="L79" s="176"/>
      <c r="M79" s="7"/>
    </row>
    <row r="80" spans="2:13" ht="15" customHeight="1">
      <c r="B80" s="177"/>
      <c r="C80" s="11" t="s">
        <v>9</v>
      </c>
      <c r="D80" s="11" t="s">
        <v>9</v>
      </c>
      <c r="E80" s="446"/>
      <c r="F80" s="478"/>
      <c r="G80" s="456"/>
      <c r="H80" s="479"/>
      <c r="I80" s="478"/>
      <c r="J80" s="478"/>
      <c r="K80" s="456"/>
      <c r="L80" s="176"/>
      <c r="M80" s="7"/>
    </row>
    <row r="81" spans="2:13" ht="15" customHeight="1">
      <c r="B81" s="177"/>
      <c r="C81" s="9">
        <f>'様式２'!C141</f>
        <v>140231000</v>
      </c>
      <c r="D81" s="9">
        <f>'様式２'!D141</f>
        <v>127243513</v>
      </c>
      <c r="E81" s="257"/>
      <c r="F81" s="258"/>
      <c r="G81" s="259"/>
      <c r="H81" s="266"/>
      <c r="I81" s="258"/>
      <c r="J81" s="258"/>
      <c r="K81" s="259"/>
      <c r="L81" s="176"/>
      <c r="M81" s="7"/>
    </row>
    <row r="82" spans="2:13" ht="15" customHeight="1" thickBot="1">
      <c r="B82" s="177"/>
      <c r="C82" s="9"/>
      <c r="D82" s="9"/>
      <c r="E82" s="244"/>
      <c r="F82" s="250"/>
      <c r="G82" s="243"/>
      <c r="H82" s="246"/>
      <c r="I82" s="250"/>
      <c r="J82" s="250"/>
      <c r="K82" s="243"/>
      <c r="L82" s="176"/>
      <c r="M82" s="7"/>
    </row>
    <row r="83" spans="2:13" ht="15" customHeight="1">
      <c r="B83" s="195"/>
      <c r="C83" s="196"/>
      <c r="D83" s="196"/>
      <c r="E83" s="197"/>
      <c r="F83" s="268"/>
      <c r="G83" s="269"/>
      <c r="H83" s="198"/>
      <c r="I83" s="268"/>
      <c r="J83" s="268"/>
      <c r="K83" s="269"/>
      <c r="L83" s="181"/>
      <c r="M83" s="7"/>
    </row>
    <row r="84" spans="2:13" ht="15" customHeight="1">
      <c r="B84" s="175" t="s">
        <v>914</v>
      </c>
      <c r="C84" s="9">
        <f>'様式２'!C164</f>
        <v>208343000</v>
      </c>
      <c r="D84" s="9">
        <f>'様式２'!D164</f>
        <v>201027647</v>
      </c>
      <c r="E84" s="424" t="s">
        <v>43</v>
      </c>
      <c r="F84" s="379"/>
      <c r="G84" s="380"/>
      <c r="H84" s="381" t="s">
        <v>44</v>
      </c>
      <c r="I84" s="379"/>
      <c r="J84" s="379"/>
      <c r="K84" s="380"/>
      <c r="L84" s="176"/>
      <c r="M84" s="7"/>
    </row>
    <row r="85" spans="2:13" ht="15" customHeight="1">
      <c r="B85" s="175" t="s">
        <v>181</v>
      </c>
      <c r="C85" s="9"/>
      <c r="D85" s="9"/>
      <c r="E85" s="424" t="s">
        <v>1183</v>
      </c>
      <c r="F85" s="379"/>
      <c r="G85" s="380"/>
      <c r="H85" s="381" t="s">
        <v>981</v>
      </c>
      <c r="I85" s="379"/>
      <c r="J85" s="379"/>
      <c r="K85" s="380"/>
      <c r="L85" s="176"/>
      <c r="M85" s="7"/>
    </row>
    <row r="86" spans="2:13" ht="15" customHeight="1">
      <c r="B86" s="175" t="s">
        <v>189</v>
      </c>
      <c r="C86" s="11" t="s">
        <v>7</v>
      </c>
      <c r="D86" s="11" t="s">
        <v>7</v>
      </c>
      <c r="E86" s="244"/>
      <c r="F86" s="250"/>
      <c r="G86" s="243"/>
      <c r="H86" s="381" t="s">
        <v>1217</v>
      </c>
      <c r="I86" s="379"/>
      <c r="J86" s="379"/>
      <c r="K86" s="380"/>
      <c r="L86" s="176"/>
      <c r="M86" s="7"/>
    </row>
    <row r="87" spans="2:13" ht="15" customHeight="1">
      <c r="B87" s="175" t="s">
        <v>524</v>
      </c>
      <c r="C87" s="9">
        <f>'様式２'!C167</f>
        <v>35149000</v>
      </c>
      <c r="D87" s="9">
        <f>'様式２'!D167</f>
        <v>34926000</v>
      </c>
      <c r="E87" s="244"/>
      <c r="F87" s="242"/>
      <c r="G87" s="243"/>
      <c r="H87" s="381" t="s">
        <v>1218</v>
      </c>
      <c r="I87" s="379"/>
      <c r="J87" s="379"/>
      <c r="K87" s="380"/>
      <c r="L87" s="176">
        <v>13</v>
      </c>
      <c r="M87" s="7"/>
    </row>
    <row r="88" spans="2:13" ht="15" customHeight="1">
      <c r="B88" s="177"/>
      <c r="C88" s="11" t="s">
        <v>8</v>
      </c>
      <c r="D88" s="11" t="s">
        <v>8</v>
      </c>
      <c r="E88" s="424"/>
      <c r="F88" s="379"/>
      <c r="G88" s="380"/>
      <c r="H88" s="381" t="s">
        <v>982</v>
      </c>
      <c r="I88" s="379"/>
      <c r="J88" s="379"/>
      <c r="K88" s="380"/>
      <c r="L88" s="176"/>
      <c r="M88" s="7"/>
    </row>
    <row r="89" spans="2:13" ht="15" customHeight="1">
      <c r="B89" s="177"/>
      <c r="C89" s="9">
        <f>'様式２'!C169</f>
        <v>81108000</v>
      </c>
      <c r="D89" s="9">
        <f>'様式２'!D169</f>
        <v>81013933</v>
      </c>
      <c r="E89" s="244"/>
      <c r="F89" s="250"/>
      <c r="G89" s="243"/>
      <c r="H89" s="381" t="s">
        <v>1184</v>
      </c>
      <c r="I89" s="379"/>
      <c r="J89" s="379"/>
      <c r="K89" s="380"/>
      <c r="L89" s="176"/>
      <c r="M89" s="7"/>
    </row>
    <row r="90" spans="2:13" ht="15" customHeight="1">
      <c r="B90" s="177"/>
      <c r="C90" s="11" t="s">
        <v>9</v>
      </c>
      <c r="D90" s="11" t="s">
        <v>9</v>
      </c>
      <c r="E90" s="446"/>
      <c r="F90" s="478"/>
      <c r="G90" s="456"/>
      <c r="H90" s="479"/>
      <c r="I90" s="478"/>
      <c r="J90" s="478"/>
      <c r="K90" s="456"/>
      <c r="L90" s="176"/>
      <c r="M90" s="7"/>
    </row>
    <row r="91" spans="2:13" ht="15" customHeight="1">
      <c r="B91" s="177"/>
      <c r="C91" s="9">
        <f>'様式２'!C171</f>
        <v>92086000</v>
      </c>
      <c r="D91" s="9">
        <f>'様式２'!D171</f>
        <v>85087714</v>
      </c>
      <c r="E91" s="257"/>
      <c r="F91" s="258"/>
      <c r="G91" s="259"/>
      <c r="H91" s="266"/>
      <c r="I91" s="258"/>
      <c r="J91" s="258"/>
      <c r="K91" s="259"/>
      <c r="L91" s="176"/>
      <c r="M91" s="7"/>
    </row>
    <row r="92" spans="2:13" ht="15" customHeight="1">
      <c r="B92" s="362"/>
      <c r="C92" s="356"/>
      <c r="D92" s="356"/>
      <c r="E92" s="357"/>
      <c r="F92" s="358"/>
      <c r="G92" s="359"/>
      <c r="H92" s="360"/>
      <c r="I92" s="358"/>
      <c r="J92" s="358"/>
      <c r="K92" s="359"/>
      <c r="L92" s="361"/>
      <c r="M92" s="7"/>
    </row>
    <row r="93" spans="2:13" ht="15" customHeight="1">
      <c r="B93" s="182"/>
      <c r="C93" s="9"/>
      <c r="D93" s="9"/>
      <c r="E93" s="343"/>
      <c r="F93" s="342"/>
      <c r="G93" s="340"/>
      <c r="H93" s="343"/>
      <c r="I93" s="342"/>
      <c r="J93" s="342"/>
      <c r="K93" s="201"/>
      <c r="L93" s="202"/>
      <c r="M93" s="7"/>
    </row>
    <row r="94" spans="2:13" ht="15" customHeight="1">
      <c r="B94" s="175" t="s">
        <v>192</v>
      </c>
      <c r="C94" s="9">
        <f>'様式２'!C180</f>
        <v>3583846000</v>
      </c>
      <c r="D94" s="9">
        <f>'様式２'!D180</f>
        <v>2979793330</v>
      </c>
      <c r="E94" s="424" t="s">
        <v>939</v>
      </c>
      <c r="F94" s="379"/>
      <c r="G94" s="380"/>
      <c r="H94" s="244" t="s">
        <v>47</v>
      </c>
      <c r="I94" s="250"/>
      <c r="J94" s="250"/>
      <c r="K94" s="201"/>
      <c r="L94" s="202"/>
      <c r="M94" s="7"/>
    </row>
    <row r="95" spans="2:13" ht="15" customHeight="1">
      <c r="B95" s="175" t="s">
        <v>915</v>
      </c>
      <c r="C95" s="10"/>
      <c r="D95" s="10"/>
      <c r="E95" s="244" t="s">
        <v>1185</v>
      </c>
      <c r="F95" s="250"/>
      <c r="G95" s="243"/>
      <c r="H95" s="244" t="s">
        <v>940</v>
      </c>
      <c r="I95" s="250"/>
      <c r="J95" s="250"/>
      <c r="K95" s="201"/>
      <c r="L95" s="202"/>
      <c r="M95" s="7"/>
    </row>
    <row r="96" spans="2:13" ht="15" customHeight="1">
      <c r="B96" s="175"/>
      <c r="C96" s="11" t="s">
        <v>7</v>
      </c>
      <c r="D96" s="11" t="s">
        <v>7</v>
      </c>
      <c r="E96" s="244"/>
      <c r="F96" s="250"/>
      <c r="G96" s="243"/>
      <c r="H96" s="244" t="s">
        <v>916</v>
      </c>
      <c r="I96" s="250"/>
      <c r="J96" s="250"/>
      <c r="K96" s="201"/>
      <c r="L96" s="202"/>
      <c r="M96" s="7"/>
    </row>
    <row r="97" spans="2:13" ht="15" customHeight="1">
      <c r="B97" s="182"/>
      <c r="C97" s="9">
        <f>'様式２'!C183</f>
        <v>1214261000</v>
      </c>
      <c r="D97" s="9">
        <f>'様式２'!D183</f>
        <v>951529421</v>
      </c>
      <c r="E97" s="244"/>
      <c r="F97" s="250"/>
      <c r="G97" s="243"/>
      <c r="H97" s="250" t="s">
        <v>1345</v>
      </c>
      <c r="I97" s="250"/>
      <c r="J97" s="250"/>
      <c r="K97" s="201"/>
      <c r="L97" s="202"/>
      <c r="M97" s="7"/>
    </row>
    <row r="98" spans="2:13" ht="15" customHeight="1">
      <c r="B98" s="182"/>
      <c r="C98" s="11" t="s">
        <v>10</v>
      </c>
      <c r="D98" s="11" t="s">
        <v>10</v>
      </c>
      <c r="E98" s="244" t="s">
        <v>48</v>
      </c>
      <c r="F98" s="250"/>
      <c r="G98" s="243"/>
      <c r="H98" s="244" t="s">
        <v>917</v>
      </c>
      <c r="I98" s="250"/>
      <c r="J98" s="250"/>
      <c r="K98" s="201"/>
      <c r="L98" s="176">
        <v>14</v>
      </c>
      <c r="M98" s="7"/>
    </row>
    <row r="99" spans="2:13" ht="15" customHeight="1">
      <c r="B99" s="182"/>
      <c r="C99" s="9">
        <f>'様式２'!C185</f>
        <v>541000000</v>
      </c>
      <c r="D99" s="9">
        <f>'様式２'!D185</f>
        <v>385000000</v>
      </c>
      <c r="E99" s="244" t="s">
        <v>49</v>
      </c>
      <c r="F99" s="250"/>
      <c r="G99" s="243"/>
      <c r="H99" s="244" t="s">
        <v>1285</v>
      </c>
      <c r="I99" s="250"/>
      <c r="J99" s="250"/>
      <c r="K99" s="201"/>
      <c r="L99" s="202"/>
      <c r="M99" s="7"/>
    </row>
    <row r="100" spans="2:13" ht="15" customHeight="1">
      <c r="B100" s="182"/>
      <c r="C100" s="11" t="s">
        <v>8</v>
      </c>
      <c r="D100" s="11" t="s">
        <v>8</v>
      </c>
      <c r="E100" s="244" t="s">
        <v>50</v>
      </c>
      <c r="F100" s="250"/>
      <c r="G100" s="243"/>
      <c r="H100" s="250" t="s">
        <v>1346</v>
      </c>
      <c r="I100" s="250"/>
      <c r="J100" s="250"/>
      <c r="K100" s="201"/>
      <c r="L100" s="202"/>
      <c r="M100" s="7"/>
    </row>
    <row r="101" spans="2:13" ht="15" customHeight="1">
      <c r="B101" s="182"/>
      <c r="C101" s="9">
        <f>'様式２'!C187</f>
        <v>1177544500</v>
      </c>
      <c r="D101" s="9">
        <f>'様式２'!D187</f>
        <v>1071902649</v>
      </c>
      <c r="E101" s="244" t="s">
        <v>1314</v>
      </c>
      <c r="F101" s="250"/>
      <c r="G101" s="243"/>
      <c r="H101" s="257" t="s">
        <v>1347</v>
      </c>
      <c r="I101" s="183"/>
      <c r="J101" s="250"/>
      <c r="K101" s="201"/>
      <c r="L101" s="202"/>
      <c r="M101" s="7"/>
    </row>
    <row r="102" spans="2:13" ht="15" customHeight="1">
      <c r="B102" s="182"/>
      <c r="C102" s="11" t="s">
        <v>9</v>
      </c>
      <c r="D102" s="11" t="s">
        <v>9</v>
      </c>
      <c r="E102" s="244"/>
      <c r="F102" s="250"/>
      <c r="G102" s="243"/>
      <c r="H102" s="250" t="s">
        <v>1348</v>
      </c>
      <c r="I102" s="183"/>
      <c r="J102" s="250"/>
      <c r="K102" s="201"/>
      <c r="L102" s="202"/>
      <c r="M102" s="7"/>
    </row>
    <row r="103" spans="2:13" ht="15" customHeight="1">
      <c r="B103" s="182"/>
      <c r="C103" s="9">
        <f>'様式２'!C189</f>
        <v>651040500</v>
      </c>
      <c r="D103" s="9">
        <f>'様式２'!D189</f>
        <v>571361260</v>
      </c>
      <c r="E103" s="244"/>
      <c r="F103" s="250"/>
      <c r="G103" s="243"/>
      <c r="H103" s="250"/>
      <c r="I103" s="183"/>
      <c r="J103" s="250"/>
      <c r="K103" s="201"/>
      <c r="L103" s="202"/>
      <c r="M103" s="7"/>
    </row>
    <row r="104" spans="2:13" ht="15" customHeight="1" thickBot="1">
      <c r="B104" s="184"/>
      <c r="C104" s="12"/>
      <c r="D104" s="12"/>
      <c r="E104" s="185"/>
      <c r="F104" s="186"/>
      <c r="G104" s="187"/>
      <c r="H104" s="185"/>
      <c r="I104" s="186"/>
      <c r="J104" s="186"/>
      <c r="K104" s="203"/>
      <c r="L104" s="204"/>
      <c r="M104" s="7"/>
    </row>
    <row r="105" spans="2:13" ht="15" customHeight="1">
      <c r="B105" s="178"/>
      <c r="C105" s="196"/>
      <c r="D105" s="196"/>
      <c r="E105" s="197"/>
      <c r="F105" s="268"/>
      <c r="G105" s="269"/>
      <c r="H105" s="197"/>
      <c r="I105" s="268"/>
      <c r="J105" s="268"/>
      <c r="K105" s="199"/>
      <c r="L105" s="200"/>
      <c r="M105" s="7"/>
    </row>
    <row r="106" spans="2:13" ht="15" customHeight="1">
      <c r="B106" s="175" t="s">
        <v>51</v>
      </c>
      <c r="C106" s="9">
        <f>'様式２'!C259</f>
        <v>150419000</v>
      </c>
      <c r="D106" s="9">
        <f>'様式２'!D259</f>
        <v>135756546</v>
      </c>
      <c r="E106" s="424" t="s">
        <v>544</v>
      </c>
      <c r="F106" s="379"/>
      <c r="G106" s="380"/>
      <c r="H106" s="381" t="s">
        <v>544</v>
      </c>
      <c r="I106" s="485"/>
      <c r="J106" s="485"/>
      <c r="K106" s="201"/>
      <c r="L106" s="202"/>
      <c r="M106" s="7"/>
    </row>
    <row r="107" spans="2:13" ht="15" customHeight="1">
      <c r="B107" s="175" t="s">
        <v>915</v>
      </c>
      <c r="C107" s="10"/>
      <c r="D107" s="10"/>
      <c r="E107" s="244" t="s">
        <v>1260</v>
      </c>
      <c r="F107" s="250"/>
      <c r="G107" s="243"/>
      <c r="H107" s="246" t="s">
        <v>903</v>
      </c>
      <c r="I107" s="250"/>
      <c r="J107" s="250"/>
      <c r="K107" s="201"/>
      <c r="L107" s="202"/>
      <c r="M107" s="7"/>
    </row>
    <row r="108" spans="2:13" ht="15" customHeight="1">
      <c r="B108" s="175"/>
      <c r="C108" s="11" t="s">
        <v>7</v>
      </c>
      <c r="D108" s="11" t="s">
        <v>7</v>
      </c>
      <c r="E108" s="244" t="s">
        <v>1264</v>
      </c>
      <c r="F108" s="250"/>
      <c r="G108" s="243"/>
      <c r="H108" s="246" t="s">
        <v>904</v>
      </c>
      <c r="I108" s="250"/>
      <c r="J108" s="250"/>
      <c r="K108" s="201"/>
      <c r="L108" s="202"/>
      <c r="M108" s="7"/>
    </row>
    <row r="109" spans="2:13" ht="15" customHeight="1">
      <c r="B109" s="182"/>
      <c r="C109" s="9">
        <f>'様式２'!C262</f>
        <v>108997000</v>
      </c>
      <c r="D109" s="9">
        <f>'様式２'!D262</f>
        <v>93366633</v>
      </c>
      <c r="E109" s="244" t="s">
        <v>546</v>
      </c>
      <c r="F109" s="250"/>
      <c r="G109" s="243"/>
      <c r="H109" s="244"/>
      <c r="I109" s="250"/>
      <c r="J109" s="250"/>
      <c r="K109" s="201"/>
      <c r="L109" s="202"/>
      <c r="M109" s="7"/>
    </row>
    <row r="110" spans="2:13" ht="15" customHeight="1">
      <c r="B110" s="182"/>
      <c r="C110" s="11" t="s">
        <v>9</v>
      </c>
      <c r="D110" s="11" t="s">
        <v>9</v>
      </c>
      <c r="E110" s="424" t="s">
        <v>547</v>
      </c>
      <c r="F110" s="379"/>
      <c r="G110" s="380"/>
      <c r="H110" s="244"/>
      <c r="I110" s="250"/>
      <c r="J110" s="250"/>
      <c r="K110" s="201"/>
      <c r="L110" s="176">
        <v>16</v>
      </c>
      <c r="M110" s="7"/>
    </row>
    <row r="111" spans="2:13" ht="15" customHeight="1">
      <c r="B111" s="182"/>
      <c r="C111" s="9">
        <f>'様式２'!C264</f>
        <v>41422000</v>
      </c>
      <c r="D111" s="9">
        <f>'様式２'!D264</f>
        <v>42389913</v>
      </c>
      <c r="E111" s="424"/>
      <c r="F111" s="379"/>
      <c r="G111" s="380"/>
      <c r="H111" s="250"/>
      <c r="I111" s="250"/>
      <c r="J111" s="250"/>
      <c r="K111" s="201"/>
      <c r="L111" s="202"/>
      <c r="M111" s="7"/>
    </row>
    <row r="112" spans="2:13" ht="15" customHeight="1">
      <c r="B112" s="182"/>
      <c r="C112" s="11"/>
      <c r="D112" s="11"/>
      <c r="E112" s="424" t="s">
        <v>1261</v>
      </c>
      <c r="F112" s="379"/>
      <c r="G112" s="380"/>
      <c r="H112" s="381" t="s">
        <v>545</v>
      </c>
      <c r="I112" s="485"/>
      <c r="J112" s="485"/>
      <c r="K112" s="201"/>
      <c r="L112" s="202"/>
      <c r="M112" s="7"/>
    </row>
    <row r="113" spans="2:13" ht="15" customHeight="1">
      <c r="B113" s="182"/>
      <c r="C113" s="9"/>
      <c r="D113" s="9"/>
      <c r="E113" s="424" t="s">
        <v>1262</v>
      </c>
      <c r="F113" s="379"/>
      <c r="G113" s="380"/>
      <c r="H113" s="244" t="s">
        <v>1286</v>
      </c>
      <c r="I113" s="250"/>
      <c r="J113" s="250"/>
      <c r="K113" s="201"/>
      <c r="L113" s="202"/>
      <c r="M113" s="7"/>
    </row>
    <row r="114" spans="2:13" ht="15" customHeight="1">
      <c r="B114" s="182"/>
      <c r="C114" s="11"/>
      <c r="D114" s="11"/>
      <c r="E114" s="244" t="s">
        <v>1263</v>
      </c>
      <c r="F114" s="250"/>
      <c r="G114" s="243"/>
      <c r="H114" s="244" t="s">
        <v>1344</v>
      </c>
      <c r="I114" s="183"/>
      <c r="J114" s="250"/>
      <c r="K114" s="201"/>
      <c r="L114" s="202"/>
      <c r="M114" s="7"/>
    </row>
    <row r="115" spans="2:13" ht="15" customHeight="1">
      <c r="B115" s="182"/>
      <c r="C115" s="9"/>
      <c r="D115" s="9"/>
      <c r="E115" s="244" t="s">
        <v>1287</v>
      </c>
      <c r="F115" s="250"/>
      <c r="G115" s="243"/>
      <c r="H115" s="250"/>
      <c r="I115" s="183"/>
      <c r="J115" s="250"/>
      <c r="K115" s="201"/>
      <c r="L115" s="202"/>
      <c r="M115" s="7"/>
    </row>
    <row r="116" spans="2:13" ht="15" customHeight="1">
      <c r="B116" s="182"/>
      <c r="C116" s="9"/>
      <c r="D116" s="9"/>
      <c r="E116" s="244" t="s">
        <v>1343</v>
      </c>
      <c r="F116" s="250"/>
      <c r="G116" s="243"/>
      <c r="H116" s="250"/>
      <c r="I116" s="183"/>
      <c r="J116" s="250"/>
      <c r="K116" s="201"/>
      <c r="L116" s="202"/>
      <c r="M116" s="7"/>
    </row>
    <row r="117" spans="2:13" ht="15" customHeight="1" thickBot="1">
      <c r="B117" s="184"/>
      <c r="C117" s="12"/>
      <c r="D117" s="12"/>
      <c r="E117" s="244"/>
      <c r="F117" s="250"/>
      <c r="G117" s="243"/>
      <c r="H117" s="185"/>
      <c r="I117" s="186"/>
      <c r="J117" s="186"/>
      <c r="K117" s="203"/>
      <c r="L117" s="204"/>
      <c r="M117" s="7"/>
    </row>
    <row r="118" spans="2:13" ht="15" customHeight="1">
      <c r="B118" s="205"/>
      <c r="C118" s="9"/>
      <c r="D118" s="9"/>
      <c r="E118" s="206"/>
      <c r="F118" s="207"/>
      <c r="G118" s="208"/>
      <c r="H118" s="183"/>
      <c r="I118" s="207"/>
      <c r="J118" s="207"/>
      <c r="K118" s="208"/>
      <c r="L118" s="200"/>
      <c r="M118" s="7"/>
    </row>
    <row r="119" spans="2:13" ht="15" customHeight="1">
      <c r="B119" s="175" t="s">
        <v>918</v>
      </c>
      <c r="C119" s="9">
        <f>'様式２'!C274</f>
        <v>135743000</v>
      </c>
      <c r="D119" s="9">
        <f>'様式２'!D274</f>
        <v>129757127</v>
      </c>
      <c r="E119" s="382" t="s">
        <v>1254</v>
      </c>
      <c r="F119" s="454"/>
      <c r="G119" s="455"/>
      <c r="H119" s="391" t="s">
        <v>1254</v>
      </c>
      <c r="I119" s="454"/>
      <c r="J119" s="454"/>
      <c r="K119" s="455"/>
      <c r="L119" s="202"/>
      <c r="M119" s="7"/>
    </row>
    <row r="120" spans="2:13" ht="15" customHeight="1">
      <c r="B120" s="175" t="s">
        <v>915</v>
      </c>
      <c r="C120" s="10"/>
      <c r="D120" s="10"/>
      <c r="E120" s="382" t="s">
        <v>1288</v>
      </c>
      <c r="F120" s="454"/>
      <c r="G120" s="455"/>
      <c r="H120" s="391" t="s">
        <v>1255</v>
      </c>
      <c r="I120" s="454"/>
      <c r="J120" s="454"/>
      <c r="K120" s="455"/>
      <c r="L120" s="202"/>
      <c r="M120" s="7"/>
    </row>
    <row r="121" spans="2:13" ht="15" customHeight="1">
      <c r="B121" s="205"/>
      <c r="C121" s="11" t="s">
        <v>7</v>
      </c>
      <c r="D121" s="11" t="s">
        <v>7</v>
      </c>
      <c r="E121" s="382"/>
      <c r="F121" s="454"/>
      <c r="G121" s="455"/>
      <c r="H121" s="391"/>
      <c r="I121" s="454"/>
      <c r="J121" s="454"/>
      <c r="K121" s="455"/>
      <c r="L121" s="202"/>
      <c r="M121" s="7"/>
    </row>
    <row r="122" spans="2:13" ht="15" customHeight="1">
      <c r="B122" s="205"/>
      <c r="C122" s="9">
        <f>'様式２'!C277</f>
        <v>5875000</v>
      </c>
      <c r="D122" s="9">
        <f>'様式２'!D277</f>
        <v>3647000</v>
      </c>
      <c r="E122" s="382"/>
      <c r="F122" s="454"/>
      <c r="G122" s="455"/>
      <c r="H122" s="391"/>
      <c r="I122" s="454"/>
      <c r="J122" s="454"/>
      <c r="K122" s="455"/>
      <c r="L122" s="176">
        <v>16</v>
      </c>
      <c r="M122" s="7"/>
    </row>
    <row r="123" spans="2:13" ht="15" customHeight="1">
      <c r="B123" s="205"/>
      <c r="C123" s="11" t="s">
        <v>8</v>
      </c>
      <c r="D123" s="11" t="s">
        <v>8</v>
      </c>
      <c r="E123" s="382"/>
      <c r="F123" s="454"/>
      <c r="G123" s="455"/>
      <c r="H123" s="391"/>
      <c r="I123" s="454"/>
      <c r="J123" s="454"/>
      <c r="K123" s="455"/>
      <c r="L123" s="202"/>
      <c r="M123" s="7"/>
    </row>
    <row r="124" spans="2:13" ht="15" customHeight="1">
      <c r="B124" s="205"/>
      <c r="C124" s="9">
        <f>'様式２'!C279</f>
        <v>125936000</v>
      </c>
      <c r="D124" s="9">
        <f>'様式２'!D279</f>
        <v>122478422</v>
      </c>
      <c r="E124" s="382"/>
      <c r="F124" s="454"/>
      <c r="G124" s="455"/>
      <c r="H124" s="391"/>
      <c r="I124" s="454"/>
      <c r="J124" s="454"/>
      <c r="K124" s="455"/>
      <c r="L124" s="202"/>
      <c r="M124" s="7"/>
    </row>
    <row r="125" spans="2:13" ht="15" customHeight="1">
      <c r="B125" s="205"/>
      <c r="C125" s="11" t="s">
        <v>9</v>
      </c>
      <c r="D125" s="11" t="s">
        <v>9</v>
      </c>
      <c r="E125" s="382"/>
      <c r="F125" s="454"/>
      <c r="G125" s="455"/>
      <c r="H125" s="391"/>
      <c r="I125" s="454"/>
      <c r="J125" s="454"/>
      <c r="K125" s="455"/>
      <c r="L125" s="202"/>
      <c r="M125" s="7"/>
    </row>
    <row r="126" spans="2:13" ht="15" customHeight="1">
      <c r="B126" s="205"/>
      <c r="C126" s="9">
        <f>'様式２'!C281</f>
        <v>3932000</v>
      </c>
      <c r="D126" s="9">
        <f>'様式２'!D281</f>
        <v>3631705</v>
      </c>
      <c r="E126" s="382"/>
      <c r="F126" s="484"/>
      <c r="G126" s="384"/>
      <c r="H126" s="251"/>
      <c r="I126" s="264"/>
      <c r="J126" s="264"/>
      <c r="K126" s="253"/>
      <c r="L126" s="202"/>
      <c r="M126" s="7"/>
    </row>
    <row r="127" spans="2:13" ht="15" customHeight="1" thickBot="1">
      <c r="B127" s="209"/>
      <c r="C127" s="12"/>
      <c r="D127" s="12"/>
      <c r="E127" s="210"/>
      <c r="F127" s="211"/>
      <c r="G127" s="212"/>
      <c r="H127" s="213"/>
      <c r="I127" s="211"/>
      <c r="J127" s="211"/>
      <c r="K127" s="212"/>
      <c r="L127" s="204"/>
      <c r="M127" s="7"/>
    </row>
    <row r="128" spans="2:13" ht="15" customHeight="1">
      <c r="B128" s="205"/>
      <c r="C128" s="9"/>
      <c r="D128" s="9"/>
      <c r="E128" s="206"/>
      <c r="F128" s="207"/>
      <c r="G128" s="208"/>
      <c r="H128" s="214"/>
      <c r="I128" s="207"/>
      <c r="J128" s="207"/>
      <c r="K128" s="208"/>
      <c r="L128" s="200"/>
      <c r="M128" s="7"/>
    </row>
    <row r="129" spans="2:13" ht="15" customHeight="1">
      <c r="B129" s="175" t="s">
        <v>919</v>
      </c>
      <c r="C129" s="9">
        <f>'様式２'!C289</f>
        <v>1575889300</v>
      </c>
      <c r="D129" s="9">
        <f>'様式２'!D289</f>
        <v>1460012119</v>
      </c>
      <c r="E129" s="382" t="s">
        <v>52</v>
      </c>
      <c r="F129" s="484"/>
      <c r="G129" s="384"/>
      <c r="H129" s="391" t="s">
        <v>53</v>
      </c>
      <c r="I129" s="484"/>
      <c r="J129" s="484"/>
      <c r="K129" s="384"/>
      <c r="L129" s="202"/>
      <c r="M129" s="7"/>
    </row>
    <row r="130" spans="2:13" ht="15" customHeight="1">
      <c r="B130" s="175" t="s">
        <v>920</v>
      </c>
      <c r="C130" s="10"/>
      <c r="D130" s="10"/>
      <c r="E130" s="382" t="s">
        <v>1289</v>
      </c>
      <c r="F130" s="478"/>
      <c r="G130" s="456"/>
      <c r="H130" s="391" t="s">
        <v>811</v>
      </c>
      <c r="I130" s="484"/>
      <c r="J130" s="484"/>
      <c r="K130" s="384"/>
      <c r="L130" s="202"/>
      <c r="M130" s="7"/>
    </row>
    <row r="131" spans="2:13" ht="15" customHeight="1">
      <c r="B131" s="175"/>
      <c r="C131" s="11" t="s">
        <v>7</v>
      </c>
      <c r="D131" s="11" t="s">
        <v>7</v>
      </c>
      <c r="E131" s="382" t="s">
        <v>1265</v>
      </c>
      <c r="F131" s="484"/>
      <c r="G131" s="384"/>
      <c r="H131" s="251"/>
      <c r="I131" s="264"/>
      <c r="J131" s="264"/>
      <c r="K131" s="253"/>
      <c r="L131" s="202"/>
      <c r="M131" s="7"/>
    </row>
    <row r="132" spans="2:13" ht="15" customHeight="1">
      <c r="B132" s="205"/>
      <c r="C132" s="9">
        <f>'様式２'!C292</f>
        <v>411034000</v>
      </c>
      <c r="D132" s="9">
        <f>'様式２'!D292</f>
        <v>406523359</v>
      </c>
      <c r="E132" s="382" t="s">
        <v>810</v>
      </c>
      <c r="F132" s="484"/>
      <c r="G132" s="384"/>
      <c r="H132" s="251"/>
      <c r="I132" s="264"/>
      <c r="J132" s="264"/>
      <c r="K132" s="253"/>
      <c r="L132" s="202"/>
      <c r="M132" s="7"/>
    </row>
    <row r="133" spans="2:13" ht="15" customHeight="1">
      <c r="B133" s="205"/>
      <c r="C133" s="11" t="s">
        <v>10</v>
      </c>
      <c r="D133" s="11" t="s">
        <v>10</v>
      </c>
      <c r="E133" s="183"/>
      <c r="F133" s="183"/>
      <c r="G133" s="183"/>
      <c r="H133" s="251"/>
      <c r="I133" s="264"/>
      <c r="J133" s="264"/>
      <c r="K133" s="253"/>
      <c r="L133" s="176">
        <v>16</v>
      </c>
      <c r="M133" s="7"/>
    </row>
    <row r="134" spans="2:13" ht="15" customHeight="1">
      <c r="B134" s="205"/>
      <c r="C134" s="9">
        <f>'様式２'!C294</f>
        <v>437000000</v>
      </c>
      <c r="D134" s="9">
        <f>'様式２'!D294</f>
        <v>440000000</v>
      </c>
      <c r="E134" s="260"/>
      <c r="F134" s="264"/>
      <c r="G134" s="253"/>
      <c r="H134" s="251"/>
      <c r="I134" s="264"/>
      <c r="J134" s="264"/>
      <c r="K134" s="253"/>
      <c r="L134" s="202"/>
      <c r="M134" s="7"/>
    </row>
    <row r="135" spans="2:13" ht="15" customHeight="1">
      <c r="B135" s="205"/>
      <c r="C135" s="11" t="s">
        <v>8</v>
      </c>
      <c r="D135" s="11" t="s">
        <v>8</v>
      </c>
      <c r="E135" s="260"/>
      <c r="F135" s="264"/>
      <c r="G135" s="253"/>
      <c r="H135" s="251"/>
      <c r="I135" s="264"/>
      <c r="J135" s="264"/>
      <c r="K135" s="253"/>
      <c r="L135" s="202"/>
      <c r="M135" s="7"/>
    </row>
    <row r="136" spans="2:13" ht="15" customHeight="1">
      <c r="B136" s="205"/>
      <c r="C136" s="9">
        <f>'様式２'!C296</f>
        <v>522162650</v>
      </c>
      <c r="D136" s="9">
        <f>'様式２'!D296</f>
        <v>492757263</v>
      </c>
      <c r="E136" s="260"/>
      <c r="F136" s="264"/>
      <c r="G136" s="253"/>
      <c r="H136" s="251"/>
      <c r="I136" s="264"/>
      <c r="J136" s="264"/>
      <c r="K136" s="253"/>
      <c r="L136" s="202"/>
      <c r="M136" s="7"/>
    </row>
    <row r="137" spans="2:13" ht="15" customHeight="1">
      <c r="B137" s="205"/>
      <c r="C137" s="11" t="s">
        <v>9</v>
      </c>
      <c r="D137" s="11" t="s">
        <v>9</v>
      </c>
      <c r="E137" s="260"/>
      <c r="F137" s="264"/>
      <c r="G137" s="253"/>
      <c r="H137" s="251"/>
      <c r="I137" s="264"/>
      <c r="J137" s="264"/>
      <c r="K137" s="253"/>
      <c r="L137" s="202"/>
      <c r="M137" s="7"/>
    </row>
    <row r="138" spans="2:13" ht="15" customHeight="1">
      <c r="B138" s="205"/>
      <c r="C138" s="9">
        <f>'様式２'!C298</f>
        <v>205692650</v>
      </c>
      <c r="D138" s="9">
        <f>'様式２'!D298</f>
        <v>120731497</v>
      </c>
      <c r="E138" s="260"/>
      <c r="F138" s="264"/>
      <c r="G138" s="253"/>
      <c r="H138" s="251"/>
      <c r="I138" s="264"/>
      <c r="J138" s="264"/>
      <c r="K138" s="253"/>
      <c r="L138" s="202"/>
      <c r="M138" s="7"/>
    </row>
    <row r="139" spans="2:13" ht="15" customHeight="1" thickBot="1">
      <c r="B139" s="209"/>
      <c r="C139" s="12"/>
      <c r="D139" s="12"/>
      <c r="E139" s="210"/>
      <c r="F139" s="211"/>
      <c r="G139" s="212"/>
      <c r="H139" s="213"/>
      <c r="I139" s="211"/>
      <c r="J139" s="211"/>
      <c r="K139" s="212"/>
      <c r="L139" s="204"/>
      <c r="M139" s="7"/>
    </row>
    <row r="140" spans="2:13" ht="15" customHeight="1">
      <c r="B140" s="205"/>
      <c r="C140" s="9"/>
      <c r="D140" s="9"/>
      <c r="E140" s="344"/>
      <c r="F140" s="348"/>
      <c r="G140" s="346"/>
      <c r="H140" s="345"/>
      <c r="I140" s="348"/>
      <c r="J140" s="348"/>
      <c r="K140" s="346"/>
      <c r="L140" s="202"/>
      <c r="M140" s="7"/>
    </row>
    <row r="141" spans="2:13" ht="15" customHeight="1">
      <c r="B141" s="175" t="s">
        <v>265</v>
      </c>
      <c r="C141" s="9">
        <f>'様式２'!C351</f>
        <v>195622000</v>
      </c>
      <c r="D141" s="9">
        <f>'様式２'!D351</f>
        <v>195424513</v>
      </c>
      <c r="E141" s="382" t="s">
        <v>1186</v>
      </c>
      <c r="F141" s="484"/>
      <c r="G141" s="384"/>
      <c r="H141" s="391" t="s">
        <v>1187</v>
      </c>
      <c r="I141" s="484"/>
      <c r="J141" s="484"/>
      <c r="K141" s="384"/>
      <c r="L141" s="202"/>
      <c r="M141" s="7"/>
    </row>
    <row r="142" spans="2:13" ht="15" customHeight="1">
      <c r="B142" s="175" t="s">
        <v>454</v>
      </c>
      <c r="C142" s="10"/>
      <c r="D142" s="10"/>
      <c r="E142" s="382" t="s">
        <v>1315</v>
      </c>
      <c r="F142" s="484"/>
      <c r="G142" s="384"/>
      <c r="H142" s="391" t="s">
        <v>1342</v>
      </c>
      <c r="I142" s="484"/>
      <c r="J142" s="484"/>
      <c r="K142" s="384"/>
      <c r="L142" s="202"/>
      <c r="M142" s="7"/>
    </row>
    <row r="143" spans="2:13" ht="15" customHeight="1">
      <c r="B143" s="175"/>
      <c r="C143" s="11" t="s">
        <v>8</v>
      </c>
      <c r="D143" s="11" t="s">
        <v>8</v>
      </c>
      <c r="E143" s="260" t="s">
        <v>1219</v>
      </c>
      <c r="F143" s="264"/>
      <c r="G143" s="253"/>
      <c r="H143" s="391"/>
      <c r="I143" s="484"/>
      <c r="J143" s="484"/>
      <c r="K143" s="384"/>
      <c r="L143" s="176">
        <v>18</v>
      </c>
      <c r="M143" s="7"/>
    </row>
    <row r="144" spans="2:13" ht="15" customHeight="1">
      <c r="B144" s="205"/>
      <c r="C144" s="9">
        <f>'様式２'!C354</f>
        <v>5461000</v>
      </c>
      <c r="D144" s="9">
        <f>'様式２'!D354</f>
        <v>4711780</v>
      </c>
      <c r="E144" s="215"/>
      <c r="F144" s="215"/>
      <c r="G144" s="215"/>
      <c r="H144" s="216"/>
      <c r="I144" s="215"/>
      <c r="J144" s="215"/>
      <c r="K144" s="215"/>
      <c r="L144" s="202"/>
      <c r="M144" s="7"/>
    </row>
    <row r="145" spans="2:13" ht="15" customHeight="1">
      <c r="B145" s="205"/>
      <c r="C145" s="11" t="s">
        <v>9</v>
      </c>
      <c r="D145" s="11" t="s">
        <v>9</v>
      </c>
      <c r="E145" s="382"/>
      <c r="F145" s="454"/>
      <c r="G145" s="455"/>
      <c r="H145" s="391"/>
      <c r="I145" s="454"/>
      <c r="J145" s="454"/>
      <c r="K145" s="455"/>
      <c r="L145" s="176"/>
      <c r="M145" s="7"/>
    </row>
    <row r="146" spans="2:13" ht="15" customHeight="1">
      <c r="B146" s="205"/>
      <c r="C146" s="9">
        <f>'様式２'!C356</f>
        <v>190161000</v>
      </c>
      <c r="D146" s="9">
        <f>'様式２'!D356</f>
        <v>190712733</v>
      </c>
      <c r="E146" s="260"/>
      <c r="F146" s="264"/>
      <c r="G146" s="253"/>
      <c r="H146" s="391"/>
      <c r="I146" s="454"/>
      <c r="J146" s="454"/>
      <c r="K146" s="455"/>
      <c r="L146" s="202"/>
      <c r="M146" s="7"/>
    </row>
    <row r="147" spans="2:13" ht="15" customHeight="1" thickBot="1">
      <c r="B147" s="209"/>
      <c r="C147" s="12"/>
      <c r="D147" s="12"/>
      <c r="E147" s="210"/>
      <c r="F147" s="211"/>
      <c r="G147" s="212"/>
      <c r="H147" s="213"/>
      <c r="I147" s="211"/>
      <c r="J147" s="211"/>
      <c r="K147" s="212"/>
      <c r="L147" s="204"/>
      <c r="M147" s="7"/>
    </row>
    <row r="148" spans="2:13" ht="15" customHeight="1">
      <c r="B148" s="205"/>
      <c r="C148" s="9"/>
      <c r="D148" s="9"/>
      <c r="E148" s="363"/>
      <c r="F148" s="366"/>
      <c r="G148" s="365"/>
      <c r="H148" s="364"/>
      <c r="I148" s="366"/>
      <c r="J148" s="366"/>
      <c r="K148" s="365"/>
      <c r="L148" s="202"/>
      <c r="M148" s="7"/>
    </row>
    <row r="149" spans="2:13" ht="15" customHeight="1">
      <c r="B149" s="175" t="s">
        <v>54</v>
      </c>
      <c r="C149" s="9">
        <f>'様式２'!C359</f>
        <v>762294000</v>
      </c>
      <c r="D149" s="9">
        <f>'様式２'!D359</f>
        <v>668876127</v>
      </c>
      <c r="E149" s="411" t="s">
        <v>941</v>
      </c>
      <c r="F149" s="398"/>
      <c r="G149" s="399"/>
      <c r="H149" s="385" t="s">
        <v>941</v>
      </c>
      <c r="I149" s="386"/>
      <c r="J149" s="386"/>
      <c r="K149" s="387"/>
      <c r="L149" s="202"/>
      <c r="M149" s="7"/>
    </row>
    <row r="150" spans="2:13" ht="15" customHeight="1">
      <c r="B150" s="175" t="s">
        <v>529</v>
      </c>
      <c r="C150" s="10"/>
      <c r="D150" s="10"/>
      <c r="E150" s="438" t="s">
        <v>943</v>
      </c>
      <c r="F150" s="420"/>
      <c r="G150" s="387"/>
      <c r="H150" s="391" t="s">
        <v>942</v>
      </c>
      <c r="I150" s="383"/>
      <c r="J150" s="383"/>
      <c r="K150" s="384"/>
      <c r="L150" s="202"/>
      <c r="M150" s="7"/>
    </row>
    <row r="151" spans="2:13" ht="15" customHeight="1">
      <c r="B151" s="175" t="s">
        <v>921</v>
      </c>
      <c r="C151" s="11" t="s">
        <v>7</v>
      </c>
      <c r="D151" s="11" t="s">
        <v>7</v>
      </c>
      <c r="E151" s="382" t="s">
        <v>946</v>
      </c>
      <c r="F151" s="484"/>
      <c r="G151" s="384"/>
      <c r="H151" s="391"/>
      <c r="I151" s="484"/>
      <c r="J151" s="484"/>
      <c r="K151" s="384"/>
      <c r="L151" s="202"/>
      <c r="M151" s="7"/>
    </row>
    <row r="152" spans="2:13" ht="15" customHeight="1">
      <c r="B152" s="205"/>
      <c r="C152" s="9">
        <f>'様式２'!C362</f>
        <v>204300000</v>
      </c>
      <c r="D152" s="9">
        <f>'様式２'!D362</f>
        <v>202146400</v>
      </c>
      <c r="E152" s="215" t="s">
        <v>812</v>
      </c>
      <c r="F152" s="215"/>
      <c r="G152" s="215"/>
      <c r="H152" s="216" t="s">
        <v>812</v>
      </c>
      <c r="I152" s="215"/>
      <c r="J152" s="215"/>
      <c r="K152" s="215"/>
      <c r="L152" s="176">
        <v>18</v>
      </c>
      <c r="M152" s="7"/>
    </row>
    <row r="153" spans="2:13" ht="15" customHeight="1">
      <c r="B153" s="205"/>
      <c r="C153" s="11" t="s">
        <v>8</v>
      </c>
      <c r="D153" s="11" t="s">
        <v>8</v>
      </c>
      <c r="E153" s="382" t="s">
        <v>945</v>
      </c>
      <c r="F153" s="484"/>
      <c r="G153" s="384"/>
      <c r="H153" s="391" t="s">
        <v>944</v>
      </c>
      <c r="I153" s="484"/>
      <c r="J153" s="484"/>
      <c r="K153" s="384"/>
      <c r="L153" s="176"/>
      <c r="M153" s="7"/>
    </row>
    <row r="154" spans="2:13" ht="15" customHeight="1">
      <c r="B154" s="205"/>
      <c r="C154" s="9">
        <f>'様式２'!C364</f>
        <v>131477000</v>
      </c>
      <c r="D154" s="9">
        <f>'様式２'!D364</f>
        <v>94650308</v>
      </c>
      <c r="E154" s="400" t="s">
        <v>1341</v>
      </c>
      <c r="F154" s="401"/>
      <c r="G154" s="402"/>
      <c r="H154" s="391"/>
      <c r="I154" s="484"/>
      <c r="J154" s="484"/>
      <c r="K154" s="384"/>
      <c r="L154" s="202"/>
      <c r="M154" s="7"/>
    </row>
    <row r="155" spans="2:13" ht="15" customHeight="1">
      <c r="B155" s="205"/>
      <c r="C155" s="11" t="s">
        <v>9</v>
      </c>
      <c r="D155" s="11" t="s">
        <v>9</v>
      </c>
      <c r="E155" s="260"/>
      <c r="F155" s="264"/>
      <c r="G155" s="253"/>
      <c r="H155" s="251"/>
      <c r="I155" s="264"/>
      <c r="J155" s="264"/>
      <c r="K155" s="253"/>
      <c r="L155" s="202"/>
      <c r="M155" s="7"/>
    </row>
    <row r="156" spans="2:13" ht="15" customHeight="1">
      <c r="B156" s="205"/>
      <c r="C156" s="9">
        <f>'様式２'!C366</f>
        <v>426517000</v>
      </c>
      <c r="D156" s="9">
        <f>'様式２'!D366</f>
        <v>372079419</v>
      </c>
      <c r="E156" s="260"/>
      <c r="F156" s="264"/>
      <c r="G156" s="253"/>
      <c r="H156" s="251"/>
      <c r="I156" s="264"/>
      <c r="J156" s="264"/>
      <c r="K156" s="253"/>
      <c r="L156" s="202"/>
      <c r="M156" s="7"/>
    </row>
    <row r="157" spans="2:13" ht="15" customHeight="1" thickBot="1">
      <c r="B157" s="209"/>
      <c r="C157" s="12"/>
      <c r="D157" s="12"/>
      <c r="E157" s="210"/>
      <c r="F157" s="211"/>
      <c r="G157" s="212"/>
      <c r="H157" s="213"/>
      <c r="I157" s="211"/>
      <c r="J157" s="211"/>
      <c r="K157" s="212"/>
      <c r="L157" s="204"/>
      <c r="M157" s="7"/>
    </row>
    <row r="158" spans="2:13" ht="15" customHeight="1">
      <c r="B158" s="178"/>
      <c r="C158" s="179"/>
      <c r="D158" s="179"/>
      <c r="E158" s="180"/>
      <c r="F158" s="268"/>
      <c r="G158" s="269"/>
      <c r="H158" s="267"/>
      <c r="I158" s="268"/>
      <c r="J158" s="268"/>
      <c r="K158" s="269"/>
      <c r="L158" s="181"/>
      <c r="M158" s="7"/>
    </row>
    <row r="159" spans="2:13" ht="15" customHeight="1">
      <c r="B159" s="175" t="s">
        <v>288</v>
      </c>
      <c r="C159" s="9">
        <f>'様式２'!C394</f>
        <v>125993000</v>
      </c>
      <c r="D159" s="9">
        <f>'様式２'!D394</f>
        <v>111981285</v>
      </c>
      <c r="E159" s="424" t="s">
        <v>55</v>
      </c>
      <c r="F159" s="379"/>
      <c r="G159" s="380"/>
      <c r="H159" s="381" t="s">
        <v>56</v>
      </c>
      <c r="I159" s="379"/>
      <c r="J159" s="379"/>
      <c r="K159" s="380"/>
      <c r="L159" s="176"/>
      <c r="M159" s="7"/>
    </row>
    <row r="160" spans="2:13" ht="15" customHeight="1">
      <c r="B160" s="175" t="s">
        <v>58</v>
      </c>
      <c r="C160" s="10"/>
      <c r="D160" s="10"/>
      <c r="E160" s="424" t="s">
        <v>947</v>
      </c>
      <c r="F160" s="379"/>
      <c r="G160" s="380"/>
      <c r="H160" s="381" t="s">
        <v>948</v>
      </c>
      <c r="I160" s="379"/>
      <c r="J160" s="379"/>
      <c r="K160" s="380"/>
      <c r="L160" s="176"/>
      <c r="M160" s="7"/>
    </row>
    <row r="161" spans="2:13" ht="15" customHeight="1">
      <c r="B161" s="182"/>
      <c r="C161" s="11" t="s">
        <v>7</v>
      </c>
      <c r="D161" s="11" t="s">
        <v>7</v>
      </c>
      <c r="E161" s="424" t="s">
        <v>1316</v>
      </c>
      <c r="F161" s="379"/>
      <c r="G161" s="380"/>
      <c r="H161" s="381" t="s">
        <v>1317</v>
      </c>
      <c r="I161" s="379"/>
      <c r="J161" s="379"/>
      <c r="K161" s="380"/>
      <c r="L161" s="176"/>
      <c r="M161" s="7"/>
    </row>
    <row r="162" spans="2:13" ht="15" customHeight="1">
      <c r="B162" s="182"/>
      <c r="C162" s="9">
        <f>'様式２'!C397</f>
        <v>16287000</v>
      </c>
      <c r="D162" s="9">
        <f>'様式２'!D397</f>
        <v>643000</v>
      </c>
      <c r="E162" s="424" t="s">
        <v>653</v>
      </c>
      <c r="F162" s="379"/>
      <c r="G162" s="380"/>
      <c r="H162" s="381" t="s">
        <v>901</v>
      </c>
      <c r="I162" s="379"/>
      <c r="J162" s="379"/>
      <c r="K162" s="380"/>
      <c r="L162" s="176"/>
      <c r="M162" s="7"/>
    </row>
    <row r="163" spans="2:13" ht="15" customHeight="1">
      <c r="B163" s="182"/>
      <c r="C163" s="11" t="s">
        <v>10</v>
      </c>
      <c r="D163" s="11" t="s">
        <v>10</v>
      </c>
      <c r="E163" s="244"/>
      <c r="F163" s="250"/>
      <c r="G163" s="243"/>
      <c r="H163" s="246"/>
      <c r="I163" s="250"/>
      <c r="J163" s="250"/>
      <c r="K163" s="243"/>
      <c r="L163" s="176">
        <v>19</v>
      </c>
      <c r="M163" s="7"/>
    </row>
    <row r="164" spans="2:13" ht="15" customHeight="1">
      <c r="B164" s="182"/>
      <c r="C164" s="9">
        <f>'様式２'!C399</f>
        <v>14000000</v>
      </c>
      <c r="D164" s="9">
        <f>'様式２'!D399</f>
        <v>13000000</v>
      </c>
      <c r="E164" s="244"/>
      <c r="F164" s="250"/>
      <c r="G164" s="243"/>
      <c r="H164" s="246"/>
      <c r="I164" s="250"/>
      <c r="J164" s="250"/>
      <c r="K164" s="243"/>
      <c r="L164" s="176"/>
      <c r="M164" s="7"/>
    </row>
    <row r="165" spans="2:13" ht="15" customHeight="1">
      <c r="B165" s="182"/>
      <c r="C165" s="11" t="s">
        <v>8</v>
      </c>
      <c r="D165" s="11" t="s">
        <v>8</v>
      </c>
      <c r="E165" s="244"/>
      <c r="F165" s="250"/>
      <c r="G165" s="243"/>
      <c r="H165" s="246"/>
      <c r="I165" s="250"/>
      <c r="J165" s="250"/>
      <c r="K165" s="243"/>
      <c r="L165" s="176"/>
      <c r="M165" s="7"/>
    </row>
    <row r="166" spans="2:13" ht="15" customHeight="1">
      <c r="B166" s="182"/>
      <c r="C166" s="9">
        <f>'様式２'!C401</f>
        <v>74381000</v>
      </c>
      <c r="D166" s="9">
        <f>'様式２'!D401</f>
        <v>65321645</v>
      </c>
      <c r="E166" s="244"/>
      <c r="F166" s="250"/>
      <c r="G166" s="243"/>
      <c r="H166" s="246"/>
      <c r="I166" s="250"/>
      <c r="J166" s="250"/>
      <c r="K166" s="243"/>
      <c r="L166" s="176"/>
      <c r="M166" s="7"/>
    </row>
    <row r="167" spans="2:13" ht="15" customHeight="1">
      <c r="B167" s="182"/>
      <c r="C167" s="11" t="s">
        <v>9</v>
      </c>
      <c r="D167" s="11" t="s">
        <v>9</v>
      </c>
      <c r="E167" s="244"/>
      <c r="F167" s="250"/>
      <c r="G167" s="243"/>
      <c r="H167" s="246"/>
      <c r="I167" s="250"/>
      <c r="J167" s="250"/>
      <c r="K167" s="243"/>
      <c r="L167" s="176"/>
      <c r="M167" s="7"/>
    </row>
    <row r="168" spans="2:13" ht="15" customHeight="1">
      <c r="B168" s="182"/>
      <c r="C168" s="9">
        <f>'様式２'!C403</f>
        <v>21325000</v>
      </c>
      <c r="D168" s="9">
        <f>'様式２'!D403</f>
        <v>33016640</v>
      </c>
      <c r="E168" s="244"/>
      <c r="F168" s="250"/>
      <c r="G168" s="243"/>
      <c r="H168" s="246"/>
      <c r="I168" s="250"/>
      <c r="J168" s="250"/>
      <c r="K168" s="243"/>
      <c r="L168" s="176"/>
      <c r="M168" s="7"/>
    </row>
    <row r="169" spans="2:13" ht="15" customHeight="1" thickBot="1">
      <c r="B169" s="184"/>
      <c r="C169" s="12"/>
      <c r="D169" s="12"/>
      <c r="E169" s="185"/>
      <c r="F169" s="186"/>
      <c r="G169" s="187"/>
      <c r="H169" s="188"/>
      <c r="I169" s="186"/>
      <c r="J169" s="186"/>
      <c r="K169" s="187"/>
      <c r="L169" s="189"/>
      <c r="M169" s="7"/>
    </row>
    <row r="170" spans="2:13" ht="15" customHeight="1">
      <c r="B170" s="178"/>
      <c r="C170" s="179"/>
      <c r="D170" s="179"/>
      <c r="E170" s="180"/>
      <c r="F170" s="268"/>
      <c r="G170" s="269"/>
      <c r="H170" s="267"/>
      <c r="I170" s="268"/>
      <c r="J170" s="268"/>
      <c r="K170" s="269"/>
      <c r="L170" s="181"/>
      <c r="M170" s="7"/>
    </row>
    <row r="171" spans="2:13" ht="15" customHeight="1">
      <c r="B171" s="175" t="s">
        <v>57</v>
      </c>
      <c r="C171" s="9">
        <f>'様式２'!C414</f>
        <v>30710000</v>
      </c>
      <c r="D171" s="9">
        <f>'様式２'!D414</f>
        <v>28708099</v>
      </c>
      <c r="E171" s="446" t="s">
        <v>987</v>
      </c>
      <c r="F171" s="478"/>
      <c r="G171" s="456"/>
      <c r="H171" s="479" t="s">
        <v>988</v>
      </c>
      <c r="I171" s="478"/>
      <c r="J171" s="478"/>
      <c r="K171" s="456"/>
      <c r="L171" s="176"/>
      <c r="M171" s="7"/>
    </row>
    <row r="172" spans="2:13" ht="15" customHeight="1">
      <c r="B172" s="175" t="s">
        <v>58</v>
      </c>
      <c r="C172" s="10"/>
      <c r="D172" s="10"/>
      <c r="E172" s="446" t="s">
        <v>989</v>
      </c>
      <c r="F172" s="478"/>
      <c r="G172" s="456"/>
      <c r="H172" s="479" t="s">
        <v>990</v>
      </c>
      <c r="I172" s="478"/>
      <c r="J172" s="478"/>
      <c r="K172" s="456"/>
      <c r="L172" s="176"/>
      <c r="M172" s="7"/>
    </row>
    <row r="173" spans="2:13" ht="15" customHeight="1">
      <c r="B173" s="182"/>
      <c r="C173" s="11" t="s">
        <v>7</v>
      </c>
      <c r="D173" s="11" t="s">
        <v>7</v>
      </c>
      <c r="E173" s="446" t="s">
        <v>1318</v>
      </c>
      <c r="F173" s="478"/>
      <c r="G173" s="456"/>
      <c r="H173" s="479" t="s">
        <v>991</v>
      </c>
      <c r="I173" s="478"/>
      <c r="J173" s="478"/>
      <c r="K173" s="456"/>
      <c r="L173" s="176"/>
      <c r="M173" s="7"/>
    </row>
    <row r="174" spans="2:13" ht="15" customHeight="1">
      <c r="B174" s="182"/>
      <c r="C174" s="9">
        <f>'様式２'!C417</f>
        <v>2763000</v>
      </c>
      <c r="D174" s="9">
        <f>'様式２'!D417</f>
        <v>2680000</v>
      </c>
      <c r="E174" s="446" t="s">
        <v>1319</v>
      </c>
      <c r="F174" s="478"/>
      <c r="G174" s="456"/>
      <c r="H174" s="479"/>
      <c r="I174" s="478"/>
      <c r="J174" s="478"/>
      <c r="K174" s="456"/>
      <c r="L174" s="176">
        <v>19</v>
      </c>
      <c r="M174" s="7"/>
    </row>
    <row r="175" spans="2:13" ht="15" customHeight="1">
      <c r="B175" s="182"/>
      <c r="C175" s="11" t="s">
        <v>8</v>
      </c>
      <c r="D175" s="11" t="s">
        <v>8</v>
      </c>
      <c r="E175" s="480" t="s">
        <v>992</v>
      </c>
      <c r="F175" s="481"/>
      <c r="G175" s="482"/>
      <c r="H175" s="483" t="s">
        <v>992</v>
      </c>
      <c r="I175" s="481"/>
      <c r="J175" s="481"/>
      <c r="K175" s="482"/>
      <c r="L175" s="176"/>
      <c r="M175" s="7"/>
    </row>
    <row r="176" spans="2:13" ht="15" customHeight="1">
      <c r="B176" s="182"/>
      <c r="C176" s="9">
        <f>'様式２'!C419</f>
        <v>2782000</v>
      </c>
      <c r="D176" s="9">
        <f>'様式２'!D419</f>
        <v>3625800</v>
      </c>
      <c r="E176" s="295"/>
      <c r="F176" s="296"/>
      <c r="G176" s="297"/>
      <c r="H176" s="298"/>
      <c r="I176" s="296"/>
      <c r="J176" s="296"/>
      <c r="K176" s="297"/>
      <c r="L176" s="176"/>
      <c r="M176" s="7"/>
    </row>
    <row r="177" spans="2:13" ht="15" customHeight="1">
      <c r="B177" s="182"/>
      <c r="C177" s="11" t="s">
        <v>9</v>
      </c>
      <c r="D177" s="11" t="s">
        <v>9</v>
      </c>
      <c r="E177" s="295"/>
      <c r="F177" s="296"/>
      <c r="G177" s="297"/>
      <c r="H177" s="298"/>
      <c r="I177" s="296"/>
      <c r="J177" s="296"/>
      <c r="K177" s="297"/>
      <c r="L177" s="176"/>
      <c r="M177" s="7"/>
    </row>
    <row r="178" spans="2:13" ht="15" customHeight="1">
      <c r="B178" s="182"/>
      <c r="C178" s="9">
        <f>'様式２'!C421</f>
        <v>25165000</v>
      </c>
      <c r="D178" s="9">
        <f>'様式２'!D421</f>
        <v>22402299</v>
      </c>
      <c r="E178" s="295"/>
      <c r="F178" s="296"/>
      <c r="G178" s="297"/>
      <c r="H178" s="298"/>
      <c r="I178" s="296"/>
      <c r="J178" s="296"/>
      <c r="K178" s="297"/>
      <c r="L178" s="176"/>
      <c r="M178" s="7"/>
    </row>
    <row r="179" spans="2:13" ht="15" customHeight="1" thickBot="1">
      <c r="B179" s="184"/>
      <c r="C179" s="12"/>
      <c r="D179" s="12"/>
      <c r="E179" s="185"/>
      <c r="F179" s="186"/>
      <c r="G179" s="187"/>
      <c r="H179" s="188"/>
      <c r="I179" s="186"/>
      <c r="J179" s="186"/>
      <c r="K179" s="187"/>
      <c r="L179" s="189"/>
      <c r="M179" s="7"/>
    </row>
    <row r="180" spans="2:13" ht="15" customHeight="1">
      <c r="B180" s="182"/>
      <c r="C180" s="355"/>
      <c r="D180" s="355"/>
      <c r="E180" s="339"/>
      <c r="F180" s="342"/>
      <c r="G180" s="340"/>
      <c r="H180" s="341"/>
      <c r="I180" s="342"/>
      <c r="J180" s="342"/>
      <c r="K180" s="340"/>
      <c r="L180" s="176"/>
      <c r="M180" s="7"/>
    </row>
    <row r="181" spans="2:13" ht="15" customHeight="1">
      <c r="B181" s="175" t="s">
        <v>59</v>
      </c>
      <c r="C181" s="9">
        <f>'様式２'!C430</f>
        <v>295235350</v>
      </c>
      <c r="D181" s="9">
        <f>'様式２'!D430</f>
        <v>180514795</v>
      </c>
      <c r="E181" s="446" t="s">
        <v>993</v>
      </c>
      <c r="F181" s="478"/>
      <c r="G181" s="456"/>
      <c r="H181" s="479" t="s">
        <v>994</v>
      </c>
      <c r="I181" s="478"/>
      <c r="J181" s="478"/>
      <c r="K181" s="456"/>
      <c r="L181" s="176"/>
      <c r="M181" s="7"/>
    </row>
    <row r="182" spans="2:13" ht="15" customHeight="1">
      <c r="B182" s="175"/>
      <c r="C182" s="10"/>
      <c r="D182" s="10"/>
      <c r="E182" s="446" t="s">
        <v>1290</v>
      </c>
      <c r="F182" s="478"/>
      <c r="G182" s="456"/>
      <c r="H182" s="479" t="s">
        <v>1292</v>
      </c>
      <c r="I182" s="478"/>
      <c r="J182" s="478"/>
      <c r="K182" s="456"/>
      <c r="L182" s="176"/>
      <c r="M182" s="7"/>
    </row>
    <row r="183" spans="2:13" ht="15" customHeight="1">
      <c r="B183" s="182"/>
      <c r="C183" s="11" t="s">
        <v>7</v>
      </c>
      <c r="D183" s="11" t="s">
        <v>7</v>
      </c>
      <c r="E183" s="446" t="s">
        <v>1320</v>
      </c>
      <c r="F183" s="478"/>
      <c r="G183" s="456"/>
      <c r="H183" s="479" t="s">
        <v>995</v>
      </c>
      <c r="I183" s="478"/>
      <c r="J183" s="478"/>
      <c r="K183" s="456"/>
      <c r="L183" s="176"/>
      <c r="M183" s="7"/>
    </row>
    <row r="184" spans="2:13" ht="15" customHeight="1">
      <c r="B184" s="182"/>
      <c r="C184" s="9">
        <f>'様式２'!C433</f>
        <v>77000000</v>
      </c>
      <c r="D184" s="9">
        <f>'様式２'!D433</f>
        <v>52410550</v>
      </c>
      <c r="E184" s="257"/>
      <c r="F184" s="265"/>
      <c r="G184" s="259"/>
      <c r="H184" s="266" t="s">
        <v>1293</v>
      </c>
      <c r="I184" s="265"/>
      <c r="J184" s="265"/>
      <c r="K184" s="259"/>
      <c r="L184" s="176"/>
      <c r="M184" s="7"/>
    </row>
    <row r="185" spans="2:13" ht="15" customHeight="1">
      <c r="B185" s="182"/>
      <c r="C185" s="11" t="s">
        <v>10</v>
      </c>
      <c r="D185" s="11" t="s">
        <v>10</v>
      </c>
      <c r="E185" s="257"/>
      <c r="F185" s="265"/>
      <c r="G185" s="259"/>
      <c r="H185" s="266"/>
      <c r="I185" s="265"/>
      <c r="J185" s="265"/>
      <c r="K185" s="259"/>
      <c r="L185" s="176">
        <v>20</v>
      </c>
      <c r="M185" s="7"/>
    </row>
    <row r="186" spans="2:13" ht="15" customHeight="1">
      <c r="B186" s="182"/>
      <c r="C186" s="9">
        <f>'様式２'!C435</f>
        <v>78200000</v>
      </c>
      <c r="D186" s="9">
        <f>'様式２'!D435</f>
        <v>77000000</v>
      </c>
      <c r="E186" s="257" t="s">
        <v>996</v>
      </c>
      <c r="F186" s="258"/>
      <c r="G186" s="259"/>
      <c r="H186" s="266" t="s">
        <v>997</v>
      </c>
      <c r="I186" s="258"/>
      <c r="J186" s="258"/>
      <c r="K186" s="259"/>
      <c r="L186" s="176"/>
      <c r="M186" s="7"/>
    </row>
    <row r="187" spans="2:13" ht="15" customHeight="1">
      <c r="B187" s="182"/>
      <c r="C187" s="11" t="s">
        <v>8</v>
      </c>
      <c r="D187" s="11" t="s">
        <v>8</v>
      </c>
      <c r="E187" s="257" t="s">
        <v>998</v>
      </c>
      <c r="F187" s="258"/>
      <c r="G187" s="259"/>
      <c r="H187" s="266" t="s">
        <v>1321</v>
      </c>
      <c r="I187" s="258"/>
      <c r="J187" s="258"/>
      <c r="K187" s="259"/>
      <c r="L187" s="176"/>
      <c r="M187" s="7"/>
    </row>
    <row r="188" spans="2:13" ht="15" customHeight="1">
      <c r="B188" s="182"/>
      <c r="C188" s="9">
        <f>'様式２'!C437</f>
        <v>94238350</v>
      </c>
      <c r="D188" s="9">
        <f>'様式２'!D437</f>
        <v>90886745</v>
      </c>
      <c r="E188" s="257" t="s">
        <v>986</v>
      </c>
      <c r="F188" s="258"/>
      <c r="G188" s="259"/>
      <c r="H188" s="266" t="s">
        <v>999</v>
      </c>
      <c r="I188" s="258"/>
      <c r="J188" s="258"/>
      <c r="K188" s="259"/>
      <c r="L188" s="176"/>
      <c r="M188" s="7"/>
    </row>
    <row r="189" spans="2:13" ht="15" customHeight="1">
      <c r="B189" s="182"/>
      <c r="C189" s="11" t="s">
        <v>9</v>
      </c>
      <c r="D189" s="11" t="s">
        <v>9</v>
      </c>
      <c r="E189" s="257" t="s">
        <v>1322</v>
      </c>
      <c r="F189" s="258"/>
      <c r="G189" s="259"/>
      <c r="H189" s="266"/>
      <c r="I189" s="258"/>
      <c r="J189" s="258"/>
      <c r="K189" s="259"/>
      <c r="L189" s="176"/>
      <c r="M189" s="7"/>
    </row>
    <row r="190" spans="2:13" ht="15" customHeight="1">
      <c r="B190" s="182"/>
      <c r="C190" s="9">
        <f>'様式２'!C439</f>
        <v>45797000</v>
      </c>
      <c r="D190" s="290">
        <f>'様式２'!D439</f>
        <v>-39782500</v>
      </c>
      <c r="E190" s="257"/>
      <c r="F190" s="258"/>
      <c r="G190" s="259"/>
      <c r="H190" s="266"/>
      <c r="I190" s="258"/>
      <c r="J190" s="258"/>
      <c r="K190" s="259"/>
      <c r="L190" s="176"/>
      <c r="M190" s="7"/>
    </row>
    <row r="191" spans="2:13" ht="15" customHeight="1" thickBot="1">
      <c r="B191" s="184"/>
      <c r="C191" s="12"/>
      <c r="D191" s="12"/>
      <c r="E191" s="185"/>
      <c r="F191" s="186"/>
      <c r="G191" s="187"/>
      <c r="H191" s="188"/>
      <c r="I191" s="186"/>
      <c r="J191" s="186"/>
      <c r="K191" s="187"/>
      <c r="L191" s="189"/>
      <c r="M191" s="7"/>
    </row>
    <row r="192" spans="2:13" ht="15" customHeight="1">
      <c r="B192" s="182"/>
      <c r="C192" s="355"/>
      <c r="D192" s="355"/>
      <c r="E192" s="370"/>
      <c r="F192" s="369"/>
      <c r="G192" s="367"/>
      <c r="H192" s="371"/>
      <c r="I192" s="369"/>
      <c r="J192" s="369"/>
      <c r="K192" s="367"/>
      <c r="L192" s="176"/>
      <c r="M192" s="7"/>
    </row>
    <row r="193" spans="2:13" ht="15" customHeight="1">
      <c r="B193" s="175" t="s">
        <v>60</v>
      </c>
      <c r="C193" s="9">
        <f>'様式２'!C453</f>
        <v>1013717000</v>
      </c>
      <c r="D193" s="9">
        <f>'様式２'!D453</f>
        <v>883094768</v>
      </c>
      <c r="E193" s="382" t="s">
        <v>813</v>
      </c>
      <c r="F193" s="383"/>
      <c r="G193" s="384"/>
      <c r="H193" s="391" t="s">
        <v>814</v>
      </c>
      <c r="I193" s="383"/>
      <c r="J193" s="383"/>
      <c r="K193" s="384"/>
      <c r="L193" s="176"/>
      <c r="M193" s="7"/>
    </row>
    <row r="194" spans="2:13" ht="15" customHeight="1">
      <c r="B194" s="175" t="s">
        <v>58</v>
      </c>
      <c r="C194" s="10"/>
      <c r="D194" s="10"/>
      <c r="E194" s="471" t="s">
        <v>1340</v>
      </c>
      <c r="F194" s="474"/>
      <c r="G194" s="473"/>
      <c r="H194" s="385" t="s">
        <v>922</v>
      </c>
      <c r="I194" s="386"/>
      <c r="J194" s="386"/>
      <c r="K194" s="387"/>
      <c r="L194" s="176"/>
      <c r="M194" s="7"/>
    </row>
    <row r="195" spans="2:13" ht="15" customHeight="1">
      <c r="B195" s="205"/>
      <c r="C195" s="11" t="s">
        <v>7</v>
      </c>
      <c r="D195" s="11" t="s">
        <v>7</v>
      </c>
      <c r="E195" s="471" t="s">
        <v>949</v>
      </c>
      <c r="F195" s="474"/>
      <c r="G195" s="473"/>
      <c r="H195" s="385" t="s">
        <v>1294</v>
      </c>
      <c r="I195" s="386"/>
      <c r="J195" s="386"/>
      <c r="K195" s="387"/>
      <c r="L195" s="176"/>
      <c r="M195" s="7"/>
    </row>
    <row r="196" spans="2:13" ht="15" customHeight="1">
      <c r="B196" s="205"/>
      <c r="C196" s="9">
        <f>'様式２'!C456</f>
        <v>697511000</v>
      </c>
      <c r="D196" s="9">
        <f>'様式２'!D456</f>
        <v>588199940</v>
      </c>
      <c r="E196" s="471" t="s">
        <v>1273</v>
      </c>
      <c r="F196" s="474"/>
      <c r="G196" s="473"/>
      <c r="H196" s="391"/>
      <c r="I196" s="383"/>
      <c r="J196" s="383"/>
      <c r="K196" s="384"/>
      <c r="L196" s="176"/>
      <c r="M196" s="7"/>
    </row>
    <row r="197" spans="2:13" ht="15" customHeight="1">
      <c r="B197" s="205"/>
      <c r="C197" s="11" t="s">
        <v>8</v>
      </c>
      <c r="D197" s="11" t="s">
        <v>8</v>
      </c>
      <c r="E197" s="299" t="s">
        <v>1339</v>
      </c>
      <c r="F197" s="262"/>
      <c r="G197" s="263"/>
      <c r="H197" s="247"/>
      <c r="I197" s="261"/>
      <c r="J197" s="261"/>
      <c r="K197" s="249"/>
      <c r="L197" s="176"/>
      <c r="M197" s="7"/>
    </row>
    <row r="198" spans="2:13" ht="15" customHeight="1">
      <c r="B198" s="205"/>
      <c r="C198" s="9">
        <f>'様式２'!C458</f>
        <v>325939000</v>
      </c>
      <c r="D198" s="9">
        <f>'様式２'!D458</f>
        <v>306777785</v>
      </c>
      <c r="E198" s="471" t="s">
        <v>923</v>
      </c>
      <c r="F198" s="474"/>
      <c r="G198" s="473"/>
      <c r="H198" s="385"/>
      <c r="I198" s="386"/>
      <c r="J198" s="386"/>
      <c r="K198" s="387"/>
      <c r="L198" s="176">
        <v>20</v>
      </c>
      <c r="M198" s="7"/>
    </row>
    <row r="199" spans="2:13" ht="15" customHeight="1">
      <c r="B199" s="205"/>
      <c r="C199" s="11" t="s">
        <v>9</v>
      </c>
      <c r="D199" s="11" t="s">
        <v>9</v>
      </c>
      <c r="E199" s="446"/>
      <c r="F199" s="447"/>
      <c r="G199" s="456"/>
      <c r="H199" s="247"/>
      <c r="I199" s="261"/>
      <c r="J199" s="261"/>
      <c r="K199" s="249"/>
      <c r="L199" s="176"/>
      <c r="M199" s="7"/>
    </row>
    <row r="200" spans="2:13" ht="15" customHeight="1">
      <c r="B200" s="205"/>
      <c r="C200" s="290">
        <f>'様式２'!C460</f>
        <v>-9733000</v>
      </c>
      <c r="D200" s="290">
        <f>'様式２'!D460</f>
        <v>-11882957</v>
      </c>
      <c r="E200" s="475" t="s">
        <v>1338</v>
      </c>
      <c r="F200" s="476"/>
      <c r="G200" s="477"/>
      <c r="H200" s="385" t="s">
        <v>815</v>
      </c>
      <c r="I200" s="386"/>
      <c r="J200" s="386"/>
      <c r="K200" s="387"/>
      <c r="L200" s="176"/>
      <c r="M200" s="7"/>
    </row>
    <row r="201" spans="2:13" ht="15" customHeight="1">
      <c r="B201" s="205"/>
      <c r="C201" s="11"/>
      <c r="D201" s="11"/>
      <c r="E201" s="468" t="s">
        <v>953</v>
      </c>
      <c r="F201" s="469"/>
      <c r="G201" s="470"/>
      <c r="H201" s="385" t="s">
        <v>950</v>
      </c>
      <c r="I201" s="386"/>
      <c r="J201" s="386"/>
      <c r="K201" s="387"/>
      <c r="L201" s="176"/>
      <c r="M201" s="7"/>
    </row>
    <row r="202" spans="2:13" ht="15" customHeight="1">
      <c r="B202" s="205"/>
      <c r="C202" s="9"/>
      <c r="D202" s="9"/>
      <c r="E202" s="468" t="s">
        <v>1272</v>
      </c>
      <c r="F202" s="469"/>
      <c r="G202" s="470"/>
      <c r="H202" s="391" t="s">
        <v>951</v>
      </c>
      <c r="I202" s="420"/>
      <c r="J202" s="420"/>
      <c r="K202" s="387"/>
      <c r="L202" s="176"/>
      <c r="M202" s="7"/>
    </row>
    <row r="203" spans="2:13" ht="15" customHeight="1">
      <c r="B203" s="205"/>
      <c r="C203" s="11"/>
      <c r="D203" s="11"/>
      <c r="E203" s="468" t="s">
        <v>1274</v>
      </c>
      <c r="F203" s="469"/>
      <c r="G203" s="470"/>
      <c r="H203" s="391" t="s">
        <v>952</v>
      </c>
      <c r="I203" s="420"/>
      <c r="J203" s="420"/>
      <c r="K203" s="387"/>
      <c r="L203" s="176"/>
      <c r="M203" s="7"/>
    </row>
    <row r="204" spans="2:13" ht="15" customHeight="1">
      <c r="B204" s="205"/>
      <c r="C204" s="11"/>
      <c r="D204" s="11"/>
      <c r="E204" s="468" t="s">
        <v>1291</v>
      </c>
      <c r="F204" s="469"/>
      <c r="G204" s="470"/>
      <c r="H204" s="391" t="s">
        <v>898</v>
      </c>
      <c r="I204" s="420"/>
      <c r="J204" s="420"/>
      <c r="K204" s="387"/>
      <c r="L204" s="176"/>
      <c r="M204" s="7"/>
    </row>
    <row r="205" spans="2:13" ht="15" customHeight="1">
      <c r="B205" s="205"/>
      <c r="C205" s="11"/>
      <c r="D205" s="11"/>
      <c r="E205" s="471" t="s">
        <v>1275</v>
      </c>
      <c r="F205" s="472"/>
      <c r="G205" s="473"/>
      <c r="H205" s="391"/>
      <c r="I205" s="383"/>
      <c r="J205" s="383"/>
      <c r="K205" s="384"/>
      <c r="L205" s="176"/>
      <c r="M205" s="7"/>
    </row>
    <row r="206" spans="2:13" ht="15" customHeight="1" thickBot="1">
      <c r="B206" s="209"/>
      <c r="C206" s="12"/>
      <c r="D206" s="12"/>
      <c r="E206" s="220"/>
      <c r="F206" s="221"/>
      <c r="G206" s="222"/>
      <c r="H206" s="223"/>
      <c r="I206" s="221"/>
      <c r="J206" s="221"/>
      <c r="K206" s="222"/>
      <c r="L206" s="189"/>
      <c r="M206" s="7"/>
    </row>
    <row r="207" spans="2:13" ht="15" customHeight="1">
      <c r="B207" s="217"/>
      <c r="C207" s="179"/>
      <c r="D207" s="179"/>
      <c r="E207" s="206"/>
      <c r="F207" s="218"/>
      <c r="G207" s="219"/>
      <c r="H207" s="214"/>
      <c r="I207" s="218"/>
      <c r="J207" s="218"/>
      <c r="K207" s="219"/>
      <c r="L207" s="181"/>
      <c r="M207" s="7"/>
    </row>
    <row r="208" spans="2:13" ht="15" customHeight="1">
      <c r="B208" s="175" t="s">
        <v>61</v>
      </c>
      <c r="C208" s="9">
        <f>'様式２'!C486</f>
        <v>180549000</v>
      </c>
      <c r="D208" s="9">
        <f>'様式２'!D486</f>
        <v>157742799</v>
      </c>
      <c r="E208" s="382" t="s">
        <v>762</v>
      </c>
      <c r="F208" s="383"/>
      <c r="G208" s="384"/>
      <c r="H208" s="391" t="s">
        <v>762</v>
      </c>
      <c r="I208" s="383"/>
      <c r="J208" s="383"/>
      <c r="K208" s="384"/>
      <c r="L208" s="176"/>
      <c r="M208" s="7"/>
    </row>
    <row r="209" spans="2:13" ht="15" customHeight="1">
      <c r="B209" s="175" t="s">
        <v>58</v>
      </c>
      <c r="C209" s="10"/>
      <c r="D209" s="10"/>
      <c r="E209" s="438" t="s">
        <v>1009</v>
      </c>
      <c r="F209" s="386"/>
      <c r="G209" s="387"/>
      <c r="H209" s="385" t="s">
        <v>954</v>
      </c>
      <c r="I209" s="386"/>
      <c r="J209" s="386"/>
      <c r="K209" s="387"/>
      <c r="L209" s="176"/>
      <c r="M209" s="7"/>
    </row>
    <row r="210" spans="2:13" ht="15" customHeight="1">
      <c r="B210" s="205"/>
      <c r="C210" s="11" t="s">
        <v>8</v>
      </c>
      <c r="D210" s="11" t="s">
        <v>8</v>
      </c>
      <c r="E210" s="382" t="s">
        <v>1013</v>
      </c>
      <c r="F210" s="383"/>
      <c r="G210" s="384"/>
      <c r="H210" s="385" t="s">
        <v>1295</v>
      </c>
      <c r="I210" s="386"/>
      <c r="J210" s="386"/>
      <c r="K210" s="387"/>
      <c r="L210" s="176"/>
      <c r="M210" s="7"/>
    </row>
    <row r="211" spans="2:13" ht="15" customHeight="1">
      <c r="B211" s="205"/>
      <c r="C211" s="9">
        <f>'様式２'!C489</f>
        <v>41162000</v>
      </c>
      <c r="D211" s="9">
        <f>'様式２'!D489</f>
        <v>38020336</v>
      </c>
      <c r="E211" s="382" t="s">
        <v>1010</v>
      </c>
      <c r="F211" s="454"/>
      <c r="G211" s="455"/>
      <c r="H211" s="247"/>
      <c r="I211" s="248"/>
      <c r="J211" s="248"/>
      <c r="K211" s="249"/>
      <c r="L211" s="176"/>
      <c r="M211" s="7"/>
    </row>
    <row r="212" spans="2:13" ht="15" customHeight="1">
      <c r="B212" s="205"/>
      <c r="C212" s="11" t="s">
        <v>9</v>
      </c>
      <c r="D212" s="11" t="s">
        <v>9</v>
      </c>
      <c r="E212" s="408" t="s">
        <v>1011</v>
      </c>
      <c r="F212" s="409"/>
      <c r="G212" s="410"/>
      <c r="H212" s="247"/>
      <c r="I212" s="183"/>
      <c r="J212" s="183"/>
      <c r="K212" s="183"/>
      <c r="L212" s="176"/>
      <c r="M212" s="7"/>
    </row>
    <row r="213" spans="2:13" ht="15" customHeight="1">
      <c r="B213" s="205"/>
      <c r="C213" s="9">
        <f>'様式２'!C491</f>
        <v>139387000</v>
      </c>
      <c r="D213" s="9">
        <f>'様式２'!D491</f>
        <v>119722463</v>
      </c>
      <c r="E213" s="408"/>
      <c r="F213" s="409"/>
      <c r="G213" s="410"/>
      <c r="H213" s="183"/>
      <c r="I213" s="183"/>
      <c r="J213" s="183"/>
      <c r="K213" s="183"/>
      <c r="L213" s="176"/>
      <c r="M213" s="7"/>
    </row>
    <row r="214" spans="2:13" ht="15" customHeight="1">
      <c r="B214" s="205"/>
      <c r="C214" s="11"/>
      <c r="D214" s="11"/>
      <c r="E214" s="300" t="s">
        <v>1014</v>
      </c>
      <c r="F214" s="261"/>
      <c r="G214" s="249"/>
      <c r="H214" s="247" t="s">
        <v>763</v>
      </c>
      <c r="I214" s="183"/>
      <c r="J214" s="183"/>
      <c r="K214" s="183"/>
      <c r="L214" s="176">
        <v>21</v>
      </c>
      <c r="M214" s="7"/>
    </row>
    <row r="215" spans="2:13" ht="15" customHeight="1">
      <c r="B215" s="205"/>
      <c r="C215" s="9"/>
      <c r="D215" s="9"/>
      <c r="E215" s="382" t="s">
        <v>1222</v>
      </c>
      <c r="F215" s="383"/>
      <c r="G215" s="384"/>
      <c r="H215" s="183" t="s">
        <v>1008</v>
      </c>
      <c r="I215" s="183"/>
      <c r="J215" s="183"/>
      <c r="K215" s="183"/>
      <c r="L215" s="176"/>
      <c r="M215" s="7"/>
    </row>
    <row r="216" spans="2:13" ht="15" customHeight="1">
      <c r="B216" s="205"/>
      <c r="C216" s="11"/>
      <c r="D216" s="11"/>
      <c r="E216" s="438" t="s">
        <v>1223</v>
      </c>
      <c r="F216" s="386"/>
      <c r="G216" s="387"/>
      <c r="H216" s="301"/>
      <c r="I216" s="261"/>
      <c r="J216" s="261"/>
      <c r="K216" s="248"/>
      <c r="L216" s="176"/>
      <c r="M216" s="7"/>
    </row>
    <row r="217" spans="2:13" ht="15" customHeight="1">
      <c r="B217" s="205"/>
      <c r="C217" s="9"/>
      <c r="D217" s="9"/>
      <c r="E217" s="408"/>
      <c r="F217" s="409"/>
      <c r="G217" s="410"/>
      <c r="H217" s="247"/>
      <c r="I217" s="248"/>
      <c r="J217" s="248"/>
      <c r="K217" s="249"/>
      <c r="L217" s="176"/>
      <c r="M217" s="7"/>
    </row>
    <row r="218" spans="2:13" ht="15" customHeight="1">
      <c r="B218" s="205"/>
      <c r="C218" s="11"/>
      <c r="D218" s="11"/>
      <c r="E218" s="446" t="s">
        <v>1016</v>
      </c>
      <c r="F218" s="447"/>
      <c r="G218" s="456"/>
      <c r="H218" s="247" t="s">
        <v>1220</v>
      </c>
      <c r="I218" s="248"/>
      <c r="J218" s="248"/>
      <c r="K218" s="302"/>
      <c r="L218" s="176"/>
      <c r="M218" s="7"/>
    </row>
    <row r="219" spans="2:13" ht="15" customHeight="1">
      <c r="B219" s="205"/>
      <c r="C219" s="11"/>
      <c r="D219" s="11"/>
      <c r="E219" s="446" t="s">
        <v>1017</v>
      </c>
      <c r="F219" s="447"/>
      <c r="G219" s="456"/>
      <c r="H219" s="403" t="s">
        <v>1296</v>
      </c>
      <c r="I219" s="379"/>
      <c r="J219" s="379"/>
      <c r="K219" s="380"/>
      <c r="L219" s="176"/>
      <c r="M219" s="7"/>
    </row>
    <row r="220" spans="2:13" ht="15" customHeight="1">
      <c r="B220" s="205"/>
      <c r="C220" s="11"/>
      <c r="D220" s="11"/>
      <c r="E220" s="424" t="s">
        <v>1019</v>
      </c>
      <c r="F220" s="379"/>
      <c r="G220" s="380"/>
      <c r="H220" s="251"/>
      <c r="I220" s="183"/>
      <c r="J220" s="183"/>
      <c r="K220" s="183"/>
      <c r="L220" s="176"/>
      <c r="M220" s="7"/>
    </row>
    <row r="221" spans="2:13" ht="15" customHeight="1">
      <c r="B221" s="205"/>
      <c r="C221" s="11"/>
      <c r="D221" s="11"/>
      <c r="E221" s="408" t="s">
        <v>1018</v>
      </c>
      <c r="F221" s="409"/>
      <c r="G221" s="410"/>
      <c r="H221" s="251"/>
      <c r="I221" s="183"/>
      <c r="J221" s="183"/>
      <c r="K221" s="183"/>
      <c r="L221" s="176"/>
      <c r="M221" s="7"/>
    </row>
    <row r="222" spans="2:13" ht="15" customHeight="1">
      <c r="B222" s="205"/>
      <c r="C222" s="11"/>
      <c r="D222" s="11"/>
      <c r="E222" s="408" t="s">
        <v>1015</v>
      </c>
      <c r="F222" s="404"/>
      <c r="G222" s="405"/>
      <c r="H222" s="251"/>
      <c r="I222" s="183"/>
      <c r="J222" s="183"/>
      <c r="K222" s="183"/>
      <c r="L222" s="176"/>
      <c r="M222" s="7"/>
    </row>
    <row r="223" spans="2:13" ht="15" customHeight="1" thickBot="1">
      <c r="B223" s="209"/>
      <c r="C223" s="12"/>
      <c r="D223" s="12"/>
      <c r="E223" s="220"/>
      <c r="F223" s="221"/>
      <c r="G223" s="222"/>
      <c r="H223" s="223"/>
      <c r="I223" s="221"/>
      <c r="J223" s="221"/>
      <c r="K223" s="222"/>
      <c r="L223" s="189"/>
      <c r="M223" s="7"/>
    </row>
    <row r="224" spans="2:13" ht="15" customHeight="1">
      <c r="B224" s="205"/>
      <c r="C224" s="355"/>
      <c r="D224" s="355"/>
      <c r="E224" s="344"/>
      <c r="F224" s="349"/>
      <c r="G224" s="347"/>
      <c r="H224" s="345"/>
      <c r="I224" s="349"/>
      <c r="J224" s="349"/>
      <c r="K224" s="347"/>
      <c r="L224" s="176"/>
      <c r="M224" s="7"/>
    </row>
    <row r="225" spans="2:13" ht="15" customHeight="1">
      <c r="B225" s="175" t="s">
        <v>62</v>
      </c>
      <c r="C225" s="9">
        <f>'様式２'!C525</f>
        <v>81468000</v>
      </c>
      <c r="D225" s="9">
        <f>'様式２'!D525</f>
        <v>69585050</v>
      </c>
      <c r="E225" s="430" t="s">
        <v>764</v>
      </c>
      <c r="F225" s="457"/>
      <c r="G225" s="432"/>
      <c r="H225" s="428" t="s">
        <v>764</v>
      </c>
      <c r="I225" s="457"/>
      <c r="J225" s="457"/>
      <c r="K225" s="432"/>
      <c r="L225" s="176"/>
      <c r="M225" s="7"/>
    </row>
    <row r="226" spans="2:13" ht="15" customHeight="1">
      <c r="B226" s="175" t="s">
        <v>58</v>
      </c>
      <c r="C226" s="10"/>
      <c r="D226" s="10"/>
      <c r="E226" s="415" t="s">
        <v>765</v>
      </c>
      <c r="F226" s="419"/>
      <c r="G226" s="417"/>
      <c r="H226" s="418" t="s">
        <v>1021</v>
      </c>
      <c r="I226" s="419"/>
      <c r="J226" s="419"/>
      <c r="K226" s="417"/>
      <c r="L226" s="176"/>
      <c r="M226" s="7"/>
    </row>
    <row r="227" spans="2:13" ht="15" customHeight="1">
      <c r="B227" s="205"/>
      <c r="C227" s="11" t="s">
        <v>10</v>
      </c>
      <c r="D227" s="11" t="s">
        <v>10</v>
      </c>
      <c r="E227" s="430" t="s">
        <v>1297</v>
      </c>
      <c r="F227" s="457"/>
      <c r="G227" s="432"/>
      <c r="H227" s="418" t="s">
        <v>1020</v>
      </c>
      <c r="I227" s="419"/>
      <c r="J227" s="419"/>
      <c r="K227" s="417"/>
      <c r="L227" s="176"/>
      <c r="M227" s="7"/>
    </row>
    <row r="228" spans="2:13" ht="15" customHeight="1">
      <c r="B228" s="205"/>
      <c r="C228" s="9">
        <f>'様式２'!C528</f>
        <v>47000000</v>
      </c>
      <c r="D228" s="9">
        <f>'様式２'!D528</f>
        <v>47000000</v>
      </c>
      <c r="E228" s="430"/>
      <c r="F228" s="416"/>
      <c r="G228" s="417"/>
      <c r="H228" s="428" t="s">
        <v>1300</v>
      </c>
      <c r="I228" s="457"/>
      <c r="J228" s="457"/>
      <c r="K228" s="432"/>
      <c r="L228" s="176"/>
      <c r="M228" s="7"/>
    </row>
    <row r="229" spans="2:13" ht="15" customHeight="1">
      <c r="B229" s="205"/>
      <c r="C229" s="11" t="s">
        <v>8</v>
      </c>
      <c r="D229" s="11" t="s">
        <v>8</v>
      </c>
      <c r="E229" s="382"/>
      <c r="F229" s="383"/>
      <c r="G229" s="384"/>
      <c r="H229" s="247"/>
      <c r="I229" s="261"/>
      <c r="J229" s="261"/>
      <c r="K229" s="249"/>
      <c r="L229" s="176">
        <v>22</v>
      </c>
      <c r="M229" s="7"/>
    </row>
    <row r="230" spans="2:13" ht="15" customHeight="1">
      <c r="B230" s="205"/>
      <c r="C230" s="9">
        <f>'様式２'!C530</f>
        <v>7431000</v>
      </c>
      <c r="D230" s="9">
        <f>'様式２'!D530</f>
        <v>414000</v>
      </c>
      <c r="E230" s="425" t="s">
        <v>766</v>
      </c>
      <c r="F230" s="429"/>
      <c r="G230" s="427"/>
      <c r="H230" s="418" t="s">
        <v>1022</v>
      </c>
      <c r="I230" s="416"/>
      <c r="J230" s="416"/>
      <c r="K230" s="417"/>
      <c r="L230" s="176"/>
      <c r="M230" s="7"/>
    </row>
    <row r="231" spans="2:13" ht="15" customHeight="1">
      <c r="B231" s="205"/>
      <c r="C231" s="11" t="s">
        <v>9</v>
      </c>
      <c r="D231" s="11" t="s">
        <v>9</v>
      </c>
      <c r="E231" s="425" t="s">
        <v>1298</v>
      </c>
      <c r="F231" s="426"/>
      <c r="G231" s="427"/>
      <c r="H231" s="418" t="s">
        <v>1225</v>
      </c>
      <c r="I231" s="419"/>
      <c r="J231" s="419"/>
      <c r="K231" s="417"/>
      <c r="L231" s="176"/>
      <c r="M231" s="7"/>
    </row>
    <row r="232" spans="2:13" ht="15" customHeight="1">
      <c r="B232" s="205"/>
      <c r="C232" s="9">
        <f>'様式２'!C532</f>
        <v>27037000</v>
      </c>
      <c r="D232" s="9">
        <f>'様式２'!D532</f>
        <v>22171050</v>
      </c>
      <c r="E232" s="425" t="s">
        <v>1266</v>
      </c>
      <c r="F232" s="426"/>
      <c r="G232" s="427"/>
      <c r="H232" s="428" t="s">
        <v>1226</v>
      </c>
      <c r="I232" s="416"/>
      <c r="J232" s="416"/>
      <c r="K232" s="417"/>
      <c r="L232" s="176"/>
      <c r="M232" s="7"/>
    </row>
    <row r="233" spans="2:13" ht="15" customHeight="1">
      <c r="B233" s="205"/>
      <c r="C233" s="11"/>
      <c r="D233" s="11"/>
      <c r="E233" s="415" t="s">
        <v>1012</v>
      </c>
      <c r="F233" s="416"/>
      <c r="G233" s="417"/>
      <c r="H233" s="391"/>
      <c r="I233" s="420"/>
      <c r="J233" s="420"/>
      <c r="K233" s="387"/>
      <c r="L233" s="176"/>
      <c r="M233" s="7"/>
    </row>
    <row r="234" spans="2:13" ht="15" customHeight="1">
      <c r="B234" s="205"/>
      <c r="C234" s="9"/>
      <c r="D234" s="9"/>
      <c r="E234" s="415" t="s">
        <v>1221</v>
      </c>
      <c r="F234" s="416"/>
      <c r="G234" s="417"/>
      <c r="H234" s="428" t="s">
        <v>1301</v>
      </c>
      <c r="I234" s="416"/>
      <c r="J234" s="416"/>
      <c r="K234" s="417"/>
      <c r="L234" s="176"/>
      <c r="M234" s="7"/>
    </row>
    <row r="235" spans="2:13" ht="15" customHeight="1">
      <c r="B235" s="205"/>
      <c r="C235" s="9"/>
      <c r="D235" s="9"/>
      <c r="E235" s="430" t="s">
        <v>1299</v>
      </c>
      <c r="F235" s="431"/>
      <c r="G235" s="432"/>
      <c r="H235" s="418" t="s">
        <v>1302</v>
      </c>
      <c r="I235" s="416"/>
      <c r="J235" s="416"/>
      <c r="K235" s="417"/>
      <c r="L235" s="176"/>
      <c r="M235" s="7"/>
    </row>
    <row r="236" spans="2:13" ht="15" customHeight="1" thickBot="1">
      <c r="B236" s="209"/>
      <c r="C236" s="12"/>
      <c r="D236" s="12"/>
      <c r="E236" s="220"/>
      <c r="F236" s="221"/>
      <c r="G236" s="222"/>
      <c r="H236" s="223"/>
      <c r="I236" s="221"/>
      <c r="J236" s="221"/>
      <c r="K236" s="222"/>
      <c r="L236" s="189"/>
      <c r="M236" s="7"/>
    </row>
    <row r="237" spans="2:13" ht="15" customHeight="1">
      <c r="B237" s="182"/>
      <c r="C237" s="355"/>
      <c r="D237" s="355"/>
      <c r="E237" s="370"/>
      <c r="F237" s="369"/>
      <c r="G237" s="367"/>
      <c r="H237" s="371"/>
      <c r="I237" s="369"/>
      <c r="J237" s="369"/>
      <c r="K237" s="367"/>
      <c r="L237" s="176"/>
      <c r="M237" s="7"/>
    </row>
    <row r="238" spans="2:13" ht="15" customHeight="1">
      <c r="B238" s="175" t="s">
        <v>63</v>
      </c>
      <c r="C238" s="9">
        <f>'様式２'!C559</f>
        <v>65667000</v>
      </c>
      <c r="D238" s="9">
        <f>'様式２'!D559</f>
        <v>56029451</v>
      </c>
      <c r="E238" s="408" t="s">
        <v>767</v>
      </c>
      <c r="F238" s="409"/>
      <c r="G238" s="410"/>
      <c r="H238" s="391" t="s">
        <v>767</v>
      </c>
      <c r="I238" s="383"/>
      <c r="J238" s="383"/>
      <c r="K238" s="384"/>
      <c r="L238" s="176"/>
      <c r="M238" s="7"/>
    </row>
    <row r="239" spans="2:13" ht="15" customHeight="1">
      <c r="B239" s="175" t="s">
        <v>58</v>
      </c>
      <c r="C239" s="10"/>
      <c r="D239" s="10"/>
      <c r="E239" s="400" t="s">
        <v>1027</v>
      </c>
      <c r="F239" s="401"/>
      <c r="G239" s="402"/>
      <c r="H239" s="390" t="s">
        <v>1025</v>
      </c>
      <c r="I239" s="383"/>
      <c r="J239" s="383"/>
      <c r="K239" s="384"/>
      <c r="L239" s="176"/>
      <c r="M239" s="7"/>
    </row>
    <row r="240" spans="2:13" ht="15" customHeight="1">
      <c r="B240" s="205"/>
      <c r="C240" s="11" t="s">
        <v>7</v>
      </c>
      <c r="D240" s="11" t="s">
        <v>7</v>
      </c>
      <c r="E240" s="400" t="s">
        <v>1277</v>
      </c>
      <c r="F240" s="401"/>
      <c r="G240" s="402"/>
      <c r="H240" s="391" t="s">
        <v>1024</v>
      </c>
      <c r="I240" s="392"/>
      <c r="J240" s="392"/>
      <c r="K240" s="393"/>
      <c r="L240" s="176"/>
      <c r="M240" s="7"/>
    </row>
    <row r="241" spans="2:13" ht="15" customHeight="1">
      <c r="B241" s="205"/>
      <c r="C241" s="9">
        <f>'様式２'!C562</f>
        <v>4205000</v>
      </c>
      <c r="D241" s="9">
        <f>'様式２'!D562</f>
        <v>5284877</v>
      </c>
      <c r="E241" s="400" t="s">
        <v>1278</v>
      </c>
      <c r="F241" s="401"/>
      <c r="G241" s="402"/>
      <c r="H241" s="391" t="s">
        <v>1023</v>
      </c>
      <c r="I241" s="392"/>
      <c r="J241" s="392"/>
      <c r="K241" s="393"/>
      <c r="L241" s="176"/>
      <c r="M241" s="7"/>
    </row>
    <row r="242" spans="2:13" ht="15" customHeight="1">
      <c r="B242" s="205"/>
      <c r="C242" s="11" t="s">
        <v>8</v>
      </c>
      <c r="D242" s="11" t="s">
        <v>8</v>
      </c>
      <c r="E242" s="400" t="s">
        <v>1276</v>
      </c>
      <c r="F242" s="401"/>
      <c r="G242" s="402"/>
      <c r="H242" s="385"/>
      <c r="I242" s="392"/>
      <c r="J242" s="392"/>
      <c r="K242" s="393"/>
      <c r="L242" s="176"/>
      <c r="M242" s="7"/>
    </row>
    <row r="243" spans="2:13" ht="15" customHeight="1">
      <c r="B243" s="205"/>
      <c r="C243" s="9">
        <f>'様式２'!C564</f>
        <v>870000</v>
      </c>
      <c r="D243" s="9">
        <f>'様式２'!D564</f>
        <v>870000</v>
      </c>
      <c r="E243" s="300"/>
      <c r="F243" s="248"/>
      <c r="G243" s="249"/>
      <c r="H243" s="183"/>
      <c r="I243" s="183"/>
      <c r="J243" s="183"/>
      <c r="K243" s="183"/>
      <c r="L243" s="176"/>
      <c r="M243" s="7"/>
    </row>
    <row r="244" spans="2:13" ht="15" customHeight="1">
      <c r="B244" s="205"/>
      <c r="C244" s="11" t="s">
        <v>9</v>
      </c>
      <c r="D244" s="11" t="s">
        <v>9</v>
      </c>
      <c r="E244" s="408" t="s">
        <v>762</v>
      </c>
      <c r="F244" s="409"/>
      <c r="G244" s="410"/>
      <c r="H244" s="403" t="s">
        <v>762</v>
      </c>
      <c r="I244" s="404"/>
      <c r="J244" s="404"/>
      <c r="K244" s="405"/>
      <c r="L244" s="176"/>
      <c r="M244" s="7"/>
    </row>
    <row r="245" spans="2:13" ht="15" customHeight="1">
      <c r="B245" s="205"/>
      <c r="C245" s="9">
        <f>'様式２'!C566</f>
        <v>60592000</v>
      </c>
      <c r="D245" s="9">
        <f>'様式２'!D566</f>
        <v>49874574</v>
      </c>
      <c r="E245" s="400" t="s">
        <v>1028</v>
      </c>
      <c r="F245" s="401"/>
      <c r="G245" s="402"/>
      <c r="H245" s="394" t="s">
        <v>1188</v>
      </c>
      <c r="I245" s="406"/>
      <c r="J245" s="406"/>
      <c r="K245" s="407"/>
      <c r="L245" s="176"/>
      <c r="M245" s="7"/>
    </row>
    <row r="246" spans="2:13" ht="15" customHeight="1">
      <c r="B246" s="205"/>
      <c r="C246" s="11"/>
      <c r="D246" s="11"/>
      <c r="E246" s="421" t="s">
        <v>1224</v>
      </c>
      <c r="F246" s="422"/>
      <c r="G246" s="423"/>
      <c r="H246" s="394" t="s">
        <v>1303</v>
      </c>
      <c r="I246" s="395"/>
      <c r="J246" s="395"/>
      <c r="K246" s="396"/>
      <c r="L246" s="176"/>
      <c r="M246" s="7"/>
    </row>
    <row r="247" spans="2:13" ht="15" customHeight="1">
      <c r="B247" s="205"/>
      <c r="C247" s="9"/>
      <c r="D247" s="9"/>
      <c r="E247" s="412" t="s">
        <v>1352</v>
      </c>
      <c r="F247" s="413"/>
      <c r="G247" s="414"/>
      <c r="H247" s="397" t="s">
        <v>1026</v>
      </c>
      <c r="I247" s="398"/>
      <c r="J247" s="398"/>
      <c r="K247" s="399"/>
      <c r="L247" s="176"/>
      <c r="M247" s="7"/>
    </row>
    <row r="248" spans="2:13" ht="15" customHeight="1">
      <c r="B248" s="205"/>
      <c r="C248" s="11"/>
      <c r="D248" s="11"/>
      <c r="E248" s="411" t="s">
        <v>1029</v>
      </c>
      <c r="F248" s="398"/>
      <c r="G248" s="399"/>
      <c r="H248" s="394"/>
      <c r="I248" s="395"/>
      <c r="J248" s="395"/>
      <c r="K248" s="396"/>
      <c r="L248" s="176">
        <v>22</v>
      </c>
      <c r="M248" s="7"/>
    </row>
    <row r="249" spans="2:13" ht="15" customHeight="1">
      <c r="B249" s="205"/>
      <c r="C249" s="11"/>
      <c r="D249" s="11"/>
      <c r="E249" s="411"/>
      <c r="F249" s="398"/>
      <c r="G249" s="399"/>
      <c r="H249" s="397"/>
      <c r="I249" s="398"/>
      <c r="J249" s="398"/>
      <c r="K249" s="399"/>
      <c r="L249" s="176"/>
      <c r="M249" s="7"/>
    </row>
    <row r="250" spans="2:13" ht="15" customHeight="1">
      <c r="B250" s="205"/>
      <c r="C250" s="11"/>
      <c r="D250" s="11"/>
      <c r="E250" s="303" t="s">
        <v>1030</v>
      </c>
      <c r="F250" s="304"/>
      <c r="G250" s="305"/>
      <c r="H250" s="252"/>
      <c r="I250" s="224"/>
      <c r="J250" s="224"/>
      <c r="K250" s="231"/>
      <c r="L250" s="176"/>
      <c r="M250" s="7"/>
    </row>
    <row r="251" spans="2:13" ht="14.25" customHeight="1">
      <c r="B251" s="205"/>
      <c r="C251" s="11"/>
      <c r="D251" s="11"/>
      <c r="E251" s="467" t="s">
        <v>1267</v>
      </c>
      <c r="F251" s="404"/>
      <c r="G251" s="405"/>
      <c r="H251" s="252"/>
      <c r="I251" s="224"/>
      <c r="J251" s="224"/>
      <c r="K251" s="231"/>
      <c r="L251" s="176"/>
      <c r="M251" s="7"/>
    </row>
    <row r="252" spans="2:13" ht="15" customHeight="1">
      <c r="B252" s="205"/>
      <c r="C252" s="11"/>
      <c r="D252" s="11"/>
      <c r="E252" s="467" t="s">
        <v>1268</v>
      </c>
      <c r="F252" s="404"/>
      <c r="G252" s="405"/>
      <c r="H252" s="252"/>
      <c r="I252" s="224"/>
      <c r="J252" s="224"/>
      <c r="K252" s="231"/>
      <c r="L252" s="176"/>
      <c r="M252" s="7"/>
    </row>
    <row r="253" spans="2:13" ht="15" customHeight="1">
      <c r="B253" s="205"/>
      <c r="C253" s="11"/>
      <c r="D253" s="11"/>
      <c r="E253" s="306" t="s">
        <v>1304</v>
      </c>
      <c r="F253" s="229"/>
      <c r="G253" s="241"/>
      <c r="H253" s="390"/>
      <c r="I253" s="383"/>
      <c r="J253" s="383"/>
      <c r="K253" s="384"/>
      <c r="L253" s="176"/>
      <c r="M253" s="7"/>
    </row>
    <row r="254" spans="2:13" ht="15" customHeight="1">
      <c r="B254" s="205"/>
      <c r="C254" s="11"/>
      <c r="D254" s="11"/>
      <c r="E254" s="408" t="s">
        <v>1305</v>
      </c>
      <c r="F254" s="409"/>
      <c r="G254" s="410"/>
      <c r="H254" s="251"/>
      <c r="I254" s="252"/>
      <c r="J254" s="252"/>
      <c r="K254" s="253"/>
      <c r="L254" s="176"/>
      <c r="M254" s="7"/>
    </row>
    <row r="255" spans="2:13" ht="15" customHeight="1">
      <c r="B255" s="205"/>
      <c r="C255" s="11"/>
      <c r="D255" s="11"/>
      <c r="E255" s="300"/>
      <c r="F255" s="248"/>
      <c r="G255" s="249"/>
      <c r="H255" s="251"/>
      <c r="I255" s="252"/>
      <c r="J255" s="252"/>
      <c r="K255" s="253"/>
      <c r="L255" s="176"/>
      <c r="M255" s="7"/>
    </row>
    <row r="256" spans="2:13" ht="15" customHeight="1">
      <c r="B256" s="205"/>
      <c r="C256" s="11"/>
      <c r="D256" s="11"/>
      <c r="E256" s="408" t="s">
        <v>768</v>
      </c>
      <c r="F256" s="409"/>
      <c r="G256" s="410"/>
      <c r="H256" s="403" t="s">
        <v>768</v>
      </c>
      <c r="I256" s="409"/>
      <c r="J256" s="409"/>
      <c r="K256" s="410"/>
      <c r="L256" s="176"/>
      <c r="M256" s="7"/>
    </row>
    <row r="257" spans="2:13" ht="15" customHeight="1">
      <c r="B257" s="205"/>
      <c r="C257" s="11"/>
      <c r="D257" s="11"/>
      <c r="E257" s="400" t="s">
        <v>1032</v>
      </c>
      <c r="F257" s="401"/>
      <c r="G257" s="402"/>
      <c r="H257" s="458" t="s">
        <v>1031</v>
      </c>
      <c r="I257" s="459"/>
      <c r="J257" s="459"/>
      <c r="K257" s="460"/>
      <c r="L257" s="176"/>
      <c r="M257" s="7"/>
    </row>
    <row r="258" spans="2:13" ht="15" customHeight="1">
      <c r="B258" s="205"/>
      <c r="C258" s="11"/>
      <c r="D258" s="11"/>
      <c r="E258" s="461" t="s">
        <v>1269</v>
      </c>
      <c r="F258" s="462"/>
      <c r="G258" s="463"/>
      <c r="H258" s="251"/>
      <c r="I258" s="252"/>
      <c r="J258" s="252"/>
      <c r="K258" s="253"/>
      <c r="L258" s="176"/>
      <c r="M258" s="7"/>
    </row>
    <row r="259" spans="2:13" ht="15" customHeight="1">
      <c r="B259" s="205"/>
      <c r="C259" s="11"/>
      <c r="D259" s="11"/>
      <c r="E259" s="461" t="s">
        <v>1270</v>
      </c>
      <c r="F259" s="462"/>
      <c r="G259" s="463"/>
      <c r="H259" s="251"/>
      <c r="I259" s="252"/>
      <c r="J259" s="252"/>
      <c r="K259" s="253"/>
      <c r="L259" s="176"/>
      <c r="M259" s="7"/>
    </row>
    <row r="260" spans="2:13" ht="15" customHeight="1">
      <c r="B260" s="205"/>
      <c r="C260" s="11"/>
      <c r="D260" s="11"/>
      <c r="E260" s="464" t="s">
        <v>1033</v>
      </c>
      <c r="F260" s="465"/>
      <c r="G260" s="466"/>
      <c r="H260" s="252"/>
      <c r="I260" s="224"/>
      <c r="J260" s="224"/>
      <c r="K260" s="231"/>
      <c r="L260" s="176"/>
      <c r="M260" s="7"/>
    </row>
    <row r="261" spans="2:13" ht="15" customHeight="1" thickBot="1">
      <c r="B261" s="209"/>
      <c r="C261" s="12"/>
      <c r="D261" s="12"/>
      <c r="E261" s="220"/>
      <c r="F261" s="221"/>
      <c r="G261" s="222"/>
      <c r="H261" s="223"/>
      <c r="I261" s="221"/>
      <c r="J261" s="221"/>
      <c r="K261" s="222"/>
      <c r="L261" s="189"/>
      <c r="M261" s="7"/>
    </row>
    <row r="262" spans="2:13" ht="15" customHeight="1">
      <c r="B262" s="205"/>
      <c r="C262" s="355"/>
      <c r="D262" s="355"/>
      <c r="E262" s="344"/>
      <c r="F262" s="349"/>
      <c r="G262" s="347"/>
      <c r="H262" s="345"/>
      <c r="I262" s="349"/>
      <c r="J262" s="349"/>
      <c r="K262" s="347"/>
      <c r="L262" s="176"/>
      <c r="M262" s="7"/>
    </row>
    <row r="263" spans="2:13" ht="15" customHeight="1">
      <c r="B263" s="175" t="s">
        <v>64</v>
      </c>
      <c r="C263" s="9">
        <f>'様式２'!C588</f>
        <v>384935000</v>
      </c>
      <c r="D263" s="9">
        <f>'様式２'!D588</f>
        <v>367880409</v>
      </c>
      <c r="E263" s="244" t="s">
        <v>45</v>
      </c>
      <c r="F263" s="242"/>
      <c r="G263" s="243"/>
      <c r="H263" s="381" t="s">
        <v>45</v>
      </c>
      <c r="I263" s="379"/>
      <c r="J263" s="379"/>
      <c r="K263" s="380"/>
      <c r="L263" s="176"/>
      <c r="M263" s="7"/>
    </row>
    <row r="264" spans="2:13" ht="15" customHeight="1">
      <c r="B264" s="175" t="s">
        <v>58</v>
      </c>
      <c r="C264" s="10"/>
      <c r="D264" s="10"/>
      <c r="E264" s="424" t="s">
        <v>1189</v>
      </c>
      <c r="F264" s="379"/>
      <c r="G264" s="380"/>
      <c r="H264" s="381" t="s">
        <v>46</v>
      </c>
      <c r="I264" s="379"/>
      <c r="J264" s="379"/>
      <c r="K264" s="380"/>
      <c r="L264" s="176"/>
      <c r="M264" s="7"/>
    </row>
    <row r="265" spans="2:13" ht="15" customHeight="1">
      <c r="B265" s="205"/>
      <c r="C265" s="11" t="s">
        <v>7</v>
      </c>
      <c r="D265" s="11" t="s">
        <v>7</v>
      </c>
      <c r="E265" s="244" t="s">
        <v>1306</v>
      </c>
      <c r="F265" s="250"/>
      <c r="G265" s="243"/>
      <c r="H265" s="381" t="s">
        <v>983</v>
      </c>
      <c r="I265" s="379"/>
      <c r="J265" s="379"/>
      <c r="K265" s="380"/>
      <c r="L265" s="176"/>
      <c r="M265" s="7"/>
    </row>
    <row r="266" spans="2:13" ht="15" customHeight="1">
      <c r="B266" s="205"/>
      <c r="C266" s="9">
        <f>'様式２'!C591</f>
        <v>98155000</v>
      </c>
      <c r="D266" s="9">
        <f>'様式２'!D591</f>
        <v>96741226</v>
      </c>
      <c r="E266" s="382" t="s">
        <v>1307</v>
      </c>
      <c r="F266" s="383"/>
      <c r="G266" s="384"/>
      <c r="H266" s="391" t="s">
        <v>1227</v>
      </c>
      <c r="I266" s="383"/>
      <c r="J266" s="383"/>
      <c r="K266" s="384"/>
      <c r="L266" s="176">
        <v>23</v>
      </c>
      <c r="M266" s="7"/>
    </row>
    <row r="267" spans="2:13" ht="15" customHeight="1">
      <c r="B267" s="205"/>
      <c r="C267" s="11" t="s">
        <v>8</v>
      </c>
      <c r="D267" s="11" t="s">
        <v>8</v>
      </c>
      <c r="E267" s="300" t="s">
        <v>984</v>
      </c>
      <c r="F267" s="261"/>
      <c r="G267" s="249"/>
      <c r="H267" s="381" t="s">
        <v>1228</v>
      </c>
      <c r="I267" s="379"/>
      <c r="J267" s="379"/>
      <c r="K267" s="380"/>
      <c r="L267" s="176"/>
      <c r="M267" s="7"/>
    </row>
    <row r="268" spans="2:13" ht="15" customHeight="1">
      <c r="B268" s="205"/>
      <c r="C268" s="9">
        <f>'様式２'!C593</f>
        <v>700000</v>
      </c>
      <c r="D268" s="9">
        <f>'様式２'!D593</f>
        <v>447797</v>
      </c>
      <c r="E268" s="382"/>
      <c r="F268" s="383"/>
      <c r="G268" s="384"/>
      <c r="H268" s="385" t="s">
        <v>985</v>
      </c>
      <c r="I268" s="386"/>
      <c r="J268" s="386"/>
      <c r="K268" s="387"/>
      <c r="L268" s="176"/>
      <c r="M268" s="7"/>
    </row>
    <row r="269" spans="2:13" ht="15" customHeight="1">
      <c r="B269" s="205"/>
      <c r="C269" s="11" t="s">
        <v>9</v>
      </c>
      <c r="D269" s="11" t="s">
        <v>9</v>
      </c>
      <c r="E269" s="446"/>
      <c r="F269" s="447"/>
      <c r="G269" s="456"/>
      <c r="H269" s="247"/>
      <c r="I269" s="261"/>
      <c r="J269" s="261"/>
      <c r="K269" s="249"/>
      <c r="L269" s="176"/>
      <c r="M269" s="7"/>
    </row>
    <row r="270" spans="2:13" ht="15" customHeight="1">
      <c r="B270" s="205"/>
      <c r="C270" s="9">
        <f>'様式２'!C595</f>
        <v>286080000</v>
      </c>
      <c r="D270" s="9">
        <f>'様式２'!D595</f>
        <v>270691386</v>
      </c>
      <c r="E270" s="446"/>
      <c r="F270" s="447"/>
      <c r="G270" s="456"/>
      <c r="H270" s="385"/>
      <c r="I270" s="386"/>
      <c r="J270" s="386"/>
      <c r="K270" s="387"/>
      <c r="L270" s="176"/>
      <c r="M270" s="7"/>
    </row>
    <row r="271" spans="2:13" ht="15" customHeight="1" thickBot="1">
      <c r="B271" s="209"/>
      <c r="C271" s="12"/>
      <c r="D271" s="12"/>
      <c r="E271" s="220"/>
      <c r="F271" s="221"/>
      <c r="G271" s="222"/>
      <c r="H271" s="223"/>
      <c r="I271" s="221"/>
      <c r="J271" s="221"/>
      <c r="K271" s="222"/>
      <c r="L271" s="189"/>
      <c r="M271" s="7"/>
    </row>
    <row r="272" spans="2:13" ht="15" customHeight="1">
      <c r="B272" s="217"/>
      <c r="C272" s="179"/>
      <c r="D272" s="179"/>
      <c r="E272" s="206"/>
      <c r="F272" s="218"/>
      <c r="G272" s="219"/>
      <c r="H272" s="214"/>
      <c r="I272" s="218"/>
      <c r="J272" s="218"/>
      <c r="K272" s="219"/>
      <c r="L272" s="181"/>
      <c r="M272" s="7"/>
    </row>
    <row r="273" spans="2:13" ht="15" customHeight="1">
      <c r="B273" s="175" t="s">
        <v>65</v>
      </c>
      <c r="C273" s="9">
        <f>'様式２'!C620</f>
        <v>814602400</v>
      </c>
      <c r="D273" s="9">
        <f>'様式２'!D620</f>
        <v>795026674</v>
      </c>
      <c r="E273" s="382" t="s">
        <v>1203</v>
      </c>
      <c r="F273" s="383"/>
      <c r="G273" s="384"/>
      <c r="H273" s="391" t="s">
        <v>746</v>
      </c>
      <c r="I273" s="383"/>
      <c r="J273" s="383"/>
      <c r="K273" s="384"/>
      <c r="L273" s="176"/>
      <c r="M273" s="7"/>
    </row>
    <row r="274" spans="2:13" ht="15" customHeight="1">
      <c r="B274" s="175" t="s">
        <v>66</v>
      </c>
      <c r="C274" s="10"/>
      <c r="D274" s="10"/>
      <c r="E274" s="453" t="s">
        <v>1271</v>
      </c>
      <c r="F274" s="449"/>
      <c r="G274" s="450"/>
      <c r="H274" s="403" t="s">
        <v>1350</v>
      </c>
      <c r="I274" s="436"/>
      <c r="J274" s="436"/>
      <c r="K274" s="410"/>
      <c r="L274" s="176"/>
      <c r="M274" s="7"/>
    </row>
    <row r="275" spans="2:13" ht="15" customHeight="1">
      <c r="B275" s="205"/>
      <c r="C275" s="11" t="s">
        <v>7</v>
      </c>
      <c r="D275" s="11" t="s">
        <v>7</v>
      </c>
      <c r="E275" s="408" t="s">
        <v>1230</v>
      </c>
      <c r="F275" s="436"/>
      <c r="G275" s="410"/>
      <c r="H275" s="403" t="s">
        <v>1308</v>
      </c>
      <c r="I275" s="436"/>
      <c r="J275" s="436"/>
      <c r="K275" s="410"/>
      <c r="L275" s="176"/>
      <c r="M275" s="7"/>
    </row>
    <row r="276" spans="2:13" ht="15" customHeight="1">
      <c r="B276" s="205"/>
      <c r="C276" s="9">
        <f>'様式２'!C623</f>
        <v>722402000</v>
      </c>
      <c r="D276" s="9">
        <f>'様式２'!D623</f>
        <v>708562000</v>
      </c>
      <c r="E276" s="382" t="s">
        <v>1229</v>
      </c>
      <c r="F276" s="383"/>
      <c r="G276" s="384"/>
      <c r="H276" s="403" t="s">
        <v>1204</v>
      </c>
      <c r="I276" s="436"/>
      <c r="J276" s="436"/>
      <c r="K276" s="410"/>
      <c r="L276" s="176">
        <v>24</v>
      </c>
      <c r="M276" s="7"/>
    </row>
    <row r="277" spans="2:13" ht="15" customHeight="1">
      <c r="B277" s="205"/>
      <c r="C277" s="11" t="s">
        <v>8</v>
      </c>
      <c r="D277" s="11" t="s">
        <v>8</v>
      </c>
      <c r="E277" s="322"/>
      <c r="F277" s="324"/>
      <c r="G277" s="323"/>
      <c r="H277" s="319"/>
      <c r="I277" s="320"/>
      <c r="J277" s="320"/>
      <c r="K277" s="321"/>
      <c r="L277" s="176"/>
      <c r="M277" s="7"/>
    </row>
    <row r="278" spans="2:13" ht="15" customHeight="1">
      <c r="B278" s="205"/>
      <c r="C278" s="9">
        <f>'様式２'!C625</f>
        <v>81347000</v>
      </c>
      <c r="D278" s="9">
        <f>'様式２'!D625</f>
        <v>80739800</v>
      </c>
      <c r="E278" s="325" t="s">
        <v>1192</v>
      </c>
      <c r="F278" s="326"/>
      <c r="G278" s="327"/>
      <c r="H278" s="391" t="s">
        <v>1192</v>
      </c>
      <c r="I278" s="454"/>
      <c r="J278" s="454"/>
      <c r="K278" s="455"/>
      <c r="L278" s="176"/>
      <c r="M278" s="7"/>
    </row>
    <row r="279" spans="2:13" ht="15" customHeight="1">
      <c r="B279" s="205"/>
      <c r="C279" s="11" t="s">
        <v>9</v>
      </c>
      <c r="D279" s="11" t="s">
        <v>9</v>
      </c>
      <c r="E279" s="446" t="s">
        <v>1349</v>
      </c>
      <c r="F279" s="447"/>
      <c r="G279" s="456"/>
      <c r="H279" s="403" t="s">
        <v>1193</v>
      </c>
      <c r="I279" s="451"/>
      <c r="J279" s="451"/>
      <c r="K279" s="452"/>
      <c r="L279" s="176"/>
      <c r="M279" s="7"/>
    </row>
    <row r="280" spans="2:13" ht="15" customHeight="1">
      <c r="B280" s="205"/>
      <c r="C280" s="9">
        <f>'様式２'!C627</f>
        <v>10853400</v>
      </c>
      <c r="D280" s="9">
        <f>'様式２'!D627</f>
        <v>5724874</v>
      </c>
      <c r="E280" s="446"/>
      <c r="F280" s="447"/>
      <c r="G280" s="456"/>
      <c r="H280" s="403" t="s">
        <v>1205</v>
      </c>
      <c r="I280" s="451"/>
      <c r="J280" s="451"/>
      <c r="K280" s="452"/>
      <c r="L280" s="176"/>
      <c r="M280" s="7"/>
    </row>
    <row r="281" spans="2:13" ht="15" customHeight="1" thickBot="1">
      <c r="B281" s="209"/>
      <c r="C281" s="12"/>
      <c r="D281" s="12"/>
      <c r="E281" s="220"/>
      <c r="F281" s="221"/>
      <c r="G281" s="222"/>
      <c r="H281" s="223"/>
      <c r="I281" s="221"/>
      <c r="J281" s="221"/>
      <c r="K281" s="222"/>
      <c r="L281" s="189"/>
      <c r="M281" s="7"/>
    </row>
    <row r="282" spans="2:13" ht="15" customHeight="1">
      <c r="B282" s="182"/>
      <c r="C282" s="355"/>
      <c r="D282" s="355"/>
      <c r="E282" s="370"/>
      <c r="F282" s="369"/>
      <c r="G282" s="367"/>
      <c r="H282" s="371"/>
      <c r="I282" s="369"/>
      <c r="J282" s="369"/>
      <c r="K282" s="367"/>
      <c r="L282" s="176"/>
      <c r="M282" s="7"/>
    </row>
    <row r="283" spans="2:13" ht="15" customHeight="1">
      <c r="B283" s="175" t="s">
        <v>67</v>
      </c>
      <c r="C283" s="9">
        <f>'様式２'!C652</f>
        <v>28587600</v>
      </c>
      <c r="D283" s="9">
        <f>'様式２'!D652</f>
        <v>25083751</v>
      </c>
      <c r="E283" s="382" t="s">
        <v>1195</v>
      </c>
      <c r="F283" s="383"/>
      <c r="G283" s="384"/>
      <c r="H283" s="391" t="s">
        <v>746</v>
      </c>
      <c r="I283" s="383"/>
      <c r="J283" s="383"/>
      <c r="K283" s="384"/>
      <c r="L283" s="176"/>
      <c r="M283" s="7"/>
    </row>
    <row r="284" spans="2:13" ht="15" customHeight="1">
      <c r="B284" s="175" t="s">
        <v>68</v>
      </c>
      <c r="C284" s="10"/>
      <c r="D284" s="10"/>
      <c r="E284" s="408" t="s">
        <v>1271</v>
      </c>
      <c r="F284" s="436"/>
      <c r="G284" s="410"/>
      <c r="H284" s="448" t="s">
        <v>1196</v>
      </c>
      <c r="I284" s="449"/>
      <c r="J284" s="449"/>
      <c r="K284" s="450"/>
      <c r="L284" s="176"/>
      <c r="M284" s="7"/>
    </row>
    <row r="285" spans="2:13" ht="15" customHeight="1">
      <c r="B285" s="205"/>
      <c r="C285" s="11" t="s">
        <v>8</v>
      </c>
      <c r="D285" s="11" t="s">
        <v>8</v>
      </c>
      <c r="E285" s="408" t="s">
        <v>1231</v>
      </c>
      <c r="F285" s="436"/>
      <c r="G285" s="410"/>
      <c r="H285" s="448" t="s">
        <v>1197</v>
      </c>
      <c r="I285" s="449"/>
      <c r="J285" s="449"/>
      <c r="K285" s="450"/>
      <c r="L285" s="176">
        <v>24</v>
      </c>
      <c r="M285" s="7"/>
    </row>
    <row r="286" spans="2:13" ht="15" customHeight="1">
      <c r="B286" s="205"/>
      <c r="C286" s="9">
        <f>'様式２'!C655</f>
        <v>151207000</v>
      </c>
      <c r="D286" s="9">
        <f>'様式２'!D655</f>
        <v>177574400</v>
      </c>
      <c r="E286" s="314"/>
      <c r="F286" s="317"/>
      <c r="G286" s="317"/>
      <c r="H286" s="14"/>
      <c r="I286" s="315"/>
      <c r="J286" s="315"/>
      <c r="K286" s="316"/>
      <c r="L286" s="176"/>
      <c r="M286" s="7"/>
    </row>
    <row r="287" spans="2:13" ht="15" customHeight="1">
      <c r="B287" s="205"/>
      <c r="C287" s="11" t="s">
        <v>9</v>
      </c>
      <c r="D287" s="11" t="s">
        <v>9</v>
      </c>
      <c r="E287" s="408" t="s">
        <v>1194</v>
      </c>
      <c r="F287" s="409"/>
      <c r="G287" s="409"/>
      <c r="H287" s="391" t="s">
        <v>1194</v>
      </c>
      <c r="I287" s="383"/>
      <c r="J287" s="383"/>
      <c r="K287" s="384"/>
      <c r="L287" s="176"/>
      <c r="M287" s="7"/>
    </row>
    <row r="288" spans="2:13" ht="15" customHeight="1">
      <c r="B288" s="205"/>
      <c r="C288" s="290">
        <f>'様式２'!C657</f>
        <v>-122619400</v>
      </c>
      <c r="D288" s="290">
        <f>'様式２'!D657</f>
        <v>-152490649</v>
      </c>
      <c r="E288" s="446" t="s">
        <v>1309</v>
      </c>
      <c r="F288" s="447"/>
      <c r="G288" s="447"/>
      <c r="H288" s="403" t="s">
        <v>1351</v>
      </c>
      <c r="I288" s="409"/>
      <c r="J288" s="409"/>
      <c r="K288" s="410"/>
      <c r="L288" s="176"/>
      <c r="M288" s="7"/>
    </row>
    <row r="289" spans="2:13" ht="15" customHeight="1" thickBot="1">
      <c r="B289" s="209"/>
      <c r="C289" s="12"/>
      <c r="D289" s="12"/>
      <c r="E289" s="220"/>
      <c r="F289" s="221"/>
      <c r="G289" s="222"/>
      <c r="H289" s="223"/>
      <c r="I289" s="221"/>
      <c r="J289" s="221"/>
      <c r="K289" s="222"/>
      <c r="L289" s="189"/>
      <c r="M289" s="7"/>
    </row>
    <row r="290" spans="2:13" ht="15" customHeight="1">
      <c r="B290" s="178"/>
      <c r="C290" s="179"/>
      <c r="D290" s="179"/>
      <c r="E290" s="180"/>
      <c r="F290" s="268"/>
      <c r="G290" s="269"/>
      <c r="H290" s="267"/>
      <c r="I290" s="268"/>
      <c r="J290" s="268"/>
      <c r="K290" s="269"/>
      <c r="L290" s="181"/>
      <c r="M290" s="7"/>
    </row>
    <row r="291" spans="2:13" ht="15" customHeight="1">
      <c r="B291" s="175" t="s">
        <v>924</v>
      </c>
      <c r="C291" s="9">
        <f>'様式２'!C664</f>
        <v>14546000</v>
      </c>
      <c r="D291" s="9">
        <f>'様式２'!D664</f>
        <v>11936405</v>
      </c>
      <c r="E291" s="424" t="s">
        <v>651</v>
      </c>
      <c r="F291" s="379"/>
      <c r="G291" s="380"/>
      <c r="H291" s="381" t="s">
        <v>966</v>
      </c>
      <c r="I291" s="379"/>
      <c r="J291" s="379"/>
      <c r="K291" s="380"/>
      <c r="L291" s="176"/>
      <c r="M291" s="7"/>
    </row>
    <row r="292" spans="2:13" ht="15" customHeight="1">
      <c r="B292" s="175" t="s">
        <v>58</v>
      </c>
      <c r="C292" s="10"/>
      <c r="D292" s="10"/>
      <c r="E292" s="307" t="s">
        <v>1323</v>
      </c>
      <c r="F292" s="254"/>
      <c r="G292" s="255"/>
      <c r="H292" s="434" t="s">
        <v>968</v>
      </c>
      <c r="I292" s="435"/>
      <c r="J292" s="435"/>
      <c r="K292" s="407"/>
      <c r="L292" s="176"/>
      <c r="M292" s="7"/>
    </row>
    <row r="293" spans="2:13" ht="15" customHeight="1">
      <c r="B293" s="182"/>
      <c r="C293" s="11" t="s">
        <v>7</v>
      </c>
      <c r="D293" s="11" t="s">
        <v>7</v>
      </c>
      <c r="E293" s="183" t="s">
        <v>1324</v>
      </c>
      <c r="F293" s="254"/>
      <c r="G293" s="255"/>
      <c r="H293" s="434" t="s">
        <v>967</v>
      </c>
      <c r="I293" s="435"/>
      <c r="J293" s="435"/>
      <c r="K293" s="407"/>
      <c r="L293" s="176"/>
      <c r="M293" s="7"/>
    </row>
    <row r="294" spans="2:13" ht="15" customHeight="1">
      <c r="B294" s="182"/>
      <c r="C294" s="9">
        <f>'様式２'!C667</f>
        <v>156000</v>
      </c>
      <c r="D294" s="9">
        <f>'様式２'!D667</f>
        <v>158000</v>
      </c>
      <c r="E294" s="307" t="s">
        <v>652</v>
      </c>
      <c r="F294" s="254"/>
      <c r="G294" s="255"/>
      <c r="H294" s="378" t="s">
        <v>969</v>
      </c>
      <c r="I294" s="388"/>
      <c r="J294" s="388"/>
      <c r="K294" s="389"/>
      <c r="L294" s="176"/>
      <c r="M294" s="7"/>
    </row>
    <row r="295" spans="2:13" ht="15" customHeight="1">
      <c r="B295" s="182"/>
      <c r="C295" s="11" t="s">
        <v>8</v>
      </c>
      <c r="D295" s="11" t="s">
        <v>8</v>
      </c>
      <c r="E295" s="183" t="s">
        <v>1325</v>
      </c>
      <c r="F295" s="231"/>
      <c r="G295" s="243"/>
      <c r="H295" s="378" t="s">
        <v>901</v>
      </c>
      <c r="I295" s="388"/>
      <c r="J295" s="388"/>
      <c r="K295" s="389"/>
      <c r="L295" s="176">
        <v>25</v>
      </c>
      <c r="M295" s="7"/>
    </row>
    <row r="296" spans="2:13" ht="15" customHeight="1">
      <c r="B296" s="182"/>
      <c r="C296" s="9">
        <f>'様式２'!C669</f>
        <v>20895000</v>
      </c>
      <c r="D296" s="9">
        <f>'様式２'!D669</f>
        <v>20384350</v>
      </c>
      <c r="E296" s="307"/>
      <c r="F296" s="231"/>
      <c r="G296" s="243"/>
      <c r="H296" s="378" t="s">
        <v>925</v>
      </c>
      <c r="I296" s="379"/>
      <c r="J296" s="379"/>
      <c r="K296" s="380"/>
      <c r="L296" s="176"/>
      <c r="M296" s="7"/>
    </row>
    <row r="297" spans="2:13" ht="15" customHeight="1">
      <c r="B297" s="182"/>
      <c r="C297" s="11" t="s">
        <v>9</v>
      </c>
      <c r="D297" s="11" t="s">
        <v>9</v>
      </c>
      <c r="E297" s="433" t="s">
        <v>963</v>
      </c>
      <c r="F297" s="379"/>
      <c r="G297" s="380"/>
      <c r="H297" s="246" t="s">
        <v>965</v>
      </c>
      <c r="I297" s="250"/>
      <c r="J297" s="250"/>
      <c r="K297" s="243"/>
      <c r="L297" s="176"/>
      <c r="M297" s="7"/>
    </row>
    <row r="298" spans="2:13" ht="15" customHeight="1">
      <c r="B298" s="182"/>
      <c r="C298" s="290">
        <f>'様式２'!C671</f>
        <v>-6505000</v>
      </c>
      <c r="D298" s="290">
        <f>'様式２'!D671</f>
        <v>-8605945</v>
      </c>
      <c r="E298" s="183" t="s">
        <v>961</v>
      </c>
      <c r="F298" s="231"/>
      <c r="G298" s="243"/>
      <c r="H298" s="246" t="s">
        <v>964</v>
      </c>
      <c r="I298" s="250"/>
      <c r="J298" s="250"/>
      <c r="K298" s="243"/>
      <c r="L298" s="176"/>
      <c r="M298" s="7"/>
    </row>
    <row r="299" spans="2:13" ht="15" customHeight="1">
      <c r="B299" s="182"/>
      <c r="C299" s="11"/>
      <c r="D299" s="11"/>
      <c r="E299" s="307" t="s">
        <v>962</v>
      </c>
      <c r="F299" s="231"/>
      <c r="G299" s="243"/>
      <c r="H299" s="246" t="s">
        <v>901</v>
      </c>
      <c r="I299" s="250"/>
      <c r="J299" s="250"/>
      <c r="K299" s="243"/>
      <c r="L299" s="176"/>
      <c r="M299" s="7"/>
    </row>
    <row r="300" spans="2:13" ht="15" customHeight="1">
      <c r="B300" s="182"/>
      <c r="C300" s="290"/>
      <c r="D300" s="290"/>
      <c r="E300" s="240"/>
      <c r="F300" s="254"/>
      <c r="G300" s="255"/>
      <c r="H300" s="246"/>
      <c r="I300" s="250"/>
      <c r="J300" s="250"/>
      <c r="K300" s="243"/>
      <c r="L300" s="176"/>
      <c r="M300" s="7"/>
    </row>
    <row r="301" spans="2:13" ht="15" customHeight="1" thickBot="1">
      <c r="B301" s="184"/>
      <c r="C301" s="12"/>
      <c r="D301" s="12"/>
      <c r="E301" s="185"/>
      <c r="F301" s="186"/>
      <c r="G301" s="187"/>
      <c r="H301" s="188"/>
      <c r="I301" s="186"/>
      <c r="J301" s="186"/>
      <c r="K301" s="187"/>
      <c r="L301" s="189"/>
      <c r="M301" s="7"/>
    </row>
    <row r="302" spans="2:13" ht="15" customHeight="1">
      <c r="B302" s="205"/>
      <c r="C302" s="355"/>
      <c r="D302" s="355"/>
      <c r="E302" s="344"/>
      <c r="F302" s="349"/>
      <c r="G302" s="347"/>
      <c r="H302" s="345"/>
      <c r="I302" s="349"/>
      <c r="J302" s="349"/>
      <c r="K302" s="347"/>
      <c r="L302" s="176"/>
      <c r="M302" s="7"/>
    </row>
    <row r="303" spans="2:13" ht="15" customHeight="1">
      <c r="B303" s="175" t="s">
        <v>530</v>
      </c>
      <c r="C303" s="9">
        <f>'様式２'!C679</f>
        <v>81121000</v>
      </c>
      <c r="D303" s="9">
        <f>'様式２'!D679</f>
        <v>78933846</v>
      </c>
      <c r="E303" s="382" t="s">
        <v>960</v>
      </c>
      <c r="F303" s="383"/>
      <c r="G303" s="384"/>
      <c r="H303" s="391" t="s">
        <v>959</v>
      </c>
      <c r="I303" s="383"/>
      <c r="J303" s="383"/>
      <c r="K303" s="384"/>
      <c r="L303" s="176"/>
      <c r="M303" s="7"/>
    </row>
    <row r="304" spans="2:13" ht="15" customHeight="1">
      <c r="B304" s="175" t="s">
        <v>267</v>
      </c>
      <c r="C304" s="10"/>
      <c r="D304" s="10"/>
      <c r="E304" s="438" t="s">
        <v>970</v>
      </c>
      <c r="F304" s="386"/>
      <c r="G304" s="387"/>
      <c r="H304" s="385" t="s">
        <v>1310</v>
      </c>
      <c r="I304" s="386"/>
      <c r="J304" s="386"/>
      <c r="K304" s="387"/>
      <c r="L304" s="176"/>
      <c r="M304" s="7"/>
    </row>
    <row r="305" spans="2:13" ht="15" customHeight="1">
      <c r="B305" s="205"/>
      <c r="C305" s="11" t="s">
        <v>8</v>
      </c>
      <c r="D305" s="11" t="s">
        <v>8</v>
      </c>
      <c r="E305" s="438" t="s">
        <v>971</v>
      </c>
      <c r="F305" s="386"/>
      <c r="G305" s="387"/>
      <c r="H305" s="385"/>
      <c r="I305" s="386"/>
      <c r="J305" s="386"/>
      <c r="K305" s="387"/>
      <c r="L305" s="176">
        <v>25</v>
      </c>
      <c r="M305" s="7"/>
    </row>
    <row r="306" spans="2:13" ht="15" customHeight="1">
      <c r="B306" s="205"/>
      <c r="C306" s="9">
        <f>'様式２'!C682</f>
        <v>6144000</v>
      </c>
      <c r="D306" s="9">
        <f>'様式２'!D682</f>
        <v>8885264</v>
      </c>
      <c r="E306" s="408" t="s">
        <v>1326</v>
      </c>
      <c r="F306" s="409"/>
      <c r="G306" s="410"/>
      <c r="H306" s="391"/>
      <c r="I306" s="383"/>
      <c r="J306" s="383"/>
      <c r="K306" s="384"/>
      <c r="L306" s="176"/>
      <c r="M306" s="7"/>
    </row>
    <row r="307" spans="2:13" ht="15" customHeight="1">
      <c r="B307" s="205"/>
      <c r="C307" s="11" t="s">
        <v>9</v>
      </c>
      <c r="D307" s="11" t="s">
        <v>9</v>
      </c>
      <c r="E307" s="300" t="s">
        <v>1337</v>
      </c>
      <c r="F307" s="261"/>
      <c r="G307" s="249"/>
      <c r="H307" s="247"/>
      <c r="I307" s="224"/>
      <c r="J307" s="224"/>
      <c r="K307" s="225"/>
      <c r="L307" s="176"/>
      <c r="M307" s="7"/>
    </row>
    <row r="308" spans="2:13" ht="15" customHeight="1">
      <c r="B308" s="205"/>
      <c r="C308" s="9">
        <f>'様式２'!C684</f>
        <v>74977000</v>
      </c>
      <c r="D308" s="9">
        <f>'様式２'!D684</f>
        <v>70048582</v>
      </c>
      <c r="E308" s="382"/>
      <c r="F308" s="383"/>
      <c r="G308" s="384"/>
      <c r="H308" s="385"/>
      <c r="I308" s="386"/>
      <c r="J308" s="386"/>
      <c r="K308" s="387"/>
      <c r="L308" s="176"/>
      <c r="M308" s="7"/>
    </row>
    <row r="309" spans="2:13" ht="15" customHeight="1" thickBot="1">
      <c r="B309" s="209"/>
      <c r="C309" s="12"/>
      <c r="D309" s="12"/>
      <c r="E309" s="220"/>
      <c r="F309" s="221"/>
      <c r="G309" s="222"/>
      <c r="H309" s="223"/>
      <c r="I309" s="221"/>
      <c r="J309" s="221"/>
      <c r="K309" s="222"/>
      <c r="L309" s="189"/>
      <c r="M309" s="7"/>
    </row>
    <row r="310" spans="2:13" ht="12" customHeight="1">
      <c r="B310" s="178"/>
      <c r="C310" s="179"/>
      <c r="D310" s="179"/>
      <c r="E310" s="180"/>
      <c r="F310" s="268"/>
      <c r="G310" s="269"/>
      <c r="H310" s="267"/>
      <c r="I310" s="268"/>
      <c r="J310" s="268"/>
      <c r="K310" s="269"/>
      <c r="L310" s="181"/>
      <c r="M310" s="7"/>
    </row>
    <row r="311" spans="2:13" ht="15" customHeight="1">
      <c r="B311" s="175" t="s">
        <v>69</v>
      </c>
      <c r="C311" s="9">
        <f>'様式２'!C687</f>
        <v>27247000</v>
      </c>
      <c r="D311" s="9">
        <f>'様式２'!D687</f>
        <v>22827475</v>
      </c>
      <c r="E311" s="424" t="s">
        <v>70</v>
      </c>
      <c r="F311" s="379"/>
      <c r="G311" s="380"/>
      <c r="H311" s="381" t="s">
        <v>70</v>
      </c>
      <c r="I311" s="379"/>
      <c r="J311" s="379"/>
      <c r="K311" s="380"/>
      <c r="L311" s="176"/>
      <c r="M311" s="7"/>
    </row>
    <row r="312" spans="2:13" ht="15" customHeight="1">
      <c r="B312" s="175" t="s">
        <v>71</v>
      </c>
      <c r="C312" s="10"/>
      <c r="D312" s="10"/>
      <c r="E312" s="226" t="s">
        <v>1327</v>
      </c>
      <c r="F312" s="227"/>
      <c r="G312" s="228"/>
      <c r="H312" s="378" t="s">
        <v>958</v>
      </c>
      <c r="I312" s="379"/>
      <c r="J312" s="379"/>
      <c r="K312" s="380"/>
      <c r="L312" s="176"/>
      <c r="M312" s="7"/>
    </row>
    <row r="313" spans="2:13" ht="15" customHeight="1">
      <c r="B313" s="182"/>
      <c r="C313" s="11" t="s">
        <v>8</v>
      </c>
      <c r="D313" s="11" t="s">
        <v>8</v>
      </c>
      <c r="E313" s="226" t="s">
        <v>1232</v>
      </c>
      <c r="F313" s="227"/>
      <c r="G313" s="228"/>
      <c r="H313" s="381" t="s">
        <v>972</v>
      </c>
      <c r="I313" s="379"/>
      <c r="J313" s="379"/>
      <c r="K313" s="380"/>
      <c r="L313" s="176">
        <v>25</v>
      </c>
      <c r="M313" s="7"/>
    </row>
    <row r="314" spans="2:13" ht="15" customHeight="1">
      <c r="B314" s="182"/>
      <c r="C314" s="9">
        <f>'様式２'!C690</f>
        <v>3277000</v>
      </c>
      <c r="D314" s="9">
        <f>'様式２'!D690</f>
        <v>3670100</v>
      </c>
      <c r="E314" s="244" t="s">
        <v>1328</v>
      </c>
      <c r="F314" s="250"/>
      <c r="G314" s="243"/>
      <c r="H314" s="381" t="s">
        <v>898</v>
      </c>
      <c r="I314" s="379"/>
      <c r="J314" s="379"/>
      <c r="K314" s="380"/>
      <c r="L314" s="176"/>
      <c r="M314" s="7"/>
    </row>
    <row r="315" spans="2:13" ht="15" customHeight="1">
      <c r="B315" s="182"/>
      <c r="C315" s="11" t="s">
        <v>9</v>
      </c>
      <c r="D315" s="11" t="s">
        <v>9</v>
      </c>
      <c r="E315" s="244" t="s">
        <v>1233</v>
      </c>
      <c r="F315" s="250"/>
      <c r="G315" s="243"/>
      <c r="H315" s="246"/>
      <c r="I315" s="250"/>
      <c r="J315" s="250"/>
      <c r="K315" s="243"/>
      <c r="L315" s="176"/>
      <c r="M315" s="7"/>
    </row>
    <row r="316" spans="2:13" ht="15" customHeight="1">
      <c r="B316" s="182"/>
      <c r="C316" s="9">
        <f>'様式２'!C692</f>
        <v>23970000</v>
      </c>
      <c r="D316" s="9">
        <f>'様式２'!D692</f>
        <v>19157375</v>
      </c>
      <c r="E316" s="183" t="s">
        <v>1329</v>
      </c>
      <c r="F316" s="250"/>
      <c r="G316" s="243"/>
      <c r="H316" s="246"/>
      <c r="I316" s="250"/>
      <c r="J316" s="250"/>
      <c r="K316" s="243"/>
      <c r="L316" s="176"/>
      <c r="M316" s="7"/>
    </row>
    <row r="317" spans="2:13" ht="15" customHeight="1" thickBot="1">
      <c r="B317" s="184"/>
      <c r="C317" s="12"/>
      <c r="D317" s="12"/>
      <c r="E317" s="185"/>
      <c r="F317" s="186"/>
      <c r="G317" s="187"/>
      <c r="H317" s="188"/>
      <c r="I317" s="186"/>
      <c r="J317" s="186"/>
      <c r="K317" s="187"/>
      <c r="L317" s="189"/>
      <c r="M317" s="7"/>
    </row>
    <row r="318" spans="2:13" ht="15" customHeight="1">
      <c r="B318" s="178"/>
      <c r="C318" s="179"/>
      <c r="D318" s="179"/>
      <c r="E318" s="180"/>
      <c r="F318" s="268"/>
      <c r="G318" s="269"/>
      <c r="H318" s="267"/>
      <c r="I318" s="268"/>
      <c r="J318" s="268"/>
      <c r="K318" s="269"/>
      <c r="L318" s="181"/>
      <c r="M318" s="7"/>
    </row>
    <row r="319" spans="2:13" ht="15" customHeight="1">
      <c r="B319" s="175" t="s">
        <v>72</v>
      </c>
      <c r="C319" s="9">
        <f>'様式２'!C699</f>
        <v>35488000</v>
      </c>
      <c r="D319" s="9">
        <f>'様式２'!D699</f>
        <v>31707226</v>
      </c>
      <c r="E319" s="240" t="s">
        <v>926</v>
      </c>
      <c r="F319" s="254"/>
      <c r="G319" s="255"/>
      <c r="H319" s="381" t="s">
        <v>73</v>
      </c>
      <c r="I319" s="379"/>
      <c r="J319" s="379"/>
      <c r="K319" s="380"/>
      <c r="L319" s="176"/>
      <c r="M319" s="7"/>
    </row>
    <row r="320" spans="2:13" ht="15" customHeight="1">
      <c r="B320" s="175" t="s">
        <v>58</v>
      </c>
      <c r="C320" s="10"/>
      <c r="D320" s="10"/>
      <c r="E320" s="439" t="s">
        <v>1234</v>
      </c>
      <c r="F320" s="404"/>
      <c r="G320" s="405"/>
      <c r="H320" s="378" t="s">
        <v>955</v>
      </c>
      <c r="I320" s="379"/>
      <c r="J320" s="379"/>
      <c r="K320" s="380"/>
      <c r="L320" s="176"/>
      <c r="M320" s="7"/>
    </row>
    <row r="321" spans="2:13" ht="15" customHeight="1">
      <c r="B321" s="182"/>
      <c r="C321" s="11" t="s">
        <v>8</v>
      </c>
      <c r="D321" s="11" t="s">
        <v>8</v>
      </c>
      <c r="E321" s="424" t="s">
        <v>1330</v>
      </c>
      <c r="F321" s="379"/>
      <c r="G321" s="380"/>
      <c r="H321" s="381" t="s">
        <v>973</v>
      </c>
      <c r="I321" s="379"/>
      <c r="J321" s="379"/>
      <c r="K321" s="380"/>
      <c r="L321" s="176">
        <v>25</v>
      </c>
      <c r="M321" s="7"/>
    </row>
    <row r="322" spans="2:13" ht="15" customHeight="1">
      <c r="B322" s="182"/>
      <c r="C322" s="9">
        <f>'様式２'!C702</f>
        <v>14847000</v>
      </c>
      <c r="D322" s="9">
        <f>'様式２'!D702</f>
        <v>12801200</v>
      </c>
      <c r="E322" s="445" t="s">
        <v>1331</v>
      </c>
      <c r="F322" s="379"/>
      <c r="G322" s="380"/>
      <c r="H322" s="381"/>
      <c r="I322" s="379"/>
      <c r="J322" s="379"/>
      <c r="K322" s="380"/>
      <c r="L322" s="176"/>
      <c r="M322" s="7"/>
    </row>
    <row r="323" spans="2:13" ht="15" customHeight="1">
      <c r="B323" s="182"/>
      <c r="C323" s="11" t="s">
        <v>9</v>
      </c>
      <c r="D323" s="11" t="s">
        <v>9</v>
      </c>
      <c r="E323" s="245"/>
      <c r="F323" s="183"/>
      <c r="G323" s="183"/>
      <c r="H323" s="246"/>
      <c r="I323" s="250"/>
      <c r="J323" s="250"/>
      <c r="K323" s="243"/>
      <c r="L323" s="176"/>
      <c r="M323" s="7"/>
    </row>
    <row r="324" spans="2:13" ht="15" customHeight="1">
      <c r="B324" s="182"/>
      <c r="C324" s="9">
        <f>'様式２'!C704</f>
        <v>20641000</v>
      </c>
      <c r="D324" s="9">
        <f>'様式２'!D704</f>
        <v>18906026</v>
      </c>
      <c r="E324" s="439"/>
      <c r="F324" s="440"/>
      <c r="G324" s="441"/>
      <c r="H324" s="246"/>
      <c r="I324" s="250"/>
      <c r="J324" s="250"/>
      <c r="K324" s="243"/>
      <c r="L324" s="176"/>
      <c r="M324" s="7"/>
    </row>
    <row r="325" spans="2:13" ht="15" customHeight="1" thickBot="1">
      <c r="B325" s="184"/>
      <c r="C325" s="12"/>
      <c r="D325" s="12"/>
      <c r="E325" s="185"/>
      <c r="F325" s="186"/>
      <c r="G325" s="187"/>
      <c r="H325" s="188"/>
      <c r="I325" s="186"/>
      <c r="J325" s="186"/>
      <c r="K325" s="187"/>
      <c r="L325" s="189"/>
      <c r="M325" s="7"/>
    </row>
    <row r="326" spans="2:13" ht="15" customHeight="1">
      <c r="B326" s="217"/>
      <c r="C326" s="179"/>
      <c r="D326" s="179"/>
      <c r="E326" s="206"/>
      <c r="F326" s="218"/>
      <c r="G326" s="219"/>
      <c r="H326" s="214"/>
      <c r="I326" s="218"/>
      <c r="J326" s="218"/>
      <c r="K326" s="219"/>
      <c r="L326" s="181"/>
      <c r="M326" s="7"/>
    </row>
    <row r="327" spans="2:13" ht="15" customHeight="1">
      <c r="B327" s="175" t="s">
        <v>74</v>
      </c>
      <c r="C327" s="9">
        <f>'様式２'!C710</f>
        <v>44495000</v>
      </c>
      <c r="D327" s="9">
        <f>'様式２'!D710</f>
        <v>37958738</v>
      </c>
      <c r="E327" s="442" t="s">
        <v>654</v>
      </c>
      <c r="F327" s="443"/>
      <c r="G327" s="444"/>
      <c r="H327" s="391" t="s">
        <v>956</v>
      </c>
      <c r="I327" s="383"/>
      <c r="J327" s="383"/>
      <c r="K327" s="384"/>
      <c r="L327" s="176"/>
      <c r="M327" s="7"/>
    </row>
    <row r="328" spans="2:13" ht="15" customHeight="1">
      <c r="B328" s="175" t="s">
        <v>75</v>
      </c>
      <c r="C328" s="10"/>
      <c r="D328" s="10"/>
      <c r="E328" s="308" t="s">
        <v>1235</v>
      </c>
      <c r="F328" s="309"/>
      <c r="G328" s="310"/>
      <c r="H328" s="385" t="s">
        <v>957</v>
      </c>
      <c r="I328" s="386"/>
      <c r="J328" s="386"/>
      <c r="K328" s="387"/>
      <c r="L328" s="176"/>
      <c r="M328" s="7"/>
    </row>
    <row r="329" spans="2:13" ht="15" customHeight="1">
      <c r="B329" s="205"/>
      <c r="C329" s="11" t="s">
        <v>8</v>
      </c>
      <c r="D329" s="11" t="s">
        <v>8</v>
      </c>
      <c r="E329" s="308" t="s">
        <v>1332</v>
      </c>
      <c r="F329" s="309"/>
      <c r="G329" s="310"/>
      <c r="H329" s="385" t="s">
        <v>974</v>
      </c>
      <c r="I329" s="386"/>
      <c r="J329" s="386"/>
      <c r="K329" s="387"/>
      <c r="L329" s="176"/>
      <c r="M329" s="7"/>
    </row>
    <row r="330" spans="2:13" ht="15" customHeight="1">
      <c r="B330" s="205"/>
      <c r="C330" s="9">
        <f>'様式２'!C713</f>
        <v>7484000</v>
      </c>
      <c r="D330" s="9">
        <f>'様式２'!D713</f>
        <v>6439460</v>
      </c>
      <c r="E330" s="308" t="s">
        <v>1236</v>
      </c>
      <c r="F330" s="309"/>
      <c r="G330" s="310"/>
      <c r="H330" s="391"/>
      <c r="I330" s="383"/>
      <c r="J330" s="383"/>
      <c r="K330" s="384"/>
      <c r="L330" s="176">
        <v>26</v>
      </c>
      <c r="M330" s="7"/>
    </row>
    <row r="331" spans="2:13" ht="15" customHeight="1">
      <c r="B331" s="205"/>
      <c r="C331" s="11" t="s">
        <v>9</v>
      </c>
      <c r="D331" s="11" t="s">
        <v>9</v>
      </c>
      <c r="E331" s="308" t="s">
        <v>1333</v>
      </c>
      <c r="F331" s="309"/>
      <c r="G331" s="310"/>
      <c r="H331" s="247"/>
      <c r="I331" s="224"/>
      <c r="J331" s="224"/>
      <c r="K331" s="225"/>
      <c r="L331" s="176"/>
      <c r="M331" s="7"/>
    </row>
    <row r="332" spans="2:13" ht="15" customHeight="1">
      <c r="B332" s="205"/>
      <c r="C332" s="9">
        <f>'様式２'!C715</f>
        <v>37011000</v>
      </c>
      <c r="D332" s="9">
        <f>'様式２'!D715</f>
        <v>31519278</v>
      </c>
      <c r="E332" s="308" t="s">
        <v>1237</v>
      </c>
      <c r="F332" s="311"/>
      <c r="G332" s="312"/>
      <c r="H332" s="385"/>
      <c r="I332" s="386"/>
      <c r="J332" s="386"/>
      <c r="K332" s="387"/>
      <c r="L332" s="176"/>
      <c r="M332" s="7"/>
    </row>
    <row r="333" spans="2:13" ht="15" customHeight="1">
      <c r="B333" s="205"/>
      <c r="C333" s="11"/>
      <c r="D333" s="11"/>
      <c r="E333" s="313" t="s">
        <v>1334</v>
      </c>
      <c r="F333" s="309"/>
      <c r="G333" s="310"/>
      <c r="H333" s="247"/>
      <c r="I333" s="224"/>
      <c r="J333" s="224"/>
      <c r="K333" s="225"/>
      <c r="L333" s="176"/>
      <c r="M333" s="7"/>
    </row>
    <row r="334" spans="2:13" ht="15" customHeight="1" thickBot="1">
      <c r="B334" s="209"/>
      <c r="C334" s="12"/>
      <c r="D334" s="12"/>
      <c r="E334" s="220"/>
      <c r="F334" s="221"/>
      <c r="G334" s="222"/>
      <c r="H334" s="223"/>
      <c r="I334" s="221"/>
      <c r="J334" s="221"/>
      <c r="K334" s="222"/>
      <c r="L334" s="189"/>
      <c r="M334" s="7"/>
    </row>
    <row r="335" spans="2:13" ht="15" customHeight="1">
      <c r="B335" s="182"/>
      <c r="C335" s="355"/>
      <c r="D335" s="355"/>
      <c r="E335" s="370"/>
      <c r="F335" s="369"/>
      <c r="G335" s="367"/>
      <c r="H335" s="371"/>
      <c r="I335" s="369"/>
      <c r="J335" s="369"/>
      <c r="K335" s="367"/>
      <c r="L335" s="176"/>
      <c r="M335" s="7"/>
    </row>
    <row r="336" spans="2:13" ht="15" customHeight="1">
      <c r="B336" s="175" t="s">
        <v>485</v>
      </c>
      <c r="C336" s="9">
        <f>'様式２'!C722</f>
        <v>100960000</v>
      </c>
      <c r="D336" s="9">
        <f>'様式２'!D722</f>
        <v>92288242</v>
      </c>
      <c r="E336" s="424" t="s">
        <v>76</v>
      </c>
      <c r="F336" s="379"/>
      <c r="G336" s="380"/>
      <c r="H336" s="437" t="s">
        <v>77</v>
      </c>
      <c r="I336" s="379"/>
      <c r="J336" s="379"/>
      <c r="K336" s="380"/>
      <c r="L336" s="202"/>
      <c r="M336" s="7"/>
    </row>
    <row r="337" spans="2:13" ht="15" customHeight="1">
      <c r="B337" s="175" t="s">
        <v>487</v>
      </c>
      <c r="C337" s="10"/>
      <c r="D337" s="10"/>
      <c r="E337" s="424" t="s">
        <v>78</v>
      </c>
      <c r="F337" s="379"/>
      <c r="G337" s="380"/>
      <c r="H337" s="183" t="s">
        <v>927</v>
      </c>
      <c r="I337" s="229"/>
      <c r="J337" s="229"/>
      <c r="K337" s="241"/>
      <c r="L337" s="202"/>
      <c r="M337" s="7"/>
    </row>
    <row r="338" spans="2:13" ht="15" customHeight="1">
      <c r="B338" s="182"/>
      <c r="C338" s="11" t="s">
        <v>7</v>
      </c>
      <c r="D338" s="11" t="s">
        <v>7</v>
      </c>
      <c r="E338" s="424" t="s">
        <v>1335</v>
      </c>
      <c r="F338" s="379"/>
      <c r="G338" s="380"/>
      <c r="H338" s="256"/>
      <c r="I338" s="229"/>
      <c r="J338" s="229"/>
      <c r="K338" s="241"/>
      <c r="L338" s="176">
        <v>26</v>
      </c>
      <c r="M338" s="7"/>
    </row>
    <row r="339" spans="2:13" ht="15" customHeight="1">
      <c r="B339" s="182"/>
      <c r="C339" s="9">
        <f>'様式２'!C725</f>
        <v>100833000</v>
      </c>
      <c r="D339" s="9">
        <f>'様式２'!D725</f>
        <v>92288242</v>
      </c>
      <c r="E339" s="424"/>
      <c r="F339" s="379"/>
      <c r="G339" s="380"/>
      <c r="H339" s="244"/>
      <c r="I339" s="250"/>
      <c r="J339" s="250"/>
      <c r="K339" s="201"/>
      <c r="L339" s="202"/>
      <c r="M339" s="7"/>
    </row>
    <row r="340" spans="2:13" ht="15" customHeight="1">
      <c r="B340" s="182"/>
      <c r="C340" s="11" t="s">
        <v>9</v>
      </c>
      <c r="D340" s="11" t="s">
        <v>9</v>
      </c>
      <c r="E340" s="424" t="s">
        <v>79</v>
      </c>
      <c r="F340" s="379"/>
      <c r="G340" s="380"/>
      <c r="H340" s="244"/>
      <c r="I340" s="250"/>
      <c r="J340" s="250"/>
      <c r="K340" s="201"/>
      <c r="L340" s="176"/>
      <c r="M340" s="7"/>
    </row>
    <row r="341" spans="2:13" ht="15" customHeight="1">
      <c r="B341" s="182"/>
      <c r="C341" s="9">
        <f>'様式２'!C727</f>
        <v>127000</v>
      </c>
      <c r="D341" s="9">
        <f>'様式２'!D727</f>
        <v>0</v>
      </c>
      <c r="E341" s="244" t="s">
        <v>1336</v>
      </c>
      <c r="F341" s="242"/>
      <c r="G341" s="243"/>
      <c r="H341" s="244"/>
      <c r="I341" s="250"/>
      <c r="J341" s="250"/>
      <c r="K341" s="201"/>
      <c r="L341" s="202"/>
      <c r="M341" s="7"/>
    </row>
    <row r="342" spans="2:13" ht="15" customHeight="1" thickBot="1">
      <c r="B342" s="184"/>
      <c r="C342" s="12"/>
      <c r="D342" s="12"/>
      <c r="E342" s="185"/>
      <c r="F342" s="186"/>
      <c r="G342" s="187"/>
      <c r="H342" s="185"/>
      <c r="I342" s="186"/>
      <c r="J342" s="186"/>
      <c r="K342" s="203"/>
      <c r="L342" s="204"/>
      <c r="M342" s="7"/>
    </row>
    <row r="343" spans="2:13" ht="15" customHeight="1">
      <c r="B343" s="177"/>
      <c r="C343" s="9"/>
      <c r="D343" s="9"/>
      <c r="E343" s="343"/>
      <c r="F343" s="342"/>
      <c r="G343" s="340"/>
      <c r="H343" s="343"/>
      <c r="I343" s="342"/>
      <c r="J343" s="342"/>
      <c r="K343" s="201"/>
      <c r="L343" s="202"/>
      <c r="M343" s="7"/>
    </row>
    <row r="344" spans="2:13" ht="15" customHeight="1">
      <c r="B344" s="230" t="s">
        <v>531</v>
      </c>
      <c r="C344" s="9">
        <f>'様式２'!C730</f>
        <v>46788000</v>
      </c>
      <c r="D344" s="9">
        <f>'様式２'!D730</f>
        <v>19488802</v>
      </c>
      <c r="E344" s="248" t="s">
        <v>1005</v>
      </c>
      <c r="F344" s="237"/>
      <c r="G344" s="259"/>
      <c r="H344" s="232" t="s">
        <v>1005</v>
      </c>
      <c r="I344" s="231"/>
      <c r="J344" s="231"/>
      <c r="K344" s="201"/>
      <c r="L344" s="202"/>
      <c r="M344" s="7"/>
    </row>
    <row r="345" spans="2:13" ht="15" customHeight="1">
      <c r="B345" s="230" t="s">
        <v>532</v>
      </c>
      <c r="C345" s="10"/>
      <c r="D345" s="10"/>
      <c r="E345" s="257" t="s">
        <v>1004</v>
      </c>
      <c r="F345" s="237" t="s">
        <v>1190</v>
      </c>
      <c r="G345" s="259"/>
      <c r="H345" s="244" t="s">
        <v>1004</v>
      </c>
      <c r="I345" s="190"/>
      <c r="J345" s="233" t="s">
        <v>82</v>
      </c>
      <c r="K345" s="201"/>
      <c r="L345" s="202"/>
      <c r="M345" s="7"/>
    </row>
    <row r="346" spans="2:13" ht="15" customHeight="1">
      <c r="B346" s="175" t="s">
        <v>58</v>
      </c>
      <c r="C346" s="11" t="s">
        <v>80</v>
      </c>
      <c r="D346" s="11" t="s">
        <v>80</v>
      </c>
      <c r="E346" s="238"/>
      <c r="F346" s="239" t="s">
        <v>1191</v>
      </c>
      <c r="G346" s="259"/>
      <c r="H346" s="244"/>
      <c r="I346" s="231"/>
      <c r="J346" s="233"/>
      <c r="K346" s="201"/>
      <c r="L346" s="202"/>
      <c r="M346" s="7"/>
    </row>
    <row r="347" spans="2:13" ht="15" customHeight="1">
      <c r="B347" s="177"/>
      <c r="C347" s="9">
        <f>'様式２'!C733</f>
        <v>2703000</v>
      </c>
      <c r="D347" s="9">
        <f>'様式２'!D733</f>
        <v>1163000</v>
      </c>
      <c r="E347" s="238"/>
      <c r="F347" s="237"/>
      <c r="G347" s="259"/>
      <c r="H347" s="244"/>
      <c r="I347" s="250"/>
      <c r="J347" s="190"/>
      <c r="K347" s="201"/>
      <c r="L347" s="202"/>
      <c r="M347" s="7"/>
    </row>
    <row r="348" spans="2:13" ht="15" customHeight="1">
      <c r="B348" s="182"/>
      <c r="C348" s="11" t="s">
        <v>81</v>
      </c>
      <c r="D348" s="11" t="s">
        <v>81</v>
      </c>
      <c r="E348" s="257"/>
      <c r="F348" s="237"/>
      <c r="G348" s="259"/>
      <c r="H348" s="244"/>
      <c r="I348" s="190"/>
      <c r="J348" s="233"/>
      <c r="K348" s="201"/>
      <c r="L348" s="202"/>
      <c r="M348" s="7"/>
    </row>
    <row r="349" spans="2:13" ht="15" customHeight="1">
      <c r="B349" s="182"/>
      <c r="C349" s="9">
        <f>'様式２'!C735</f>
        <v>34406000</v>
      </c>
      <c r="D349" s="9">
        <f>'様式２'!D735</f>
        <v>334510606</v>
      </c>
      <c r="E349" s="238"/>
      <c r="F349" s="239"/>
      <c r="G349" s="259"/>
      <c r="H349" s="244"/>
      <c r="I349" s="250"/>
      <c r="J349" s="250"/>
      <c r="K349" s="201"/>
      <c r="L349" s="202"/>
      <c r="M349" s="7"/>
    </row>
    <row r="350" spans="2:13" ht="15" customHeight="1">
      <c r="B350" s="182"/>
      <c r="C350" s="11" t="s">
        <v>10</v>
      </c>
      <c r="D350" s="11" t="s">
        <v>10</v>
      </c>
      <c r="E350" s="257"/>
      <c r="F350" s="258"/>
      <c r="G350" s="259"/>
      <c r="H350" s="244"/>
      <c r="I350" s="250"/>
      <c r="J350" s="250"/>
      <c r="K350" s="201"/>
      <c r="L350" s="202"/>
      <c r="M350" s="7"/>
    </row>
    <row r="351" spans="2:13" ht="15" customHeight="1">
      <c r="B351" s="182"/>
      <c r="C351" s="9">
        <f>'様式２'!C737</f>
        <v>4400000</v>
      </c>
      <c r="D351" s="9">
        <f>'様式２'!D737</f>
        <v>1320000</v>
      </c>
      <c r="E351" s="257"/>
      <c r="F351" s="258"/>
      <c r="G351" s="259"/>
      <c r="H351" s="244"/>
      <c r="I351" s="250"/>
      <c r="J351" s="250"/>
      <c r="K351" s="201"/>
      <c r="L351" s="176">
        <v>26</v>
      </c>
      <c r="M351" s="7"/>
    </row>
    <row r="352" spans="2:13" ht="15" customHeight="1">
      <c r="B352" s="182"/>
      <c r="C352" s="11" t="s">
        <v>8</v>
      </c>
      <c r="D352" s="11" t="s">
        <v>8</v>
      </c>
      <c r="E352" s="257"/>
      <c r="F352" s="258"/>
      <c r="G352" s="259"/>
      <c r="H352" s="244"/>
      <c r="I352" s="250"/>
      <c r="J352" s="250"/>
      <c r="K352" s="201"/>
      <c r="L352" s="202"/>
      <c r="M352" s="7"/>
    </row>
    <row r="353" spans="2:13" ht="15" customHeight="1">
      <c r="B353" s="182"/>
      <c r="C353" s="9">
        <f>'様式２'!C739</f>
        <v>5279000</v>
      </c>
      <c r="D353" s="9">
        <f>'様式２'!D739</f>
        <v>19273527</v>
      </c>
      <c r="E353" s="215"/>
      <c r="F353" s="258"/>
      <c r="G353" s="259"/>
      <c r="H353" s="244"/>
      <c r="I353" s="250"/>
      <c r="J353" s="250"/>
      <c r="K353" s="201"/>
      <c r="L353" s="202"/>
      <c r="M353" s="7"/>
    </row>
    <row r="354" spans="2:13" ht="15" customHeight="1">
      <c r="B354" s="182"/>
      <c r="C354" s="11"/>
      <c r="D354" s="11"/>
      <c r="E354" s="257"/>
      <c r="F354" s="258"/>
      <c r="G354" s="259"/>
      <c r="H354" s="244"/>
      <c r="I354" s="250"/>
      <c r="J354" s="250"/>
      <c r="K354" s="201"/>
      <c r="L354" s="202"/>
      <c r="M354" s="7"/>
    </row>
    <row r="355" spans="2:13" ht="15" customHeight="1">
      <c r="B355" s="182"/>
      <c r="C355" s="11"/>
      <c r="D355" s="236" t="s">
        <v>83</v>
      </c>
      <c r="E355" s="257"/>
      <c r="F355" s="258"/>
      <c r="G355" s="259"/>
      <c r="H355" s="244"/>
      <c r="I355" s="250"/>
      <c r="J355" s="250"/>
      <c r="K355" s="201"/>
      <c r="L355" s="202"/>
      <c r="M355" s="7"/>
    </row>
    <row r="356" spans="2:13" ht="15" customHeight="1">
      <c r="B356" s="182"/>
      <c r="C356" s="11"/>
      <c r="D356" s="236" t="s">
        <v>928</v>
      </c>
      <c r="E356" s="257"/>
      <c r="F356" s="258"/>
      <c r="G356" s="259"/>
      <c r="H356" s="244"/>
      <c r="I356" s="250"/>
      <c r="J356" s="250"/>
      <c r="K356" s="201"/>
      <c r="L356" s="202"/>
      <c r="M356" s="7"/>
    </row>
    <row r="357" spans="2:13" ht="15" customHeight="1">
      <c r="B357" s="182"/>
      <c r="C357" s="11"/>
      <c r="D357" s="236" t="s">
        <v>84</v>
      </c>
      <c r="E357" s="257"/>
      <c r="F357" s="258"/>
      <c r="G357" s="259"/>
      <c r="H357" s="244"/>
      <c r="I357" s="250"/>
      <c r="J357" s="250"/>
      <c r="K357" s="201"/>
      <c r="L357" s="202"/>
      <c r="M357" s="7"/>
    </row>
    <row r="358" spans="2:13" ht="15" customHeight="1">
      <c r="B358" s="182"/>
      <c r="C358" s="11"/>
      <c r="D358" s="291">
        <f>'様式２'!D743</f>
        <v>336778331</v>
      </c>
      <c r="E358" s="257"/>
      <c r="F358" s="258"/>
      <c r="G358" s="259"/>
      <c r="H358" s="244"/>
      <c r="I358" s="250"/>
      <c r="J358" s="250"/>
      <c r="K358" s="201"/>
      <c r="L358" s="202"/>
      <c r="M358" s="7"/>
    </row>
    <row r="359" spans="2:13" ht="15" customHeight="1" thickBot="1">
      <c r="B359" s="184"/>
      <c r="C359" s="12"/>
      <c r="D359" s="12"/>
      <c r="E359" s="244"/>
      <c r="F359" s="250"/>
      <c r="G359" s="243"/>
      <c r="H359" s="244"/>
      <c r="I359" s="250"/>
      <c r="J359" s="250"/>
      <c r="K359" s="201"/>
      <c r="L359" s="202"/>
      <c r="M359" s="7"/>
    </row>
    <row r="360" spans="2:13" ht="15" customHeight="1">
      <c r="B360" s="177"/>
      <c r="C360" s="9"/>
      <c r="D360" s="9"/>
      <c r="E360" s="197"/>
      <c r="F360" s="268"/>
      <c r="G360" s="269"/>
      <c r="H360" s="197"/>
      <c r="I360" s="268"/>
      <c r="J360" s="268"/>
      <c r="K360" s="199"/>
      <c r="L360" s="200"/>
      <c r="M360" s="7"/>
    </row>
    <row r="361" spans="2:13" ht="15" customHeight="1">
      <c r="B361" s="230" t="s">
        <v>929</v>
      </c>
      <c r="C361" s="9">
        <f>'様式２'!C746</f>
        <v>39557000</v>
      </c>
      <c r="D361" s="9">
        <f>'様式２'!D746</f>
        <v>13656456</v>
      </c>
      <c r="E361" s="486" t="s">
        <v>1238</v>
      </c>
      <c r="F361" s="487"/>
      <c r="G361" s="488"/>
      <c r="H361" s="489" t="s">
        <v>1238</v>
      </c>
      <c r="I361" s="487"/>
      <c r="J361" s="487"/>
      <c r="K361" s="488"/>
      <c r="L361" s="202"/>
      <c r="M361" s="7"/>
    </row>
    <row r="362" spans="2:13" ht="15" customHeight="1">
      <c r="B362" s="230" t="s">
        <v>533</v>
      </c>
      <c r="C362" s="10"/>
      <c r="D362" s="10"/>
      <c r="E362" s="333" t="s">
        <v>86</v>
      </c>
      <c r="F362" s="190" t="s">
        <v>1312</v>
      </c>
      <c r="G362" s="331"/>
      <c r="H362" s="333" t="s">
        <v>87</v>
      </c>
      <c r="I362" s="332"/>
      <c r="J362" s="190" t="s">
        <v>1311</v>
      </c>
      <c r="K362" s="201"/>
      <c r="L362" s="202"/>
      <c r="M362" s="7"/>
    </row>
    <row r="363" spans="2:13" ht="15" customHeight="1">
      <c r="B363" s="230"/>
      <c r="C363" s="11" t="s">
        <v>80</v>
      </c>
      <c r="D363" s="11" t="s">
        <v>80</v>
      </c>
      <c r="E363" s="234"/>
      <c r="F363" s="235" t="s">
        <v>930</v>
      </c>
      <c r="G363" s="331"/>
      <c r="H363" s="244"/>
      <c r="I363" s="250"/>
      <c r="J363" s="190"/>
      <c r="K363" s="201"/>
      <c r="L363" s="202"/>
      <c r="M363" s="7"/>
    </row>
    <row r="364" spans="2:13" ht="15" customHeight="1">
      <c r="B364" s="177"/>
      <c r="C364" s="9">
        <f>'様式２'!C749</f>
        <v>302000</v>
      </c>
      <c r="D364" s="9">
        <f>'様式２'!D749</f>
        <v>302000</v>
      </c>
      <c r="E364" s="234"/>
      <c r="F364" s="235"/>
      <c r="G364" s="243"/>
      <c r="H364" s="244"/>
      <c r="I364" s="250"/>
      <c r="J364" s="190"/>
      <c r="K364" s="201"/>
      <c r="L364" s="202"/>
      <c r="M364" s="7"/>
    </row>
    <row r="365" spans="2:13" ht="15" customHeight="1">
      <c r="B365" s="182"/>
      <c r="C365" s="11" t="s">
        <v>81</v>
      </c>
      <c r="D365" s="11" t="s">
        <v>81</v>
      </c>
      <c r="E365" s="244"/>
      <c r="F365" s="190"/>
      <c r="G365" s="243"/>
      <c r="H365" s="244"/>
      <c r="I365" s="250"/>
      <c r="J365" s="190"/>
      <c r="K365" s="201"/>
      <c r="L365" s="202"/>
      <c r="M365" s="7"/>
    </row>
    <row r="366" spans="2:13" ht="15" customHeight="1">
      <c r="B366" s="182"/>
      <c r="C366" s="9">
        <f>'様式２'!C751</f>
        <v>19481000</v>
      </c>
      <c r="D366" s="9">
        <f>'様式２'!D751</f>
        <v>105485624</v>
      </c>
      <c r="E366" s="234"/>
      <c r="F366" s="190"/>
      <c r="G366" s="243"/>
      <c r="H366" s="244"/>
      <c r="I366" s="250"/>
      <c r="J366" s="250"/>
      <c r="K366" s="201"/>
      <c r="L366" s="176">
        <v>27</v>
      </c>
      <c r="M366" s="7"/>
    </row>
    <row r="367" spans="2:13" ht="15" customHeight="1">
      <c r="B367" s="182"/>
      <c r="C367" s="11" t="s">
        <v>8</v>
      </c>
      <c r="D367" s="11" t="s">
        <v>8</v>
      </c>
      <c r="E367" s="244"/>
      <c r="F367" s="250"/>
      <c r="G367" s="243"/>
      <c r="H367" s="244"/>
      <c r="I367" s="250"/>
      <c r="J367" s="250"/>
      <c r="K367" s="201"/>
      <c r="L367" s="202"/>
      <c r="M367" s="7"/>
    </row>
    <row r="368" spans="2:13" ht="15" customHeight="1">
      <c r="B368" s="182"/>
      <c r="C368" s="9">
        <f>'様式２'!C753</f>
        <v>19774000</v>
      </c>
      <c r="D368" s="9">
        <f>'様式２'!D753</f>
        <v>20880726</v>
      </c>
      <c r="E368" s="244"/>
      <c r="F368" s="250"/>
      <c r="G368" s="243"/>
      <c r="H368" s="244"/>
      <c r="I368" s="250"/>
      <c r="J368" s="250"/>
      <c r="K368" s="201"/>
      <c r="L368" s="202"/>
      <c r="M368" s="7"/>
    </row>
    <row r="369" spans="2:13" ht="15" customHeight="1">
      <c r="B369" s="182"/>
      <c r="C369" s="11"/>
      <c r="D369" s="11"/>
      <c r="E369" s="244"/>
      <c r="F369" s="250"/>
      <c r="G369" s="243"/>
      <c r="H369" s="244"/>
      <c r="I369" s="250"/>
      <c r="J369" s="250"/>
      <c r="K369" s="201"/>
      <c r="L369" s="202"/>
      <c r="M369" s="7"/>
    </row>
    <row r="370" spans="2:13" ht="15" customHeight="1">
      <c r="B370" s="182"/>
      <c r="C370" s="9"/>
      <c r="D370" s="236" t="s">
        <v>83</v>
      </c>
      <c r="E370" s="244"/>
      <c r="F370" s="250"/>
      <c r="G370" s="243"/>
      <c r="H370" s="244"/>
      <c r="I370" s="250"/>
      <c r="J370" s="250"/>
      <c r="K370" s="201"/>
      <c r="L370" s="202"/>
      <c r="M370" s="7"/>
    </row>
    <row r="371" spans="2:13" ht="15" customHeight="1">
      <c r="B371" s="182"/>
      <c r="C371" s="11"/>
      <c r="D371" s="236" t="s">
        <v>928</v>
      </c>
      <c r="E371" s="244"/>
      <c r="F371" s="250"/>
      <c r="G371" s="243"/>
      <c r="H371" s="244"/>
      <c r="I371" s="250"/>
      <c r="J371" s="250"/>
      <c r="K371" s="201"/>
      <c r="L371" s="202"/>
      <c r="M371" s="7"/>
    </row>
    <row r="372" spans="2:13" ht="15" customHeight="1">
      <c r="B372" s="182"/>
      <c r="C372" s="11"/>
      <c r="D372" s="236" t="s">
        <v>84</v>
      </c>
      <c r="E372" s="244"/>
      <c r="F372" s="250"/>
      <c r="G372" s="243"/>
      <c r="H372" s="244"/>
      <c r="I372" s="250"/>
      <c r="J372" s="250"/>
      <c r="K372" s="201"/>
      <c r="L372" s="202"/>
      <c r="M372" s="7"/>
    </row>
    <row r="373" spans="2:13" ht="15" customHeight="1">
      <c r="B373" s="182"/>
      <c r="C373" s="11"/>
      <c r="D373" s="292">
        <f>'様式２'!D757</f>
        <v>113011894</v>
      </c>
      <c r="E373" s="244"/>
      <c r="F373" s="250"/>
      <c r="G373" s="243"/>
      <c r="H373" s="244"/>
      <c r="I373" s="250"/>
      <c r="J373" s="250"/>
      <c r="K373" s="201"/>
      <c r="L373" s="202"/>
      <c r="M373" s="7"/>
    </row>
    <row r="374" spans="2:13" ht="15" customHeight="1" thickBot="1">
      <c r="B374" s="184"/>
      <c r="C374" s="12"/>
      <c r="D374" s="12"/>
      <c r="E374" s="185"/>
      <c r="F374" s="186"/>
      <c r="G374" s="187"/>
      <c r="H374" s="185"/>
      <c r="I374" s="186"/>
      <c r="J374" s="186"/>
      <c r="K374" s="203"/>
      <c r="L374" s="204"/>
      <c r="M374" s="7"/>
    </row>
    <row r="375" spans="2:13" ht="15" customHeight="1">
      <c r="B375" s="182"/>
      <c r="C375" s="355"/>
      <c r="D375" s="355"/>
      <c r="E375" s="370"/>
      <c r="F375" s="369"/>
      <c r="G375" s="367"/>
      <c r="H375" s="371"/>
      <c r="I375" s="369"/>
      <c r="J375" s="369"/>
      <c r="K375" s="367"/>
      <c r="L375" s="176"/>
      <c r="M375" s="7"/>
    </row>
    <row r="376" spans="2:13" ht="15" customHeight="1">
      <c r="B376" s="230" t="s">
        <v>88</v>
      </c>
      <c r="C376" s="9">
        <f>'様式２'!C760</f>
        <v>16595000</v>
      </c>
      <c r="D376" s="9">
        <f>'様式２'!D760</f>
        <v>318444</v>
      </c>
      <c r="E376" s="486" t="s">
        <v>1238</v>
      </c>
      <c r="F376" s="487"/>
      <c r="G376" s="488"/>
      <c r="H376" s="489" t="s">
        <v>1238</v>
      </c>
      <c r="I376" s="487"/>
      <c r="J376" s="487"/>
      <c r="K376" s="488"/>
      <c r="L376" s="202"/>
      <c r="M376" s="7"/>
    </row>
    <row r="377" spans="2:13" ht="15" customHeight="1">
      <c r="B377" s="230" t="s">
        <v>85</v>
      </c>
      <c r="C377" s="10"/>
      <c r="D377" s="10"/>
      <c r="E377" s="333" t="s">
        <v>89</v>
      </c>
      <c r="F377" s="235" t="s">
        <v>646</v>
      </c>
      <c r="G377" s="331"/>
      <c r="H377" s="333" t="s">
        <v>90</v>
      </c>
      <c r="I377" s="332"/>
      <c r="J377" s="235" t="s">
        <v>91</v>
      </c>
      <c r="K377" s="331"/>
      <c r="L377" s="202"/>
      <c r="M377" s="7"/>
    </row>
    <row r="378" spans="2:13" ht="15" customHeight="1">
      <c r="B378" s="230"/>
      <c r="C378" s="11" t="s">
        <v>80</v>
      </c>
      <c r="D378" s="11" t="s">
        <v>80</v>
      </c>
      <c r="E378" s="244"/>
      <c r="F378" s="235"/>
      <c r="G378" s="243"/>
      <c r="H378" s="244"/>
      <c r="I378" s="250"/>
      <c r="J378" s="235"/>
      <c r="K378" s="201"/>
      <c r="L378" s="202"/>
      <c r="M378" s="7"/>
    </row>
    <row r="379" spans="2:13" ht="15" customHeight="1">
      <c r="B379" s="177"/>
      <c r="C379" s="9">
        <f>'様式２'!C763</f>
        <v>19000</v>
      </c>
      <c r="D379" s="9">
        <f>'様式２'!D763</f>
        <v>19000</v>
      </c>
      <c r="E379" s="234"/>
      <c r="F379" s="235"/>
      <c r="G379" s="243"/>
      <c r="H379" s="244"/>
      <c r="I379" s="250"/>
      <c r="J379" s="190"/>
      <c r="K379" s="201"/>
      <c r="L379" s="202"/>
      <c r="M379" s="7"/>
    </row>
    <row r="380" spans="2:13" ht="15" customHeight="1">
      <c r="B380" s="182"/>
      <c r="C380" s="11" t="s">
        <v>81</v>
      </c>
      <c r="D380" s="11" t="s">
        <v>81</v>
      </c>
      <c r="E380" s="244"/>
      <c r="F380" s="190"/>
      <c r="G380" s="243"/>
      <c r="H380" s="244"/>
      <c r="I380" s="250"/>
      <c r="J380" s="190"/>
      <c r="K380" s="201"/>
      <c r="L380" s="202"/>
      <c r="M380" s="7"/>
    </row>
    <row r="381" spans="2:13" ht="15" customHeight="1">
      <c r="B381" s="182"/>
      <c r="C381" s="9">
        <f>'様式２'!C765</f>
        <v>15809000</v>
      </c>
      <c r="D381" s="9">
        <f>'様式２'!D765</f>
        <v>86284768</v>
      </c>
      <c r="E381" s="234"/>
      <c r="F381" s="190"/>
      <c r="G381" s="243"/>
      <c r="H381" s="244"/>
      <c r="I381" s="250"/>
      <c r="J381" s="250"/>
      <c r="K381" s="201"/>
      <c r="L381" s="176">
        <v>27</v>
      </c>
      <c r="M381" s="7"/>
    </row>
    <row r="382" spans="2:13" ht="15" customHeight="1">
      <c r="B382" s="182"/>
      <c r="C382" s="11" t="s">
        <v>8</v>
      </c>
      <c r="D382" s="11" t="s">
        <v>8</v>
      </c>
      <c r="E382" s="244"/>
      <c r="F382" s="250"/>
      <c r="G382" s="243"/>
      <c r="H382" s="244"/>
      <c r="I382" s="250"/>
      <c r="J382" s="250"/>
      <c r="K382" s="201"/>
      <c r="L382" s="202"/>
      <c r="M382" s="7"/>
    </row>
    <row r="383" spans="2:13" ht="15" customHeight="1">
      <c r="B383" s="182"/>
      <c r="C383" s="9">
        <f>'様式２'!C767</f>
        <v>767000</v>
      </c>
      <c r="D383" s="9">
        <f>'様式２'!D767</f>
        <v>1216841</v>
      </c>
      <c r="E383" s="244"/>
      <c r="F383" s="250"/>
      <c r="G383" s="243"/>
      <c r="H383" s="244"/>
      <c r="I383" s="250"/>
      <c r="J383" s="250"/>
      <c r="K383" s="201"/>
      <c r="L383" s="202"/>
      <c r="M383" s="7"/>
    </row>
    <row r="384" spans="2:13" ht="15" customHeight="1">
      <c r="B384" s="182"/>
      <c r="C384" s="11"/>
      <c r="D384" s="11"/>
      <c r="E384" s="244"/>
      <c r="F384" s="250"/>
      <c r="G384" s="243"/>
      <c r="H384" s="244"/>
      <c r="I384" s="250"/>
      <c r="J384" s="250"/>
      <c r="K384" s="201"/>
      <c r="L384" s="202"/>
      <c r="M384" s="7"/>
    </row>
    <row r="385" spans="2:13" ht="15" customHeight="1">
      <c r="B385" s="182"/>
      <c r="C385" s="9"/>
      <c r="D385" s="236" t="s">
        <v>83</v>
      </c>
      <c r="E385" s="244"/>
      <c r="F385" s="250"/>
      <c r="G385" s="243"/>
      <c r="H385" s="244"/>
      <c r="I385" s="250"/>
      <c r="J385" s="250"/>
      <c r="K385" s="201"/>
      <c r="L385" s="202"/>
      <c r="M385" s="7"/>
    </row>
    <row r="386" spans="2:13" ht="15" customHeight="1">
      <c r="B386" s="182"/>
      <c r="C386" s="11"/>
      <c r="D386" s="236" t="s">
        <v>928</v>
      </c>
      <c r="E386" s="244"/>
      <c r="F386" s="250"/>
      <c r="G386" s="243"/>
      <c r="H386" s="244"/>
      <c r="I386" s="250"/>
      <c r="J386" s="250"/>
      <c r="K386" s="201"/>
      <c r="L386" s="202"/>
      <c r="M386" s="7"/>
    </row>
    <row r="387" spans="2:13" ht="15" customHeight="1">
      <c r="B387" s="182"/>
      <c r="C387" s="11"/>
      <c r="D387" s="236" t="s">
        <v>84</v>
      </c>
      <c r="E387" s="244"/>
      <c r="F387" s="250"/>
      <c r="G387" s="243"/>
      <c r="H387" s="244"/>
      <c r="I387" s="250"/>
      <c r="J387" s="250"/>
      <c r="K387" s="201"/>
      <c r="L387" s="202"/>
      <c r="M387" s="7"/>
    </row>
    <row r="388" spans="2:13" ht="15" customHeight="1">
      <c r="B388" s="182"/>
      <c r="C388" s="11"/>
      <c r="D388" s="293">
        <f>'様式２'!D771</f>
        <v>87202165</v>
      </c>
      <c r="E388" s="244"/>
      <c r="F388" s="250"/>
      <c r="G388" s="243"/>
      <c r="H388" s="244"/>
      <c r="I388" s="250"/>
      <c r="J388" s="250"/>
      <c r="K388" s="201"/>
      <c r="L388" s="202"/>
      <c r="M388" s="7"/>
    </row>
    <row r="389" spans="2:13" ht="15" customHeight="1" thickBot="1">
      <c r="B389" s="184"/>
      <c r="C389" s="12"/>
      <c r="D389" s="12"/>
      <c r="E389" s="185"/>
      <c r="F389" s="186"/>
      <c r="G389" s="187"/>
      <c r="H389" s="185"/>
      <c r="I389" s="186"/>
      <c r="J389" s="186"/>
      <c r="K389" s="203"/>
      <c r="L389" s="204"/>
      <c r="M389" s="7"/>
    </row>
    <row r="390" ht="23.25" customHeight="1">
      <c r="B390" s="13"/>
    </row>
  </sheetData>
  <sheetProtection/>
  <mergeCells count="309">
    <mergeCell ref="E306:G306"/>
    <mergeCell ref="E20:G20"/>
    <mergeCell ref="E21:G21"/>
    <mergeCell ref="H21:K21"/>
    <mergeCell ref="E26:G26"/>
    <mergeCell ref="E27:G27"/>
    <mergeCell ref="F3:G3"/>
    <mergeCell ref="K3:L3"/>
    <mergeCell ref="B4:B5"/>
    <mergeCell ref="E4:G5"/>
    <mergeCell ref="H4:K5"/>
    <mergeCell ref="L4:L5"/>
    <mergeCell ref="E23:G23"/>
    <mergeCell ref="H23:K23"/>
    <mergeCell ref="E40:G40"/>
    <mergeCell ref="H40:K40"/>
    <mergeCell ref="H41:K41"/>
    <mergeCell ref="H24:J24"/>
    <mergeCell ref="H25:J25"/>
    <mergeCell ref="H70:K70"/>
    <mergeCell ref="H77:K77"/>
    <mergeCell ref="E78:G78"/>
    <mergeCell ref="H78:K78"/>
    <mergeCell ref="H79:K79"/>
    <mergeCell ref="E361:G361"/>
    <mergeCell ref="H361:K361"/>
    <mergeCell ref="E376:G376"/>
    <mergeCell ref="H376:K376"/>
    <mergeCell ref="H16:K16"/>
    <mergeCell ref="E17:G17"/>
    <mergeCell ref="H17:K17"/>
    <mergeCell ref="E7:G7"/>
    <mergeCell ref="H7:K7"/>
    <mergeCell ref="E8:G8"/>
    <mergeCell ref="H8:K8"/>
    <mergeCell ref="H9:K9"/>
    <mergeCell ref="H13:K13"/>
    <mergeCell ref="H14:K14"/>
    <mergeCell ref="E18:G18"/>
    <mergeCell ref="H18:K18"/>
    <mergeCell ref="E19:G19"/>
    <mergeCell ref="H19:K19"/>
    <mergeCell ref="E62:G62"/>
    <mergeCell ref="H62:K62"/>
    <mergeCell ref="E63:G63"/>
    <mergeCell ref="H64:K64"/>
    <mergeCell ref="H69:K69"/>
    <mergeCell ref="H71:K71"/>
    <mergeCell ref="E80:G80"/>
    <mergeCell ref="H80:K80"/>
    <mergeCell ref="E74:G74"/>
    <mergeCell ref="H74:K74"/>
    <mergeCell ref="E75:G75"/>
    <mergeCell ref="H75:K75"/>
    <mergeCell ref="H76:K76"/>
    <mergeCell ref="E88:G88"/>
    <mergeCell ref="H88:K88"/>
    <mergeCell ref="H89:K89"/>
    <mergeCell ref="E90:G90"/>
    <mergeCell ref="H90:K90"/>
    <mergeCell ref="E94:G94"/>
    <mergeCell ref="E84:G84"/>
    <mergeCell ref="H84:K84"/>
    <mergeCell ref="E85:G85"/>
    <mergeCell ref="H85:K85"/>
    <mergeCell ref="H86:K86"/>
    <mergeCell ref="H87:K87"/>
    <mergeCell ref="E122:G122"/>
    <mergeCell ref="H122:K122"/>
    <mergeCell ref="E123:G123"/>
    <mergeCell ref="H123:K123"/>
    <mergeCell ref="E124:G124"/>
    <mergeCell ref="H124:K124"/>
    <mergeCell ref="E106:G106"/>
    <mergeCell ref="E119:G119"/>
    <mergeCell ref="H119:K119"/>
    <mergeCell ref="E120:G120"/>
    <mergeCell ref="H120:K120"/>
    <mergeCell ref="E121:G121"/>
    <mergeCell ref="H121:K121"/>
    <mergeCell ref="H106:J106"/>
    <mergeCell ref="H112:J112"/>
    <mergeCell ref="E110:G110"/>
    <mergeCell ref="E111:G111"/>
    <mergeCell ref="E112:G112"/>
    <mergeCell ref="E113:G113"/>
    <mergeCell ref="E131:G131"/>
    <mergeCell ref="E132:G132"/>
    <mergeCell ref="E141:G141"/>
    <mergeCell ref="H141:K141"/>
    <mergeCell ref="E142:G142"/>
    <mergeCell ref="H142:K142"/>
    <mergeCell ref="E125:G125"/>
    <mergeCell ref="H125:K125"/>
    <mergeCell ref="E126:G126"/>
    <mergeCell ref="E129:G129"/>
    <mergeCell ref="H129:K129"/>
    <mergeCell ref="E130:G130"/>
    <mergeCell ref="H130:K130"/>
    <mergeCell ref="E150:G150"/>
    <mergeCell ref="H150:K150"/>
    <mergeCell ref="E151:G151"/>
    <mergeCell ref="H151:K151"/>
    <mergeCell ref="E153:G153"/>
    <mergeCell ref="H153:K153"/>
    <mergeCell ref="E154:G154"/>
    <mergeCell ref="H143:K143"/>
    <mergeCell ref="E145:G145"/>
    <mergeCell ref="H145:K145"/>
    <mergeCell ref="H146:K146"/>
    <mergeCell ref="E149:G149"/>
    <mergeCell ref="H149:K149"/>
    <mergeCell ref="E162:G162"/>
    <mergeCell ref="H162:K162"/>
    <mergeCell ref="E171:G171"/>
    <mergeCell ref="H171:K171"/>
    <mergeCell ref="E172:G172"/>
    <mergeCell ref="H172:K172"/>
    <mergeCell ref="E175:G175"/>
    <mergeCell ref="H175:K175"/>
    <mergeCell ref="H154:K154"/>
    <mergeCell ref="E159:G159"/>
    <mergeCell ref="H159:K159"/>
    <mergeCell ref="E160:G160"/>
    <mergeCell ref="H160:K160"/>
    <mergeCell ref="E161:G161"/>
    <mergeCell ref="H161:K161"/>
    <mergeCell ref="E182:G182"/>
    <mergeCell ref="H182:K182"/>
    <mergeCell ref="E183:G183"/>
    <mergeCell ref="H183:K183"/>
    <mergeCell ref="E173:G173"/>
    <mergeCell ref="H173:K173"/>
    <mergeCell ref="E174:G174"/>
    <mergeCell ref="H174:K174"/>
    <mergeCell ref="E181:G181"/>
    <mergeCell ref="H181:K181"/>
    <mergeCell ref="E202:G202"/>
    <mergeCell ref="H202:K202"/>
    <mergeCell ref="E203:G203"/>
    <mergeCell ref="E193:G193"/>
    <mergeCell ref="H193:K193"/>
    <mergeCell ref="E194:G194"/>
    <mergeCell ref="H194:K194"/>
    <mergeCell ref="E195:G195"/>
    <mergeCell ref="H195:K195"/>
    <mergeCell ref="E196:G196"/>
    <mergeCell ref="H196:K196"/>
    <mergeCell ref="E198:G198"/>
    <mergeCell ref="H198:K198"/>
    <mergeCell ref="E199:G199"/>
    <mergeCell ref="E200:G200"/>
    <mergeCell ref="H200:K200"/>
    <mergeCell ref="E201:G201"/>
    <mergeCell ref="H201:K201"/>
    <mergeCell ref="E227:G227"/>
    <mergeCell ref="H227:K227"/>
    <mergeCell ref="E225:G225"/>
    <mergeCell ref="H225:K225"/>
    <mergeCell ref="E226:G226"/>
    <mergeCell ref="H226:K226"/>
    <mergeCell ref="H203:K203"/>
    <mergeCell ref="E204:G204"/>
    <mergeCell ref="H204:K204"/>
    <mergeCell ref="E205:G205"/>
    <mergeCell ref="H205:K205"/>
    <mergeCell ref="E211:G211"/>
    <mergeCell ref="E213:G213"/>
    <mergeCell ref="E215:G215"/>
    <mergeCell ref="H219:K219"/>
    <mergeCell ref="E212:G212"/>
    <mergeCell ref="E218:G218"/>
    <mergeCell ref="E219:G219"/>
    <mergeCell ref="E221:G221"/>
    <mergeCell ref="E220:G220"/>
    <mergeCell ref="E209:G209"/>
    <mergeCell ref="H209:K209"/>
    <mergeCell ref="E210:G210"/>
    <mergeCell ref="H210:K210"/>
    <mergeCell ref="E208:G208"/>
    <mergeCell ref="H208:K208"/>
    <mergeCell ref="E228:G228"/>
    <mergeCell ref="H228:K228"/>
    <mergeCell ref="H265:K265"/>
    <mergeCell ref="E254:G254"/>
    <mergeCell ref="H256:K256"/>
    <mergeCell ref="H257:K257"/>
    <mergeCell ref="E256:G256"/>
    <mergeCell ref="E257:G257"/>
    <mergeCell ref="E258:G258"/>
    <mergeCell ref="E259:G259"/>
    <mergeCell ref="E260:G260"/>
    <mergeCell ref="H253:K253"/>
    <mergeCell ref="H241:K241"/>
    <mergeCell ref="H242:K242"/>
    <mergeCell ref="E238:G238"/>
    <mergeCell ref="H238:K238"/>
    <mergeCell ref="E239:G239"/>
    <mergeCell ref="E251:G251"/>
    <mergeCell ref="E252:G252"/>
    <mergeCell ref="E222:G222"/>
    <mergeCell ref="H234:K234"/>
    <mergeCell ref="E216:G216"/>
    <mergeCell ref="E266:G266"/>
    <mergeCell ref="H266:K266"/>
    <mergeCell ref="E268:G268"/>
    <mergeCell ref="H268:K268"/>
    <mergeCell ref="H263:K263"/>
    <mergeCell ref="E264:G264"/>
    <mergeCell ref="H264:K264"/>
    <mergeCell ref="H267:K267"/>
    <mergeCell ref="E284:G284"/>
    <mergeCell ref="H279:K279"/>
    <mergeCell ref="E274:G274"/>
    <mergeCell ref="E275:G275"/>
    <mergeCell ref="H276:K276"/>
    <mergeCell ref="H278:K278"/>
    <mergeCell ref="E269:G269"/>
    <mergeCell ref="E270:G270"/>
    <mergeCell ref="H270:K270"/>
    <mergeCell ref="E273:G273"/>
    <mergeCell ref="H273:K273"/>
    <mergeCell ref="E283:G283"/>
    <mergeCell ref="H283:K283"/>
    <mergeCell ref="E279:G279"/>
    <mergeCell ref="E280:G280"/>
    <mergeCell ref="H280:K280"/>
    <mergeCell ref="H275:K275"/>
    <mergeCell ref="E288:G288"/>
    <mergeCell ref="H293:K293"/>
    <mergeCell ref="E287:G287"/>
    <mergeCell ref="H287:K287"/>
    <mergeCell ref="H288:K288"/>
    <mergeCell ref="E285:G285"/>
    <mergeCell ref="H284:K284"/>
    <mergeCell ref="H285:K285"/>
    <mergeCell ref="E276:G276"/>
    <mergeCell ref="E336:G336"/>
    <mergeCell ref="H336:K336"/>
    <mergeCell ref="E337:G337"/>
    <mergeCell ref="E338:G338"/>
    <mergeCell ref="E339:G339"/>
    <mergeCell ref="E340:G340"/>
    <mergeCell ref="E304:G304"/>
    <mergeCell ref="H304:K304"/>
    <mergeCell ref="E305:G305"/>
    <mergeCell ref="H305:K305"/>
    <mergeCell ref="H306:K306"/>
    <mergeCell ref="H330:K330"/>
    <mergeCell ref="H332:K332"/>
    <mergeCell ref="E324:G324"/>
    <mergeCell ref="E327:G327"/>
    <mergeCell ref="H327:K327"/>
    <mergeCell ref="H328:K328"/>
    <mergeCell ref="H329:K329"/>
    <mergeCell ref="E320:G320"/>
    <mergeCell ref="H320:K320"/>
    <mergeCell ref="E321:G321"/>
    <mergeCell ref="H321:K321"/>
    <mergeCell ref="E322:G322"/>
    <mergeCell ref="H322:K322"/>
    <mergeCell ref="E217:G217"/>
    <mergeCell ref="E229:G229"/>
    <mergeCell ref="E233:G233"/>
    <mergeCell ref="E234:G234"/>
    <mergeCell ref="H231:K231"/>
    <mergeCell ref="H233:K233"/>
    <mergeCell ref="E246:G246"/>
    <mergeCell ref="E311:G311"/>
    <mergeCell ref="H311:K311"/>
    <mergeCell ref="E231:G231"/>
    <mergeCell ref="E232:G232"/>
    <mergeCell ref="H232:K232"/>
    <mergeCell ref="E230:G230"/>
    <mergeCell ref="H230:K230"/>
    <mergeCell ref="H235:K235"/>
    <mergeCell ref="E235:G235"/>
    <mergeCell ref="E297:G297"/>
    <mergeCell ref="E303:G303"/>
    <mergeCell ref="H303:K303"/>
    <mergeCell ref="E291:G291"/>
    <mergeCell ref="H291:K291"/>
    <mergeCell ref="H292:K292"/>
    <mergeCell ref="H294:K294"/>
    <mergeCell ref="H274:K274"/>
    <mergeCell ref="H312:K312"/>
    <mergeCell ref="H313:K313"/>
    <mergeCell ref="H314:K314"/>
    <mergeCell ref="H319:K319"/>
    <mergeCell ref="E308:G308"/>
    <mergeCell ref="H308:K308"/>
    <mergeCell ref="H295:K295"/>
    <mergeCell ref="H296:K296"/>
    <mergeCell ref="H239:K239"/>
    <mergeCell ref="H240:K240"/>
    <mergeCell ref="H248:K248"/>
    <mergeCell ref="H249:K249"/>
    <mergeCell ref="E240:G240"/>
    <mergeCell ref="E241:G241"/>
    <mergeCell ref="E242:G242"/>
    <mergeCell ref="H244:K244"/>
    <mergeCell ref="H245:K245"/>
    <mergeCell ref="E244:G244"/>
    <mergeCell ref="E245:G245"/>
    <mergeCell ref="E248:G248"/>
    <mergeCell ref="E249:G249"/>
    <mergeCell ref="H246:K246"/>
    <mergeCell ref="H247:K247"/>
    <mergeCell ref="E247:G247"/>
  </mergeCells>
  <printOptions/>
  <pageMargins left="0.7086614173228347" right="0.7086614173228347" top="0.7480314960629921" bottom="0.35433070866141736" header="0.31496062992125984" footer="0.31496062992125984"/>
  <pageSetup cellComments="asDisplayed" fitToHeight="0" fitToWidth="0" horizontalDpi="600" verticalDpi="600" orientation="landscape" paperSize="9" scale="63" r:id="rId2"/>
  <headerFooter>
    <oddHeader>&amp;C&amp;16&amp;P</oddHeader>
    <oddFooter>&amp;C&amp;16&amp;P</oddFooter>
  </headerFooter>
  <rowBreaks count="8" manualBreakCount="8">
    <brk id="46" max="255" man="1"/>
    <brk id="92" max="255" man="1"/>
    <brk id="147" min="1" max="11" man="1"/>
    <brk id="191" min="1" max="11" man="1"/>
    <brk id="236" min="1" max="11" man="1"/>
    <brk id="281" min="1" max="11" man="1"/>
    <brk id="334" min="1" max="11" man="1"/>
    <brk id="374" min="1" max="11" man="1"/>
  </rowBreaks>
  <drawing r:id="rId1"/>
</worksheet>
</file>

<file path=xl/worksheets/sheet3.xml><?xml version="1.0" encoding="utf-8"?>
<worksheet xmlns="http://schemas.openxmlformats.org/spreadsheetml/2006/main" xmlns:r="http://schemas.openxmlformats.org/officeDocument/2006/relationships">
  <dimension ref="B1:V792"/>
  <sheetViews>
    <sheetView showGridLines="0" view="pageBreakPreview" zoomScale="80" zoomScaleNormal="75" zoomScaleSheetLayoutView="80" zoomScalePageLayoutView="0" workbookViewId="0" topLeftCell="A1">
      <pane xSplit="8" ySplit="5" topLeftCell="I713" activePane="bottomRight" state="frozen"/>
      <selection pane="topLeft" activeCell="K26" sqref="K26"/>
      <selection pane="topRight" activeCell="K26" sqref="K26"/>
      <selection pane="bottomLeft" activeCell="K26" sqref="K26"/>
      <selection pane="bottomRight" activeCell="D738" sqref="D738"/>
    </sheetView>
  </sheetViews>
  <sheetFormatPr defaultColWidth="9.00390625" defaultRowHeight="13.5" outlineLevelCol="1"/>
  <cols>
    <col min="1" max="1" width="3.25390625" style="3" customWidth="1"/>
    <col min="2" max="2" width="13.75390625" style="3" customWidth="1"/>
    <col min="3" max="4" width="14.875" style="3" customWidth="1"/>
    <col min="5" max="5" width="11.125" style="3" customWidth="1"/>
    <col min="6" max="6" width="2.875" style="3" customWidth="1"/>
    <col min="7" max="7" width="0.875" style="3" customWidth="1"/>
    <col min="8" max="8" width="39.375" style="3" customWidth="1"/>
    <col min="9" max="9" width="14.75390625" style="162" customWidth="1"/>
    <col min="10" max="13" width="15.125" style="162" hidden="1" customWidth="1" outlineLevel="1"/>
    <col min="14" max="14" width="14.75390625" style="162" customWidth="1" collapsed="1"/>
    <col min="15" max="18" width="15.125" style="162" hidden="1" customWidth="1" outlineLevel="1"/>
    <col min="19" max="19" width="40.50390625" style="162" customWidth="1" collapsed="1"/>
    <col min="20" max="21" width="12.875" style="162" customWidth="1"/>
    <col min="22" max="22" width="3.50390625" style="134" customWidth="1"/>
    <col min="23" max="255" width="9.00390625" style="3" customWidth="1"/>
    <col min="256" max="16384" width="3.50390625" style="3" customWidth="1"/>
  </cols>
  <sheetData>
    <row r="1" spans="2:22" ht="14.25" customHeight="1">
      <c r="B1" s="506" t="s">
        <v>94</v>
      </c>
      <c r="C1" s="507"/>
      <c r="D1" s="487"/>
      <c r="E1" s="2"/>
      <c r="H1" s="508"/>
      <c r="I1" s="509"/>
      <c r="J1" s="29"/>
      <c r="K1" s="29"/>
      <c r="L1" s="29"/>
      <c r="M1" s="29"/>
      <c r="N1" s="510"/>
      <c r="O1" s="510"/>
      <c r="P1" s="510"/>
      <c r="Q1" s="510"/>
      <c r="R1" s="510"/>
      <c r="S1" s="511"/>
      <c r="T1" s="511"/>
      <c r="U1" s="511"/>
      <c r="V1" s="30"/>
    </row>
    <row r="2" spans="2:22" ht="14.25" customHeight="1">
      <c r="B2" s="507"/>
      <c r="C2" s="507"/>
      <c r="D2" s="487"/>
      <c r="E2" s="2"/>
      <c r="H2" s="509"/>
      <c r="I2" s="509"/>
      <c r="J2" s="29"/>
      <c r="K2" s="29"/>
      <c r="L2" s="29"/>
      <c r="M2" s="29"/>
      <c r="N2" s="512"/>
      <c r="O2" s="512"/>
      <c r="P2" s="512"/>
      <c r="Q2" s="512"/>
      <c r="R2" s="512"/>
      <c r="S2" s="512"/>
      <c r="T2" s="512"/>
      <c r="U2" s="512"/>
      <c r="V2" s="31"/>
    </row>
    <row r="3" spans="2:22" ht="14.25" customHeight="1" thickBot="1">
      <c r="B3" s="32"/>
      <c r="C3" s="1"/>
      <c r="D3" s="1"/>
      <c r="E3" s="4"/>
      <c r="F3" s="4"/>
      <c r="G3" s="4"/>
      <c r="H3" s="4"/>
      <c r="I3" s="33"/>
      <c r="J3" s="33"/>
      <c r="K3" s="33"/>
      <c r="L3" s="33"/>
      <c r="M3" s="33"/>
      <c r="N3" s="34"/>
      <c r="O3" s="33"/>
      <c r="P3" s="33"/>
      <c r="Q3" s="33"/>
      <c r="R3" s="33"/>
      <c r="S3" s="34"/>
      <c r="T3" s="513" t="s">
        <v>16</v>
      </c>
      <c r="U3" s="514"/>
      <c r="V3" s="31"/>
    </row>
    <row r="4" spans="2:22" ht="15" customHeight="1">
      <c r="B4" s="515" t="s">
        <v>17</v>
      </c>
      <c r="C4" s="517" t="s">
        <v>18</v>
      </c>
      <c r="D4" s="517" t="s">
        <v>19</v>
      </c>
      <c r="E4" s="519" t="s">
        <v>0</v>
      </c>
      <c r="F4" s="520"/>
      <c r="G4" s="520"/>
      <c r="H4" s="520"/>
      <c r="I4" s="520"/>
      <c r="J4" s="520"/>
      <c r="K4" s="520"/>
      <c r="L4" s="520"/>
      <c r="M4" s="520"/>
      <c r="N4" s="520"/>
      <c r="O4" s="520"/>
      <c r="P4" s="520"/>
      <c r="Q4" s="520"/>
      <c r="R4" s="520"/>
      <c r="S4" s="520"/>
      <c r="T4" s="520"/>
      <c r="U4" s="521"/>
      <c r="V4" s="35"/>
    </row>
    <row r="5" spans="2:22" ht="15" customHeight="1" thickBot="1">
      <c r="B5" s="516"/>
      <c r="C5" s="518"/>
      <c r="D5" s="518"/>
      <c r="E5" s="36" t="s">
        <v>11</v>
      </c>
      <c r="F5" s="522" t="s">
        <v>1</v>
      </c>
      <c r="G5" s="523"/>
      <c r="H5" s="524"/>
      <c r="I5" s="270" t="s">
        <v>2</v>
      </c>
      <c r="J5" s="37" t="s">
        <v>95</v>
      </c>
      <c r="K5" s="37" t="s">
        <v>96</v>
      </c>
      <c r="L5" s="37" t="s">
        <v>97</v>
      </c>
      <c r="M5" s="37" t="s">
        <v>98</v>
      </c>
      <c r="N5" s="270" t="s">
        <v>3</v>
      </c>
      <c r="O5" s="37" t="str">
        <f>+J5</f>
        <v>国庫支出金</v>
      </c>
      <c r="P5" s="37" t="str">
        <f>+K5</f>
        <v>起債</v>
      </c>
      <c r="Q5" s="37" t="str">
        <f>+L5</f>
        <v>附帯歳入</v>
      </c>
      <c r="R5" s="37" t="s">
        <v>98</v>
      </c>
      <c r="S5" s="270" t="s">
        <v>4</v>
      </c>
      <c r="T5" s="271" t="s">
        <v>12</v>
      </c>
      <c r="U5" s="272" t="s">
        <v>13</v>
      </c>
      <c r="V5" s="38"/>
    </row>
    <row r="6" spans="2:22" ht="14.25" customHeight="1">
      <c r="B6" s="17"/>
      <c r="C6" s="16" t="s">
        <v>5</v>
      </c>
      <c r="D6" s="16" t="s">
        <v>5</v>
      </c>
      <c r="E6" s="19"/>
      <c r="F6" s="39"/>
      <c r="G6" s="40"/>
      <c r="H6" s="41"/>
      <c r="I6" s="42" t="s">
        <v>5</v>
      </c>
      <c r="J6" s="43"/>
      <c r="K6" s="43"/>
      <c r="L6" s="43"/>
      <c r="M6" s="43"/>
      <c r="N6" s="42" t="s">
        <v>5</v>
      </c>
      <c r="O6" s="44"/>
      <c r="P6" s="44"/>
      <c r="Q6" s="44"/>
      <c r="R6" s="44"/>
      <c r="S6" s="45"/>
      <c r="T6" s="46"/>
      <c r="U6" s="47"/>
      <c r="V6" s="48"/>
    </row>
    <row r="7" spans="2:22" ht="14.25" customHeight="1">
      <c r="B7" s="49" t="s">
        <v>99</v>
      </c>
      <c r="C7" s="26">
        <f>SUM(I7:I36)</f>
        <v>7397958940</v>
      </c>
      <c r="D7" s="26">
        <f>SUM(N7:N36)</f>
        <v>7293130767</v>
      </c>
      <c r="E7" s="50" t="s">
        <v>100</v>
      </c>
      <c r="F7" s="51">
        <v>1</v>
      </c>
      <c r="G7" s="52"/>
      <c r="H7" s="41" t="s">
        <v>101</v>
      </c>
      <c r="I7" s="42">
        <f>6712223000+28390000</f>
        <v>6740613000</v>
      </c>
      <c r="J7" s="43">
        <v>36158000</v>
      </c>
      <c r="K7" s="43">
        <v>0</v>
      </c>
      <c r="L7" s="43">
        <v>8902000</v>
      </c>
      <c r="M7" s="43">
        <f>+I7-SUM(J7:L7)</f>
        <v>6695553000</v>
      </c>
      <c r="N7" s="42">
        <f>6706659054+19000</f>
        <v>6706678054</v>
      </c>
      <c r="O7" s="44">
        <v>36158000</v>
      </c>
      <c r="P7" s="44">
        <v>0</v>
      </c>
      <c r="Q7" s="44">
        <v>9257344</v>
      </c>
      <c r="R7" s="44">
        <f>+N7-SUM(O7:Q7)</f>
        <v>6661262710</v>
      </c>
      <c r="S7" s="99" t="s">
        <v>1246</v>
      </c>
      <c r="T7" s="54" t="s">
        <v>1044</v>
      </c>
      <c r="U7" s="123" t="s">
        <v>1248</v>
      </c>
      <c r="V7" s="55"/>
    </row>
    <row r="8" spans="2:22" ht="14.25" customHeight="1">
      <c r="B8" s="49" t="s">
        <v>102</v>
      </c>
      <c r="C8" s="26"/>
      <c r="D8" s="16"/>
      <c r="E8" s="19"/>
      <c r="F8" s="51"/>
      <c r="G8" s="52"/>
      <c r="H8" s="56" t="s">
        <v>103</v>
      </c>
      <c r="I8" s="42"/>
      <c r="J8" s="43"/>
      <c r="K8" s="43"/>
      <c r="L8" s="43"/>
      <c r="M8" s="43"/>
      <c r="N8" s="42"/>
      <c r="O8" s="44"/>
      <c r="P8" s="44"/>
      <c r="Q8" s="44"/>
      <c r="R8" s="44"/>
      <c r="S8" s="131" t="s">
        <v>1247</v>
      </c>
      <c r="T8" s="58"/>
      <c r="U8" s="59"/>
      <c r="V8" s="48"/>
    </row>
    <row r="9" spans="2:22" ht="14.25" customHeight="1">
      <c r="B9" s="60"/>
      <c r="C9" s="26" t="s">
        <v>7</v>
      </c>
      <c r="D9" s="26" t="s">
        <v>7</v>
      </c>
      <c r="E9" s="19"/>
      <c r="F9" s="51"/>
      <c r="G9" s="52"/>
      <c r="H9" s="56"/>
      <c r="I9" s="42"/>
      <c r="J9" s="43"/>
      <c r="K9" s="43"/>
      <c r="L9" s="43"/>
      <c r="M9" s="43"/>
      <c r="N9" s="42"/>
      <c r="O9" s="44"/>
      <c r="P9" s="44"/>
      <c r="Q9" s="44"/>
      <c r="R9" s="44"/>
      <c r="S9" s="53"/>
      <c r="T9" s="58"/>
      <c r="U9" s="59"/>
      <c r="V9" s="55"/>
    </row>
    <row r="10" spans="2:22" ht="14.25" customHeight="1">
      <c r="B10" s="17"/>
      <c r="C10" s="26">
        <f>SUM(J7:J36)</f>
        <v>36158000</v>
      </c>
      <c r="D10" s="26">
        <f>SUM(O7:O36)</f>
        <v>36158000</v>
      </c>
      <c r="E10" s="19"/>
      <c r="F10" s="51">
        <f>+F7+1</f>
        <v>2</v>
      </c>
      <c r="G10" s="40"/>
      <c r="H10" s="41" t="s">
        <v>104</v>
      </c>
      <c r="I10" s="42">
        <v>13368000</v>
      </c>
      <c r="J10" s="43">
        <v>0</v>
      </c>
      <c r="K10" s="43">
        <v>0</v>
      </c>
      <c r="L10" s="43">
        <v>0</v>
      </c>
      <c r="M10" s="43">
        <f>+I10-SUM(J10:L10)</f>
        <v>13368000</v>
      </c>
      <c r="N10" s="42">
        <v>4433806</v>
      </c>
      <c r="O10" s="44">
        <v>0</v>
      </c>
      <c r="P10" s="44">
        <v>0</v>
      </c>
      <c r="Q10" s="44">
        <v>0</v>
      </c>
      <c r="R10" s="44">
        <f>+N10-SUM(O10:Q10)</f>
        <v>4433806</v>
      </c>
      <c r="S10" s="20" t="s">
        <v>1045</v>
      </c>
      <c r="T10" s="54" t="s">
        <v>1046</v>
      </c>
      <c r="U10" s="47" t="s">
        <v>1047</v>
      </c>
      <c r="V10" s="55"/>
    </row>
    <row r="11" spans="2:22" ht="14.25" customHeight="1">
      <c r="B11" s="60"/>
      <c r="C11" s="26" t="s">
        <v>975</v>
      </c>
      <c r="D11" s="26" t="s">
        <v>975</v>
      </c>
      <c r="E11" s="19"/>
      <c r="F11" s="51"/>
      <c r="G11" s="52"/>
      <c r="H11" s="56"/>
      <c r="I11" s="42"/>
      <c r="J11" s="43"/>
      <c r="K11" s="43"/>
      <c r="L11" s="43"/>
      <c r="M11" s="43"/>
      <c r="N11" s="42"/>
      <c r="O11" s="44"/>
      <c r="P11" s="44"/>
      <c r="Q11" s="44"/>
      <c r="R11" s="44"/>
      <c r="S11" s="57"/>
      <c r="T11" s="46"/>
      <c r="U11" s="47"/>
      <c r="V11" s="48"/>
    </row>
    <row r="12" spans="2:22" ht="14.25" customHeight="1">
      <c r="B12" s="60"/>
      <c r="C12" s="26">
        <f>SUM(L7:L36)</f>
        <v>193902000</v>
      </c>
      <c r="D12" s="26">
        <f>SUM(Q7:Q36)</f>
        <v>194257344</v>
      </c>
      <c r="E12" s="19"/>
      <c r="F12" s="51">
        <f>+F10+1</f>
        <v>3</v>
      </c>
      <c r="G12" s="52"/>
      <c r="H12" s="61" t="s">
        <v>105</v>
      </c>
      <c r="I12" s="42">
        <v>240924000</v>
      </c>
      <c r="J12" s="43">
        <v>0</v>
      </c>
      <c r="K12" s="43">
        <v>0</v>
      </c>
      <c r="L12" s="43">
        <v>0</v>
      </c>
      <c r="M12" s="43">
        <f>+I12-SUM(J12:L12)</f>
        <v>240924000</v>
      </c>
      <c r="N12" s="42">
        <v>147367145</v>
      </c>
      <c r="O12" s="44">
        <v>0</v>
      </c>
      <c r="P12" s="44">
        <v>0</v>
      </c>
      <c r="Q12" s="44">
        <v>0</v>
      </c>
      <c r="R12" s="44">
        <f>+N12-SUM(O12:Q12)</f>
        <v>147367145</v>
      </c>
      <c r="S12" s="58" t="s">
        <v>106</v>
      </c>
      <c r="T12" s="46"/>
      <c r="U12" s="47"/>
      <c r="V12" s="48"/>
    </row>
    <row r="13" spans="2:22" ht="14.25" customHeight="1">
      <c r="B13" s="60"/>
      <c r="C13" s="26" t="s">
        <v>9</v>
      </c>
      <c r="D13" s="26" t="s">
        <v>9</v>
      </c>
      <c r="E13" s="19"/>
      <c r="F13" s="51"/>
      <c r="G13" s="52"/>
      <c r="H13" s="56"/>
      <c r="I13" s="42"/>
      <c r="J13" s="43"/>
      <c r="K13" s="43"/>
      <c r="L13" s="43"/>
      <c r="M13" s="43"/>
      <c r="N13" s="42"/>
      <c r="O13" s="44"/>
      <c r="P13" s="44"/>
      <c r="Q13" s="44"/>
      <c r="R13" s="44"/>
      <c r="S13" s="57" t="s">
        <v>895</v>
      </c>
      <c r="T13" s="46"/>
      <c r="U13" s="47"/>
      <c r="V13" s="48"/>
    </row>
    <row r="14" spans="2:22" ht="14.25" customHeight="1">
      <c r="B14" s="60"/>
      <c r="C14" s="26">
        <f>C7-C10-C12</f>
        <v>7167898940</v>
      </c>
      <c r="D14" s="26">
        <f>D7-D10-D12</f>
        <v>7062715423</v>
      </c>
      <c r="E14" s="19"/>
      <c r="F14" s="51"/>
      <c r="G14" s="40"/>
      <c r="H14" s="41"/>
      <c r="I14" s="42"/>
      <c r="J14" s="43"/>
      <c r="K14" s="43"/>
      <c r="L14" s="43"/>
      <c r="M14" s="43"/>
      <c r="N14" s="42"/>
      <c r="O14" s="44"/>
      <c r="P14" s="44"/>
      <c r="Q14" s="44"/>
      <c r="R14" s="44"/>
      <c r="S14" s="20"/>
      <c r="T14" s="54"/>
      <c r="U14" s="47"/>
      <c r="V14" s="48"/>
    </row>
    <row r="15" spans="2:22" ht="14.25" customHeight="1">
      <c r="B15" s="60"/>
      <c r="C15" s="26"/>
      <c r="D15" s="26"/>
      <c r="E15" s="19"/>
      <c r="F15" s="51">
        <f>+F12+1</f>
        <v>4</v>
      </c>
      <c r="G15" s="40"/>
      <c r="H15" s="62" t="s">
        <v>107</v>
      </c>
      <c r="I15" s="63">
        <v>61819000</v>
      </c>
      <c r="J15" s="43">
        <v>0</v>
      </c>
      <c r="K15" s="43">
        <v>0</v>
      </c>
      <c r="L15" s="43">
        <v>0</v>
      </c>
      <c r="M15" s="43">
        <f>+I15-SUM(J15:L15)</f>
        <v>61819000</v>
      </c>
      <c r="N15" s="42">
        <v>54138110</v>
      </c>
      <c r="O15" s="44">
        <v>0</v>
      </c>
      <c r="P15" s="44">
        <v>0</v>
      </c>
      <c r="Q15" s="44">
        <v>0</v>
      </c>
      <c r="R15" s="44">
        <f>+N15-SUM(O15:Q15)</f>
        <v>54138110</v>
      </c>
      <c r="S15" s="58" t="s">
        <v>108</v>
      </c>
      <c r="T15" s="54"/>
      <c r="U15" s="47"/>
      <c r="V15" s="48"/>
    </row>
    <row r="16" spans="2:22" ht="14.25" customHeight="1">
      <c r="B16" s="60"/>
      <c r="C16" s="26"/>
      <c r="D16" s="26"/>
      <c r="E16" s="19"/>
      <c r="F16" s="51"/>
      <c r="G16" s="40"/>
      <c r="H16" s="64" t="s">
        <v>1239</v>
      </c>
      <c r="I16" s="42"/>
      <c r="J16" s="43"/>
      <c r="K16" s="43"/>
      <c r="L16" s="43"/>
      <c r="M16" s="43"/>
      <c r="N16" s="42"/>
      <c r="O16" s="44"/>
      <c r="P16" s="44"/>
      <c r="Q16" s="44"/>
      <c r="R16" s="44"/>
      <c r="S16" s="20" t="s">
        <v>109</v>
      </c>
      <c r="T16" s="54"/>
      <c r="U16" s="47"/>
      <c r="V16" s="48"/>
    </row>
    <row r="17" spans="2:22" ht="14.25" customHeight="1">
      <c r="B17" s="60"/>
      <c r="C17" s="26"/>
      <c r="D17" s="26"/>
      <c r="E17" s="19"/>
      <c r="F17" s="51"/>
      <c r="G17" s="40"/>
      <c r="H17" s="41"/>
      <c r="I17" s="42"/>
      <c r="J17" s="43"/>
      <c r="K17" s="43"/>
      <c r="L17" s="43"/>
      <c r="M17" s="43"/>
      <c r="N17" s="42"/>
      <c r="O17" s="44"/>
      <c r="P17" s="44"/>
      <c r="Q17" s="44"/>
      <c r="R17" s="44"/>
      <c r="S17" s="20" t="s">
        <v>110</v>
      </c>
      <c r="T17" s="54"/>
      <c r="U17" s="47"/>
      <c r="V17" s="48"/>
    </row>
    <row r="18" spans="2:22" ht="14.25" customHeight="1">
      <c r="B18" s="60"/>
      <c r="C18" s="26"/>
      <c r="D18" s="26"/>
      <c r="E18" s="19"/>
      <c r="F18" s="51"/>
      <c r="G18" s="40"/>
      <c r="H18" s="41"/>
      <c r="I18" s="42"/>
      <c r="J18" s="43"/>
      <c r="K18" s="43"/>
      <c r="L18" s="43"/>
      <c r="M18" s="43"/>
      <c r="N18" s="42"/>
      <c r="O18" s="44"/>
      <c r="P18" s="44"/>
      <c r="Q18" s="44"/>
      <c r="R18" s="44"/>
      <c r="S18" s="20" t="s">
        <v>1048</v>
      </c>
      <c r="T18" s="54"/>
      <c r="U18" s="47"/>
      <c r="V18" s="48"/>
    </row>
    <row r="19" spans="2:22" ht="14.25" customHeight="1">
      <c r="B19" s="60"/>
      <c r="C19" s="26"/>
      <c r="D19" s="26"/>
      <c r="E19" s="19"/>
      <c r="F19" s="51"/>
      <c r="G19" s="40"/>
      <c r="H19" s="41"/>
      <c r="I19" s="42"/>
      <c r="J19" s="43"/>
      <c r="K19" s="43"/>
      <c r="L19" s="43"/>
      <c r="M19" s="43"/>
      <c r="N19" s="42"/>
      <c r="O19" s="44"/>
      <c r="P19" s="44"/>
      <c r="Q19" s="44"/>
      <c r="R19" s="44"/>
      <c r="S19" s="20" t="s">
        <v>892</v>
      </c>
      <c r="T19" s="54"/>
      <c r="U19" s="47"/>
      <c r="V19" s="48"/>
    </row>
    <row r="20" spans="2:22" ht="14.25" customHeight="1">
      <c r="B20" s="60"/>
      <c r="C20" s="26"/>
      <c r="D20" s="26"/>
      <c r="E20" s="19"/>
      <c r="F20" s="51"/>
      <c r="G20" s="40"/>
      <c r="H20" s="41"/>
      <c r="I20" s="42"/>
      <c r="J20" s="43"/>
      <c r="K20" s="43"/>
      <c r="L20" s="43"/>
      <c r="M20" s="43"/>
      <c r="N20" s="42"/>
      <c r="O20" s="44"/>
      <c r="P20" s="44"/>
      <c r="Q20" s="44"/>
      <c r="R20" s="44"/>
      <c r="S20" s="20" t="s">
        <v>893</v>
      </c>
      <c r="T20" s="54"/>
      <c r="U20" s="47"/>
      <c r="V20" s="48"/>
    </row>
    <row r="21" spans="2:22" ht="14.25" customHeight="1">
      <c r="B21" s="60"/>
      <c r="C21" s="26"/>
      <c r="D21" s="26"/>
      <c r="E21" s="19"/>
      <c r="F21" s="51"/>
      <c r="G21" s="40"/>
      <c r="H21" s="41"/>
      <c r="I21" s="42"/>
      <c r="J21" s="43"/>
      <c r="K21" s="43"/>
      <c r="L21" s="43"/>
      <c r="M21" s="43"/>
      <c r="N21" s="42"/>
      <c r="O21" s="44"/>
      <c r="P21" s="44"/>
      <c r="Q21" s="44"/>
      <c r="R21" s="44"/>
      <c r="S21" s="20" t="s">
        <v>894</v>
      </c>
      <c r="T21" s="54"/>
      <c r="U21" s="47"/>
      <c r="V21" s="48"/>
    </row>
    <row r="22" spans="2:22" ht="14.25" customHeight="1">
      <c r="B22" s="60"/>
      <c r="C22" s="26"/>
      <c r="D22" s="26"/>
      <c r="E22" s="19"/>
      <c r="F22" s="51"/>
      <c r="G22" s="40"/>
      <c r="H22" s="41"/>
      <c r="I22" s="42"/>
      <c r="J22" s="43"/>
      <c r="K22" s="43"/>
      <c r="L22" s="43"/>
      <c r="M22" s="43"/>
      <c r="N22" s="42"/>
      <c r="O22" s="44"/>
      <c r="P22" s="44"/>
      <c r="Q22" s="44"/>
      <c r="R22" s="44"/>
      <c r="S22" s="65"/>
      <c r="T22" s="54"/>
      <c r="U22" s="47"/>
      <c r="V22" s="48"/>
    </row>
    <row r="23" spans="2:22" ht="14.25" customHeight="1">
      <c r="B23" s="60"/>
      <c r="C23" s="26"/>
      <c r="D23" s="26"/>
      <c r="E23" s="19"/>
      <c r="F23" s="51">
        <f>+F15+1</f>
        <v>5</v>
      </c>
      <c r="G23" s="52"/>
      <c r="H23" s="61" t="s">
        <v>1240</v>
      </c>
      <c r="I23" s="42">
        <v>343000000</v>
      </c>
      <c r="J23" s="43">
        <v>0</v>
      </c>
      <c r="K23" s="43">
        <v>0</v>
      </c>
      <c r="L23" s="43">
        <v>185000000</v>
      </c>
      <c r="M23" s="43">
        <f>+I23-SUM(J23:L23)</f>
        <v>158000000</v>
      </c>
      <c r="N23" s="42">
        <v>336450107</v>
      </c>
      <c r="O23" s="44">
        <v>0</v>
      </c>
      <c r="P23" s="44">
        <v>0</v>
      </c>
      <c r="Q23" s="44">
        <v>185000000</v>
      </c>
      <c r="R23" s="44">
        <f>+N23-SUM(O23:Q23)</f>
        <v>151450107</v>
      </c>
      <c r="S23" s="57" t="s">
        <v>1034</v>
      </c>
      <c r="T23" s="54" t="s">
        <v>1035</v>
      </c>
      <c r="U23" s="47" t="s">
        <v>1036</v>
      </c>
      <c r="V23" s="48"/>
    </row>
    <row r="24" spans="2:22" ht="14.25" customHeight="1">
      <c r="B24" s="60"/>
      <c r="C24" s="26"/>
      <c r="D24" s="26"/>
      <c r="E24" s="19"/>
      <c r="F24" s="51"/>
      <c r="G24" s="52"/>
      <c r="H24" s="61"/>
      <c r="I24" s="42"/>
      <c r="J24" s="43"/>
      <c r="K24" s="43"/>
      <c r="L24" s="43"/>
      <c r="M24" s="43"/>
      <c r="N24" s="42"/>
      <c r="O24" s="44"/>
      <c r="P24" s="44"/>
      <c r="Q24" s="44"/>
      <c r="R24" s="44"/>
      <c r="S24" s="57"/>
      <c r="T24" s="54" t="s">
        <v>1037</v>
      </c>
      <c r="U24" s="47"/>
      <c r="V24" s="48"/>
    </row>
    <row r="25" spans="2:22" ht="14.25" customHeight="1">
      <c r="B25" s="60"/>
      <c r="C25" s="26"/>
      <c r="D25" s="26"/>
      <c r="E25" s="19"/>
      <c r="F25" s="51"/>
      <c r="G25" s="52"/>
      <c r="H25" s="61"/>
      <c r="I25" s="42"/>
      <c r="J25" s="43"/>
      <c r="K25" s="43"/>
      <c r="L25" s="43"/>
      <c r="M25" s="43"/>
      <c r="N25" s="42"/>
      <c r="O25" s="44"/>
      <c r="P25" s="44"/>
      <c r="Q25" s="44"/>
      <c r="R25" s="44"/>
      <c r="S25" s="57"/>
      <c r="T25" s="54" t="s">
        <v>1038</v>
      </c>
      <c r="U25" s="47"/>
      <c r="V25" s="48"/>
    </row>
    <row r="26" spans="2:22" ht="14.25" customHeight="1">
      <c r="B26" s="60"/>
      <c r="C26" s="26"/>
      <c r="D26" s="26"/>
      <c r="E26" s="19"/>
      <c r="F26" s="51"/>
      <c r="G26" s="52"/>
      <c r="H26" s="61"/>
      <c r="I26" s="42"/>
      <c r="J26" s="43"/>
      <c r="K26" s="43"/>
      <c r="L26" s="43"/>
      <c r="M26" s="43"/>
      <c r="N26" s="42"/>
      <c r="O26" s="44"/>
      <c r="P26" s="44"/>
      <c r="Q26" s="44"/>
      <c r="R26" s="44"/>
      <c r="S26" s="57" t="s">
        <v>1039</v>
      </c>
      <c r="T26" s="54" t="s">
        <v>1040</v>
      </c>
      <c r="U26" s="47" t="s">
        <v>1041</v>
      </c>
      <c r="V26" s="48"/>
    </row>
    <row r="27" spans="2:22" ht="14.25" customHeight="1">
      <c r="B27" s="60"/>
      <c r="C27" s="26"/>
      <c r="D27" s="26"/>
      <c r="E27" s="19"/>
      <c r="F27" s="51"/>
      <c r="G27" s="52"/>
      <c r="H27" s="61"/>
      <c r="I27" s="42"/>
      <c r="J27" s="43"/>
      <c r="K27" s="43"/>
      <c r="L27" s="43"/>
      <c r="M27" s="43"/>
      <c r="N27" s="42"/>
      <c r="O27" s="44"/>
      <c r="P27" s="44"/>
      <c r="Q27" s="44"/>
      <c r="R27" s="44"/>
      <c r="S27" s="57"/>
      <c r="T27" s="54" t="s">
        <v>1037</v>
      </c>
      <c r="U27" s="47"/>
      <c r="V27" s="48"/>
    </row>
    <row r="28" spans="2:22" ht="14.25" customHeight="1">
      <c r="B28" s="60"/>
      <c r="C28" s="26"/>
      <c r="D28" s="26"/>
      <c r="E28" s="19"/>
      <c r="F28" s="51"/>
      <c r="G28" s="52"/>
      <c r="H28" s="61"/>
      <c r="I28" s="42"/>
      <c r="J28" s="43"/>
      <c r="K28" s="43"/>
      <c r="L28" s="43"/>
      <c r="M28" s="43"/>
      <c r="N28" s="42"/>
      <c r="O28" s="44"/>
      <c r="P28" s="44"/>
      <c r="Q28" s="44"/>
      <c r="R28" s="44"/>
      <c r="S28" s="57"/>
      <c r="T28" s="54" t="s">
        <v>1042</v>
      </c>
      <c r="U28" s="47"/>
      <c r="V28" s="48"/>
    </row>
    <row r="29" spans="2:22" ht="14.25" customHeight="1">
      <c r="B29" s="60"/>
      <c r="C29" s="26"/>
      <c r="D29" s="26"/>
      <c r="E29" s="19"/>
      <c r="F29" s="51"/>
      <c r="G29" s="52"/>
      <c r="H29" s="61"/>
      <c r="I29" s="42"/>
      <c r="J29" s="43"/>
      <c r="K29" s="43"/>
      <c r="L29" s="43"/>
      <c r="M29" s="43"/>
      <c r="N29" s="42"/>
      <c r="O29" s="44"/>
      <c r="P29" s="44"/>
      <c r="Q29" s="44"/>
      <c r="R29" s="44"/>
      <c r="S29" s="131" t="s">
        <v>1179</v>
      </c>
      <c r="T29" s="54"/>
      <c r="U29" s="47"/>
      <c r="V29" s="48"/>
    </row>
    <row r="30" spans="2:22" ht="14.25" customHeight="1">
      <c r="B30" s="60"/>
      <c r="C30" s="26"/>
      <c r="D30" s="26"/>
      <c r="E30" s="19"/>
      <c r="F30" s="51"/>
      <c r="G30" s="52"/>
      <c r="H30" s="61"/>
      <c r="I30" s="42"/>
      <c r="J30" s="43"/>
      <c r="K30" s="43"/>
      <c r="L30" s="43"/>
      <c r="M30" s="43"/>
      <c r="N30" s="42"/>
      <c r="O30" s="44"/>
      <c r="P30" s="44"/>
      <c r="Q30" s="44"/>
      <c r="R30" s="44"/>
      <c r="S30" s="131" t="s">
        <v>1211</v>
      </c>
      <c r="T30" s="54"/>
      <c r="U30" s="47"/>
      <c r="V30" s="48"/>
    </row>
    <row r="31" spans="2:22" ht="14.25" customHeight="1">
      <c r="B31" s="60"/>
      <c r="C31" s="26"/>
      <c r="D31" s="26"/>
      <c r="E31" s="19"/>
      <c r="F31" s="51"/>
      <c r="G31" s="52"/>
      <c r="H31" s="56"/>
      <c r="I31" s="42"/>
      <c r="J31" s="43"/>
      <c r="K31" s="43"/>
      <c r="L31" s="43"/>
      <c r="M31" s="43"/>
      <c r="N31" s="42"/>
      <c r="O31" s="44"/>
      <c r="P31" s="44"/>
      <c r="Q31" s="44"/>
      <c r="R31" s="44"/>
      <c r="S31" s="131" t="s">
        <v>1180</v>
      </c>
      <c r="T31" s="54"/>
      <c r="U31" s="47"/>
      <c r="V31" s="48"/>
    </row>
    <row r="32" spans="2:22" ht="14.25" customHeight="1">
      <c r="B32" s="60"/>
      <c r="C32" s="26"/>
      <c r="D32" s="26"/>
      <c r="E32" s="19"/>
      <c r="F32" s="51"/>
      <c r="G32" s="52"/>
      <c r="H32" s="56"/>
      <c r="I32" s="42"/>
      <c r="J32" s="43"/>
      <c r="K32" s="43"/>
      <c r="L32" s="43"/>
      <c r="M32" s="43"/>
      <c r="N32" s="42"/>
      <c r="O32" s="44"/>
      <c r="P32" s="44"/>
      <c r="Q32" s="44"/>
      <c r="R32" s="44"/>
      <c r="S32" s="57" t="s">
        <v>1056</v>
      </c>
      <c r="T32" s="54"/>
      <c r="U32" s="47"/>
      <c r="V32" s="48"/>
    </row>
    <row r="33" spans="2:22" ht="14.25" customHeight="1">
      <c r="B33" s="60"/>
      <c r="C33" s="26"/>
      <c r="D33" s="26"/>
      <c r="E33" s="19"/>
      <c r="F33" s="51"/>
      <c r="G33" s="52"/>
      <c r="H33" s="56"/>
      <c r="I33" s="42"/>
      <c r="J33" s="43"/>
      <c r="K33" s="43"/>
      <c r="L33" s="43"/>
      <c r="M33" s="43"/>
      <c r="N33" s="42"/>
      <c r="O33" s="44"/>
      <c r="P33" s="44"/>
      <c r="Q33" s="44"/>
      <c r="R33" s="44"/>
      <c r="S33" s="57"/>
      <c r="T33" s="54"/>
      <c r="U33" s="47"/>
      <c r="V33" s="48"/>
    </row>
    <row r="34" spans="2:22" ht="14.25" customHeight="1">
      <c r="B34" s="60"/>
      <c r="C34" s="26"/>
      <c r="D34" s="26"/>
      <c r="E34" s="19"/>
      <c r="F34" s="51">
        <f>+F23+1</f>
        <v>6</v>
      </c>
      <c r="G34" s="52"/>
      <c r="H34" s="56" t="s">
        <v>111</v>
      </c>
      <c r="I34" s="42">
        <v>-52200000</v>
      </c>
      <c r="J34" s="43">
        <v>0</v>
      </c>
      <c r="K34" s="43">
        <v>0</v>
      </c>
      <c r="L34" s="43">
        <v>0</v>
      </c>
      <c r="M34" s="43">
        <f>+I34-SUM(J34:L34)</f>
        <v>-52200000</v>
      </c>
      <c r="N34" s="42">
        <v>0</v>
      </c>
      <c r="O34" s="44">
        <v>0</v>
      </c>
      <c r="P34" s="44">
        <v>0</v>
      </c>
      <c r="Q34" s="44">
        <v>0</v>
      </c>
      <c r="R34" s="44">
        <f>+N34-SUM(O34:Q34)</f>
        <v>0</v>
      </c>
      <c r="S34" s="58" t="s">
        <v>106</v>
      </c>
      <c r="T34" s="58"/>
      <c r="U34" s="59"/>
      <c r="V34" s="48"/>
    </row>
    <row r="35" spans="2:22" ht="14.25" customHeight="1">
      <c r="B35" s="60"/>
      <c r="C35" s="26"/>
      <c r="D35" s="26"/>
      <c r="E35" s="19"/>
      <c r="F35" s="51"/>
      <c r="G35" s="52"/>
      <c r="H35" s="56"/>
      <c r="I35" s="42"/>
      <c r="J35" s="43"/>
      <c r="K35" s="43"/>
      <c r="L35" s="43"/>
      <c r="M35" s="43"/>
      <c r="N35" s="42"/>
      <c r="O35" s="44"/>
      <c r="P35" s="44"/>
      <c r="Q35" s="44"/>
      <c r="R35" s="44"/>
      <c r="S35" s="66"/>
      <c r="T35" s="58"/>
      <c r="U35" s="59"/>
      <c r="V35" s="48"/>
    </row>
    <row r="36" spans="2:22" ht="14.25" customHeight="1">
      <c r="B36" s="60"/>
      <c r="C36" s="26"/>
      <c r="D36" s="26"/>
      <c r="E36" s="19" t="s">
        <v>112</v>
      </c>
      <c r="F36" s="51">
        <f>+F34+1</f>
        <v>7</v>
      </c>
      <c r="G36" s="52"/>
      <c r="H36" s="56" t="s">
        <v>113</v>
      </c>
      <c r="I36" s="42">
        <v>50434940</v>
      </c>
      <c r="J36" s="43">
        <v>0</v>
      </c>
      <c r="K36" s="43">
        <v>0</v>
      </c>
      <c r="L36" s="43">
        <v>0</v>
      </c>
      <c r="M36" s="43">
        <f>+I36-SUM(J36:L36)</f>
        <v>50434940</v>
      </c>
      <c r="N36" s="42">
        <v>44063545</v>
      </c>
      <c r="O36" s="44">
        <v>0</v>
      </c>
      <c r="P36" s="44">
        <v>0</v>
      </c>
      <c r="Q36" s="44">
        <v>0</v>
      </c>
      <c r="R36" s="44">
        <f>+N36-SUM(O36:Q36)</f>
        <v>44063545</v>
      </c>
      <c r="S36" s="58" t="s">
        <v>114</v>
      </c>
      <c r="T36" s="58"/>
      <c r="U36" s="59"/>
      <c r="V36" s="48"/>
    </row>
    <row r="37" spans="2:22" ht="14.25" customHeight="1" thickBot="1">
      <c r="B37" s="69"/>
      <c r="C37" s="27"/>
      <c r="D37" s="27"/>
      <c r="E37" s="318"/>
      <c r="F37" s="71"/>
      <c r="G37" s="72"/>
      <c r="H37" s="73"/>
      <c r="I37" s="74"/>
      <c r="J37" s="75"/>
      <c r="K37" s="75"/>
      <c r="L37" s="75"/>
      <c r="M37" s="75"/>
      <c r="N37" s="74"/>
      <c r="O37" s="76"/>
      <c r="P37" s="76"/>
      <c r="Q37" s="76"/>
      <c r="R37" s="44"/>
      <c r="S37" s="77"/>
      <c r="T37" s="78"/>
      <c r="U37" s="79"/>
      <c r="V37" s="48"/>
    </row>
    <row r="38" spans="2:22" ht="14.25" customHeight="1">
      <c r="B38" s="80"/>
      <c r="C38" s="81"/>
      <c r="D38" s="25"/>
      <c r="E38" s="82"/>
      <c r="F38" s="83"/>
      <c r="G38" s="84"/>
      <c r="H38" s="85"/>
      <c r="I38" s="86"/>
      <c r="J38" s="87"/>
      <c r="K38" s="87"/>
      <c r="L38" s="87"/>
      <c r="M38" s="87"/>
      <c r="N38" s="86"/>
      <c r="O38" s="88"/>
      <c r="P38" s="88"/>
      <c r="Q38" s="88"/>
      <c r="R38" s="88"/>
      <c r="S38" s="89"/>
      <c r="T38" s="90"/>
      <c r="U38" s="91"/>
      <c r="V38" s="55"/>
    </row>
    <row r="39" spans="2:22" ht="14.25" customHeight="1">
      <c r="B39" s="17" t="s">
        <v>115</v>
      </c>
      <c r="C39" s="26">
        <f>SUM(I39:I84)</f>
        <v>159932000</v>
      </c>
      <c r="D39" s="26">
        <f>SUM(N39:N84)</f>
        <v>138738224</v>
      </c>
      <c r="E39" s="19" t="s">
        <v>116</v>
      </c>
      <c r="F39" s="51">
        <v>1</v>
      </c>
      <c r="G39" s="52"/>
      <c r="H39" s="64" t="s">
        <v>117</v>
      </c>
      <c r="I39" s="42">
        <v>19944000</v>
      </c>
      <c r="J39" s="43">
        <v>241000</v>
      </c>
      <c r="K39" s="43">
        <v>0</v>
      </c>
      <c r="L39" s="43">
        <v>0</v>
      </c>
      <c r="M39" s="92">
        <f>+I39-SUM(J39:L39)</f>
        <v>19703000</v>
      </c>
      <c r="N39" s="42">
        <v>17666616</v>
      </c>
      <c r="O39" s="44">
        <v>241000</v>
      </c>
      <c r="P39" s="44">
        <v>0</v>
      </c>
      <c r="Q39" s="44">
        <v>0</v>
      </c>
      <c r="R39" s="93">
        <f>+N39-SUM(O39:Q39)</f>
        <v>17425616</v>
      </c>
      <c r="S39" s="53" t="s">
        <v>118</v>
      </c>
      <c r="T39" s="46" t="s">
        <v>119</v>
      </c>
      <c r="U39" s="47" t="s">
        <v>120</v>
      </c>
      <c r="V39" s="55"/>
    </row>
    <row r="40" spans="2:22" ht="14.25" customHeight="1">
      <c r="B40" s="17" t="s">
        <v>121</v>
      </c>
      <c r="C40" s="26"/>
      <c r="D40" s="16"/>
      <c r="E40" s="19"/>
      <c r="F40" s="51"/>
      <c r="G40" s="52"/>
      <c r="H40" s="41"/>
      <c r="I40" s="94"/>
      <c r="J40" s="92"/>
      <c r="K40" s="92"/>
      <c r="L40" s="92"/>
      <c r="M40" s="92"/>
      <c r="N40" s="94"/>
      <c r="O40" s="44"/>
      <c r="P40" s="44"/>
      <c r="Q40" s="44"/>
      <c r="R40" s="93"/>
      <c r="S40" s="53" t="s">
        <v>122</v>
      </c>
      <c r="T40" s="46" t="s">
        <v>123</v>
      </c>
      <c r="U40" s="47" t="s">
        <v>124</v>
      </c>
      <c r="V40" s="55"/>
    </row>
    <row r="41" spans="2:22" ht="14.25" customHeight="1">
      <c r="B41" s="17"/>
      <c r="C41" s="26" t="s">
        <v>7</v>
      </c>
      <c r="D41" s="26" t="s">
        <v>7</v>
      </c>
      <c r="E41" s="19"/>
      <c r="F41" s="51"/>
      <c r="G41" s="52"/>
      <c r="H41" s="41"/>
      <c r="I41" s="94"/>
      <c r="J41" s="92"/>
      <c r="K41" s="92"/>
      <c r="L41" s="92"/>
      <c r="M41" s="92"/>
      <c r="N41" s="94"/>
      <c r="O41" s="44"/>
      <c r="P41" s="44"/>
      <c r="Q41" s="44"/>
      <c r="R41" s="93"/>
      <c r="S41" s="53" t="s">
        <v>125</v>
      </c>
      <c r="T41" s="46"/>
      <c r="U41" s="47"/>
      <c r="V41" s="48"/>
    </row>
    <row r="42" spans="2:22" ht="14.25" customHeight="1">
      <c r="B42" s="60"/>
      <c r="C42" s="26">
        <f>SUM(J39:J84)</f>
        <v>96198000</v>
      </c>
      <c r="D42" s="26">
        <f>SUM(O39:O84)</f>
        <v>90855988</v>
      </c>
      <c r="E42" s="19"/>
      <c r="F42" s="51"/>
      <c r="G42" s="52"/>
      <c r="H42" s="41"/>
      <c r="I42" s="94"/>
      <c r="J42" s="92"/>
      <c r="K42" s="92"/>
      <c r="L42" s="92"/>
      <c r="M42" s="92"/>
      <c r="N42" s="94"/>
      <c r="O42" s="44"/>
      <c r="P42" s="44"/>
      <c r="Q42" s="44"/>
      <c r="R42" s="93"/>
      <c r="S42" s="53" t="s">
        <v>126</v>
      </c>
      <c r="T42" s="46"/>
      <c r="U42" s="47"/>
      <c r="V42" s="95"/>
    </row>
    <row r="43" spans="2:22" ht="14.25" customHeight="1">
      <c r="B43" s="60"/>
      <c r="C43" s="26" t="s">
        <v>8</v>
      </c>
      <c r="D43" s="26" t="s">
        <v>8</v>
      </c>
      <c r="E43" s="19"/>
      <c r="F43" s="51"/>
      <c r="G43" s="52"/>
      <c r="H43" s="41"/>
      <c r="I43" s="94"/>
      <c r="J43" s="92"/>
      <c r="K43" s="92"/>
      <c r="L43" s="92"/>
      <c r="M43" s="92"/>
      <c r="N43" s="94"/>
      <c r="O43" s="44"/>
      <c r="P43" s="44"/>
      <c r="Q43" s="44"/>
      <c r="R43" s="93"/>
      <c r="S43" s="53" t="s">
        <v>139</v>
      </c>
      <c r="T43" s="46" t="s">
        <v>140</v>
      </c>
      <c r="U43" s="47" t="s">
        <v>206</v>
      </c>
      <c r="V43" s="95"/>
    </row>
    <row r="44" spans="2:22" ht="14.25" customHeight="1">
      <c r="B44" s="60"/>
      <c r="C44" s="26">
        <f>SUM(L39:L84)</f>
        <v>1382000</v>
      </c>
      <c r="D44" s="26">
        <f>SUM(Q39:Q84)</f>
        <v>729000</v>
      </c>
      <c r="E44" s="19"/>
      <c r="F44" s="51"/>
      <c r="G44" s="52"/>
      <c r="H44" s="41"/>
      <c r="I44" s="94"/>
      <c r="J44" s="92"/>
      <c r="K44" s="92"/>
      <c r="L44" s="92"/>
      <c r="M44" s="92"/>
      <c r="N44" s="94"/>
      <c r="O44" s="44"/>
      <c r="P44" s="44"/>
      <c r="Q44" s="44"/>
      <c r="R44" s="93"/>
      <c r="S44" s="53" t="s">
        <v>548</v>
      </c>
      <c r="T44" s="46"/>
      <c r="U44" s="47"/>
      <c r="V44" s="95"/>
    </row>
    <row r="45" spans="2:22" ht="14.25" customHeight="1">
      <c r="B45" s="60"/>
      <c r="C45" s="26" t="s">
        <v>9</v>
      </c>
      <c r="D45" s="26" t="s">
        <v>9</v>
      </c>
      <c r="E45" s="19"/>
      <c r="F45" s="51"/>
      <c r="G45" s="52"/>
      <c r="H45" s="41"/>
      <c r="I45" s="94"/>
      <c r="J45" s="92"/>
      <c r="K45" s="92"/>
      <c r="L45" s="92"/>
      <c r="M45" s="92"/>
      <c r="N45" s="94"/>
      <c r="O45" s="44"/>
      <c r="P45" s="44"/>
      <c r="Q45" s="44"/>
      <c r="R45" s="93"/>
      <c r="S45" s="53" t="s">
        <v>549</v>
      </c>
      <c r="T45" s="46"/>
      <c r="U45" s="47"/>
      <c r="V45" s="95"/>
    </row>
    <row r="46" spans="2:22" ht="14.25" customHeight="1">
      <c r="B46" s="60"/>
      <c r="C46" s="26">
        <f>C39-C42-C44</f>
        <v>62352000</v>
      </c>
      <c r="D46" s="26">
        <f>D39-D42-D44</f>
        <v>47153236</v>
      </c>
      <c r="E46" s="19"/>
      <c r="F46" s="51"/>
      <c r="G46" s="52"/>
      <c r="H46" s="41"/>
      <c r="I46" s="94"/>
      <c r="J46" s="92"/>
      <c r="K46" s="92"/>
      <c r="L46" s="92"/>
      <c r="M46" s="92"/>
      <c r="N46" s="94"/>
      <c r="O46" s="93"/>
      <c r="P46" s="93"/>
      <c r="Q46" s="93"/>
      <c r="R46" s="93"/>
      <c r="S46" s="53"/>
      <c r="T46" s="46"/>
      <c r="U46" s="47"/>
      <c r="V46" s="95"/>
    </row>
    <row r="47" spans="2:22" ht="14.25" customHeight="1">
      <c r="B47" s="60"/>
      <c r="C47" s="26"/>
      <c r="D47" s="26"/>
      <c r="E47" s="19"/>
      <c r="F47" s="51">
        <f>+F39+1</f>
        <v>2</v>
      </c>
      <c r="G47" s="40"/>
      <c r="H47" s="41" t="s">
        <v>127</v>
      </c>
      <c r="I47" s="94">
        <v>12564000</v>
      </c>
      <c r="J47" s="92">
        <v>7034000</v>
      </c>
      <c r="K47" s="92">
        <v>0</v>
      </c>
      <c r="L47" s="92">
        <v>274000</v>
      </c>
      <c r="M47" s="92">
        <f>+I47-SUM(J47:L47)</f>
        <v>5256000</v>
      </c>
      <c r="N47" s="94">
        <v>11021553</v>
      </c>
      <c r="O47" s="93">
        <v>8167000</v>
      </c>
      <c r="P47" s="93">
        <v>0</v>
      </c>
      <c r="Q47" s="93">
        <v>71000</v>
      </c>
      <c r="R47" s="93">
        <f>+N47-SUM(O47:Q47)</f>
        <v>2783553</v>
      </c>
      <c r="S47" s="53" t="s">
        <v>1057</v>
      </c>
      <c r="T47" s="46" t="s">
        <v>550</v>
      </c>
      <c r="U47" s="47" t="s">
        <v>551</v>
      </c>
      <c r="V47" s="95"/>
    </row>
    <row r="48" spans="2:22" ht="14.25" customHeight="1">
      <c r="B48" s="60"/>
      <c r="C48" s="26"/>
      <c r="D48" s="26"/>
      <c r="E48" s="19"/>
      <c r="F48" s="51"/>
      <c r="G48" s="52"/>
      <c r="H48" s="41"/>
      <c r="I48" s="94"/>
      <c r="J48" s="92"/>
      <c r="K48" s="92"/>
      <c r="L48" s="92"/>
      <c r="M48" s="92"/>
      <c r="N48" s="94"/>
      <c r="O48" s="93"/>
      <c r="P48" s="93"/>
      <c r="Q48" s="93"/>
      <c r="R48" s="93"/>
      <c r="S48" s="53" t="s">
        <v>552</v>
      </c>
      <c r="T48" s="46"/>
      <c r="U48" s="47"/>
      <c r="V48" s="95"/>
    </row>
    <row r="49" spans="2:22" ht="14.25" customHeight="1">
      <c r="B49" s="60"/>
      <c r="C49" s="26"/>
      <c r="D49" s="26"/>
      <c r="E49" s="19"/>
      <c r="F49" s="51"/>
      <c r="G49" s="52"/>
      <c r="H49" s="41"/>
      <c r="I49" s="94"/>
      <c r="J49" s="92"/>
      <c r="K49" s="92"/>
      <c r="L49" s="92"/>
      <c r="M49" s="92"/>
      <c r="N49" s="94"/>
      <c r="O49" s="93"/>
      <c r="P49" s="93"/>
      <c r="Q49" s="93"/>
      <c r="R49" s="93"/>
      <c r="S49" s="53" t="s">
        <v>1058</v>
      </c>
      <c r="T49" s="46"/>
      <c r="U49" s="47"/>
      <c r="V49" s="95"/>
    </row>
    <row r="50" spans="2:22" ht="14.25" customHeight="1" thickBot="1">
      <c r="B50" s="69"/>
      <c r="C50" s="27"/>
      <c r="D50" s="27"/>
      <c r="E50" s="70"/>
      <c r="F50" s="71"/>
      <c r="G50" s="140"/>
      <c r="H50" s="111"/>
      <c r="I50" s="74"/>
      <c r="J50" s="75"/>
      <c r="K50" s="75"/>
      <c r="L50" s="75"/>
      <c r="M50" s="75"/>
      <c r="N50" s="74"/>
      <c r="O50" s="76"/>
      <c r="P50" s="76"/>
      <c r="Q50" s="76"/>
      <c r="R50" s="76"/>
      <c r="S50" s="115"/>
      <c r="T50" s="78"/>
      <c r="U50" s="79"/>
      <c r="V50" s="48"/>
    </row>
    <row r="51" spans="2:22" ht="14.25" customHeight="1">
      <c r="B51" s="60"/>
      <c r="C51" s="26"/>
      <c r="D51" s="26"/>
      <c r="E51" s="96"/>
      <c r="F51" s="51">
        <f>+F47+1</f>
        <v>3</v>
      </c>
      <c r="G51" s="52"/>
      <c r="H51" s="41" t="s">
        <v>128</v>
      </c>
      <c r="I51" s="94">
        <v>9666000</v>
      </c>
      <c r="J51" s="92">
        <v>0</v>
      </c>
      <c r="K51" s="92">
        <v>0</v>
      </c>
      <c r="L51" s="92">
        <v>418000</v>
      </c>
      <c r="M51" s="92">
        <f>+I51-SUM(J51:L51)</f>
        <v>9248000</v>
      </c>
      <c r="N51" s="94">
        <v>8418463</v>
      </c>
      <c r="O51" s="93">
        <v>0</v>
      </c>
      <c r="P51" s="93">
        <v>0</v>
      </c>
      <c r="Q51" s="93">
        <v>0</v>
      </c>
      <c r="R51" s="93">
        <f>+N51-SUM(O51:Q51)</f>
        <v>8418463</v>
      </c>
      <c r="S51" s="53" t="s">
        <v>129</v>
      </c>
      <c r="T51" s="46" t="s">
        <v>130</v>
      </c>
      <c r="U51" s="47" t="s">
        <v>130</v>
      </c>
      <c r="V51" s="48"/>
    </row>
    <row r="52" spans="2:22" ht="14.25" customHeight="1">
      <c r="B52" s="60"/>
      <c r="C52" s="97"/>
      <c r="D52" s="26"/>
      <c r="E52" s="96"/>
      <c r="F52" s="51"/>
      <c r="G52" s="40"/>
      <c r="H52" s="98"/>
      <c r="I52" s="94"/>
      <c r="J52" s="92"/>
      <c r="K52" s="92"/>
      <c r="L52" s="92"/>
      <c r="M52" s="92"/>
      <c r="N52" s="94"/>
      <c r="O52" s="93"/>
      <c r="P52" s="93"/>
      <c r="Q52" s="93"/>
      <c r="R52" s="93"/>
      <c r="S52" s="53" t="s">
        <v>131</v>
      </c>
      <c r="T52" s="46"/>
      <c r="U52" s="47"/>
      <c r="V52" s="48"/>
    </row>
    <row r="53" spans="2:22" ht="14.25" customHeight="1">
      <c r="B53" s="60"/>
      <c r="C53" s="100"/>
      <c r="D53" s="101"/>
      <c r="E53" s="96"/>
      <c r="F53" s="51"/>
      <c r="G53" s="40"/>
      <c r="H53" s="98"/>
      <c r="I53" s="102"/>
      <c r="J53" s="92"/>
      <c r="K53" s="92"/>
      <c r="L53" s="92"/>
      <c r="M53" s="92"/>
      <c r="N53" s="102"/>
      <c r="O53" s="93"/>
      <c r="P53" s="93"/>
      <c r="Q53" s="93"/>
      <c r="R53" s="93"/>
      <c r="S53" s="53" t="s">
        <v>132</v>
      </c>
      <c r="T53" s="54"/>
      <c r="U53" s="47"/>
      <c r="V53" s="48"/>
    </row>
    <row r="54" spans="2:22" ht="14.25" customHeight="1">
      <c r="B54" s="60"/>
      <c r="C54" s="100"/>
      <c r="D54" s="101"/>
      <c r="E54" s="19"/>
      <c r="F54" s="51"/>
      <c r="G54" s="40"/>
      <c r="H54" s="98"/>
      <c r="I54" s="102"/>
      <c r="J54" s="92"/>
      <c r="K54" s="92"/>
      <c r="L54" s="92"/>
      <c r="M54" s="92"/>
      <c r="N54" s="102"/>
      <c r="O54" s="93"/>
      <c r="P54" s="93"/>
      <c r="Q54" s="93"/>
      <c r="R54" s="93"/>
      <c r="S54" s="53" t="s">
        <v>553</v>
      </c>
      <c r="T54" s="46" t="s">
        <v>138</v>
      </c>
      <c r="U54" s="47" t="s">
        <v>138</v>
      </c>
      <c r="V54" s="48"/>
    </row>
    <row r="55" spans="2:22" ht="14.25" customHeight="1">
      <c r="B55" s="60"/>
      <c r="C55" s="100"/>
      <c r="D55" s="101"/>
      <c r="E55" s="19"/>
      <c r="F55" s="51"/>
      <c r="G55" s="40"/>
      <c r="H55" s="98"/>
      <c r="I55" s="102"/>
      <c r="J55" s="92"/>
      <c r="K55" s="92"/>
      <c r="L55" s="92"/>
      <c r="M55" s="92"/>
      <c r="N55" s="102"/>
      <c r="O55" s="93"/>
      <c r="P55" s="93"/>
      <c r="Q55" s="93"/>
      <c r="R55" s="93"/>
      <c r="S55" s="53" t="s">
        <v>554</v>
      </c>
      <c r="T55" s="46"/>
      <c r="U55" s="47"/>
      <c r="V55" s="48"/>
    </row>
    <row r="56" spans="2:22" ht="14.25" customHeight="1">
      <c r="B56" s="60"/>
      <c r="C56" s="100"/>
      <c r="D56" s="101"/>
      <c r="E56" s="19"/>
      <c r="F56" s="51"/>
      <c r="G56" s="40"/>
      <c r="H56" s="98"/>
      <c r="I56" s="102"/>
      <c r="J56" s="92"/>
      <c r="K56" s="92"/>
      <c r="L56" s="92"/>
      <c r="M56" s="92"/>
      <c r="N56" s="102"/>
      <c r="O56" s="93"/>
      <c r="P56" s="93"/>
      <c r="Q56" s="93"/>
      <c r="R56" s="93"/>
      <c r="S56" s="53" t="s">
        <v>555</v>
      </c>
      <c r="T56" s="54"/>
      <c r="U56" s="47"/>
      <c r="V56" s="48"/>
    </row>
    <row r="57" spans="2:22" ht="14.25" customHeight="1">
      <c r="B57" s="60"/>
      <c r="C57" s="100"/>
      <c r="D57" s="101"/>
      <c r="E57" s="19"/>
      <c r="F57" s="51"/>
      <c r="G57" s="40"/>
      <c r="H57" s="98"/>
      <c r="I57" s="102"/>
      <c r="J57" s="92"/>
      <c r="K57" s="92"/>
      <c r="L57" s="92"/>
      <c r="M57" s="92"/>
      <c r="N57" s="102"/>
      <c r="O57" s="93"/>
      <c r="P57" s="93"/>
      <c r="Q57" s="93"/>
      <c r="R57" s="93"/>
      <c r="S57" s="53" t="s">
        <v>556</v>
      </c>
      <c r="T57" s="46"/>
      <c r="U57" s="47"/>
      <c r="V57" s="48"/>
    </row>
    <row r="58" spans="2:22" ht="14.25" customHeight="1">
      <c r="B58" s="60"/>
      <c r="C58" s="100"/>
      <c r="D58" s="101"/>
      <c r="E58" s="19"/>
      <c r="F58" s="51"/>
      <c r="G58" s="52"/>
      <c r="H58" s="41"/>
      <c r="I58" s="42"/>
      <c r="J58" s="43"/>
      <c r="K58" s="43"/>
      <c r="L58" s="43"/>
      <c r="M58" s="92"/>
      <c r="N58" s="42"/>
      <c r="O58" s="44"/>
      <c r="P58" s="44"/>
      <c r="Q58" s="44"/>
      <c r="R58" s="93"/>
      <c r="S58" s="53"/>
      <c r="T58" s="46"/>
      <c r="U58" s="47"/>
      <c r="V58" s="48"/>
    </row>
    <row r="59" spans="2:22" ht="14.25" customHeight="1">
      <c r="B59" s="60"/>
      <c r="C59" s="100"/>
      <c r="D59" s="101"/>
      <c r="E59" s="19"/>
      <c r="F59" s="51">
        <f>+F51+1</f>
        <v>4</v>
      </c>
      <c r="G59" s="52"/>
      <c r="H59" s="64" t="s">
        <v>133</v>
      </c>
      <c r="I59" s="94">
        <v>25735000</v>
      </c>
      <c r="J59" s="92">
        <v>25476000</v>
      </c>
      <c r="K59" s="92">
        <v>0</v>
      </c>
      <c r="L59" s="92">
        <v>0</v>
      </c>
      <c r="M59" s="92">
        <f>+I59-SUM(J59:L59)</f>
        <v>259000</v>
      </c>
      <c r="N59" s="94">
        <v>22902665</v>
      </c>
      <c r="O59" s="93">
        <v>22793665</v>
      </c>
      <c r="P59" s="93">
        <v>0</v>
      </c>
      <c r="Q59" s="93">
        <v>0</v>
      </c>
      <c r="R59" s="93">
        <f>+N59-SUM(O59:Q59)</f>
        <v>109000</v>
      </c>
      <c r="S59" s="53" t="s">
        <v>134</v>
      </c>
      <c r="T59" s="46" t="s">
        <v>212</v>
      </c>
      <c r="U59" s="47" t="s">
        <v>212</v>
      </c>
      <c r="V59" s="95"/>
    </row>
    <row r="60" spans="2:22" ht="14.25" customHeight="1">
      <c r="B60" s="60"/>
      <c r="C60" s="100"/>
      <c r="D60" s="101"/>
      <c r="E60" s="19"/>
      <c r="F60" s="51"/>
      <c r="G60" s="52"/>
      <c r="H60" s="41"/>
      <c r="I60" s="94"/>
      <c r="J60" s="92"/>
      <c r="K60" s="92"/>
      <c r="L60" s="92"/>
      <c r="M60" s="92"/>
      <c r="N60" s="94"/>
      <c r="O60" s="93"/>
      <c r="P60" s="93"/>
      <c r="Q60" s="93"/>
      <c r="R60" s="93"/>
      <c r="S60" s="53" t="s">
        <v>135</v>
      </c>
      <c r="T60" s="46"/>
      <c r="U60" s="47"/>
      <c r="V60" s="95"/>
    </row>
    <row r="61" spans="2:22" ht="14.25" customHeight="1">
      <c r="B61" s="60"/>
      <c r="C61" s="100"/>
      <c r="D61" s="101"/>
      <c r="E61" s="19"/>
      <c r="F61" s="51"/>
      <c r="G61" s="52"/>
      <c r="H61" s="41"/>
      <c r="I61" s="94"/>
      <c r="J61" s="92"/>
      <c r="K61" s="92"/>
      <c r="L61" s="92"/>
      <c r="M61" s="92"/>
      <c r="N61" s="94"/>
      <c r="O61" s="93"/>
      <c r="P61" s="93"/>
      <c r="Q61" s="93"/>
      <c r="R61" s="93"/>
      <c r="S61" s="53" t="s">
        <v>557</v>
      </c>
      <c r="T61" s="46"/>
      <c r="U61" s="47"/>
      <c r="V61" s="95"/>
    </row>
    <row r="62" spans="2:22" ht="14.25" customHeight="1">
      <c r="B62" s="60"/>
      <c r="C62" s="100"/>
      <c r="D62" s="101"/>
      <c r="E62" s="19"/>
      <c r="F62" s="51"/>
      <c r="G62" s="52"/>
      <c r="H62" s="41"/>
      <c r="I62" s="94"/>
      <c r="J62" s="92"/>
      <c r="K62" s="92"/>
      <c r="L62" s="92"/>
      <c r="M62" s="92"/>
      <c r="N62" s="94"/>
      <c r="O62" s="93"/>
      <c r="P62" s="93"/>
      <c r="Q62" s="93"/>
      <c r="R62" s="93"/>
      <c r="S62" s="53" t="s">
        <v>558</v>
      </c>
      <c r="T62" s="46"/>
      <c r="U62" s="47"/>
      <c r="V62" s="95"/>
    </row>
    <row r="63" spans="2:22" ht="14.25" customHeight="1">
      <c r="B63" s="60"/>
      <c r="C63" s="100"/>
      <c r="D63" s="101"/>
      <c r="E63" s="19"/>
      <c r="F63" s="51"/>
      <c r="G63" s="40"/>
      <c r="H63" s="98"/>
      <c r="I63" s="102"/>
      <c r="J63" s="92"/>
      <c r="K63" s="92"/>
      <c r="L63" s="92"/>
      <c r="M63" s="92"/>
      <c r="N63" s="102"/>
      <c r="O63" s="93"/>
      <c r="P63" s="93"/>
      <c r="Q63" s="93"/>
      <c r="R63" s="93"/>
      <c r="S63" s="53"/>
      <c r="T63" s="54"/>
      <c r="U63" s="47"/>
      <c r="V63" s="104"/>
    </row>
    <row r="64" spans="2:22" ht="14.25" customHeight="1">
      <c r="B64" s="60"/>
      <c r="C64" s="100"/>
      <c r="D64" s="101"/>
      <c r="E64" s="19"/>
      <c r="F64" s="51">
        <f>+F59+1</f>
        <v>5</v>
      </c>
      <c r="G64" s="52"/>
      <c r="H64" s="41" t="s">
        <v>136</v>
      </c>
      <c r="I64" s="42">
        <v>51887000</v>
      </c>
      <c r="J64" s="43">
        <v>51887000</v>
      </c>
      <c r="K64" s="43">
        <v>0</v>
      </c>
      <c r="L64" s="43">
        <v>0</v>
      </c>
      <c r="M64" s="92">
        <f>+I64-SUM(J64:L64)</f>
        <v>0</v>
      </c>
      <c r="N64" s="42">
        <v>49165582</v>
      </c>
      <c r="O64" s="44">
        <v>49094323</v>
      </c>
      <c r="P64" s="44">
        <v>0</v>
      </c>
      <c r="Q64" s="44">
        <v>0</v>
      </c>
      <c r="R64" s="93">
        <f>+N64-SUM(O64:Q64)</f>
        <v>71259</v>
      </c>
      <c r="S64" s="53" t="s">
        <v>559</v>
      </c>
      <c r="T64" s="46" t="s">
        <v>560</v>
      </c>
      <c r="U64" s="47" t="s">
        <v>561</v>
      </c>
      <c r="V64" s="104"/>
    </row>
    <row r="65" spans="2:22" ht="14.25" customHeight="1">
      <c r="B65" s="60"/>
      <c r="C65" s="100"/>
      <c r="D65" s="101"/>
      <c r="E65" s="19"/>
      <c r="F65" s="51"/>
      <c r="G65" s="52"/>
      <c r="H65" s="41"/>
      <c r="I65" s="42"/>
      <c r="J65" s="43"/>
      <c r="K65" s="43"/>
      <c r="L65" s="43"/>
      <c r="M65" s="92"/>
      <c r="N65" s="42"/>
      <c r="O65" s="44"/>
      <c r="P65" s="44"/>
      <c r="Q65" s="44"/>
      <c r="R65" s="93"/>
      <c r="S65" s="99" t="s">
        <v>1198</v>
      </c>
      <c r="T65" s="46"/>
      <c r="U65" s="47"/>
      <c r="V65" s="104"/>
    </row>
    <row r="66" spans="2:22" ht="14.25" customHeight="1">
      <c r="B66" s="60"/>
      <c r="C66" s="100"/>
      <c r="D66" s="101"/>
      <c r="E66" s="19"/>
      <c r="F66" s="51"/>
      <c r="G66" s="52"/>
      <c r="H66" s="41"/>
      <c r="I66" s="42"/>
      <c r="J66" s="43"/>
      <c r="K66" s="43"/>
      <c r="L66" s="43"/>
      <c r="M66" s="92"/>
      <c r="N66" s="42"/>
      <c r="O66" s="44"/>
      <c r="P66" s="44"/>
      <c r="Q66" s="44"/>
      <c r="R66" s="93"/>
      <c r="S66" s="99" t="s">
        <v>1199</v>
      </c>
      <c r="T66" s="46"/>
      <c r="U66" s="47"/>
      <c r="V66" s="104"/>
    </row>
    <row r="67" spans="2:22" ht="14.25" customHeight="1">
      <c r="B67" s="60"/>
      <c r="C67" s="100"/>
      <c r="D67" s="101"/>
      <c r="E67" s="19"/>
      <c r="F67" s="51"/>
      <c r="G67" s="40"/>
      <c r="H67" s="41"/>
      <c r="I67" s="94"/>
      <c r="J67" s="92"/>
      <c r="K67" s="92"/>
      <c r="L67" s="92"/>
      <c r="M67" s="92"/>
      <c r="N67" s="94"/>
      <c r="O67" s="44"/>
      <c r="P67" s="44"/>
      <c r="Q67" s="44"/>
      <c r="R67" s="93"/>
      <c r="S67" s="53"/>
      <c r="T67" s="46"/>
      <c r="U67" s="47"/>
      <c r="V67" s="95"/>
    </row>
    <row r="68" spans="2:22" ht="14.25" customHeight="1">
      <c r="B68" s="60"/>
      <c r="C68" s="100"/>
      <c r="D68" s="101"/>
      <c r="E68" s="19"/>
      <c r="F68" s="51">
        <f>+F64+1</f>
        <v>6</v>
      </c>
      <c r="G68" s="52"/>
      <c r="H68" s="64" t="s">
        <v>137</v>
      </c>
      <c r="I68" s="42">
        <v>28040000</v>
      </c>
      <c r="J68" s="43">
        <v>11560000</v>
      </c>
      <c r="K68" s="43">
        <v>0</v>
      </c>
      <c r="L68" s="43">
        <v>690000</v>
      </c>
      <c r="M68" s="92">
        <f>+I68-SUM(J68:L68)</f>
        <v>15790000</v>
      </c>
      <c r="N68" s="42">
        <v>21710727</v>
      </c>
      <c r="O68" s="44">
        <v>10560000</v>
      </c>
      <c r="P68" s="44">
        <v>0</v>
      </c>
      <c r="Q68" s="44">
        <v>658000</v>
      </c>
      <c r="R68" s="93">
        <f>+N68-SUM(O68:Q68)</f>
        <v>10492727</v>
      </c>
      <c r="S68" s="53" t="s">
        <v>562</v>
      </c>
      <c r="T68" s="67" t="s">
        <v>563</v>
      </c>
      <c r="U68" s="47" t="s">
        <v>564</v>
      </c>
      <c r="V68" s="95"/>
    </row>
    <row r="69" spans="2:22" ht="14.25" customHeight="1">
      <c r="B69" s="60"/>
      <c r="C69" s="106"/>
      <c r="D69" s="26"/>
      <c r="E69" s="19"/>
      <c r="F69" s="51"/>
      <c r="G69" s="52"/>
      <c r="H69" s="41"/>
      <c r="I69" s="42"/>
      <c r="J69" s="43"/>
      <c r="K69" s="43"/>
      <c r="L69" s="43"/>
      <c r="M69" s="92"/>
      <c r="N69" s="42"/>
      <c r="O69" s="44"/>
      <c r="P69" s="44"/>
      <c r="Q69" s="44"/>
      <c r="R69" s="93">
        <f>+N69-SUM(O69:Q69)</f>
        <v>0</v>
      </c>
      <c r="S69" s="53" t="s">
        <v>565</v>
      </c>
      <c r="T69" s="46"/>
      <c r="U69" s="47"/>
      <c r="V69" s="95"/>
    </row>
    <row r="70" spans="2:22" ht="14.25" customHeight="1">
      <c r="B70" s="60"/>
      <c r="C70" s="106"/>
      <c r="D70" s="26"/>
      <c r="E70" s="19"/>
      <c r="F70" s="51"/>
      <c r="G70" s="52"/>
      <c r="H70" s="41"/>
      <c r="I70" s="42"/>
      <c r="J70" s="43"/>
      <c r="K70" s="43"/>
      <c r="L70" s="43"/>
      <c r="M70" s="92"/>
      <c r="N70" s="42"/>
      <c r="O70" s="44"/>
      <c r="P70" s="44"/>
      <c r="Q70" s="44"/>
      <c r="R70" s="93">
        <f>+N70-SUM(O70:Q70)</f>
        <v>0</v>
      </c>
      <c r="S70" s="53" t="s">
        <v>566</v>
      </c>
      <c r="T70" s="46"/>
      <c r="U70" s="47"/>
      <c r="V70" s="95"/>
    </row>
    <row r="71" spans="2:22" ht="14.25" customHeight="1">
      <c r="B71" s="60"/>
      <c r="C71" s="106"/>
      <c r="D71" s="26"/>
      <c r="E71" s="19"/>
      <c r="F71" s="51"/>
      <c r="G71" s="52"/>
      <c r="H71" s="41"/>
      <c r="I71" s="42"/>
      <c r="J71" s="43"/>
      <c r="K71" s="43"/>
      <c r="L71" s="43"/>
      <c r="M71" s="92"/>
      <c r="N71" s="42"/>
      <c r="O71" s="44"/>
      <c r="P71" s="44"/>
      <c r="Q71" s="44"/>
      <c r="R71" s="93"/>
      <c r="S71" s="53" t="s">
        <v>567</v>
      </c>
      <c r="T71" s="46"/>
      <c r="U71" s="47"/>
      <c r="V71" s="95"/>
    </row>
    <row r="72" spans="2:22" ht="14.25" customHeight="1">
      <c r="B72" s="60"/>
      <c r="C72" s="106"/>
      <c r="D72" s="26"/>
      <c r="E72" s="19"/>
      <c r="F72" s="51"/>
      <c r="G72" s="52"/>
      <c r="H72" s="41"/>
      <c r="I72" s="42"/>
      <c r="J72" s="43"/>
      <c r="K72" s="43"/>
      <c r="L72" s="43"/>
      <c r="M72" s="92"/>
      <c r="N72" s="42"/>
      <c r="O72" s="44"/>
      <c r="P72" s="44"/>
      <c r="Q72" s="44"/>
      <c r="R72" s="93"/>
      <c r="S72" s="53" t="s">
        <v>568</v>
      </c>
      <c r="T72" s="46"/>
      <c r="U72" s="47"/>
      <c r="V72" s="95"/>
    </row>
    <row r="73" spans="2:22" ht="14.25" customHeight="1">
      <c r="B73" s="60"/>
      <c r="C73" s="106"/>
      <c r="D73" s="26"/>
      <c r="E73" s="19"/>
      <c r="F73" s="51"/>
      <c r="G73" s="52"/>
      <c r="H73" s="41"/>
      <c r="I73" s="42"/>
      <c r="J73" s="43"/>
      <c r="K73" s="43"/>
      <c r="L73" s="43"/>
      <c r="M73" s="92"/>
      <c r="N73" s="42"/>
      <c r="O73" s="44"/>
      <c r="P73" s="44"/>
      <c r="Q73" s="44"/>
      <c r="R73" s="93"/>
      <c r="S73" s="53" t="s">
        <v>569</v>
      </c>
      <c r="T73" s="46"/>
      <c r="U73" s="47"/>
      <c r="V73" s="95"/>
    </row>
    <row r="74" spans="2:22" ht="14.25" customHeight="1">
      <c r="B74" s="60"/>
      <c r="C74" s="106"/>
      <c r="D74" s="26"/>
      <c r="E74" s="19"/>
      <c r="F74" s="51"/>
      <c r="G74" s="52"/>
      <c r="H74" s="41"/>
      <c r="I74" s="42"/>
      <c r="J74" s="43"/>
      <c r="K74" s="43"/>
      <c r="L74" s="43"/>
      <c r="M74" s="92"/>
      <c r="N74" s="42"/>
      <c r="O74" s="44"/>
      <c r="P74" s="44"/>
      <c r="Q74" s="44"/>
      <c r="R74" s="93"/>
      <c r="S74" s="53"/>
      <c r="T74" s="46"/>
      <c r="U74" s="47"/>
      <c r="V74" s="95"/>
    </row>
    <row r="75" spans="2:22" ht="14.25" customHeight="1">
      <c r="B75" s="60"/>
      <c r="C75" s="106"/>
      <c r="D75" s="26"/>
      <c r="E75" s="19"/>
      <c r="F75" s="51">
        <f>+F68+1</f>
        <v>7</v>
      </c>
      <c r="G75" s="52"/>
      <c r="H75" s="64" t="s">
        <v>1241</v>
      </c>
      <c r="I75" s="94">
        <v>5151000</v>
      </c>
      <c r="J75" s="92">
        <v>0</v>
      </c>
      <c r="K75" s="92">
        <v>0</v>
      </c>
      <c r="L75" s="92">
        <v>0</v>
      </c>
      <c r="M75" s="92">
        <f>+I75-SUM(J75:L75)</f>
        <v>5151000</v>
      </c>
      <c r="N75" s="94">
        <v>3463847</v>
      </c>
      <c r="O75" s="93">
        <v>0</v>
      </c>
      <c r="P75" s="93">
        <v>0</v>
      </c>
      <c r="Q75" s="93">
        <v>0</v>
      </c>
      <c r="R75" s="93">
        <f>+N75-SUM(O75:Q75)</f>
        <v>3463847</v>
      </c>
      <c r="S75" s="57" t="s">
        <v>570</v>
      </c>
      <c r="T75" s="46" t="s">
        <v>571</v>
      </c>
      <c r="U75" s="273" t="s">
        <v>572</v>
      </c>
      <c r="V75" s="95"/>
    </row>
    <row r="76" spans="2:22" ht="14.25" customHeight="1">
      <c r="B76" s="60"/>
      <c r="C76" s="106"/>
      <c r="D76" s="26"/>
      <c r="E76" s="19"/>
      <c r="F76" s="51"/>
      <c r="G76" s="52"/>
      <c r="H76" s="41"/>
      <c r="I76" s="94"/>
      <c r="J76" s="92"/>
      <c r="K76" s="92"/>
      <c r="L76" s="92"/>
      <c r="M76" s="92"/>
      <c r="N76" s="94"/>
      <c r="O76" s="93"/>
      <c r="P76" s="93"/>
      <c r="Q76" s="93"/>
      <c r="R76" s="93"/>
      <c r="S76" s="107" t="s">
        <v>573</v>
      </c>
      <c r="T76" s="105"/>
      <c r="U76" s="47"/>
      <c r="V76" s="95"/>
    </row>
    <row r="77" spans="2:22" ht="14.25" customHeight="1">
      <c r="B77" s="60"/>
      <c r="C77" s="106"/>
      <c r="D77" s="26"/>
      <c r="E77" s="19"/>
      <c r="F77" s="51"/>
      <c r="G77" s="52"/>
      <c r="H77" s="41"/>
      <c r="I77" s="94"/>
      <c r="J77" s="92"/>
      <c r="K77" s="92"/>
      <c r="L77" s="92"/>
      <c r="M77" s="92"/>
      <c r="N77" s="94"/>
      <c r="O77" s="93"/>
      <c r="P77" s="93"/>
      <c r="Q77" s="93"/>
      <c r="R77" s="93"/>
      <c r="S77" s="107"/>
      <c r="T77" s="46"/>
      <c r="U77" s="47"/>
      <c r="V77" s="95"/>
    </row>
    <row r="78" spans="2:22" ht="14.25" customHeight="1">
      <c r="B78" s="60"/>
      <c r="C78" s="106"/>
      <c r="D78" s="26"/>
      <c r="E78" s="19"/>
      <c r="F78" s="51">
        <f>+F75+1</f>
        <v>8</v>
      </c>
      <c r="G78" s="52"/>
      <c r="H78" s="64" t="s">
        <v>1242</v>
      </c>
      <c r="I78" s="94">
        <v>8860000</v>
      </c>
      <c r="J78" s="92">
        <v>0</v>
      </c>
      <c r="K78" s="92">
        <v>0</v>
      </c>
      <c r="L78" s="92">
        <v>0</v>
      </c>
      <c r="M78" s="92">
        <f>+I78-SUM(J78:L78)</f>
        <v>8860000</v>
      </c>
      <c r="N78" s="94">
        <v>4388771</v>
      </c>
      <c r="O78" s="93">
        <v>0</v>
      </c>
      <c r="P78" s="93">
        <v>0</v>
      </c>
      <c r="Q78" s="93">
        <v>0</v>
      </c>
      <c r="R78" s="93">
        <f>+N78-SUM(O78:Q78)</f>
        <v>4388771</v>
      </c>
      <c r="S78" s="53" t="s">
        <v>574</v>
      </c>
      <c r="T78" s="46" t="s">
        <v>575</v>
      </c>
      <c r="U78" s="47" t="s">
        <v>576</v>
      </c>
      <c r="V78" s="95"/>
    </row>
    <row r="79" spans="2:22" ht="14.25" customHeight="1">
      <c r="B79" s="60"/>
      <c r="C79" s="106"/>
      <c r="D79" s="26"/>
      <c r="E79" s="19"/>
      <c r="F79" s="51"/>
      <c r="G79" s="52"/>
      <c r="H79" s="41"/>
      <c r="I79" s="94"/>
      <c r="J79" s="92"/>
      <c r="K79" s="92"/>
      <c r="L79" s="92"/>
      <c r="M79" s="92"/>
      <c r="N79" s="94"/>
      <c r="O79" s="93"/>
      <c r="P79" s="93"/>
      <c r="Q79" s="93"/>
      <c r="R79" s="93"/>
      <c r="S79" s="53" t="s">
        <v>577</v>
      </c>
      <c r="T79" s="46" t="s">
        <v>578</v>
      </c>
      <c r="U79" s="47" t="s">
        <v>579</v>
      </c>
      <c r="V79" s="95"/>
    </row>
    <row r="80" spans="2:22" ht="14.25" customHeight="1">
      <c r="B80" s="60"/>
      <c r="C80" s="106"/>
      <c r="D80" s="26"/>
      <c r="E80" s="19"/>
      <c r="F80" s="51"/>
      <c r="G80" s="52"/>
      <c r="H80" s="41"/>
      <c r="I80" s="94"/>
      <c r="J80" s="92"/>
      <c r="K80" s="92"/>
      <c r="L80" s="92"/>
      <c r="M80" s="92"/>
      <c r="N80" s="94"/>
      <c r="O80" s="93"/>
      <c r="P80" s="93"/>
      <c r="Q80" s="93"/>
      <c r="R80" s="93"/>
      <c r="S80" s="53" t="s">
        <v>580</v>
      </c>
      <c r="T80" s="46" t="s">
        <v>578</v>
      </c>
      <c r="U80" s="47" t="s">
        <v>581</v>
      </c>
      <c r="V80" s="95"/>
    </row>
    <row r="81" spans="2:22" ht="14.25" customHeight="1">
      <c r="B81" s="60"/>
      <c r="C81" s="106"/>
      <c r="D81" s="26"/>
      <c r="E81" s="19"/>
      <c r="F81" s="51"/>
      <c r="G81" s="52"/>
      <c r="H81" s="41"/>
      <c r="I81" s="94"/>
      <c r="J81" s="92"/>
      <c r="K81" s="92"/>
      <c r="L81" s="92"/>
      <c r="M81" s="92"/>
      <c r="N81" s="94"/>
      <c r="O81" s="93"/>
      <c r="P81" s="93"/>
      <c r="Q81" s="93"/>
      <c r="R81" s="93"/>
      <c r="S81" s="53" t="s">
        <v>582</v>
      </c>
      <c r="T81" s="46"/>
      <c r="U81" s="47"/>
      <c r="V81" s="95"/>
    </row>
    <row r="82" spans="2:22" ht="14.25" customHeight="1">
      <c r="B82" s="60"/>
      <c r="C82" s="106"/>
      <c r="D82" s="26"/>
      <c r="E82" s="19"/>
      <c r="F82" s="51"/>
      <c r="G82" s="52"/>
      <c r="H82" s="41"/>
      <c r="I82" s="94"/>
      <c r="J82" s="92"/>
      <c r="K82" s="92"/>
      <c r="L82" s="92"/>
      <c r="M82" s="92"/>
      <c r="N82" s="94"/>
      <c r="O82" s="93"/>
      <c r="P82" s="93"/>
      <c r="Q82" s="93"/>
      <c r="R82" s="93"/>
      <c r="S82" s="53" t="s">
        <v>583</v>
      </c>
      <c r="T82" s="46"/>
      <c r="U82" s="47"/>
      <c r="V82" s="95"/>
    </row>
    <row r="83" spans="2:22" ht="14.25" customHeight="1">
      <c r="B83" s="60"/>
      <c r="C83" s="106"/>
      <c r="D83" s="26"/>
      <c r="E83" s="19"/>
      <c r="F83" s="51"/>
      <c r="G83" s="52"/>
      <c r="H83" s="41"/>
      <c r="I83" s="94"/>
      <c r="J83" s="92"/>
      <c r="K83" s="92"/>
      <c r="L83" s="92"/>
      <c r="M83" s="92"/>
      <c r="N83" s="94"/>
      <c r="O83" s="93"/>
      <c r="P83" s="93"/>
      <c r="Q83" s="93"/>
      <c r="R83" s="93"/>
      <c r="S83" s="53"/>
      <c r="T83" s="46"/>
      <c r="U83" s="47"/>
      <c r="V83" s="95"/>
    </row>
    <row r="84" spans="2:22" ht="14.25" customHeight="1">
      <c r="B84" s="60"/>
      <c r="C84" s="106"/>
      <c r="D84" s="26"/>
      <c r="E84" s="19"/>
      <c r="F84" s="51">
        <f>+F78+1</f>
        <v>9</v>
      </c>
      <c r="G84" s="52"/>
      <c r="H84" s="64" t="s">
        <v>141</v>
      </c>
      <c r="I84" s="42">
        <v>-1915000</v>
      </c>
      <c r="J84" s="43">
        <v>0</v>
      </c>
      <c r="K84" s="43">
        <v>0</v>
      </c>
      <c r="L84" s="43">
        <v>0</v>
      </c>
      <c r="M84" s="92">
        <f>+I84-SUM(J84:L84)</f>
        <v>-1915000</v>
      </c>
      <c r="N84" s="42">
        <v>0</v>
      </c>
      <c r="O84" s="44">
        <v>0</v>
      </c>
      <c r="P84" s="44">
        <v>0</v>
      </c>
      <c r="Q84" s="44">
        <v>0</v>
      </c>
      <c r="R84" s="93">
        <f>+N84-SUM(O84:Q84)</f>
        <v>0</v>
      </c>
      <c r="S84" s="108" t="s">
        <v>142</v>
      </c>
      <c r="T84" s="109"/>
      <c r="U84" s="47"/>
      <c r="V84" s="95"/>
    </row>
    <row r="85" spans="2:22" ht="14.25" customHeight="1" thickBot="1">
      <c r="B85" s="69"/>
      <c r="C85" s="110"/>
      <c r="D85" s="27"/>
      <c r="E85" s="24"/>
      <c r="F85" s="71"/>
      <c r="G85" s="72"/>
      <c r="H85" s="111"/>
      <c r="I85" s="112"/>
      <c r="J85" s="113"/>
      <c r="K85" s="113"/>
      <c r="L85" s="113"/>
      <c r="M85" s="75"/>
      <c r="N85" s="112"/>
      <c r="O85" s="114"/>
      <c r="P85" s="114"/>
      <c r="Q85" s="114"/>
      <c r="R85" s="76"/>
      <c r="S85" s="115"/>
      <c r="T85" s="78"/>
      <c r="U85" s="79"/>
      <c r="V85" s="95"/>
    </row>
    <row r="86" spans="2:22" ht="14.25" customHeight="1">
      <c r="B86" s="60"/>
      <c r="C86" s="106"/>
      <c r="D86" s="26"/>
      <c r="E86" s="19"/>
      <c r="F86" s="51"/>
      <c r="G86" s="52"/>
      <c r="H86" s="41"/>
      <c r="I86" s="94"/>
      <c r="J86" s="92"/>
      <c r="K86" s="92"/>
      <c r="L86" s="92"/>
      <c r="M86" s="92"/>
      <c r="N86" s="94"/>
      <c r="O86" s="93"/>
      <c r="P86" s="93"/>
      <c r="Q86" s="93"/>
      <c r="R86" s="93"/>
      <c r="S86" s="53"/>
      <c r="T86" s="46"/>
      <c r="U86" s="47"/>
      <c r="V86" s="95"/>
    </row>
    <row r="87" spans="2:22" ht="14.25" customHeight="1">
      <c r="B87" s="17" t="s">
        <v>143</v>
      </c>
      <c r="C87" s="26">
        <f>SUM(I87:I91)</f>
        <v>164831000</v>
      </c>
      <c r="D87" s="26">
        <f>SUM(N87:N91)</f>
        <v>143993225</v>
      </c>
      <c r="E87" s="19" t="s">
        <v>116</v>
      </c>
      <c r="F87" s="51">
        <v>1</v>
      </c>
      <c r="G87" s="52"/>
      <c r="H87" s="41" t="s">
        <v>144</v>
      </c>
      <c r="I87" s="94">
        <v>164831000</v>
      </c>
      <c r="J87" s="92">
        <v>0</v>
      </c>
      <c r="K87" s="92">
        <v>0</v>
      </c>
      <c r="L87" s="92">
        <v>37486000</v>
      </c>
      <c r="M87" s="92">
        <f>+I87-SUM(J87:L87)</f>
        <v>127345000</v>
      </c>
      <c r="N87" s="94">
        <v>143993225</v>
      </c>
      <c r="O87" s="93">
        <v>0</v>
      </c>
      <c r="P87" s="93">
        <v>0</v>
      </c>
      <c r="Q87" s="93">
        <v>22497950</v>
      </c>
      <c r="R87" s="93">
        <f>+N87-SUM(O87:Q87)</f>
        <v>121495275</v>
      </c>
      <c r="S87" s="53" t="s">
        <v>145</v>
      </c>
      <c r="T87" s="46" t="s">
        <v>584</v>
      </c>
      <c r="U87" s="47" t="s">
        <v>585</v>
      </c>
      <c r="V87" s="95"/>
    </row>
    <row r="88" spans="2:22" ht="14.25" customHeight="1">
      <c r="B88" s="17" t="s">
        <v>146</v>
      </c>
      <c r="C88" s="26"/>
      <c r="D88" s="16"/>
      <c r="E88" s="19"/>
      <c r="F88" s="51"/>
      <c r="G88" s="52"/>
      <c r="H88" s="41"/>
      <c r="I88" s="94"/>
      <c r="J88" s="92"/>
      <c r="K88" s="92"/>
      <c r="L88" s="92"/>
      <c r="M88" s="92"/>
      <c r="N88" s="94"/>
      <c r="O88" s="93"/>
      <c r="P88" s="93"/>
      <c r="Q88" s="93"/>
      <c r="R88" s="93"/>
      <c r="S88" s="53" t="s">
        <v>147</v>
      </c>
      <c r="T88" s="46"/>
      <c r="U88" s="47"/>
      <c r="V88" s="95"/>
    </row>
    <row r="89" spans="2:22" ht="14.25" customHeight="1">
      <c r="B89" s="17" t="s">
        <v>58</v>
      </c>
      <c r="C89" s="26" t="s">
        <v>8</v>
      </c>
      <c r="D89" s="26" t="s">
        <v>8</v>
      </c>
      <c r="E89" s="19"/>
      <c r="F89" s="51"/>
      <c r="G89" s="52"/>
      <c r="H89" s="41"/>
      <c r="I89" s="94"/>
      <c r="J89" s="92"/>
      <c r="K89" s="92"/>
      <c r="L89" s="92"/>
      <c r="M89" s="92"/>
      <c r="N89" s="94"/>
      <c r="O89" s="93"/>
      <c r="P89" s="93"/>
      <c r="Q89" s="93"/>
      <c r="R89" s="93"/>
      <c r="S89" s="274" t="s">
        <v>1059</v>
      </c>
      <c r="T89" s="46"/>
      <c r="U89" s="47"/>
      <c r="V89" s="95"/>
    </row>
    <row r="90" spans="2:22" ht="14.25" customHeight="1">
      <c r="B90" s="60"/>
      <c r="C90" s="26">
        <f>SUM(L87:L91)</f>
        <v>37486000</v>
      </c>
      <c r="D90" s="26">
        <f>SUM(Q87:Q91)</f>
        <v>22497950</v>
      </c>
      <c r="E90" s="19"/>
      <c r="F90" s="51"/>
      <c r="G90" s="52"/>
      <c r="H90" s="41"/>
      <c r="I90" s="94"/>
      <c r="J90" s="92"/>
      <c r="K90" s="92"/>
      <c r="L90" s="92"/>
      <c r="M90" s="92"/>
      <c r="N90" s="94"/>
      <c r="O90" s="44"/>
      <c r="P90" s="44"/>
      <c r="Q90" s="44"/>
      <c r="R90" s="93"/>
      <c r="S90" s="274" t="s">
        <v>586</v>
      </c>
      <c r="T90" s="46"/>
      <c r="U90" s="47"/>
      <c r="V90" s="95"/>
    </row>
    <row r="91" spans="2:22" ht="14.25" customHeight="1">
      <c r="B91" s="60"/>
      <c r="C91" s="26" t="s">
        <v>9</v>
      </c>
      <c r="D91" s="26" t="s">
        <v>9</v>
      </c>
      <c r="E91" s="19"/>
      <c r="F91" s="51"/>
      <c r="G91" s="52"/>
      <c r="H91" s="41"/>
      <c r="I91" s="94"/>
      <c r="J91" s="92"/>
      <c r="K91" s="92"/>
      <c r="L91" s="92"/>
      <c r="M91" s="92"/>
      <c r="N91" s="94"/>
      <c r="O91" s="93"/>
      <c r="P91" s="93"/>
      <c r="Q91" s="93"/>
      <c r="R91" s="93"/>
      <c r="S91" s="53" t="s">
        <v>587</v>
      </c>
      <c r="T91" s="46"/>
      <c r="U91" s="47"/>
      <c r="V91" s="95"/>
    </row>
    <row r="92" spans="2:22" ht="14.25" customHeight="1">
      <c r="B92" s="60"/>
      <c r="C92" s="26">
        <f>C87-C90</f>
        <v>127345000</v>
      </c>
      <c r="D92" s="26">
        <f>D87-D90</f>
        <v>121495275</v>
      </c>
      <c r="E92" s="19"/>
      <c r="F92" s="51"/>
      <c r="G92" s="52"/>
      <c r="H92" s="56"/>
      <c r="I92" s="94"/>
      <c r="J92" s="92"/>
      <c r="K92" s="92"/>
      <c r="L92" s="92"/>
      <c r="M92" s="92"/>
      <c r="N92" s="94"/>
      <c r="O92" s="93"/>
      <c r="P92" s="93"/>
      <c r="Q92" s="93"/>
      <c r="R92" s="93"/>
      <c r="S92" s="53"/>
      <c r="T92" s="46"/>
      <c r="U92" s="47"/>
      <c r="V92" s="95"/>
    </row>
    <row r="93" spans="2:22" ht="14.25" customHeight="1" thickBot="1">
      <c r="B93" s="69"/>
      <c r="C93" s="110"/>
      <c r="D93" s="27"/>
      <c r="E93" s="24"/>
      <c r="F93" s="71"/>
      <c r="G93" s="72"/>
      <c r="H93" s="111"/>
      <c r="I93" s="74"/>
      <c r="J93" s="75"/>
      <c r="K93" s="75"/>
      <c r="L93" s="75"/>
      <c r="M93" s="75"/>
      <c r="N93" s="74"/>
      <c r="O93" s="76"/>
      <c r="P93" s="76"/>
      <c r="Q93" s="76"/>
      <c r="R93" s="76"/>
      <c r="S93" s="115"/>
      <c r="T93" s="78"/>
      <c r="U93" s="79"/>
      <c r="V93" s="95"/>
    </row>
    <row r="94" spans="2:22" ht="14.25" customHeight="1">
      <c r="B94" s="60"/>
      <c r="C94" s="106"/>
      <c r="D94" s="26"/>
      <c r="E94" s="19"/>
      <c r="F94" s="51"/>
      <c r="G94" s="52"/>
      <c r="H94" s="41"/>
      <c r="I94" s="94"/>
      <c r="J94" s="92"/>
      <c r="K94" s="92"/>
      <c r="L94" s="92"/>
      <c r="M94" s="92"/>
      <c r="N94" s="94"/>
      <c r="O94" s="93"/>
      <c r="P94" s="93"/>
      <c r="Q94" s="93"/>
      <c r="R94" s="93"/>
      <c r="S94" s="53"/>
      <c r="T94" s="46"/>
      <c r="U94" s="47"/>
      <c r="V94" s="95"/>
    </row>
    <row r="95" spans="2:22" ht="14.25" customHeight="1">
      <c r="B95" s="116" t="s">
        <v>148</v>
      </c>
      <c r="C95" s="26">
        <f>SUM(I95:I99)</f>
        <v>4679000</v>
      </c>
      <c r="D95" s="26">
        <f>SUM(N95:N99)</f>
        <v>4055723</v>
      </c>
      <c r="E95" s="19" t="s">
        <v>149</v>
      </c>
      <c r="F95" s="51">
        <f>+F93+1</f>
        <v>1</v>
      </c>
      <c r="G95" s="52"/>
      <c r="H95" s="56" t="s">
        <v>150</v>
      </c>
      <c r="I95" s="94">
        <v>383000</v>
      </c>
      <c r="J95" s="43">
        <v>0</v>
      </c>
      <c r="K95" s="43">
        <v>0</v>
      </c>
      <c r="L95" s="43">
        <v>0</v>
      </c>
      <c r="M95" s="43">
        <f>+I95-SUM(J95:L95)</f>
        <v>383000</v>
      </c>
      <c r="N95" s="94">
        <v>383000</v>
      </c>
      <c r="O95" s="44">
        <v>0</v>
      </c>
      <c r="P95" s="44">
        <v>0</v>
      </c>
      <c r="Q95" s="44">
        <v>0</v>
      </c>
      <c r="R95" s="44">
        <f>+N95-SUM(O95:Q95)</f>
        <v>383000</v>
      </c>
      <c r="S95" s="21" t="s">
        <v>106</v>
      </c>
      <c r="T95" s="54"/>
      <c r="U95" s="47"/>
      <c r="V95" s="95"/>
    </row>
    <row r="96" spans="2:22" ht="14.25" customHeight="1">
      <c r="B96" s="17" t="s">
        <v>151</v>
      </c>
      <c r="C96" s="26"/>
      <c r="D96" s="16"/>
      <c r="E96" s="19" t="s">
        <v>152</v>
      </c>
      <c r="F96" s="51"/>
      <c r="G96" s="52"/>
      <c r="H96" s="56"/>
      <c r="I96" s="94"/>
      <c r="J96" s="92"/>
      <c r="K96" s="92"/>
      <c r="L96" s="92"/>
      <c r="M96" s="92"/>
      <c r="N96" s="94"/>
      <c r="O96" s="93"/>
      <c r="P96" s="93"/>
      <c r="Q96" s="93"/>
      <c r="R96" s="44"/>
      <c r="S96" s="57"/>
      <c r="T96" s="117"/>
      <c r="U96" s="118"/>
      <c r="V96" s="95"/>
    </row>
    <row r="97" spans="2:22" ht="14.25" customHeight="1">
      <c r="B97" s="60"/>
      <c r="C97" s="26" t="s">
        <v>8</v>
      </c>
      <c r="D97" s="26" t="s">
        <v>8</v>
      </c>
      <c r="E97" s="19"/>
      <c r="F97" s="51">
        <f>+F95+1</f>
        <v>2</v>
      </c>
      <c r="G97" s="52"/>
      <c r="H97" s="61" t="s">
        <v>534</v>
      </c>
      <c r="I97" s="94">
        <v>4427000</v>
      </c>
      <c r="J97" s="43">
        <v>0</v>
      </c>
      <c r="K97" s="43">
        <v>0</v>
      </c>
      <c r="L97" s="43">
        <v>195000</v>
      </c>
      <c r="M97" s="43">
        <f>+I97-SUM(J97:L97)</f>
        <v>4232000</v>
      </c>
      <c r="N97" s="94">
        <v>3672723</v>
      </c>
      <c r="O97" s="44">
        <v>0</v>
      </c>
      <c r="P97" s="44">
        <v>0</v>
      </c>
      <c r="Q97" s="44">
        <v>195000</v>
      </c>
      <c r="R97" s="44">
        <f>+N97-SUM(O97:Q97)</f>
        <v>3477723</v>
      </c>
      <c r="S97" s="20" t="s">
        <v>153</v>
      </c>
      <c r="T97" s="54" t="s">
        <v>154</v>
      </c>
      <c r="U97" s="47" t="s">
        <v>647</v>
      </c>
      <c r="V97" s="95"/>
    </row>
    <row r="98" spans="2:22" ht="14.25" customHeight="1">
      <c r="B98" s="60"/>
      <c r="C98" s="26">
        <f>SUM(L95:L99)</f>
        <v>195000</v>
      </c>
      <c r="D98" s="26">
        <f>SUM(Q95:Q99)</f>
        <v>195000</v>
      </c>
      <c r="E98" s="19"/>
      <c r="F98" s="51"/>
      <c r="G98" s="52"/>
      <c r="H98" s="56"/>
      <c r="I98" s="94"/>
      <c r="J98" s="92"/>
      <c r="K98" s="92"/>
      <c r="L98" s="92"/>
      <c r="M98" s="92"/>
      <c r="N98" s="94"/>
      <c r="O98" s="93"/>
      <c r="P98" s="93"/>
      <c r="Q98" s="93"/>
      <c r="R98" s="44"/>
      <c r="S98" s="58"/>
      <c r="T98" s="117"/>
      <c r="U98" s="118"/>
      <c r="V98" s="95"/>
    </row>
    <row r="99" spans="2:22" ht="14.25" customHeight="1">
      <c r="B99" s="60"/>
      <c r="C99" s="26" t="s">
        <v>9</v>
      </c>
      <c r="D99" s="26" t="s">
        <v>9</v>
      </c>
      <c r="E99" s="19"/>
      <c r="F99" s="51">
        <f>+F97+1</f>
        <v>3</v>
      </c>
      <c r="G99" s="52"/>
      <c r="H99" s="64" t="s">
        <v>141</v>
      </c>
      <c r="I99" s="94">
        <v>-131000</v>
      </c>
      <c r="J99" s="92">
        <v>0</v>
      </c>
      <c r="K99" s="92">
        <v>0</v>
      </c>
      <c r="L99" s="92">
        <v>0</v>
      </c>
      <c r="M99" s="92">
        <f>+I99-SUM(J99:L99)</f>
        <v>-131000</v>
      </c>
      <c r="N99" s="94">
        <v>0</v>
      </c>
      <c r="O99" s="93"/>
      <c r="P99" s="93"/>
      <c r="Q99" s="93"/>
      <c r="R99" s="44"/>
      <c r="S99" s="58" t="s">
        <v>142</v>
      </c>
      <c r="T99" s="117"/>
      <c r="U99" s="118"/>
      <c r="V99" s="95"/>
    </row>
    <row r="100" spans="2:22" ht="14.25" customHeight="1">
      <c r="B100" s="60"/>
      <c r="C100" s="26">
        <f>C95-C98</f>
        <v>4484000</v>
      </c>
      <c r="D100" s="26">
        <f>D95-D98</f>
        <v>3860723</v>
      </c>
      <c r="E100" s="19"/>
      <c r="F100" s="51"/>
      <c r="G100" s="52"/>
      <c r="H100" s="56"/>
      <c r="I100" s="94"/>
      <c r="J100" s="43"/>
      <c r="K100" s="43"/>
      <c r="L100" s="43"/>
      <c r="M100" s="43"/>
      <c r="N100" s="94"/>
      <c r="O100" s="44"/>
      <c r="P100" s="44"/>
      <c r="Q100" s="44"/>
      <c r="R100" s="44"/>
      <c r="S100" s="20"/>
      <c r="T100" s="54"/>
      <c r="U100" s="47"/>
      <c r="V100" s="95"/>
    </row>
    <row r="101" spans="2:22" ht="14.25" customHeight="1" thickBot="1">
      <c r="B101" s="69"/>
      <c r="C101" s="110"/>
      <c r="D101" s="27"/>
      <c r="E101" s="24"/>
      <c r="F101" s="71"/>
      <c r="G101" s="72"/>
      <c r="H101" s="111"/>
      <c r="I101" s="74"/>
      <c r="J101" s="75"/>
      <c r="K101" s="75"/>
      <c r="L101" s="75"/>
      <c r="M101" s="75"/>
      <c r="N101" s="74"/>
      <c r="O101" s="76"/>
      <c r="P101" s="76"/>
      <c r="Q101" s="76"/>
      <c r="R101" s="76"/>
      <c r="S101" s="115"/>
      <c r="T101" s="78"/>
      <c r="U101" s="79"/>
      <c r="V101" s="95"/>
    </row>
    <row r="102" spans="2:22" ht="14.25" customHeight="1">
      <c r="B102" s="60"/>
      <c r="C102" s="106"/>
      <c r="D102" s="26"/>
      <c r="E102" s="19"/>
      <c r="F102" s="51"/>
      <c r="G102" s="52"/>
      <c r="H102" s="41"/>
      <c r="I102" s="94"/>
      <c r="J102" s="92"/>
      <c r="K102" s="92"/>
      <c r="L102" s="92"/>
      <c r="M102" s="92"/>
      <c r="N102" s="94"/>
      <c r="O102" s="93"/>
      <c r="P102" s="93"/>
      <c r="Q102" s="93"/>
      <c r="R102" s="93"/>
      <c r="S102" s="53"/>
      <c r="T102" s="46"/>
      <c r="U102" s="47"/>
      <c r="V102" s="95"/>
    </row>
    <row r="103" spans="2:22" ht="14.25" customHeight="1">
      <c r="B103" s="116" t="s">
        <v>155</v>
      </c>
      <c r="C103" s="26">
        <f>SUM(I103:I106)</f>
        <v>7643000</v>
      </c>
      <c r="D103" s="26">
        <f>SUM(N103:N106)</f>
        <v>6185440</v>
      </c>
      <c r="E103" s="19" t="s">
        <v>156</v>
      </c>
      <c r="F103" s="51">
        <v>1</v>
      </c>
      <c r="G103" s="52"/>
      <c r="H103" s="61" t="s">
        <v>157</v>
      </c>
      <c r="I103" s="94">
        <v>7776000</v>
      </c>
      <c r="J103" s="43">
        <v>0</v>
      </c>
      <c r="K103" s="43">
        <v>0</v>
      </c>
      <c r="L103" s="43">
        <v>0</v>
      </c>
      <c r="M103" s="43">
        <f>+I103-SUM(J103:L103)</f>
        <v>7776000</v>
      </c>
      <c r="N103" s="94">
        <v>6185440</v>
      </c>
      <c r="O103" s="44">
        <v>0</v>
      </c>
      <c r="P103" s="44">
        <v>0</v>
      </c>
      <c r="Q103" s="44">
        <v>0</v>
      </c>
      <c r="R103" s="44">
        <f>+N103-SUM(O103:Q103)</f>
        <v>6185440</v>
      </c>
      <c r="S103" s="20" t="s">
        <v>158</v>
      </c>
      <c r="T103" s="54" t="s">
        <v>159</v>
      </c>
      <c r="U103" s="47" t="s">
        <v>159</v>
      </c>
      <c r="V103" s="95"/>
    </row>
    <row r="104" spans="2:22" ht="14.25" customHeight="1">
      <c r="B104" s="17" t="s">
        <v>121</v>
      </c>
      <c r="C104" s="26"/>
      <c r="D104" s="16"/>
      <c r="E104" s="19"/>
      <c r="F104" s="51"/>
      <c r="G104" s="52"/>
      <c r="H104" s="56"/>
      <c r="I104" s="94"/>
      <c r="J104" s="92"/>
      <c r="K104" s="92"/>
      <c r="L104" s="92"/>
      <c r="M104" s="92"/>
      <c r="N104" s="94"/>
      <c r="O104" s="93"/>
      <c r="P104" s="93"/>
      <c r="Q104" s="93"/>
      <c r="R104" s="44"/>
      <c r="S104" s="57" t="s">
        <v>1060</v>
      </c>
      <c r="T104" s="46"/>
      <c r="U104" s="47"/>
      <c r="V104" s="95"/>
    </row>
    <row r="105" spans="2:22" ht="14.25" customHeight="1">
      <c r="B105" s="60"/>
      <c r="C105" s="26" t="s">
        <v>9</v>
      </c>
      <c r="D105" s="26" t="s">
        <v>9</v>
      </c>
      <c r="E105" s="19"/>
      <c r="F105" s="51"/>
      <c r="G105" s="52"/>
      <c r="H105" s="41"/>
      <c r="I105" s="94"/>
      <c r="J105" s="92"/>
      <c r="K105" s="92"/>
      <c r="L105" s="92"/>
      <c r="M105" s="92"/>
      <c r="N105" s="94"/>
      <c r="O105" s="93"/>
      <c r="P105" s="93"/>
      <c r="Q105" s="93"/>
      <c r="R105" s="93"/>
      <c r="S105" s="53"/>
      <c r="T105" s="46"/>
      <c r="U105" s="47"/>
      <c r="V105" s="95"/>
    </row>
    <row r="106" spans="2:22" ht="14.25" customHeight="1">
      <c r="B106" s="60"/>
      <c r="C106" s="26">
        <f>C103</f>
        <v>7643000</v>
      </c>
      <c r="D106" s="26">
        <f>D103</f>
        <v>6185440</v>
      </c>
      <c r="E106" s="19"/>
      <c r="F106" s="51">
        <f>+F103+1</f>
        <v>2</v>
      </c>
      <c r="G106" s="52"/>
      <c r="H106" s="61" t="s">
        <v>160</v>
      </c>
      <c r="I106" s="94">
        <v>-133000</v>
      </c>
      <c r="J106" s="92">
        <v>0</v>
      </c>
      <c r="K106" s="92">
        <v>0</v>
      </c>
      <c r="L106" s="92">
        <v>0</v>
      </c>
      <c r="M106" s="92">
        <f>+I106-SUM(J106:L106)</f>
        <v>-133000</v>
      </c>
      <c r="N106" s="94">
        <v>0</v>
      </c>
      <c r="O106" s="93"/>
      <c r="P106" s="93"/>
      <c r="Q106" s="93"/>
      <c r="R106" s="44"/>
      <c r="S106" s="58" t="s">
        <v>106</v>
      </c>
      <c r="T106" s="117"/>
      <c r="U106" s="118"/>
      <c r="V106" s="95"/>
    </row>
    <row r="107" spans="2:22" ht="14.25" customHeight="1" thickBot="1">
      <c r="B107" s="60"/>
      <c r="C107" s="106"/>
      <c r="D107" s="26"/>
      <c r="E107" s="19"/>
      <c r="F107" s="51"/>
      <c r="G107" s="52"/>
      <c r="H107" s="41"/>
      <c r="I107" s="42"/>
      <c r="J107" s="43"/>
      <c r="K107" s="43"/>
      <c r="L107" s="43"/>
      <c r="M107" s="92"/>
      <c r="N107" s="42"/>
      <c r="O107" s="44"/>
      <c r="P107" s="44"/>
      <c r="Q107" s="44"/>
      <c r="R107" s="93"/>
      <c r="S107" s="108"/>
      <c r="T107" s="109"/>
      <c r="U107" s="47"/>
      <c r="V107" s="95"/>
    </row>
    <row r="108" spans="2:22" ht="14.25" customHeight="1">
      <c r="B108" s="80"/>
      <c r="C108" s="81"/>
      <c r="D108" s="25"/>
      <c r="E108" s="82"/>
      <c r="F108" s="83"/>
      <c r="G108" s="84"/>
      <c r="H108" s="85"/>
      <c r="I108" s="86"/>
      <c r="J108" s="87"/>
      <c r="K108" s="87"/>
      <c r="L108" s="87"/>
      <c r="M108" s="87"/>
      <c r="N108" s="86"/>
      <c r="O108" s="88"/>
      <c r="P108" s="88"/>
      <c r="Q108" s="88"/>
      <c r="R108" s="88"/>
      <c r="S108" s="89"/>
      <c r="T108" s="90"/>
      <c r="U108" s="91"/>
      <c r="V108" s="55"/>
    </row>
    <row r="109" spans="2:22" ht="14.25" customHeight="1">
      <c r="B109" s="17" t="s">
        <v>161</v>
      </c>
      <c r="C109" s="26">
        <f>SUM(I109:I131)</f>
        <v>1079399000</v>
      </c>
      <c r="D109" s="26">
        <f>SUM(N109:N131)</f>
        <v>1075208959</v>
      </c>
      <c r="E109" s="19" t="s">
        <v>162</v>
      </c>
      <c r="F109" s="51">
        <v>1</v>
      </c>
      <c r="G109" s="52"/>
      <c r="H109" s="41" t="s">
        <v>163</v>
      </c>
      <c r="I109" s="94">
        <v>2685000</v>
      </c>
      <c r="J109" s="92">
        <v>0</v>
      </c>
      <c r="K109" s="92">
        <v>0</v>
      </c>
      <c r="L109" s="92">
        <v>2685000</v>
      </c>
      <c r="M109" s="43">
        <f>+I109-SUM(J109:L109)</f>
        <v>0</v>
      </c>
      <c r="N109" s="94">
        <v>2684254</v>
      </c>
      <c r="O109" s="93">
        <v>0</v>
      </c>
      <c r="P109" s="93">
        <v>0</v>
      </c>
      <c r="Q109" s="93">
        <v>2684254</v>
      </c>
      <c r="R109" s="44">
        <f>+N109-SUM(O109:Q109)</f>
        <v>0</v>
      </c>
      <c r="S109" s="53" t="s">
        <v>164</v>
      </c>
      <c r="T109" s="46" t="s">
        <v>165</v>
      </c>
      <c r="U109" s="47" t="s">
        <v>165</v>
      </c>
      <c r="V109" s="55"/>
    </row>
    <row r="110" spans="2:22" ht="14.25" customHeight="1">
      <c r="B110" s="17" t="s">
        <v>121</v>
      </c>
      <c r="C110" s="26"/>
      <c r="D110" s="16"/>
      <c r="E110" s="19"/>
      <c r="F110" s="51"/>
      <c r="G110" s="52"/>
      <c r="H110" s="41"/>
      <c r="I110" s="94"/>
      <c r="J110" s="92"/>
      <c r="K110" s="92"/>
      <c r="L110" s="92"/>
      <c r="M110" s="92"/>
      <c r="N110" s="94"/>
      <c r="O110" s="93"/>
      <c r="P110" s="93"/>
      <c r="Q110" s="93"/>
      <c r="R110" s="93"/>
      <c r="S110" s="53" t="s">
        <v>166</v>
      </c>
      <c r="T110" s="46"/>
      <c r="U110" s="47"/>
      <c r="V110" s="55"/>
    </row>
    <row r="111" spans="2:22" ht="14.25" customHeight="1">
      <c r="B111" s="17"/>
      <c r="C111" s="26" t="s">
        <v>7</v>
      </c>
      <c r="D111" s="26" t="s">
        <v>7</v>
      </c>
      <c r="E111" s="19"/>
      <c r="F111" s="51"/>
      <c r="G111" s="52"/>
      <c r="H111" s="41"/>
      <c r="I111" s="94"/>
      <c r="J111" s="92"/>
      <c r="K111" s="92"/>
      <c r="L111" s="92"/>
      <c r="M111" s="92"/>
      <c r="N111" s="94"/>
      <c r="O111" s="93"/>
      <c r="P111" s="93"/>
      <c r="Q111" s="93"/>
      <c r="R111" s="93"/>
      <c r="S111" s="53"/>
      <c r="T111" s="46"/>
      <c r="U111" s="47"/>
      <c r="V111" s="55"/>
    </row>
    <row r="112" spans="2:22" ht="14.25" customHeight="1">
      <c r="B112" s="17"/>
      <c r="C112" s="26">
        <f>SUM(J109:J131)</f>
        <v>962468000</v>
      </c>
      <c r="D112" s="26">
        <f>SUM(O109:O131)</f>
        <v>962468000</v>
      </c>
      <c r="E112" s="19"/>
      <c r="F112" s="51">
        <f>+F109+1</f>
        <v>2</v>
      </c>
      <c r="G112" s="52"/>
      <c r="H112" s="41" t="s">
        <v>167</v>
      </c>
      <c r="I112" s="42">
        <v>1024000</v>
      </c>
      <c r="J112" s="43">
        <v>0</v>
      </c>
      <c r="K112" s="43">
        <v>0</v>
      </c>
      <c r="L112" s="43">
        <v>1024000</v>
      </c>
      <c r="M112" s="43">
        <f>+I112-SUM(J112:L112)</f>
        <v>0</v>
      </c>
      <c r="N112" s="42">
        <v>321362</v>
      </c>
      <c r="O112" s="44">
        <v>0</v>
      </c>
      <c r="P112" s="44">
        <v>0</v>
      </c>
      <c r="Q112" s="44">
        <v>337572</v>
      </c>
      <c r="R112" s="44">
        <f>+N112-SUM(O112:Q112)</f>
        <v>-16210</v>
      </c>
      <c r="S112" s="57" t="s">
        <v>168</v>
      </c>
      <c r="T112" s="46" t="s">
        <v>667</v>
      </c>
      <c r="U112" s="47" t="s">
        <v>668</v>
      </c>
      <c r="V112" s="55"/>
    </row>
    <row r="113" spans="2:22" ht="14.25" customHeight="1">
      <c r="B113" s="17"/>
      <c r="C113" s="26" t="s">
        <v>8</v>
      </c>
      <c r="D113" s="26" t="s">
        <v>8</v>
      </c>
      <c r="E113" s="19"/>
      <c r="F113" s="51"/>
      <c r="G113" s="52"/>
      <c r="H113" s="41"/>
      <c r="I113" s="42"/>
      <c r="J113" s="43"/>
      <c r="K113" s="43"/>
      <c r="L113" s="43"/>
      <c r="M113" s="92"/>
      <c r="N113" s="42"/>
      <c r="O113" s="44"/>
      <c r="P113" s="44"/>
      <c r="Q113" s="44"/>
      <c r="R113" s="93"/>
      <c r="S113" s="57"/>
      <c r="T113" s="46" t="s">
        <v>169</v>
      </c>
      <c r="U113" s="47" t="s">
        <v>169</v>
      </c>
      <c r="V113" s="55"/>
    </row>
    <row r="114" spans="2:22" ht="14.25" customHeight="1">
      <c r="B114" s="17"/>
      <c r="C114" s="26">
        <f>SUM(L109:L131)</f>
        <v>22745000</v>
      </c>
      <c r="D114" s="26">
        <f>SUM(Q109:Q131)</f>
        <v>22021826</v>
      </c>
      <c r="E114" s="19"/>
      <c r="F114" s="51"/>
      <c r="G114" s="52"/>
      <c r="H114" s="41"/>
      <c r="I114" s="94"/>
      <c r="J114" s="92"/>
      <c r="K114" s="92"/>
      <c r="L114" s="92"/>
      <c r="M114" s="43"/>
      <c r="N114" s="94"/>
      <c r="O114" s="93"/>
      <c r="P114" s="93"/>
      <c r="Q114" s="93"/>
      <c r="R114" s="44"/>
      <c r="S114" s="53"/>
      <c r="T114" s="46"/>
      <c r="U114" s="47"/>
      <c r="V114" s="55"/>
    </row>
    <row r="115" spans="2:22" ht="14.25" customHeight="1">
      <c r="B115" s="17"/>
      <c r="C115" s="26" t="s">
        <v>9</v>
      </c>
      <c r="D115" s="26" t="s">
        <v>9</v>
      </c>
      <c r="E115" s="19"/>
      <c r="F115" s="51">
        <f>+F112+1</f>
        <v>3</v>
      </c>
      <c r="G115" s="52"/>
      <c r="H115" s="64" t="s">
        <v>170</v>
      </c>
      <c r="I115" s="94">
        <v>1151000</v>
      </c>
      <c r="J115" s="92">
        <v>0</v>
      </c>
      <c r="K115" s="92">
        <v>0</v>
      </c>
      <c r="L115" s="92">
        <v>0</v>
      </c>
      <c r="M115" s="43">
        <f>+I115-SUM(J115:L115)</f>
        <v>1151000</v>
      </c>
      <c r="N115" s="94">
        <v>708064</v>
      </c>
      <c r="O115" s="93">
        <v>0</v>
      </c>
      <c r="P115" s="93">
        <v>0</v>
      </c>
      <c r="Q115" s="93">
        <v>0</v>
      </c>
      <c r="R115" s="44">
        <f>+N115-SUM(O115:Q115)</f>
        <v>708064</v>
      </c>
      <c r="S115" s="99" t="s">
        <v>1200</v>
      </c>
      <c r="T115" s="67" t="s">
        <v>563</v>
      </c>
      <c r="U115" s="47" t="s">
        <v>669</v>
      </c>
      <c r="V115" s="55"/>
    </row>
    <row r="116" spans="2:22" ht="14.25" customHeight="1">
      <c r="B116" s="17"/>
      <c r="C116" s="26">
        <f>C109-C112-C114</f>
        <v>94186000</v>
      </c>
      <c r="D116" s="26">
        <f>D109-D112-D114</f>
        <v>90719133</v>
      </c>
      <c r="E116" s="19"/>
      <c r="F116" s="51"/>
      <c r="G116" s="52"/>
      <c r="H116" s="41"/>
      <c r="I116" s="94"/>
      <c r="J116" s="92"/>
      <c r="K116" s="92"/>
      <c r="L116" s="92"/>
      <c r="M116" s="92"/>
      <c r="N116" s="94"/>
      <c r="O116" s="93"/>
      <c r="P116" s="93"/>
      <c r="Q116" s="93"/>
      <c r="R116" s="93"/>
      <c r="S116" s="53"/>
      <c r="T116" s="46"/>
      <c r="U116" s="47"/>
      <c r="V116" s="55"/>
    </row>
    <row r="117" spans="2:22" ht="14.25" customHeight="1">
      <c r="B117" s="17"/>
      <c r="C117" s="26"/>
      <c r="D117" s="26"/>
      <c r="E117" s="19"/>
      <c r="F117" s="51"/>
      <c r="G117" s="52"/>
      <c r="H117" s="41"/>
      <c r="I117" s="94"/>
      <c r="J117" s="92"/>
      <c r="K117" s="92"/>
      <c r="L117" s="92"/>
      <c r="M117" s="92"/>
      <c r="N117" s="94"/>
      <c r="O117" s="93"/>
      <c r="P117" s="93"/>
      <c r="Q117" s="93"/>
      <c r="R117" s="93"/>
      <c r="S117" s="53"/>
      <c r="T117" s="46"/>
      <c r="U117" s="47"/>
      <c r="V117" s="55"/>
    </row>
    <row r="118" spans="2:22" ht="14.25" customHeight="1">
      <c r="B118" s="17"/>
      <c r="C118" s="26"/>
      <c r="D118" s="26"/>
      <c r="E118" s="19"/>
      <c r="F118" s="51">
        <f>+F115+1</f>
        <v>4</v>
      </c>
      <c r="G118" s="52"/>
      <c r="H118" s="64" t="s">
        <v>1243</v>
      </c>
      <c r="I118" s="42">
        <v>6334000</v>
      </c>
      <c r="J118" s="43">
        <v>0</v>
      </c>
      <c r="K118" s="43">
        <v>0</v>
      </c>
      <c r="L118" s="43">
        <v>0</v>
      </c>
      <c r="M118" s="43">
        <f>+I118-SUM(J118:L118)</f>
        <v>6334000</v>
      </c>
      <c r="N118" s="42">
        <v>3705975</v>
      </c>
      <c r="O118" s="44">
        <v>0</v>
      </c>
      <c r="P118" s="44">
        <v>0</v>
      </c>
      <c r="Q118" s="44">
        <v>0</v>
      </c>
      <c r="R118" s="44">
        <f>+N118-SUM(O118:Q118)</f>
        <v>3705975</v>
      </c>
      <c r="S118" s="57" t="s">
        <v>171</v>
      </c>
      <c r="T118" s="46" t="s">
        <v>172</v>
      </c>
      <c r="U118" s="47" t="s">
        <v>670</v>
      </c>
      <c r="V118" s="55"/>
    </row>
    <row r="119" spans="2:22" ht="14.25" customHeight="1">
      <c r="B119" s="17"/>
      <c r="C119" s="26"/>
      <c r="D119" s="26"/>
      <c r="E119" s="19"/>
      <c r="F119" s="51"/>
      <c r="G119" s="52"/>
      <c r="H119" s="64"/>
      <c r="I119" s="94"/>
      <c r="J119" s="92"/>
      <c r="K119" s="92"/>
      <c r="L119" s="92"/>
      <c r="M119" s="92"/>
      <c r="N119" s="94"/>
      <c r="O119" s="93"/>
      <c r="P119" s="93"/>
      <c r="Q119" s="93"/>
      <c r="R119" s="93"/>
      <c r="S119" s="53" t="s">
        <v>173</v>
      </c>
      <c r="T119" s="46"/>
      <c r="U119" s="47"/>
      <c r="V119" s="55"/>
    </row>
    <row r="120" spans="2:22" ht="14.25" customHeight="1">
      <c r="B120" s="17"/>
      <c r="C120" s="100"/>
      <c r="D120" s="101"/>
      <c r="E120" s="19"/>
      <c r="F120" s="51"/>
      <c r="G120" s="52"/>
      <c r="H120" s="41"/>
      <c r="I120" s="94"/>
      <c r="J120" s="92"/>
      <c r="K120" s="92"/>
      <c r="L120" s="92"/>
      <c r="M120" s="43"/>
      <c r="N120" s="94"/>
      <c r="O120" s="93"/>
      <c r="P120" s="93"/>
      <c r="Q120" s="93"/>
      <c r="R120" s="44"/>
      <c r="S120" s="53"/>
      <c r="T120" s="67"/>
      <c r="U120" s="47"/>
      <c r="V120" s="55"/>
    </row>
    <row r="121" spans="2:22" ht="14.25" customHeight="1">
      <c r="B121" s="17"/>
      <c r="C121" s="106"/>
      <c r="D121" s="26"/>
      <c r="E121" s="19"/>
      <c r="F121" s="51">
        <f>+F118+1</f>
        <v>5</v>
      </c>
      <c r="G121" s="52"/>
      <c r="H121" s="41" t="s">
        <v>174</v>
      </c>
      <c r="I121" s="42">
        <v>19000000</v>
      </c>
      <c r="J121" s="43">
        <v>0</v>
      </c>
      <c r="K121" s="43">
        <v>0</v>
      </c>
      <c r="L121" s="43">
        <v>19000000</v>
      </c>
      <c r="M121" s="43">
        <f>+I121-SUM(J121:L121)</f>
        <v>0</v>
      </c>
      <c r="N121" s="42">
        <v>19000000</v>
      </c>
      <c r="O121" s="44">
        <v>0</v>
      </c>
      <c r="P121" s="44">
        <v>0</v>
      </c>
      <c r="Q121" s="44">
        <v>19000000</v>
      </c>
      <c r="R121" s="44">
        <f>+N121-SUM(O121:Q121)</f>
        <v>0</v>
      </c>
      <c r="S121" s="58" t="s">
        <v>142</v>
      </c>
      <c r="T121" s="67"/>
      <c r="U121" s="59"/>
      <c r="V121" s="55"/>
    </row>
    <row r="122" spans="2:22" ht="14.25" customHeight="1">
      <c r="B122" s="17"/>
      <c r="C122" s="106"/>
      <c r="D122" s="26"/>
      <c r="E122" s="19"/>
      <c r="F122" s="51"/>
      <c r="G122" s="52"/>
      <c r="H122" s="41"/>
      <c r="I122" s="94"/>
      <c r="J122" s="92"/>
      <c r="K122" s="92"/>
      <c r="L122" s="92"/>
      <c r="M122" s="92"/>
      <c r="N122" s="94"/>
      <c r="O122" s="93"/>
      <c r="P122" s="93"/>
      <c r="Q122" s="93"/>
      <c r="R122" s="93"/>
      <c r="S122" s="57"/>
      <c r="T122" s="46"/>
      <c r="U122" s="47"/>
      <c r="V122" s="95"/>
    </row>
    <row r="123" spans="2:22" ht="14.25" customHeight="1">
      <c r="B123" s="17"/>
      <c r="C123" s="26"/>
      <c r="D123" s="26"/>
      <c r="E123" s="19"/>
      <c r="F123" s="51">
        <f>+F121+1</f>
        <v>6</v>
      </c>
      <c r="G123" s="52"/>
      <c r="H123" s="41" t="s">
        <v>175</v>
      </c>
      <c r="I123" s="94">
        <v>965356000</v>
      </c>
      <c r="J123" s="92">
        <v>962468000</v>
      </c>
      <c r="K123" s="92">
        <v>0</v>
      </c>
      <c r="L123" s="92">
        <v>36000</v>
      </c>
      <c r="M123" s="43">
        <f>+I123-SUM(J123:L123)</f>
        <v>2852000</v>
      </c>
      <c r="N123" s="94">
        <v>964532304</v>
      </c>
      <c r="O123" s="93">
        <v>962468000</v>
      </c>
      <c r="P123" s="93">
        <v>0</v>
      </c>
      <c r="Q123" s="93">
        <v>0</v>
      </c>
      <c r="R123" s="44">
        <f>+N123-SUM(O123:Q123)</f>
        <v>2064304</v>
      </c>
      <c r="S123" s="53" t="s">
        <v>176</v>
      </c>
      <c r="T123" s="46" t="s">
        <v>671</v>
      </c>
      <c r="U123" s="47" t="s">
        <v>671</v>
      </c>
      <c r="V123" s="55"/>
    </row>
    <row r="124" spans="2:22" ht="14.25" customHeight="1">
      <c r="B124" s="17"/>
      <c r="C124" s="106"/>
      <c r="D124" s="26"/>
      <c r="E124" s="19"/>
      <c r="F124" s="51"/>
      <c r="G124" s="52"/>
      <c r="H124" s="41"/>
      <c r="I124" s="94"/>
      <c r="J124" s="92"/>
      <c r="K124" s="92"/>
      <c r="L124" s="92"/>
      <c r="M124" s="92"/>
      <c r="N124" s="94"/>
      <c r="O124" s="93"/>
      <c r="P124" s="93"/>
      <c r="Q124" s="93"/>
      <c r="R124" s="93"/>
      <c r="S124" s="53"/>
      <c r="T124" s="46"/>
      <c r="U124" s="47"/>
      <c r="V124" s="55"/>
    </row>
    <row r="125" spans="2:22" ht="14.25" customHeight="1">
      <c r="B125" s="17"/>
      <c r="C125" s="106"/>
      <c r="D125" s="26"/>
      <c r="E125" s="19"/>
      <c r="F125" s="51"/>
      <c r="G125" s="40"/>
      <c r="H125" s="41"/>
      <c r="I125" s="94"/>
      <c r="J125" s="92"/>
      <c r="K125" s="92"/>
      <c r="L125" s="92"/>
      <c r="M125" s="92"/>
      <c r="N125" s="94"/>
      <c r="O125" s="93"/>
      <c r="P125" s="93"/>
      <c r="Q125" s="93"/>
      <c r="R125" s="93"/>
      <c r="S125" s="53"/>
      <c r="T125" s="46"/>
      <c r="U125" s="47"/>
      <c r="V125" s="55"/>
    </row>
    <row r="126" spans="2:22" ht="14.25" customHeight="1">
      <c r="B126" s="17"/>
      <c r="C126" s="106"/>
      <c r="D126" s="26"/>
      <c r="E126" s="19"/>
      <c r="F126" s="51">
        <f>+F123+1</f>
        <v>7</v>
      </c>
      <c r="G126" s="52"/>
      <c r="H126" s="64" t="s">
        <v>177</v>
      </c>
      <c r="I126" s="94">
        <v>84257000</v>
      </c>
      <c r="J126" s="92">
        <v>0</v>
      </c>
      <c r="K126" s="92">
        <v>0</v>
      </c>
      <c r="L126" s="92">
        <v>0</v>
      </c>
      <c r="M126" s="43">
        <f>+I126-SUM(J126:L126)</f>
        <v>84257000</v>
      </c>
      <c r="N126" s="94">
        <v>84257000</v>
      </c>
      <c r="O126" s="93">
        <v>0</v>
      </c>
      <c r="P126" s="93">
        <v>0</v>
      </c>
      <c r="Q126" s="93">
        <v>0</v>
      </c>
      <c r="R126" s="44">
        <f>+N126-SUM(O126:Q126)</f>
        <v>84257000</v>
      </c>
      <c r="S126" s="58" t="s">
        <v>106</v>
      </c>
      <c r="T126" s="67"/>
      <c r="U126" s="59"/>
      <c r="V126" s="55"/>
    </row>
    <row r="127" spans="2:22" ht="14.25" customHeight="1">
      <c r="B127" s="17"/>
      <c r="C127" s="106"/>
      <c r="D127" s="26"/>
      <c r="E127" s="19"/>
      <c r="F127" s="51"/>
      <c r="G127" s="52"/>
      <c r="H127" s="41"/>
      <c r="I127" s="94"/>
      <c r="J127" s="92"/>
      <c r="K127" s="92"/>
      <c r="L127" s="92"/>
      <c r="M127" s="92"/>
      <c r="N127" s="94"/>
      <c r="O127" s="93"/>
      <c r="P127" s="93"/>
      <c r="Q127" s="93"/>
      <c r="R127" s="93"/>
      <c r="S127" s="53" t="s">
        <v>178</v>
      </c>
      <c r="T127" s="46"/>
      <c r="U127" s="47"/>
      <c r="V127" s="55"/>
    </row>
    <row r="128" spans="2:22" ht="14.25" customHeight="1">
      <c r="B128" s="17"/>
      <c r="C128" s="106"/>
      <c r="D128" s="26"/>
      <c r="E128" s="19"/>
      <c r="F128" s="51"/>
      <c r="G128" s="52"/>
      <c r="H128" s="41"/>
      <c r="I128" s="94"/>
      <c r="J128" s="92"/>
      <c r="K128" s="92"/>
      <c r="L128" s="92"/>
      <c r="M128" s="92"/>
      <c r="N128" s="94"/>
      <c r="O128" s="93"/>
      <c r="P128" s="93"/>
      <c r="Q128" s="93"/>
      <c r="R128" s="93"/>
      <c r="S128" s="53" t="s">
        <v>672</v>
      </c>
      <c r="T128" s="46"/>
      <c r="U128" s="47"/>
      <c r="V128" s="55"/>
    </row>
    <row r="129" spans="2:22" ht="14.25" customHeight="1">
      <c r="B129" s="17"/>
      <c r="C129" s="106"/>
      <c r="D129" s="26"/>
      <c r="E129" s="19"/>
      <c r="F129" s="51"/>
      <c r="G129" s="52"/>
      <c r="H129" s="41"/>
      <c r="I129" s="94"/>
      <c r="J129" s="92"/>
      <c r="K129" s="92"/>
      <c r="L129" s="92"/>
      <c r="M129" s="92"/>
      <c r="N129" s="94"/>
      <c r="O129" s="93"/>
      <c r="P129" s="93"/>
      <c r="Q129" s="93"/>
      <c r="R129" s="93"/>
      <c r="S129" s="53" t="s">
        <v>1061</v>
      </c>
      <c r="T129" s="46"/>
      <c r="U129" s="47"/>
      <c r="V129" s="48"/>
    </row>
    <row r="130" spans="2:22" ht="14.25" customHeight="1">
      <c r="B130" s="17"/>
      <c r="C130" s="106"/>
      <c r="D130" s="26"/>
      <c r="E130" s="19"/>
      <c r="F130" s="51"/>
      <c r="G130" s="52"/>
      <c r="H130" s="41"/>
      <c r="I130" s="42"/>
      <c r="J130" s="43"/>
      <c r="K130" s="43"/>
      <c r="L130" s="43"/>
      <c r="M130" s="43"/>
      <c r="N130" s="42"/>
      <c r="O130" s="44"/>
      <c r="P130" s="44"/>
      <c r="Q130" s="44"/>
      <c r="R130" s="44"/>
      <c r="S130" s="58"/>
      <c r="T130" s="67"/>
      <c r="U130" s="59"/>
      <c r="V130" s="48"/>
    </row>
    <row r="131" spans="2:22" ht="14.25" customHeight="1">
      <c r="B131" s="17"/>
      <c r="C131" s="106"/>
      <c r="D131" s="26"/>
      <c r="E131" s="19"/>
      <c r="F131" s="51">
        <f>+F126+1</f>
        <v>8</v>
      </c>
      <c r="G131" s="52"/>
      <c r="H131" s="41" t="s">
        <v>111</v>
      </c>
      <c r="I131" s="42">
        <v>-408000</v>
      </c>
      <c r="J131" s="43">
        <v>0</v>
      </c>
      <c r="K131" s="43">
        <v>0</v>
      </c>
      <c r="L131" s="43">
        <v>0</v>
      </c>
      <c r="M131" s="43">
        <f>+I131-SUM(J131:L131)</f>
        <v>-408000</v>
      </c>
      <c r="N131" s="42">
        <v>0</v>
      </c>
      <c r="O131" s="44">
        <v>0</v>
      </c>
      <c r="P131" s="44">
        <v>0</v>
      </c>
      <c r="Q131" s="44">
        <v>0</v>
      </c>
      <c r="R131" s="44">
        <f>+N131-SUM(O131:Q131)</f>
        <v>0</v>
      </c>
      <c r="S131" s="58" t="s">
        <v>142</v>
      </c>
      <c r="T131" s="46"/>
      <c r="U131" s="47"/>
      <c r="V131" s="48"/>
    </row>
    <row r="132" spans="2:22" ht="14.25" customHeight="1" thickBot="1">
      <c r="B132" s="334"/>
      <c r="C132" s="110"/>
      <c r="D132" s="27"/>
      <c r="E132" s="24"/>
      <c r="F132" s="71"/>
      <c r="G132" s="72"/>
      <c r="H132" s="111"/>
      <c r="I132" s="112"/>
      <c r="J132" s="113"/>
      <c r="K132" s="113"/>
      <c r="L132" s="113"/>
      <c r="M132" s="113"/>
      <c r="N132" s="112"/>
      <c r="O132" s="114"/>
      <c r="P132" s="114"/>
      <c r="Q132" s="114"/>
      <c r="R132" s="114"/>
      <c r="S132" s="133"/>
      <c r="T132" s="78"/>
      <c r="U132" s="79"/>
      <c r="V132" s="104"/>
    </row>
    <row r="133" spans="2:22" ht="14.25" customHeight="1">
      <c r="B133" s="17"/>
      <c r="C133" s="106"/>
      <c r="D133" s="26"/>
      <c r="E133" s="19"/>
      <c r="F133" s="51"/>
      <c r="G133" s="52"/>
      <c r="H133" s="41"/>
      <c r="I133" s="94"/>
      <c r="J133" s="92"/>
      <c r="K133" s="92"/>
      <c r="L133" s="92"/>
      <c r="M133" s="92"/>
      <c r="N133" s="94"/>
      <c r="O133" s="93"/>
      <c r="P133" s="93"/>
      <c r="Q133" s="93"/>
      <c r="R133" s="93"/>
      <c r="S133" s="53"/>
      <c r="T133" s="67"/>
      <c r="U133" s="91"/>
      <c r="V133" s="55"/>
    </row>
    <row r="134" spans="2:22" ht="14.25" customHeight="1">
      <c r="B134" s="49" t="s">
        <v>179</v>
      </c>
      <c r="C134" s="26">
        <f>SUM(I134:I161)</f>
        <v>482837000</v>
      </c>
      <c r="D134" s="26">
        <f>SUM(N134:N161)</f>
        <v>467775662</v>
      </c>
      <c r="E134" s="19" t="s">
        <v>180</v>
      </c>
      <c r="F134" s="51">
        <v>1</v>
      </c>
      <c r="G134" s="52"/>
      <c r="H134" s="64" t="s">
        <v>1244</v>
      </c>
      <c r="I134" s="94">
        <v>186660000</v>
      </c>
      <c r="J134" s="92">
        <v>3561000</v>
      </c>
      <c r="K134" s="92">
        <v>0</v>
      </c>
      <c r="L134" s="92">
        <v>41005000</v>
      </c>
      <c r="M134" s="92">
        <f>+I134-SUM(J134:L134)</f>
        <v>142094000</v>
      </c>
      <c r="N134" s="94">
        <v>170105398</v>
      </c>
      <c r="O134" s="93">
        <v>0</v>
      </c>
      <c r="P134" s="93">
        <v>0</v>
      </c>
      <c r="Q134" s="93">
        <v>42861885</v>
      </c>
      <c r="R134" s="93">
        <f>+N134-SUM(O134:Q134)</f>
        <v>127243513</v>
      </c>
      <c r="S134" s="275" t="s">
        <v>691</v>
      </c>
      <c r="T134" s="67" t="s">
        <v>563</v>
      </c>
      <c r="U134" s="59" t="s">
        <v>563</v>
      </c>
      <c r="V134" s="55"/>
    </row>
    <row r="135" spans="2:22" ht="14.25" customHeight="1">
      <c r="B135" s="49" t="s">
        <v>181</v>
      </c>
      <c r="C135" s="26"/>
      <c r="D135" s="16"/>
      <c r="E135" s="19" t="s">
        <v>182</v>
      </c>
      <c r="F135" s="51"/>
      <c r="G135" s="52"/>
      <c r="H135" s="41"/>
      <c r="I135" s="94"/>
      <c r="J135" s="92"/>
      <c r="K135" s="92"/>
      <c r="L135" s="92"/>
      <c r="M135" s="92"/>
      <c r="N135" s="94"/>
      <c r="O135" s="93"/>
      <c r="P135" s="93"/>
      <c r="Q135" s="93"/>
      <c r="R135" s="93"/>
      <c r="S135" s="275" t="s">
        <v>692</v>
      </c>
      <c r="T135" s="276"/>
      <c r="U135" s="277"/>
      <c r="V135" s="55"/>
    </row>
    <row r="136" spans="2:22" ht="14.25" customHeight="1">
      <c r="B136" s="49" t="s">
        <v>183</v>
      </c>
      <c r="C136" s="26" t="s">
        <v>7</v>
      </c>
      <c r="D136" s="26" t="s">
        <v>7</v>
      </c>
      <c r="E136" s="19" t="s">
        <v>184</v>
      </c>
      <c r="F136" s="51"/>
      <c r="G136" s="52"/>
      <c r="H136" s="41"/>
      <c r="I136" s="94"/>
      <c r="J136" s="92"/>
      <c r="K136" s="92"/>
      <c r="L136" s="92"/>
      <c r="M136" s="92"/>
      <c r="N136" s="94"/>
      <c r="O136" s="93"/>
      <c r="P136" s="93"/>
      <c r="Q136" s="93"/>
      <c r="R136" s="93"/>
      <c r="S136" s="275" t="s">
        <v>185</v>
      </c>
      <c r="T136" s="276"/>
      <c r="U136" s="277"/>
      <c r="V136" s="55"/>
    </row>
    <row r="137" spans="2:22" ht="14.25" customHeight="1">
      <c r="B137" s="49" t="s">
        <v>58</v>
      </c>
      <c r="C137" s="26">
        <f>SUM(J134:J161)</f>
        <v>301601000</v>
      </c>
      <c r="D137" s="26">
        <f>SUM(O134:O161)</f>
        <v>297670264</v>
      </c>
      <c r="E137" s="19"/>
      <c r="F137" s="51"/>
      <c r="G137" s="52"/>
      <c r="H137" s="41"/>
      <c r="I137" s="94"/>
      <c r="J137" s="92"/>
      <c r="K137" s="92"/>
      <c r="L137" s="92"/>
      <c r="M137" s="92"/>
      <c r="N137" s="94"/>
      <c r="O137" s="93"/>
      <c r="P137" s="93"/>
      <c r="Q137" s="93"/>
      <c r="R137" s="93"/>
      <c r="S137" s="275" t="s">
        <v>693</v>
      </c>
      <c r="T137" s="276"/>
      <c r="U137" s="277"/>
      <c r="V137" s="48"/>
    </row>
    <row r="138" spans="2:22" ht="14.25" customHeight="1">
      <c r="B138" s="60"/>
      <c r="C138" s="26" t="s">
        <v>8</v>
      </c>
      <c r="D138" s="26" t="s">
        <v>8</v>
      </c>
      <c r="E138" s="19"/>
      <c r="F138" s="51"/>
      <c r="G138" s="52"/>
      <c r="H138" s="41"/>
      <c r="I138" s="94"/>
      <c r="J138" s="92"/>
      <c r="K138" s="92"/>
      <c r="L138" s="92"/>
      <c r="M138" s="92"/>
      <c r="N138" s="94"/>
      <c r="O138" s="93"/>
      <c r="P138" s="93"/>
      <c r="Q138" s="93"/>
      <c r="R138" s="93"/>
      <c r="S138" s="275"/>
      <c r="T138" s="276"/>
      <c r="U138" s="277"/>
      <c r="V138" s="95"/>
    </row>
    <row r="139" spans="2:22" ht="14.25" customHeight="1">
      <c r="B139" s="60"/>
      <c r="C139" s="26">
        <f>SUM(L133:L161)</f>
        <v>41005000</v>
      </c>
      <c r="D139" s="26">
        <f>SUM(Q133:Q161)</f>
        <v>42861885</v>
      </c>
      <c r="E139" s="19"/>
      <c r="F139" s="51"/>
      <c r="G139" s="52"/>
      <c r="H139" s="41"/>
      <c r="I139" s="94"/>
      <c r="J139" s="92"/>
      <c r="K139" s="92"/>
      <c r="L139" s="92"/>
      <c r="M139" s="92"/>
      <c r="N139" s="94"/>
      <c r="O139" s="93"/>
      <c r="P139" s="93"/>
      <c r="Q139" s="93"/>
      <c r="R139" s="93"/>
      <c r="S139" s="275" t="s">
        <v>694</v>
      </c>
      <c r="T139" s="67" t="s">
        <v>563</v>
      </c>
      <c r="U139" s="59" t="s">
        <v>563</v>
      </c>
      <c r="V139" s="95"/>
    </row>
    <row r="140" spans="2:22" ht="14.25" customHeight="1">
      <c r="B140" s="60"/>
      <c r="C140" s="26" t="s">
        <v>9</v>
      </c>
      <c r="D140" s="26" t="s">
        <v>9</v>
      </c>
      <c r="E140" s="19"/>
      <c r="F140" s="51"/>
      <c r="G140" s="52"/>
      <c r="H140" s="41"/>
      <c r="I140" s="94"/>
      <c r="J140" s="92"/>
      <c r="K140" s="92"/>
      <c r="L140" s="92"/>
      <c r="M140" s="92"/>
      <c r="N140" s="94"/>
      <c r="O140" s="93"/>
      <c r="P140" s="93"/>
      <c r="Q140" s="93"/>
      <c r="R140" s="93"/>
      <c r="S140" s="278" t="s">
        <v>695</v>
      </c>
      <c r="T140" s="278"/>
      <c r="U140" s="279"/>
      <c r="V140" s="95"/>
    </row>
    <row r="141" spans="2:22" ht="14.25" customHeight="1">
      <c r="B141" s="60"/>
      <c r="C141" s="26">
        <f>C134-C137-C139</f>
        <v>140231000</v>
      </c>
      <c r="D141" s="26">
        <f>D134-D137-D139</f>
        <v>127243513</v>
      </c>
      <c r="E141" s="19"/>
      <c r="F141" s="51"/>
      <c r="G141" s="52"/>
      <c r="H141" s="64"/>
      <c r="I141" s="94"/>
      <c r="J141" s="92"/>
      <c r="K141" s="92"/>
      <c r="L141" s="92"/>
      <c r="M141" s="92"/>
      <c r="N141" s="94"/>
      <c r="O141" s="93"/>
      <c r="P141" s="93"/>
      <c r="Q141" s="93"/>
      <c r="R141" s="93"/>
      <c r="S141" s="275" t="s">
        <v>696</v>
      </c>
      <c r="T141" s="280"/>
      <c r="U141" s="279"/>
      <c r="V141" s="48"/>
    </row>
    <row r="142" spans="2:22" ht="14.25" customHeight="1">
      <c r="B142" s="60"/>
      <c r="C142" s="26"/>
      <c r="D142" s="26"/>
      <c r="E142" s="22"/>
      <c r="F142" s="51"/>
      <c r="G142" s="52"/>
      <c r="H142" s="41"/>
      <c r="I142" s="42"/>
      <c r="J142" s="43"/>
      <c r="K142" s="43"/>
      <c r="L142" s="43"/>
      <c r="M142" s="43"/>
      <c r="N142" s="42"/>
      <c r="O142" s="44"/>
      <c r="P142" s="44"/>
      <c r="Q142" s="44"/>
      <c r="R142" s="44"/>
      <c r="S142" s="275"/>
      <c r="T142" s="280"/>
      <c r="U142" s="279"/>
      <c r="V142" s="48"/>
    </row>
    <row r="143" spans="2:22" ht="14.25" customHeight="1">
      <c r="B143" s="60"/>
      <c r="C143" s="26"/>
      <c r="D143" s="26"/>
      <c r="E143" s="22"/>
      <c r="F143" s="51"/>
      <c r="G143" s="52"/>
      <c r="H143" s="41"/>
      <c r="I143" s="42"/>
      <c r="J143" s="43"/>
      <c r="K143" s="43"/>
      <c r="L143" s="43"/>
      <c r="M143" s="43"/>
      <c r="N143" s="42"/>
      <c r="O143" s="44"/>
      <c r="P143" s="44"/>
      <c r="Q143" s="44"/>
      <c r="R143" s="44"/>
      <c r="S143" s="275" t="s">
        <v>697</v>
      </c>
      <c r="T143" s="67" t="s">
        <v>563</v>
      </c>
      <c r="U143" s="59" t="s">
        <v>563</v>
      </c>
      <c r="V143" s="48"/>
    </row>
    <row r="144" spans="2:22" ht="14.25" customHeight="1">
      <c r="B144" s="60"/>
      <c r="C144" s="26"/>
      <c r="D144" s="26"/>
      <c r="E144" s="22"/>
      <c r="F144" s="51"/>
      <c r="G144" s="52"/>
      <c r="H144" s="41"/>
      <c r="I144" s="42"/>
      <c r="J144" s="43"/>
      <c r="K144" s="43"/>
      <c r="L144" s="43"/>
      <c r="M144" s="43"/>
      <c r="N144" s="42"/>
      <c r="O144" s="44"/>
      <c r="P144" s="44"/>
      <c r="Q144" s="44"/>
      <c r="R144" s="44"/>
      <c r="S144" s="275" t="s">
        <v>698</v>
      </c>
      <c r="T144" s="280"/>
      <c r="U144" s="279"/>
      <c r="V144" s="48"/>
    </row>
    <row r="145" spans="2:22" ht="14.25" customHeight="1">
      <c r="B145" s="60"/>
      <c r="C145" s="26"/>
      <c r="D145" s="26"/>
      <c r="E145" s="22"/>
      <c r="F145" s="51"/>
      <c r="G145" s="52"/>
      <c r="H145" s="41"/>
      <c r="I145" s="42"/>
      <c r="J145" s="43"/>
      <c r="K145" s="43"/>
      <c r="L145" s="43"/>
      <c r="M145" s="43"/>
      <c r="N145" s="42"/>
      <c r="O145" s="44"/>
      <c r="P145" s="44"/>
      <c r="Q145" s="44"/>
      <c r="R145" s="44"/>
      <c r="S145" s="275" t="s">
        <v>699</v>
      </c>
      <c r="T145" s="280"/>
      <c r="U145" s="279"/>
      <c r="V145" s="48"/>
    </row>
    <row r="146" spans="2:22" ht="14.25" customHeight="1">
      <c r="B146" s="60"/>
      <c r="C146" s="26"/>
      <c r="D146" s="26"/>
      <c r="E146" s="22"/>
      <c r="F146" s="51"/>
      <c r="G146" s="52"/>
      <c r="H146" s="41"/>
      <c r="I146" s="42"/>
      <c r="J146" s="43"/>
      <c r="K146" s="43"/>
      <c r="L146" s="43"/>
      <c r="M146" s="43"/>
      <c r="N146" s="42"/>
      <c r="O146" s="44"/>
      <c r="P146" s="44"/>
      <c r="Q146" s="44"/>
      <c r="R146" s="44"/>
      <c r="S146" s="278" t="s">
        <v>1062</v>
      </c>
      <c r="T146" s="280"/>
      <c r="U146" s="279"/>
      <c r="V146" s="48"/>
    </row>
    <row r="147" spans="2:22" ht="14.25" customHeight="1">
      <c r="B147" s="60"/>
      <c r="C147" s="26"/>
      <c r="D147" s="26"/>
      <c r="E147" s="22"/>
      <c r="F147" s="51"/>
      <c r="G147" s="52"/>
      <c r="H147" s="41"/>
      <c r="I147" s="42"/>
      <c r="J147" s="43"/>
      <c r="K147" s="43"/>
      <c r="L147" s="43"/>
      <c r="M147" s="43"/>
      <c r="N147" s="42"/>
      <c r="O147" s="44"/>
      <c r="P147" s="44"/>
      <c r="Q147" s="44"/>
      <c r="R147" s="44"/>
      <c r="S147" s="278" t="s">
        <v>1063</v>
      </c>
      <c r="T147" s="280"/>
      <c r="U147" s="279"/>
      <c r="V147" s="48"/>
    </row>
    <row r="148" spans="2:22" ht="14.25" customHeight="1">
      <c r="B148" s="60"/>
      <c r="C148" s="26"/>
      <c r="D148" s="26"/>
      <c r="E148" s="22"/>
      <c r="F148" s="51"/>
      <c r="G148" s="52"/>
      <c r="H148" s="41"/>
      <c r="I148" s="42"/>
      <c r="J148" s="43"/>
      <c r="K148" s="43"/>
      <c r="L148" s="43"/>
      <c r="M148" s="43"/>
      <c r="N148" s="42"/>
      <c r="O148" s="44"/>
      <c r="P148" s="44"/>
      <c r="Q148" s="44"/>
      <c r="R148" s="44"/>
      <c r="S148" s="278"/>
      <c r="T148" s="280"/>
      <c r="U148" s="279"/>
      <c r="V148" s="48"/>
    </row>
    <row r="149" spans="2:22" ht="14.25" customHeight="1">
      <c r="B149" s="60"/>
      <c r="C149" s="26"/>
      <c r="D149" s="26"/>
      <c r="E149" s="22"/>
      <c r="F149" s="51"/>
      <c r="G149" s="52"/>
      <c r="H149" s="41"/>
      <c r="I149" s="42"/>
      <c r="J149" s="43"/>
      <c r="K149" s="43"/>
      <c r="L149" s="43"/>
      <c r="M149" s="43"/>
      <c r="N149" s="42"/>
      <c r="O149" s="44"/>
      <c r="P149" s="44"/>
      <c r="Q149" s="44"/>
      <c r="R149" s="44"/>
      <c r="S149" s="278" t="s">
        <v>700</v>
      </c>
      <c r="T149" s="67" t="s">
        <v>563</v>
      </c>
      <c r="U149" s="59" t="s">
        <v>563</v>
      </c>
      <c r="V149" s="48"/>
    </row>
    <row r="150" spans="2:22" ht="14.25" customHeight="1">
      <c r="B150" s="60"/>
      <c r="C150" s="26"/>
      <c r="D150" s="26"/>
      <c r="E150" s="22"/>
      <c r="F150" s="51"/>
      <c r="G150" s="52"/>
      <c r="H150" s="41"/>
      <c r="I150" s="42"/>
      <c r="J150" s="43"/>
      <c r="K150" s="43"/>
      <c r="L150" s="43"/>
      <c r="M150" s="43"/>
      <c r="N150" s="42"/>
      <c r="O150" s="44"/>
      <c r="P150" s="44"/>
      <c r="Q150" s="44"/>
      <c r="R150" s="44"/>
      <c r="S150" s="278" t="s">
        <v>1064</v>
      </c>
      <c r="T150" s="280"/>
      <c r="U150" s="279"/>
      <c r="V150" s="48"/>
    </row>
    <row r="151" spans="2:22" ht="14.25" customHeight="1">
      <c r="B151" s="60"/>
      <c r="C151" s="26"/>
      <c r="D151" s="26"/>
      <c r="E151" s="22"/>
      <c r="F151" s="51"/>
      <c r="G151" s="52"/>
      <c r="H151" s="41"/>
      <c r="I151" s="42"/>
      <c r="J151" s="43"/>
      <c r="K151" s="43"/>
      <c r="L151" s="43"/>
      <c r="M151" s="43"/>
      <c r="N151" s="42"/>
      <c r="O151" s="44"/>
      <c r="P151" s="44"/>
      <c r="Q151" s="44"/>
      <c r="R151" s="44"/>
      <c r="S151" s="278" t="s">
        <v>1065</v>
      </c>
      <c r="T151" s="280"/>
      <c r="U151" s="279"/>
      <c r="V151" s="48"/>
    </row>
    <row r="152" spans="2:22" ht="14.25" customHeight="1">
      <c r="B152" s="60"/>
      <c r="C152" s="26"/>
      <c r="D152" s="26"/>
      <c r="E152" s="22"/>
      <c r="F152" s="51"/>
      <c r="G152" s="52"/>
      <c r="H152" s="41"/>
      <c r="I152" s="42"/>
      <c r="J152" s="43"/>
      <c r="K152" s="43"/>
      <c r="L152" s="43"/>
      <c r="M152" s="43"/>
      <c r="N152" s="42"/>
      <c r="O152" s="44"/>
      <c r="P152" s="44"/>
      <c r="Q152" s="44"/>
      <c r="R152" s="44"/>
      <c r="S152" s="278" t="s">
        <v>1066</v>
      </c>
      <c r="T152" s="280"/>
      <c r="U152" s="279"/>
      <c r="V152" s="48"/>
    </row>
    <row r="153" spans="2:22" ht="14.25" customHeight="1">
      <c r="B153" s="60"/>
      <c r="C153" s="26"/>
      <c r="D153" s="26"/>
      <c r="E153" s="22"/>
      <c r="F153" s="51"/>
      <c r="G153" s="52"/>
      <c r="H153" s="41"/>
      <c r="I153" s="42"/>
      <c r="J153" s="43"/>
      <c r="K153" s="43"/>
      <c r="L153" s="43"/>
      <c r="M153" s="43"/>
      <c r="N153" s="42"/>
      <c r="O153" s="44"/>
      <c r="P153" s="44"/>
      <c r="Q153" s="44"/>
      <c r="R153" s="44"/>
      <c r="S153" s="278" t="s">
        <v>1067</v>
      </c>
      <c r="T153" s="280"/>
      <c r="U153" s="279"/>
      <c r="V153" s="48"/>
    </row>
    <row r="154" spans="2:22" ht="14.25" customHeight="1">
      <c r="B154" s="60"/>
      <c r="C154" s="26"/>
      <c r="D154" s="26"/>
      <c r="E154" s="22"/>
      <c r="F154" s="51"/>
      <c r="G154" s="52"/>
      <c r="H154" s="41"/>
      <c r="I154" s="42"/>
      <c r="J154" s="43"/>
      <c r="K154" s="43"/>
      <c r="L154" s="43"/>
      <c r="M154" s="43"/>
      <c r="N154" s="42"/>
      <c r="O154" s="44"/>
      <c r="P154" s="44"/>
      <c r="Q154" s="44"/>
      <c r="R154" s="44"/>
      <c r="S154" s="278"/>
      <c r="T154" s="280"/>
      <c r="U154" s="279"/>
      <c r="V154" s="48"/>
    </row>
    <row r="155" spans="2:22" ht="14.25" customHeight="1">
      <c r="B155" s="60"/>
      <c r="C155" s="26"/>
      <c r="D155" s="26"/>
      <c r="E155" s="22"/>
      <c r="F155" s="51"/>
      <c r="G155" s="52"/>
      <c r="H155" s="41"/>
      <c r="I155" s="42"/>
      <c r="J155" s="43"/>
      <c r="K155" s="43"/>
      <c r="L155" s="43"/>
      <c r="M155" s="43"/>
      <c r="N155" s="42"/>
      <c r="O155" s="44"/>
      <c r="P155" s="44"/>
      <c r="Q155" s="44"/>
      <c r="R155" s="44"/>
      <c r="S155" s="278" t="s">
        <v>701</v>
      </c>
      <c r="T155" s="280"/>
      <c r="U155" s="279"/>
      <c r="V155" s="48"/>
    </row>
    <row r="156" spans="2:22" ht="14.25" customHeight="1">
      <c r="B156" s="60"/>
      <c r="C156" s="26"/>
      <c r="D156" s="26"/>
      <c r="E156" s="22"/>
      <c r="F156" s="51"/>
      <c r="G156" s="52"/>
      <c r="H156" s="41"/>
      <c r="I156" s="42"/>
      <c r="J156" s="43"/>
      <c r="K156" s="43"/>
      <c r="L156" s="43"/>
      <c r="M156" s="43"/>
      <c r="N156" s="42"/>
      <c r="O156" s="44"/>
      <c r="P156" s="44"/>
      <c r="Q156" s="44"/>
      <c r="R156" s="44"/>
      <c r="S156" s="278" t="s">
        <v>702</v>
      </c>
      <c r="T156" s="281" t="s">
        <v>703</v>
      </c>
      <c r="U156" s="282" t="s">
        <v>704</v>
      </c>
      <c r="V156" s="48"/>
    </row>
    <row r="157" spans="2:22" ht="14.25" customHeight="1">
      <c r="B157" s="60"/>
      <c r="C157" s="26"/>
      <c r="D157" s="26"/>
      <c r="E157" s="22"/>
      <c r="F157" s="51"/>
      <c r="G157" s="52"/>
      <c r="H157" s="41"/>
      <c r="I157" s="42"/>
      <c r="J157" s="43"/>
      <c r="K157" s="43"/>
      <c r="L157" s="43"/>
      <c r="M157" s="43"/>
      <c r="N157" s="42"/>
      <c r="O157" s="44"/>
      <c r="P157" s="44"/>
      <c r="Q157" s="44"/>
      <c r="R157" s="44"/>
      <c r="S157" s="278" t="s">
        <v>702</v>
      </c>
      <c r="T157" s="281" t="s">
        <v>703</v>
      </c>
      <c r="U157" s="282" t="s">
        <v>704</v>
      </c>
      <c r="V157" s="48"/>
    </row>
    <row r="158" spans="2:22" ht="14.25" customHeight="1">
      <c r="B158" s="60"/>
      <c r="C158" s="26"/>
      <c r="D158" s="26"/>
      <c r="E158" s="22"/>
      <c r="F158" s="51"/>
      <c r="G158" s="52"/>
      <c r="H158" s="41"/>
      <c r="I158" s="42"/>
      <c r="J158" s="43"/>
      <c r="K158" s="43"/>
      <c r="L158" s="43"/>
      <c r="M158" s="43"/>
      <c r="N158" s="42"/>
      <c r="O158" s="44"/>
      <c r="P158" s="44"/>
      <c r="Q158" s="44"/>
      <c r="R158" s="44"/>
      <c r="S158" s="53"/>
      <c r="T158" s="67"/>
      <c r="U158" s="59"/>
      <c r="V158" s="48"/>
    </row>
    <row r="159" spans="2:22" ht="14.25" customHeight="1">
      <c r="B159" s="60"/>
      <c r="C159" s="26"/>
      <c r="D159" s="26"/>
      <c r="E159" s="22"/>
      <c r="F159" s="51">
        <f>+F134+1</f>
        <v>2</v>
      </c>
      <c r="G159" s="52"/>
      <c r="H159" s="64" t="s">
        <v>186</v>
      </c>
      <c r="I159" s="94">
        <v>298040000</v>
      </c>
      <c r="J159" s="92">
        <v>298040000</v>
      </c>
      <c r="K159" s="92">
        <v>0</v>
      </c>
      <c r="L159" s="92">
        <v>0</v>
      </c>
      <c r="M159" s="92">
        <f>+I159-SUM(J159:L159)</f>
        <v>0</v>
      </c>
      <c r="N159" s="94">
        <v>297670264</v>
      </c>
      <c r="O159" s="93">
        <v>297670264</v>
      </c>
      <c r="P159" s="93">
        <v>0</v>
      </c>
      <c r="Q159" s="93">
        <v>0</v>
      </c>
      <c r="R159" s="93">
        <f>+N159-SUM(O159:Q159)</f>
        <v>0</v>
      </c>
      <c r="S159" s="53" t="s">
        <v>705</v>
      </c>
      <c r="T159" s="67" t="s">
        <v>563</v>
      </c>
      <c r="U159" s="59" t="s">
        <v>563</v>
      </c>
      <c r="V159" s="48"/>
    </row>
    <row r="160" spans="2:22" ht="14.25" customHeight="1">
      <c r="B160" s="60"/>
      <c r="C160" s="100"/>
      <c r="D160" s="101"/>
      <c r="E160" s="22"/>
      <c r="F160" s="51"/>
      <c r="G160" s="40"/>
      <c r="H160" s="41"/>
      <c r="I160" s="42"/>
      <c r="J160" s="43"/>
      <c r="K160" s="43"/>
      <c r="L160" s="43"/>
      <c r="M160" s="43"/>
      <c r="N160" s="42"/>
      <c r="O160" s="44"/>
      <c r="P160" s="44"/>
      <c r="Q160" s="119"/>
      <c r="R160" s="44"/>
      <c r="S160" s="57"/>
      <c r="T160" s="46"/>
      <c r="U160" s="47"/>
      <c r="V160" s="48"/>
    </row>
    <row r="161" spans="2:22" ht="14.25" customHeight="1">
      <c r="B161" s="60"/>
      <c r="C161" s="100"/>
      <c r="D161" s="101"/>
      <c r="E161" s="22"/>
      <c r="F161" s="51">
        <f>+F159+1</f>
        <v>3</v>
      </c>
      <c r="G161" s="40"/>
      <c r="H161" s="64" t="s">
        <v>187</v>
      </c>
      <c r="I161" s="42">
        <v>-1863000</v>
      </c>
      <c r="J161" s="43">
        <v>0</v>
      </c>
      <c r="K161" s="43">
        <v>0</v>
      </c>
      <c r="L161" s="43">
        <v>0</v>
      </c>
      <c r="M161" s="43">
        <f>+I161-SUM(J161:L161)</f>
        <v>-1863000</v>
      </c>
      <c r="N161" s="42">
        <v>0</v>
      </c>
      <c r="O161" s="44">
        <v>0</v>
      </c>
      <c r="P161" s="44">
        <v>0</v>
      </c>
      <c r="Q161" s="44">
        <v>0</v>
      </c>
      <c r="R161" s="44">
        <f>+N161-SUM(O161:Q161)</f>
        <v>0</v>
      </c>
      <c r="S161" s="58" t="s">
        <v>142</v>
      </c>
      <c r="T161" s="67"/>
      <c r="U161" s="59"/>
      <c r="V161" s="48"/>
    </row>
    <row r="162" spans="2:22" ht="14.25" customHeight="1" thickBot="1">
      <c r="B162" s="69"/>
      <c r="C162" s="120"/>
      <c r="D162" s="121"/>
      <c r="E162" s="23"/>
      <c r="F162" s="71"/>
      <c r="G162" s="72"/>
      <c r="H162" s="111"/>
      <c r="I162" s="112"/>
      <c r="J162" s="113"/>
      <c r="K162" s="113"/>
      <c r="L162" s="113"/>
      <c r="M162" s="113"/>
      <c r="N162" s="112"/>
      <c r="O162" s="114"/>
      <c r="P162" s="114"/>
      <c r="Q162" s="114"/>
      <c r="R162" s="114"/>
      <c r="S162" s="122"/>
      <c r="T162" s="78"/>
      <c r="U162" s="79"/>
      <c r="V162" s="48"/>
    </row>
    <row r="163" spans="2:22" ht="14.25" customHeight="1">
      <c r="B163" s="60"/>
      <c r="C163" s="100"/>
      <c r="D163" s="101"/>
      <c r="E163" s="22"/>
      <c r="F163" s="51"/>
      <c r="G163" s="52"/>
      <c r="H163" s="41"/>
      <c r="I163" s="42"/>
      <c r="J163" s="43"/>
      <c r="K163" s="43"/>
      <c r="L163" s="43"/>
      <c r="M163" s="43"/>
      <c r="N163" s="42"/>
      <c r="O163" s="44"/>
      <c r="P163" s="44"/>
      <c r="Q163" s="44"/>
      <c r="R163" s="44"/>
      <c r="S163" s="99"/>
      <c r="T163" s="46"/>
      <c r="U163" s="47"/>
      <c r="V163" s="48"/>
    </row>
    <row r="164" spans="2:22" ht="14.25" customHeight="1">
      <c r="B164" s="49" t="s">
        <v>179</v>
      </c>
      <c r="C164" s="26">
        <f>SUM(I164:I177)</f>
        <v>208343000</v>
      </c>
      <c r="D164" s="26">
        <f>SUM(N164:N177)</f>
        <v>201027647</v>
      </c>
      <c r="E164" s="19" t="s">
        <v>180</v>
      </c>
      <c r="F164" s="51">
        <f>+F132+1</f>
        <v>1</v>
      </c>
      <c r="G164" s="52"/>
      <c r="H164" s="64" t="s">
        <v>188</v>
      </c>
      <c r="I164" s="42">
        <v>209277000</v>
      </c>
      <c r="J164" s="43">
        <v>35149000</v>
      </c>
      <c r="K164" s="43">
        <v>0</v>
      </c>
      <c r="L164" s="43">
        <v>81108000</v>
      </c>
      <c r="M164" s="43">
        <f>+I164-SUM(J164:L164)</f>
        <v>93020000</v>
      </c>
      <c r="N164" s="42">
        <v>201027647</v>
      </c>
      <c r="O164" s="44">
        <v>34926000</v>
      </c>
      <c r="P164" s="44">
        <v>0</v>
      </c>
      <c r="Q164" s="44">
        <v>81013933</v>
      </c>
      <c r="R164" s="44">
        <f>+N164-SUM(O164:Q164)</f>
        <v>85087714</v>
      </c>
      <c r="S164" s="53" t="s">
        <v>706</v>
      </c>
      <c r="T164" s="46" t="s">
        <v>707</v>
      </c>
      <c r="U164" s="47" t="s">
        <v>708</v>
      </c>
      <c r="V164" s="48"/>
    </row>
    <row r="165" spans="2:22" ht="14.25" customHeight="1">
      <c r="B165" s="49" t="s">
        <v>181</v>
      </c>
      <c r="C165" s="26"/>
      <c r="D165" s="16"/>
      <c r="E165" s="19" t="s">
        <v>182</v>
      </c>
      <c r="F165" s="51"/>
      <c r="G165" s="52"/>
      <c r="H165" s="41"/>
      <c r="I165" s="42"/>
      <c r="J165" s="43"/>
      <c r="K165" s="43"/>
      <c r="L165" s="43"/>
      <c r="M165" s="43"/>
      <c r="N165" s="42"/>
      <c r="O165" s="44"/>
      <c r="P165" s="44"/>
      <c r="Q165" s="44"/>
      <c r="R165" s="44"/>
      <c r="S165" s="53"/>
      <c r="T165" s="46"/>
      <c r="U165" s="47"/>
      <c r="V165" s="48"/>
    </row>
    <row r="166" spans="2:22" ht="14.25" customHeight="1">
      <c r="B166" s="49" t="s">
        <v>189</v>
      </c>
      <c r="C166" s="26" t="s">
        <v>7</v>
      </c>
      <c r="D166" s="26" t="s">
        <v>7</v>
      </c>
      <c r="E166" s="19" t="s">
        <v>184</v>
      </c>
      <c r="F166" s="51"/>
      <c r="G166" s="52"/>
      <c r="H166" s="41"/>
      <c r="I166" s="42"/>
      <c r="J166" s="43"/>
      <c r="K166" s="43"/>
      <c r="L166" s="43"/>
      <c r="M166" s="43"/>
      <c r="N166" s="42"/>
      <c r="O166" s="44"/>
      <c r="P166" s="44"/>
      <c r="Q166" s="44"/>
      <c r="R166" s="44"/>
      <c r="S166" s="53" t="s">
        <v>709</v>
      </c>
      <c r="T166" s="46" t="s">
        <v>710</v>
      </c>
      <c r="U166" s="47" t="s">
        <v>711</v>
      </c>
      <c r="V166" s="48"/>
    </row>
    <row r="167" spans="2:22" ht="14.25" customHeight="1">
      <c r="B167" s="49" t="s">
        <v>58</v>
      </c>
      <c r="C167" s="26">
        <f>SUM(J164:J177)</f>
        <v>35149000</v>
      </c>
      <c r="D167" s="26">
        <f>SUM(O164:O177)</f>
        <v>34926000</v>
      </c>
      <c r="E167" s="19"/>
      <c r="F167" s="51"/>
      <c r="G167" s="52"/>
      <c r="H167" s="41"/>
      <c r="I167" s="42"/>
      <c r="J167" s="43"/>
      <c r="K167" s="43"/>
      <c r="L167" s="43"/>
      <c r="M167" s="43"/>
      <c r="N167" s="42"/>
      <c r="O167" s="44"/>
      <c r="P167" s="44"/>
      <c r="Q167" s="44"/>
      <c r="R167" s="44"/>
      <c r="S167" s="53" t="s">
        <v>712</v>
      </c>
      <c r="T167" s="46" t="s">
        <v>713</v>
      </c>
      <c r="U167" s="47" t="s">
        <v>714</v>
      </c>
      <c r="V167" s="48"/>
    </row>
    <row r="168" spans="2:22" ht="14.25" customHeight="1">
      <c r="B168" s="60"/>
      <c r="C168" s="26" t="s">
        <v>8</v>
      </c>
      <c r="D168" s="26" t="s">
        <v>8</v>
      </c>
      <c r="E168" s="19"/>
      <c r="F168" s="51"/>
      <c r="G168" s="52"/>
      <c r="H168" s="41"/>
      <c r="I168" s="42"/>
      <c r="J168" s="43"/>
      <c r="K168" s="43"/>
      <c r="L168" s="43"/>
      <c r="M168" s="43"/>
      <c r="N168" s="42"/>
      <c r="O168" s="44"/>
      <c r="P168" s="44"/>
      <c r="Q168" s="44"/>
      <c r="R168" s="44"/>
      <c r="S168" s="53" t="s">
        <v>190</v>
      </c>
      <c r="T168" s="46"/>
      <c r="U168" s="47"/>
      <c r="V168" s="48"/>
    </row>
    <row r="169" spans="2:22" ht="14.25" customHeight="1">
      <c r="B169" s="60"/>
      <c r="C169" s="26">
        <f>SUM(L163:L177)</f>
        <v>81108000</v>
      </c>
      <c r="D169" s="26">
        <f>SUM(Q163:Q177)</f>
        <v>81013933</v>
      </c>
      <c r="E169" s="19"/>
      <c r="F169" s="51"/>
      <c r="G169" s="52"/>
      <c r="H169" s="64"/>
      <c r="I169" s="42"/>
      <c r="J169" s="43"/>
      <c r="K169" s="43"/>
      <c r="L169" s="43"/>
      <c r="M169" s="43"/>
      <c r="N169" s="42"/>
      <c r="O169" s="44"/>
      <c r="P169" s="44"/>
      <c r="Q169" s="44"/>
      <c r="R169" s="44"/>
      <c r="S169" s="53" t="s">
        <v>191</v>
      </c>
      <c r="T169" s="46"/>
      <c r="U169" s="47"/>
      <c r="V169" s="48"/>
    </row>
    <row r="170" spans="2:22" ht="14.25" customHeight="1">
      <c r="B170" s="60"/>
      <c r="C170" s="26" t="s">
        <v>9</v>
      </c>
      <c r="D170" s="26" t="s">
        <v>9</v>
      </c>
      <c r="E170" s="19"/>
      <c r="F170" s="51"/>
      <c r="G170" s="52"/>
      <c r="H170" s="64"/>
      <c r="I170" s="42"/>
      <c r="J170" s="43"/>
      <c r="K170" s="43"/>
      <c r="L170" s="43"/>
      <c r="M170" s="43"/>
      <c r="N170" s="42"/>
      <c r="O170" s="44"/>
      <c r="P170" s="44"/>
      <c r="Q170" s="44"/>
      <c r="R170" s="44"/>
      <c r="S170" s="53"/>
      <c r="T170" s="46"/>
      <c r="U170" s="47"/>
      <c r="V170" s="48"/>
    </row>
    <row r="171" spans="2:22" ht="14.25" customHeight="1">
      <c r="B171" s="60"/>
      <c r="C171" s="26">
        <f>C164-C167-C169</f>
        <v>92086000</v>
      </c>
      <c r="D171" s="26">
        <f>D164-D167-D169</f>
        <v>85087714</v>
      </c>
      <c r="E171" s="19"/>
      <c r="F171" s="51"/>
      <c r="G171" s="52"/>
      <c r="H171" s="41"/>
      <c r="I171" s="42"/>
      <c r="J171" s="43"/>
      <c r="K171" s="43"/>
      <c r="L171" s="43"/>
      <c r="M171" s="43"/>
      <c r="N171" s="42"/>
      <c r="O171" s="44"/>
      <c r="P171" s="44"/>
      <c r="Q171" s="44"/>
      <c r="R171" s="44"/>
      <c r="S171" s="53" t="s">
        <v>715</v>
      </c>
      <c r="T171" s="46" t="s">
        <v>716</v>
      </c>
      <c r="U171" s="47" t="s">
        <v>716</v>
      </c>
      <c r="V171" s="48"/>
    </row>
    <row r="172" spans="2:22" ht="14.25" customHeight="1">
      <c r="B172" s="60"/>
      <c r="C172" s="100"/>
      <c r="D172" s="101"/>
      <c r="E172" s="22"/>
      <c r="F172" s="51"/>
      <c r="G172" s="52"/>
      <c r="H172" s="61"/>
      <c r="I172" s="42"/>
      <c r="J172" s="43"/>
      <c r="K172" s="43"/>
      <c r="L172" s="43"/>
      <c r="M172" s="43"/>
      <c r="N172" s="42"/>
      <c r="O172" s="44"/>
      <c r="P172" s="44"/>
      <c r="Q172" s="44"/>
      <c r="R172" s="44"/>
      <c r="S172" s="53"/>
      <c r="T172" s="46"/>
      <c r="U172" s="47"/>
      <c r="V172" s="48"/>
    </row>
    <row r="173" spans="2:22" ht="14.25" customHeight="1">
      <c r="B173" s="60"/>
      <c r="C173" s="100"/>
      <c r="D173" s="101"/>
      <c r="E173" s="22"/>
      <c r="F173" s="51"/>
      <c r="G173" s="52"/>
      <c r="H173" s="68"/>
      <c r="I173" s="42"/>
      <c r="J173" s="43"/>
      <c r="K173" s="43"/>
      <c r="L173" s="43"/>
      <c r="M173" s="43"/>
      <c r="N173" s="42"/>
      <c r="O173" s="44"/>
      <c r="P173" s="44"/>
      <c r="Q173" s="44"/>
      <c r="R173" s="44"/>
      <c r="S173" s="53" t="s">
        <v>717</v>
      </c>
      <c r="T173" s="46" t="s">
        <v>718</v>
      </c>
      <c r="U173" s="47" t="s">
        <v>719</v>
      </c>
      <c r="V173" s="48"/>
    </row>
    <row r="174" spans="2:22" ht="14.25" customHeight="1">
      <c r="B174" s="60"/>
      <c r="C174" s="100"/>
      <c r="D174" s="101"/>
      <c r="E174" s="19"/>
      <c r="F174" s="51"/>
      <c r="G174" s="52"/>
      <c r="H174" s="68"/>
      <c r="I174" s="42"/>
      <c r="J174" s="43"/>
      <c r="K174" s="43"/>
      <c r="L174" s="43"/>
      <c r="M174" s="43"/>
      <c r="N174" s="42"/>
      <c r="O174" s="44"/>
      <c r="P174" s="44"/>
      <c r="Q174" s="44"/>
      <c r="R174" s="44"/>
      <c r="S174" s="53" t="s">
        <v>720</v>
      </c>
      <c r="T174" s="46"/>
      <c r="U174" s="47"/>
      <c r="V174" s="95"/>
    </row>
    <row r="175" spans="2:22" ht="14.25" customHeight="1">
      <c r="B175" s="60"/>
      <c r="C175" s="100"/>
      <c r="D175" s="101"/>
      <c r="E175" s="19"/>
      <c r="F175" s="51"/>
      <c r="G175" s="52"/>
      <c r="H175" s="68"/>
      <c r="I175" s="42"/>
      <c r="J175" s="43"/>
      <c r="K175" s="43"/>
      <c r="L175" s="43"/>
      <c r="M175" s="43"/>
      <c r="N175" s="42"/>
      <c r="O175" s="44"/>
      <c r="P175" s="44"/>
      <c r="Q175" s="44"/>
      <c r="R175" s="44"/>
      <c r="S175" s="53" t="s">
        <v>721</v>
      </c>
      <c r="T175" s="46"/>
      <c r="U175" s="47"/>
      <c r="V175" s="95"/>
    </row>
    <row r="176" spans="2:22" ht="14.25" customHeight="1">
      <c r="B176" s="60"/>
      <c r="C176" s="100"/>
      <c r="D176" s="101"/>
      <c r="E176" s="19"/>
      <c r="F176" s="51"/>
      <c r="G176" s="52"/>
      <c r="H176" s="68"/>
      <c r="I176" s="42"/>
      <c r="J176" s="43"/>
      <c r="K176" s="43"/>
      <c r="L176" s="43"/>
      <c r="M176" s="43"/>
      <c r="N176" s="42"/>
      <c r="O176" s="44"/>
      <c r="P176" s="44"/>
      <c r="Q176" s="44"/>
      <c r="R176" s="44"/>
      <c r="S176" s="166"/>
      <c r="T176" s="117"/>
      <c r="U176" s="118"/>
      <c r="V176" s="95"/>
    </row>
    <row r="177" spans="2:22" ht="14.25" customHeight="1">
      <c r="B177" s="60"/>
      <c r="C177" s="100"/>
      <c r="D177" s="101"/>
      <c r="E177" s="19"/>
      <c r="F177" s="51">
        <f>+F164+1</f>
        <v>2</v>
      </c>
      <c r="G177" s="52"/>
      <c r="H177" s="64" t="s">
        <v>187</v>
      </c>
      <c r="I177" s="42">
        <v>-934000</v>
      </c>
      <c r="J177" s="43">
        <v>0</v>
      </c>
      <c r="K177" s="43">
        <v>0</v>
      </c>
      <c r="L177" s="43">
        <v>0</v>
      </c>
      <c r="M177" s="43">
        <f>+I177-SUM(J177:L177)</f>
        <v>-934000</v>
      </c>
      <c r="N177" s="42">
        <v>0</v>
      </c>
      <c r="O177" s="44">
        <v>0</v>
      </c>
      <c r="P177" s="44">
        <v>0</v>
      </c>
      <c r="Q177" s="44">
        <v>0</v>
      </c>
      <c r="R177" s="44">
        <f>+N177-SUM(O177:Q177)</f>
        <v>0</v>
      </c>
      <c r="S177" s="58" t="s">
        <v>14</v>
      </c>
      <c r="T177" s="46"/>
      <c r="U177" s="47"/>
      <c r="V177" s="95"/>
    </row>
    <row r="178" spans="2:22" ht="14.25" customHeight="1" thickBot="1">
      <c r="B178" s="69"/>
      <c r="C178" s="120"/>
      <c r="D178" s="121"/>
      <c r="E178" s="24"/>
      <c r="F178" s="71"/>
      <c r="G178" s="72"/>
      <c r="H178" s="111"/>
      <c r="I178" s="112"/>
      <c r="J178" s="113"/>
      <c r="K178" s="113"/>
      <c r="L178" s="113"/>
      <c r="M178" s="113"/>
      <c r="N178" s="112"/>
      <c r="O178" s="114"/>
      <c r="P178" s="114"/>
      <c r="Q178" s="114"/>
      <c r="R178" s="114"/>
      <c r="S178" s="115"/>
      <c r="T178" s="78"/>
      <c r="U178" s="79"/>
      <c r="V178" s="95"/>
    </row>
    <row r="179" spans="2:22" ht="14.25" customHeight="1">
      <c r="B179" s="60"/>
      <c r="C179" s="106"/>
      <c r="D179" s="26"/>
      <c r="E179" s="19"/>
      <c r="F179" s="51"/>
      <c r="G179" s="52"/>
      <c r="H179" s="41"/>
      <c r="I179" s="42"/>
      <c r="J179" s="43"/>
      <c r="K179" s="43"/>
      <c r="L179" s="43"/>
      <c r="M179" s="92"/>
      <c r="N179" s="42"/>
      <c r="O179" s="44"/>
      <c r="P179" s="44"/>
      <c r="Q179" s="44"/>
      <c r="R179" s="93"/>
      <c r="S179" s="53"/>
      <c r="T179" s="46"/>
      <c r="U179" s="47"/>
      <c r="V179" s="95"/>
    </row>
    <row r="180" spans="2:22" ht="14.25" customHeight="1">
      <c r="B180" s="17" t="s">
        <v>192</v>
      </c>
      <c r="C180" s="26">
        <f>SUM(I180:I254)</f>
        <v>3583846000</v>
      </c>
      <c r="D180" s="26">
        <f>SUM(N180:N254)</f>
        <v>2979793330</v>
      </c>
      <c r="E180" s="19" t="s">
        <v>193</v>
      </c>
      <c r="F180" s="51">
        <f>+F174+1</f>
        <v>1</v>
      </c>
      <c r="G180" s="52"/>
      <c r="H180" s="64" t="s">
        <v>194</v>
      </c>
      <c r="I180" s="94">
        <v>56363000</v>
      </c>
      <c r="J180" s="92">
        <v>42141000</v>
      </c>
      <c r="K180" s="92">
        <v>0</v>
      </c>
      <c r="L180" s="92">
        <v>0</v>
      </c>
      <c r="M180" s="92">
        <f>+I180-SUM(J180:L180)</f>
        <v>14222000</v>
      </c>
      <c r="N180" s="94">
        <v>55103728</v>
      </c>
      <c r="O180" s="93">
        <v>40982500</v>
      </c>
      <c r="P180" s="93">
        <v>0</v>
      </c>
      <c r="Q180" s="93">
        <v>0</v>
      </c>
      <c r="R180" s="93">
        <f>+N180-SUM(O180:Q180)</f>
        <v>14121228</v>
      </c>
      <c r="S180" s="53" t="s">
        <v>195</v>
      </c>
      <c r="T180" s="46" t="s">
        <v>1068</v>
      </c>
      <c r="U180" s="47" t="s">
        <v>1076</v>
      </c>
      <c r="V180" s="95"/>
    </row>
    <row r="181" spans="2:22" ht="14.25" customHeight="1">
      <c r="B181" s="17" t="s">
        <v>197</v>
      </c>
      <c r="C181" s="26"/>
      <c r="D181" s="16"/>
      <c r="E181" s="19"/>
      <c r="F181" s="51"/>
      <c r="G181" s="52"/>
      <c r="H181" s="41"/>
      <c r="I181" s="94"/>
      <c r="J181" s="92"/>
      <c r="K181" s="92"/>
      <c r="L181" s="92"/>
      <c r="M181" s="92"/>
      <c r="N181" s="94"/>
      <c r="O181" s="93"/>
      <c r="P181" s="93"/>
      <c r="Q181" s="93"/>
      <c r="R181" s="93"/>
      <c r="S181" s="53"/>
      <c r="T181" s="46" t="s">
        <v>1069</v>
      </c>
      <c r="U181" s="47" t="s">
        <v>1077</v>
      </c>
      <c r="V181" s="95"/>
    </row>
    <row r="182" spans="2:22" ht="14.25" customHeight="1">
      <c r="B182" s="17"/>
      <c r="C182" s="26" t="s">
        <v>7</v>
      </c>
      <c r="D182" s="26" t="s">
        <v>7</v>
      </c>
      <c r="E182" s="19"/>
      <c r="F182" s="51"/>
      <c r="G182" s="52"/>
      <c r="H182" s="41"/>
      <c r="I182" s="94"/>
      <c r="J182" s="92"/>
      <c r="K182" s="92"/>
      <c r="L182" s="92"/>
      <c r="M182" s="92"/>
      <c r="N182" s="124"/>
      <c r="O182" s="93"/>
      <c r="P182" s="93"/>
      <c r="Q182" s="93"/>
      <c r="R182" s="93"/>
      <c r="S182" s="53" t="s">
        <v>1070</v>
      </c>
      <c r="T182" s="46"/>
      <c r="U182" s="47"/>
      <c r="V182" s="95"/>
    </row>
    <row r="183" spans="2:22" ht="14.25" customHeight="1">
      <c r="B183" s="60"/>
      <c r="C183" s="26">
        <f>SUM(J180:J254)</f>
        <v>1214261000</v>
      </c>
      <c r="D183" s="26">
        <f>SUM(O180:O254)</f>
        <v>951529421</v>
      </c>
      <c r="E183" s="19"/>
      <c r="F183" s="51"/>
      <c r="G183" s="52"/>
      <c r="H183" s="41"/>
      <c r="I183" s="94"/>
      <c r="J183" s="92"/>
      <c r="K183" s="92"/>
      <c r="L183" s="92"/>
      <c r="M183" s="92"/>
      <c r="N183" s="124"/>
      <c r="O183" s="93"/>
      <c r="P183" s="93"/>
      <c r="Q183" s="93"/>
      <c r="R183" s="93"/>
      <c r="S183" s="53" t="s">
        <v>1071</v>
      </c>
      <c r="T183" s="46"/>
      <c r="U183" s="47"/>
      <c r="V183" s="95"/>
    </row>
    <row r="184" spans="2:22" ht="14.25" customHeight="1">
      <c r="B184" s="60"/>
      <c r="C184" s="26" t="s">
        <v>10</v>
      </c>
      <c r="D184" s="26" t="s">
        <v>10</v>
      </c>
      <c r="E184" s="19"/>
      <c r="F184" s="51"/>
      <c r="G184" s="52"/>
      <c r="H184" s="41"/>
      <c r="I184" s="94"/>
      <c r="J184" s="92"/>
      <c r="K184" s="92"/>
      <c r="L184" s="92"/>
      <c r="M184" s="92"/>
      <c r="N184" s="124"/>
      <c r="O184" s="93"/>
      <c r="P184" s="93"/>
      <c r="Q184" s="93"/>
      <c r="R184" s="93"/>
      <c r="S184" s="53" t="s">
        <v>198</v>
      </c>
      <c r="T184" s="46"/>
      <c r="U184" s="47"/>
      <c r="V184" s="95"/>
    </row>
    <row r="185" spans="2:22" ht="14.25" customHeight="1">
      <c r="B185" s="60"/>
      <c r="C185" s="26">
        <f>SUM(K180:K254)</f>
        <v>541000000</v>
      </c>
      <c r="D185" s="26">
        <f>SUM(P180:P254)</f>
        <v>385000000</v>
      </c>
      <c r="E185" s="19"/>
      <c r="F185" s="51"/>
      <c r="G185" s="52"/>
      <c r="H185" s="41"/>
      <c r="I185" s="94"/>
      <c r="J185" s="92"/>
      <c r="K185" s="92"/>
      <c r="L185" s="92"/>
      <c r="M185" s="92"/>
      <c r="N185" s="124"/>
      <c r="O185" s="93"/>
      <c r="P185" s="93"/>
      <c r="Q185" s="93"/>
      <c r="R185" s="93"/>
      <c r="S185" s="53" t="s">
        <v>1072</v>
      </c>
      <c r="T185" s="46"/>
      <c r="U185" s="47"/>
      <c r="V185" s="48"/>
    </row>
    <row r="186" spans="2:22" ht="14.25" customHeight="1">
      <c r="B186" s="60"/>
      <c r="C186" s="26" t="s">
        <v>8</v>
      </c>
      <c r="D186" s="26" t="s">
        <v>8</v>
      </c>
      <c r="E186" s="19"/>
      <c r="F186" s="51"/>
      <c r="G186" s="52"/>
      <c r="H186" s="125"/>
      <c r="I186" s="42"/>
      <c r="J186" s="43"/>
      <c r="K186" s="43"/>
      <c r="L186" s="43"/>
      <c r="M186" s="43"/>
      <c r="N186" s="42"/>
      <c r="O186" s="44"/>
      <c r="P186" s="44"/>
      <c r="Q186" s="44"/>
      <c r="R186" s="44"/>
      <c r="S186" s="45"/>
      <c r="T186" s="46"/>
      <c r="U186" s="47"/>
      <c r="V186" s="55"/>
    </row>
    <row r="187" spans="2:22" ht="14.25" customHeight="1">
      <c r="B187" s="60"/>
      <c r="C187" s="26">
        <f>SUM(L180:L254)</f>
        <v>1177544500</v>
      </c>
      <c r="D187" s="26">
        <f>SUM(Q180:Q254)</f>
        <v>1071902649</v>
      </c>
      <c r="E187" s="19"/>
      <c r="F187" s="51">
        <f>+F180+1</f>
        <v>2</v>
      </c>
      <c r="G187" s="40"/>
      <c r="H187" s="64" t="s">
        <v>199</v>
      </c>
      <c r="I187" s="94">
        <v>12490000</v>
      </c>
      <c r="J187" s="92">
        <v>2294000</v>
      </c>
      <c r="K187" s="92">
        <v>0</v>
      </c>
      <c r="L187" s="92">
        <v>0</v>
      </c>
      <c r="M187" s="92">
        <f>+I187-SUM(J187:L187)</f>
        <v>10196000</v>
      </c>
      <c r="N187" s="94">
        <v>12103198</v>
      </c>
      <c r="O187" s="93">
        <v>2145198</v>
      </c>
      <c r="P187" s="93">
        <v>0</v>
      </c>
      <c r="Q187" s="93">
        <v>0</v>
      </c>
      <c r="R187" s="93">
        <f>+N187-SUM(O187:Q187)</f>
        <v>9958000</v>
      </c>
      <c r="S187" s="53" t="s">
        <v>200</v>
      </c>
      <c r="T187" s="46" t="s">
        <v>1073</v>
      </c>
      <c r="U187" s="47" t="s">
        <v>588</v>
      </c>
      <c r="V187" s="55"/>
    </row>
    <row r="188" spans="2:22" ht="14.25" customHeight="1">
      <c r="B188" s="60"/>
      <c r="C188" s="26" t="s">
        <v>9</v>
      </c>
      <c r="D188" s="26" t="s">
        <v>9</v>
      </c>
      <c r="E188" s="19"/>
      <c r="F188" s="51"/>
      <c r="G188" s="40"/>
      <c r="H188" s="41"/>
      <c r="I188" s="94"/>
      <c r="J188" s="92"/>
      <c r="K188" s="92"/>
      <c r="L188" s="92"/>
      <c r="M188" s="92"/>
      <c r="N188" s="94"/>
      <c r="O188" s="93"/>
      <c r="P188" s="93"/>
      <c r="Q188" s="93"/>
      <c r="R188" s="93"/>
      <c r="S188" s="53" t="s">
        <v>589</v>
      </c>
      <c r="T188" s="46"/>
      <c r="U188" s="47"/>
      <c r="V188" s="55"/>
    </row>
    <row r="189" spans="2:22" ht="14.25" customHeight="1">
      <c r="B189" s="60"/>
      <c r="C189" s="26">
        <f>C180-C183-C185-C187</f>
        <v>651040500</v>
      </c>
      <c r="D189" s="26">
        <f>D180-D183-D185-D187</f>
        <v>571361260</v>
      </c>
      <c r="E189" s="19"/>
      <c r="F189" s="51"/>
      <c r="G189" s="40"/>
      <c r="H189" s="41"/>
      <c r="I189" s="94"/>
      <c r="J189" s="92"/>
      <c r="K189" s="92"/>
      <c r="L189" s="92"/>
      <c r="M189" s="92"/>
      <c r="N189" s="94"/>
      <c r="O189" s="93"/>
      <c r="P189" s="93"/>
      <c r="Q189" s="93"/>
      <c r="R189" s="93"/>
      <c r="S189" s="53" t="s">
        <v>1074</v>
      </c>
      <c r="T189" s="46"/>
      <c r="U189" s="47"/>
      <c r="V189" s="95"/>
    </row>
    <row r="190" spans="2:22" ht="14.25" customHeight="1">
      <c r="B190" s="60"/>
      <c r="C190" s="100"/>
      <c r="D190" s="101"/>
      <c r="E190" s="19"/>
      <c r="F190" s="51"/>
      <c r="G190" s="52"/>
      <c r="H190" s="41"/>
      <c r="I190" s="42"/>
      <c r="J190" s="43"/>
      <c r="K190" s="43"/>
      <c r="L190" s="43"/>
      <c r="M190" s="43"/>
      <c r="N190" s="42"/>
      <c r="O190" s="44"/>
      <c r="P190" s="44"/>
      <c r="Q190" s="44"/>
      <c r="R190" s="44"/>
      <c r="S190" s="45"/>
      <c r="T190" s="46"/>
      <c r="U190" s="47"/>
      <c r="V190" s="95"/>
    </row>
    <row r="191" spans="2:22" ht="14.25" customHeight="1">
      <c r="B191" s="60"/>
      <c r="C191" s="106"/>
      <c r="D191" s="26"/>
      <c r="E191" s="19"/>
      <c r="F191" s="51">
        <f>+F187+1</f>
        <v>3</v>
      </c>
      <c r="G191" s="52"/>
      <c r="H191" s="41" t="s">
        <v>201</v>
      </c>
      <c r="I191" s="94">
        <f>(69748000+835678000+407720000+104000+9970000)</f>
        <v>1323220000</v>
      </c>
      <c r="J191" s="92">
        <v>221699000</v>
      </c>
      <c r="K191" s="92">
        <v>86000000</v>
      </c>
      <c r="L191" s="92">
        <v>574013000</v>
      </c>
      <c r="M191" s="92">
        <f>+I191-SUM(J191:L191)</f>
        <v>441508000</v>
      </c>
      <c r="N191" s="94">
        <f>68808987+835476549+382500349+9634108</f>
        <v>1296419993</v>
      </c>
      <c r="O191" s="93">
        <v>196927581</v>
      </c>
      <c r="P191" s="93">
        <v>98000000</v>
      </c>
      <c r="Q191" s="93">
        <v>567305501</v>
      </c>
      <c r="R191" s="93">
        <f>+N191-SUM(O191:Q191)</f>
        <v>434186911</v>
      </c>
      <c r="S191" s="53" t="s">
        <v>590</v>
      </c>
      <c r="T191" s="46" t="s">
        <v>196</v>
      </c>
      <c r="U191" s="47" t="s">
        <v>196</v>
      </c>
      <c r="V191" s="48"/>
    </row>
    <row r="192" spans="2:22" ht="14.25" customHeight="1">
      <c r="B192" s="60"/>
      <c r="C192" s="106"/>
      <c r="D192" s="26"/>
      <c r="E192" s="19"/>
      <c r="F192" s="51"/>
      <c r="G192" s="52"/>
      <c r="H192" s="41"/>
      <c r="I192" s="42"/>
      <c r="J192" s="43"/>
      <c r="K192" s="43"/>
      <c r="L192" s="43"/>
      <c r="M192" s="43"/>
      <c r="N192" s="42"/>
      <c r="O192" s="44"/>
      <c r="P192" s="44"/>
      <c r="Q192" s="44"/>
      <c r="R192" s="44"/>
      <c r="S192" s="45" t="s">
        <v>591</v>
      </c>
      <c r="T192" s="46"/>
      <c r="U192" s="47"/>
      <c r="V192" s="48"/>
    </row>
    <row r="193" spans="2:22" ht="14.25" customHeight="1">
      <c r="B193" s="60"/>
      <c r="C193" s="106"/>
      <c r="D193" s="26"/>
      <c r="E193" s="19"/>
      <c r="F193" s="51"/>
      <c r="G193" s="52"/>
      <c r="H193" s="41"/>
      <c r="I193" s="42"/>
      <c r="J193" s="43"/>
      <c r="K193" s="43"/>
      <c r="L193" s="43"/>
      <c r="M193" s="43"/>
      <c r="N193" s="42"/>
      <c r="O193" s="44"/>
      <c r="P193" s="44"/>
      <c r="Q193" s="44"/>
      <c r="R193" s="44"/>
      <c r="S193" s="45" t="s">
        <v>592</v>
      </c>
      <c r="T193" s="46"/>
      <c r="U193" s="47"/>
      <c r="V193" s="48"/>
    </row>
    <row r="194" spans="2:22" ht="14.25" customHeight="1">
      <c r="B194" s="60"/>
      <c r="C194" s="26"/>
      <c r="D194" s="26"/>
      <c r="E194" s="19"/>
      <c r="F194" s="51"/>
      <c r="G194" s="52"/>
      <c r="H194" s="41"/>
      <c r="I194" s="42"/>
      <c r="J194" s="43"/>
      <c r="K194" s="43"/>
      <c r="L194" s="43"/>
      <c r="M194" s="43"/>
      <c r="N194" s="42"/>
      <c r="O194" s="44"/>
      <c r="P194" s="44"/>
      <c r="Q194" s="44"/>
      <c r="R194" s="44"/>
      <c r="S194" s="45" t="s">
        <v>593</v>
      </c>
      <c r="T194" s="46"/>
      <c r="U194" s="47"/>
      <c r="V194" s="48"/>
    </row>
    <row r="195" spans="2:22" ht="14.25" customHeight="1">
      <c r="B195" s="60"/>
      <c r="C195" s="26"/>
      <c r="D195" s="26"/>
      <c r="E195" s="19"/>
      <c r="F195" s="51"/>
      <c r="G195" s="52"/>
      <c r="H195" s="41"/>
      <c r="I195" s="42"/>
      <c r="J195" s="43"/>
      <c r="K195" s="43"/>
      <c r="L195" s="43"/>
      <c r="M195" s="43"/>
      <c r="N195" s="42"/>
      <c r="O195" s="44"/>
      <c r="P195" s="44"/>
      <c r="Q195" s="44"/>
      <c r="R195" s="44"/>
      <c r="S195" s="45" t="s">
        <v>594</v>
      </c>
      <c r="T195" s="46"/>
      <c r="U195" s="47"/>
      <c r="V195" s="95"/>
    </row>
    <row r="196" spans="2:22" ht="14.25" customHeight="1">
      <c r="B196" s="60"/>
      <c r="C196" s="26"/>
      <c r="D196" s="26"/>
      <c r="E196" s="19"/>
      <c r="F196" s="51"/>
      <c r="G196" s="52"/>
      <c r="H196" s="41"/>
      <c r="I196" s="42"/>
      <c r="J196" s="43"/>
      <c r="K196" s="43"/>
      <c r="L196" s="43"/>
      <c r="M196" s="43"/>
      <c r="N196" s="42"/>
      <c r="O196" s="44"/>
      <c r="P196" s="44"/>
      <c r="Q196" s="44"/>
      <c r="R196" s="44"/>
      <c r="S196" s="45" t="s">
        <v>595</v>
      </c>
      <c r="T196" s="46"/>
      <c r="U196" s="47"/>
      <c r="V196" s="48"/>
    </row>
    <row r="197" spans="2:22" ht="14.25" customHeight="1">
      <c r="B197" s="60"/>
      <c r="C197" s="26"/>
      <c r="D197" s="26"/>
      <c r="E197" s="19"/>
      <c r="F197" s="51"/>
      <c r="G197" s="52"/>
      <c r="H197" s="41"/>
      <c r="I197" s="42"/>
      <c r="J197" s="43"/>
      <c r="K197" s="43"/>
      <c r="L197" s="43"/>
      <c r="M197" s="43"/>
      <c r="N197" s="42"/>
      <c r="O197" s="44"/>
      <c r="P197" s="44"/>
      <c r="Q197" s="44"/>
      <c r="R197" s="44"/>
      <c r="S197" s="45" t="s">
        <v>202</v>
      </c>
      <c r="T197" s="46"/>
      <c r="U197" s="47"/>
      <c r="V197" s="48"/>
    </row>
    <row r="198" spans="2:22" ht="14.25" customHeight="1">
      <c r="B198" s="60"/>
      <c r="C198" s="106"/>
      <c r="D198" s="26"/>
      <c r="E198" s="19"/>
      <c r="F198" s="51"/>
      <c r="G198" s="52"/>
      <c r="H198" s="41"/>
      <c r="I198" s="42"/>
      <c r="J198" s="43"/>
      <c r="K198" s="43"/>
      <c r="L198" s="43"/>
      <c r="M198" s="43"/>
      <c r="N198" s="42"/>
      <c r="O198" s="44"/>
      <c r="P198" s="44"/>
      <c r="Q198" s="44"/>
      <c r="R198" s="44"/>
      <c r="S198" s="45" t="s">
        <v>596</v>
      </c>
      <c r="T198" s="46"/>
      <c r="U198" s="47"/>
      <c r="V198" s="48"/>
    </row>
    <row r="199" spans="2:22" ht="14.25" customHeight="1">
      <c r="B199" s="60"/>
      <c r="C199" s="106"/>
      <c r="D199" s="26"/>
      <c r="E199" s="19"/>
      <c r="F199" s="51"/>
      <c r="G199" s="52"/>
      <c r="H199" s="41"/>
      <c r="I199" s="42"/>
      <c r="J199" s="43"/>
      <c r="K199" s="43"/>
      <c r="L199" s="43"/>
      <c r="M199" s="43"/>
      <c r="N199" s="42"/>
      <c r="O199" s="44"/>
      <c r="P199" s="44"/>
      <c r="Q199" s="44"/>
      <c r="R199" s="44"/>
      <c r="S199" s="45" t="s">
        <v>597</v>
      </c>
      <c r="T199" s="46"/>
      <c r="U199" s="47"/>
      <c r="V199" s="48"/>
    </row>
    <row r="200" spans="2:22" ht="14.25" customHeight="1">
      <c r="B200" s="60"/>
      <c r="C200" s="106"/>
      <c r="D200" s="26"/>
      <c r="E200" s="19"/>
      <c r="F200" s="51"/>
      <c r="G200" s="52"/>
      <c r="H200" s="41"/>
      <c r="I200" s="42"/>
      <c r="J200" s="43"/>
      <c r="K200" s="43"/>
      <c r="L200" s="43"/>
      <c r="M200" s="43"/>
      <c r="N200" s="42"/>
      <c r="O200" s="44"/>
      <c r="P200" s="44"/>
      <c r="Q200" s="44"/>
      <c r="R200" s="44"/>
      <c r="S200" s="45"/>
      <c r="T200" s="46"/>
      <c r="U200" s="47"/>
      <c r="V200" s="48"/>
    </row>
    <row r="201" spans="2:22" ht="14.25" customHeight="1">
      <c r="B201" s="60"/>
      <c r="C201" s="106"/>
      <c r="D201" s="26"/>
      <c r="E201" s="19"/>
      <c r="F201" s="51">
        <f>+F191+1</f>
        <v>4</v>
      </c>
      <c r="G201" s="52"/>
      <c r="H201" s="41" t="s">
        <v>203</v>
      </c>
      <c r="I201" s="94">
        <f>582820000-55300000</f>
        <v>527520000</v>
      </c>
      <c r="J201" s="92">
        <v>254125000</v>
      </c>
      <c r="K201" s="92">
        <v>144000000</v>
      </c>
      <c r="L201" s="92">
        <v>128520000</v>
      </c>
      <c r="M201" s="92">
        <f>+I201-SUM(J201:L201)</f>
        <v>875000</v>
      </c>
      <c r="N201" s="94">
        <v>519930663</v>
      </c>
      <c r="O201" s="93">
        <v>288113922</v>
      </c>
      <c r="P201" s="93">
        <v>99000000</v>
      </c>
      <c r="Q201" s="93">
        <v>128487500</v>
      </c>
      <c r="R201" s="93">
        <f>+N201-SUM(O201:Q201)</f>
        <v>4329241</v>
      </c>
      <c r="S201" s="53" t="s">
        <v>204</v>
      </c>
      <c r="T201" s="46" t="s">
        <v>205</v>
      </c>
      <c r="U201" s="47" t="s">
        <v>205</v>
      </c>
      <c r="V201" s="48"/>
    </row>
    <row r="202" spans="2:22" ht="14.25" customHeight="1">
      <c r="B202" s="60"/>
      <c r="C202" s="106"/>
      <c r="D202" s="26"/>
      <c r="E202" s="19"/>
      <c r="F202" s="51"/>
      <c r="G202" s="52"/>
      <c r="H202" s="41"/>
      <c r="I202" s="42"/>
      <c r="J202" s="43"/>
      <c r="K202" s="43"/>
      <c r="L202" s="43"/>
      <c r="M202" s="43"/>
      <c r="N202" s="42"/>
      <c r="O202" s="44"/>
      <c r="P202" s="44"/>
      <c r="Q202" s="44"/>
      <c r="R202" s="44"/>
      <c r="S202" s="53" t="s">
        <v>598</v>
      </c>
      <c r="T202" s="46"/>
      <c r="U202" s="47"/>
      <c r="V202" s="48"/>
    </row>
    <row r="203" spans="2:22" ht="14.25" customHeight="1">
      <c r="B203" s="60"/>
      <c r="C203" s="106"/>
      <c r="D203" s="26"/>
      <c r="E203" s="19"/>
      <c r="F203" s="51"/>
      <c r="G203" s="52"/>
      <c r="H203" s="41"/>
      <c r="I203" s="42"/>
      <c r="J203" s="43"/>
      <c r="K203" s="43"/>
      <c r="L203" s="43"/>
      <c r="M203" s="43"/>
      <c r="N203" s="42"/>
      <c r="O203" s="44"/>
      <c r="P203" s="44"/>
      <c r="Q203" s="44"/>
      <c r="R203" s="44"/>
      <c r="S203" s="53" t="s">
        <v>599</v>
      </c>
      <c r="T203" s="46"/>
      <c r="U203" s="47"/>
      <c r="V203" s="48"/>
    </row>
    <row r="204" spans="2:22" ht="14.25" customHeight="1">
      <c r="B204" s="60"/>
      <c r="C204" s="106"/>
      <c r="D204" s="26"/>
      <c r="E204" s="19"/>
      <c r="F204" s="51"/>
      <c r="G204" s="52"/>
      <c r="H204" s="41"/>
      <c r="I204" s="42"/>
      <c r="J204" s="43"/>
      <c r="K204" s="43"/>
      <c r="L204" s="43"/>
      <c r="M204" s="43"/>
      <c r="N204" s="42"/>
      <c r="O204" s="44"/>
      <c r="P204" s="44"/>
      <c r="Q204" s="44"/>
      <c r="R204" s="44"/>
      <c r="S204" s="53" t="s">
        <v>600</v>
      </c>
      <c r="T204" s="46"/>
      <c r="U204" s="47"/>
      <c r="V204" s="48"/>
    </row>
    <row r="205" spans="2:22" ht="14.25" customHeight="1">
      <c r="B205" s="60"/>
      <c r="C205" s="106"/>
      <c r="D205" s="26"/>
      <c r="E205" s="19"/>
      <c r="F205" s="51"/>
      <c r="G205" s="52"/>
      <c r="H205" s="41"/>
      <c r="I205" s="42"/>
      <c r="J205" s="43"/>
      <c r="K205" s="43"/>
      <c r="L205" s="43"/>
      <c r="M205" s="43"/>
      <c r="N205" s="42"/>
      <c r="O205" s="44"/>
      <c r="P205" s="44"/>
      <c r="Q205" s="44"/>
      <c r="R205" s="44"/>
      <c r="S205" s="53" t="s">
        <v>601</v>
      </c>
      <c r="T205" s="46"/>
      <c r="U205" s="47"/>
      <c r="V205" s="48"/>
    </row>
    <row r="206" spans="2:22" ht="14.25" customHeight="1">
      <c r="B206" s="60"/>
      <c r="C206" s="106"/>
      <c r="D206" s="26"/>
      <c r="E206" s="19"/>
      <c r="F206" s="51"/>
      <c r="G206" s="52"/>
      <c r="H206" s="41"/>
      <c r="I206" s="42"/>
      <c r="J206" s="43"/>
      <c r="K206" s="43"/>
      <c r="L206" s="43"/>
      <c r="M206" s="43"/>
      <c r="N206" s="42"/>
      <c r="O206" s="44"/>
      <c r="P206" s="44"/>
      <c r="Q206" s="44"/>
      <c r="R206" s="44"/>
      <c r="S206" s="45" t="s">
        <v>602</v>
      </c>
      <c r="T206" s="46"/>
      <c r="U206" s="47"/>
      <c r="V206" s="48"/>
    </row>
    <row r="207" spans="2:22" ht="14.25" customHeight="1">
      <c r="B207" s="60"/>
      <c r="C207" s="106"/>
      <c r="D207" s="26"/>
      <c r="E207" s="19"/>
      <c r="F207" s="51"/>
      <c r="G207" s="52"/>
      <c r="H207" s="41"/>
      <c r="I207" s="42"/>
      <c r="J207" s="43"/>
      <c r="K207" s="43"/>
      <c r="L207" s="43"/>
      <c r="M207" s="43"/>
      <c r="N207" s="42"/>
      <c r="O207" s="44"/>
      <c r="P207" s="44"/>
      <c r="Q207" s="44"/>
      <c r="R207" s="44"/>
      <c r="S207" s="45"/>
      <c r="T207" s="46"/>
      <c r="U207" s="47"/>
      <c r="V207" s="48"/>
    </row>
    <row r="208" spans="2:22" ht="14.25" customHeight="1">
      <c r="B208" s="60"/>
      <c r="C208" s="106"/>
      <c r="D208" s="26"/>
      <c r="E208" s="19"/>
      <c r="F208" s="51">
        <f>F201+1</f>
        <v>5</v>
      </c>
      <c r="G208" s="52"/>
      <c r="H208" s="64" t="s">
        <v>207</v>
      </c>
      <c r="I208" s="94">
        <f>63448000+17548000</f>
        <v>80996000</v>
      </c>
      <c r="J208" s="92">
        <v>1922000</v>
      </c>
      <c r="K208" s="92">
        <v>28000000</v>
      </c>
      <c r="L208" s="92">
        <v>0</v>
      </c>
      <c r="M208" s="92">
        <f>+I208-SUM(J208:L208)</f>
        <v>51074000</v>
      </c>
      <c r="N208" s="94">
        <f>63162500+15182999</f>
        <v>78345499</v>
      </c>
      <c r="O208" s="93">
        <v>1904000</v>
      </c>
      <c r="P208" s="93">
        <v>28000000</v>
      </c>
      <c r="Q208" s="93">
        <v>0</v>
      </c>
      <c r="R208" s="93">
        <f>+N208-SUM(O208:Q208)</f>
        <v>48441499</v>
      </c>
      <c r="S208" s="57" t="s">
        <v>208</v>
      </c>
      <c r="T208" s="46" t="s">
        <v>603</v>
      </c>
      <c r="U208" s="47" t="s">
        <v>604</v>
      </c>
      <c r="V208" s="48"/>
    </row>
    <row r="209" spans="2:22" ht="14.25" customHeight="1">
      <c r="B209" s="60"/>
      <c r="C209" s="106"/>
      <c r="D209" s="26"/>
      <c r="E209" s="19"/>
      <c r="F209" s="51"/>
      <c r="G209" s="52"/>
      <c r="H209" s="41"/>
      <c r="I209" s="94"/>
      <c r="J209" s="92"/>
      <c r="K209" s="92"/>
      <c r="L209" s="92"/>
      <c r="M209" s="92"/>
      <c r="N209" s="94"/>
      <c r="O209" s="93"/>
      <c r="P209" s="93"/>
      <c r="Q209" s="93"/>
      <c r="R209" s="93"/>
      <c r="S209" s="57" t="s">
        <v>605</v>
      </c>
      <c r="T209" s="46"/>
      <c r="U209" s="47"/>
      <c r="V209" s="48"/>
    </row>
    <row r="210" spans="2:22" ht="14.25" customHeight="1">
      <c r="B210" s="60"/>
      <c r="C210" s="106"/>
      <c r="D210" s="26"/>
      <c r="E210" s="19"/>
      <c r="F210" s="51"/>
      <c r="G210" s="52"/>
      <c r="H210" s="41"/>
      <c r="I210" s="94"/>
      <c r="J210" s="92"/>
      <c r="K210" s="92"/>
      <c r="L210" s="92"/>
      <c r="M210" s="92"/>
      <c r="N210" s="94"/>
      <c r="O210" s="93"/>
      <c r="P210" s="93"/>
      <c r="Q210" s="93"/>
      <c r="R210" s="93"/>
      <c r="S210" s="57" t="s">
        <v>1075</v>
      </c>
      <c r="T210" s="46"/>
      <c r="U210" s="47"/>
      <c r="V210" s="48"/>
    </row>
    <row r="211" spans="2:22" ht="14.25" customHeight="1">
      <c r="B211" s="60"/>
      <c r="C211" s="106"/>
      <c r="D211" s="26"/>
      <c r="E211" s="19"/>
      <c r="F211" s="51"/>
      <c r="G211" s="52"/>
      <c r="H211" s="41"/>
      <c r="I211" s="94"/>
      <c r="J211" s="92"/>
      <c r="K211" s="92"/>
      <c r="L211" s="92"/>
      <c r="M211" s="92"/>
      <c r="N211" s="94"/>
      <c r="O211" s="93"/>
      <c r="P211" s="93"/>
      <c r="Q211" s="93"/>
      <c r="R211" s="93"/>
      <c r="S211" s="53"/>
      <c r="T211" s="46"/>
      <c r="U211" s="47"/>
      <c r="V211" s="48"/>
    </row>
    <row r="212" spans="2:22" ht="14.25" customHeight="1">
      <c r="B212" s="60"/>
      <c r="C212" s="106"/>
      <c r="D212" s="26"/>
      <c r="E212" s="19"/>
      <c r="F212" s="51">
        <f>+F208+1</f>
        <v>6</v>
      </c>
      <c r="G212" s="40"/>
      <c r="H212" s="41" t="s">
        <v>209</v>
      </c>
      <c r="I212" s="94">
        <f>518015000+7230000+10508000+177509000</f>
        <v>713262000</v>
      </c>
      <c r="J212" s="92">
        <v>255524000</v>
      </c>
      <c r="K212" s="92">
        <v>112000000</v>
      </c>
      <c r="L212" s="92">
        <v>281890000</v>
      </c>
      <c r="M212" s="92">
        <f>+I212-SUM(J212:L212)</f>
        <v>63848000</v>
      </c>
      <c r="N212" s="94">
        <f>(333398000+7232196+2126250+176041350)+5400000</f>
        <v>524197796</v>
      </c>
      <c r="O212" s="93">
        <v>164330847</v>
      </c>
      <c r="P212" s="93">
        <v>73000000</v>
      </c>
      <c r="Q212" s="93">
        <v>251410950</v>
      </c>
      <c r="R212" s="93">
        <f>+N212-SUM(O212:Q212)</f>
        <v>35455999</v>
      </c>
      <c r="S212" s="53" t="s">
        <v>606</v>
      </c>
      <c r="T212" s="46" t="s">
        <v>607</v>
      </c>
      <c r="U212" s="47" t="s">
        <v>607</v>
      </c>
      <c r="V212" s="48"/>
    </row>
    <row r="213" spans="2:22" ht="14.25" customHeight="1">
      <c r="B213" s="60"/>
      <c r="C213" s="106"/>
      <c r="D213" s="26"/>
      <c r="E213" s="19"/>
      <c r="F213" s="51"/>
      <c r="G213" s="40"/>
      <c r="H213" s="41"/>
      <c r="I213" s="94"/>
      <c r="J213" s="92"/>
      <c r="K213" s="92"/>
      <c r="L213" s="92"/>
      <c r="M213" s="92"/>
      <c r="N213" s="94"/>
      <c r="O213" s="93"/>
      <c r="P213" s="93"/>
      <c r="Q213" s="93"/>
      <c r="R213" s="93"/>
      <c r="S213" s="53" t="s">
        <v>608</v>
      </c>
      <c r="T213" s="46"/>
      <c r="U213" s="47"/>
      <c r="V213" s="48"/>
    </row>
    <row r="214" spans="2:22" ht="14.25" customHeight="1">
      <c r="B214" s="60"/>
      <c r="C214" s="106"/>
      <c r="D214" s="26"/>
      <c r="E214" s="19"/>
      <c r="F214" s="51"/>
      <c r="G214" s="40"/>
      <c r="H214" s="41"/>
      <c r="I214" s="94"/>
      <c r="J214" s="92"/>
      <c r="K214" s="92"/>
      <c r="L214" s="92"/>
      <c r="M214" s="92"/>
      <c r="N214" s="94"/>
      <c r="O214" s="93"/>
      <c r="P214" s="93"/>
      <c r="Q214" s="93"/>
      <c r="R214" s="93"/>
      <c r="S214" s="53" t="s">
        <v>609</v>
      </c>
      <c r="T214" s="46"/>
      <c r="U214" s="47"/>
      <c r="V214" s="48"/>
    </row>
    <row r="215" spans="2:22" ht="14.25" customHeight="1">
      <c r="B215" s="60"/>
      <c r="C215" s="106"/>
      <c r="D215" s="26"/>
      <c r="E215" s="19"/>
      <c r="F215" s="51"/>
      <c r="G215" s="40"/>
      <c r="H215" s="41"/>
      <c r="I215" s="94"/>
      <c r="J215" s="92"/>
      <c r="K215" s="92"/>
      <c r="L215" s="92"/>
      <c r="M215" s="92"/>
      <c r="N215" s="94"/>
      <c r="O215" s="93"/>
      <c r="P215" s="93"/>
      <c r="Q215" s="93"/>
      <c r="R215" s="93"/>
      <c r="S215" s="99" t="s">
        <v>1201</v>
      </c>
      <c r="T215" s="46"/>
      <c r="U215" s="47"/>
      <c r="V215" s="48"/>
    </row>
    <row r="216" spans="2:22" ht="14.25" customHeight="1">
      <c r="B216" s="60"/>
      <c r="C216" s="106"/>
      <c r="D216" s="26"/>
      <c r="E216" s="19"/>
      <c r="F216" s="51"/>
      <c r="G216" s="40"/>
      <c r="H216" s="41"/>
      <c r="I216" s="94"/>
      <c r="J216" s="92"/>
      <c r="K216" s="92"/>
      <c r="L216" s="92"/>
      <c r="M216" s="92"/>
      <c r="N216" s="94"/>
      <c r="O216" s="93"/>
      <c r="P216" s="93"/>
      <c r="Q216" s="93"/>
      <c r="R216" s="93"/>
      <c r="S216" s="53" t="s">
        <v>610</v>
      </c>
      <c r="T216" s="46"/>
      <c r="U216" s="47"/>
      <c r="V216" s="48"/>
    </row>
    <row r="217" spans="2:22" ht="14.25" customHeight="1">
      <c r="B217" s="60"/>
      <c r="C217" s="106"/>
      <c r="D217" s="26"/>
      <c r="E217" s="19"/>
      <c r="F217" s="51"/>
      <c r="G217" s="40"/>
      <c r="H217" s="41"/>
      <c r="I217" s="94"/>
      <c r="J217" s="92"/>
      <c r="K217" s="92"/>
      <c r="L217" s="92"/>
      <c r="M217" s="92"/>
      <c r="N217" s="94"/>
      <c r="O217" s="93"/>
      <c r="P217" s="93"/>
      <c r="Q217" s="93"/>
      <c r="R217" s="93"/>
      <c r="S217" s="53" t="s">
        <v>611</v>
      </c>
      <c r="T217" s="46"/>
      <c r="U217" s="47"/>
      <c r="V217" s="48"/>
    </row>
    <row r="218" spans="2:22" ht="14.25" customHeight="1">
      <c r="B218" s="60"/>
      <c r="C218" s="106"/>
      <c r="D218" s="26"/>
      <c r="E218" s="19"/>
      <c r="F218" s="51"/>
      <c r="G218" s="40"/>
      <c r="H218" s="41"/>
      <c r="I218" s="94"/>
      <c r="J218" s="92"/>
      <c r="K218" s="92"/>
      <c r="L218" s="92"/>
      <c r="M218" s="92"/>
      <c r="N218" s="94"/>
      <c r="O218" s="93"/>
      <c r="P218" s="93"/>
      <c r="Q218" s="93"/>
      <c r="R218" s="93"/>
      <c r="S218" s="45" t="s">
        <v>612</v>
      </c>
      <c r="T218" s="46"/>
      <c r="U218" s="47"/>
      <c r="V218" s="48"/>
    </row>
    <row r="219" spans="2:22" ht="14.25" customHeight="1">
      <c r="B219" s="60"/>
      <c r="C219" s="106"/>
      <c r="D219" s="26"/>
      <c r="E219" s="19"/>
      <c r="F219" s="51"/>
      <c r="G219" s="40"/>
      <c r="H219" s="41"/>
      <c r="I219" s="94"/>
      <c r="J219" s="92"/>
      <c r="K219" s="92"/>
      <c r="L219" s="92"/>
      <c r="M219" s="92"/>
      <c r="N219" s="94"/>
      <c r="O219" s="93"/>
      <c r="P219" s="93"/>
      <c r="Q219" s="93"/>
      <c r="R219" s="93"/>
      <c r="S219" s="53"/>
      <c r="T219" s="46"/>
      <c r="U219" s="47"/>
      <c r="V219" s="48"/>
    </row>
    <row r="220" spans="2:22" ht="14.25" customHeight="1">
      <c r="B220" s="60"/>
      <c r="C220" s="106"/>
      <c r="D220" s="26"/>
      <c r="E220" s="19"/>
      <c r="F220" s="51">
        <f>+F212+1</f>
        <v>7</v>
      </c>
      <c r="G220" s="40"/>
      <c r="H220" s="64" t="s">
        <v>210</v>
      </c>
      <c r="I220" s="94">
        <v>332750000</v>
      </c>
      <c r="J220" s="92">
        <v>165000000</v>
      </c>
      <c r="K220" s="92">
        <v>84000000</v>
      </c>
      <c r="L220" s="92">
        <v>70000000</v>
      </c>
      <c r="M220" s="92">
        <f>+I220-SUM(J220:L220)</f>
        <v>13750000</v>
      </c>
      <c r="N220" s="94">
        <v>0</v>
      </c>
      <c r="O220" s="93">
        <v>0</v>
      </c>
      <c r="P220" s="93">
        <v>0</v>
      </c>
      <c r="Q220" s="93">
        <v>0</v>
      </c>
      <c r="R220" s="93">
        <f>+N220-SUM(O220:Q220)</f>
        <v>0</v>
      </c>
      <c r="S220" s="128" t="s">
        <v>563</v>
      </c>
      <c r="T220" s="46" t="s">
        <v>613</v>
      </c>
      <c r="U220" s="47" t="s">
        <v>206</v>
      </c>
      <c r="V220" s="48"/>
    </row>
    <row r="221" spans="2:22" ht="14.25" customHeight="1">
      <c r="B221" s="60"/>
      <c r="C221" s="106"/>
      <c r="D221" s="26"/>
      <c r="E221" s="19"/>
      <c r="F221" s="51"/>
      <c r="G221" s="40"/>
      <c r="H221" s="41"/>
      <c r="I221" s="94"/>
      <c r="J221" s="92"/>
      <c r="K221" s="92"/>
      <c r="L221" s="92"/>
      <c r="M221" s="92"/>
      <c r="N221" s="94"/>
      <c r="O221" s="93"/>
      <c r="P221" s="93"/>
      <c r="Q221" s="93"/>
      <c r="R221" s="93"/>
      <c r="S221" s="45" t="s">
        <v>614</v>
      </c>
      <c r="T221" s="46"/>
      <c r="U221" s="47"/>
      <c r="V221" s="48"/>
    </row>
    <row r="222" spans="2:22" ht="14.25" customHeight="1" thickBot="1">
      <c r="B222" s="69"/>
      <c r="C222" s="110"/>
      <c r="D222" s="27"/>
      <c r="E222" s="24"/>
      <c r="F222" s="71"/>
      <c r="G222" s="140"/>
      <c r="H222" s="111"/>
      <c r="I222" s="74"/>
      <c r="J222" s="75"/>
      <c r="K222" s="75"/>
      <c r="L222" s="75"/>
      <c r="M222" s="75"/>
      <c r="N222" s="74"/>
      <c r="O222" s="76"/>
      <c r="P222" s="76"/>
      <c r="Q222" s="76"/>
      <c r="R222" s="76"/>
      <c r="S222" s="115"/>
      <c r="T222" s="78"/>
      <c r="U222" s="79"/>
      <c r="V222" s="48"/>
    </row>
    <row r="223" spans="2:22" ht="14.25" customHeight="1">
      <c r="B223" s="60"/>
      <c r="C223" s="106"/>
      <c r="D223" s="26"/>
      <c r="E223" s="19"/>
      <c r="F223" s="51">
        <f>+F220+1</f>
        <v>8</v>
      </c>
      <c r="G223" s="52"/>
      <c r="H223" s="64" t="s">
        <v>211</v>
      </c>
      <c r="I223" s="42">
        <v>208732000</v>
      </c>
      <c r="J223" s="43">
        <v>106162000</v>
      </c>
      <c r="K223" s="43">
        <v>38000000</v>
      </c>
      <c r="L223" s="43">
        <v>45209000</v>
      </c>
      <c r="M223" s="43">
        <f>+I223-SUM(J223:L223)</f>
        <v>19361000</v>
      </c>
      <c r="N223" s="42">
        <v>197069201</v>
      </c>
      <c r="O223" s="44">
        <v>101323923</v>
      </c>
      <c r="P223" s="44">
        <v>40000000</v>
      </c>
      <c r="Q223" s="44">
        <v>44787000</v>
      </c>
      <c r="R223" s="44">
        <f>+N223-SUM(O223:Q223)</f>
        <v>10958278</v>
      </c>
      <c r="S223" s="126" t="s">
        <v>615</v>
      </c>
      <c r="T223" s="46" t="s">
        <v>616</v>
      </c>
      <c r="U223" s="47" t="s">
        <v>616</v>
      </c>
      <c r="V223" s="48"/>
    </row>
    <row r="224" spans="2:22" ht="14.25" customHeight="1">
      <c r="B224" s="60"/>
      <c r="C224" s="106"/>
      <c r="D224" s="26"/>
      <c r="E224" s="19"/>
      <c r="F224" s="51"/>
      <c r="G224" s="52"/>
      <c r="H224" s="41"/>
      <c r="I224" s="42"/>
      <c r="J224" s="43"/>
      <c r="K224" s="43"/>
      <c r="L224" s="43"/>
      <c r="M224" s="43"/>
      <c r="N224" s="42"/>
      <c r="O224" s="44"/>
      <c r="P224" s="44"/>
      <c r="Q224" s="44"/>
      <c r="R224" s="44"/>
      <c r="S224" s="53" t="s">
        <v>617</v>
      </c>
      <c r="T224" s="46"/>
      <c r="U224" s="47"/>
      <c r="V224" s="48"/>
    </row>
    <row r="225" spans="2:22" ht="14.25" customHeight="1">
      <c r="B225" s="60"/>
      <c r="C225" s="106"/>
      <c r="D225" s="26"/>
      <c r="E225" s="19"/>
      <c r="F225" s="51"/>
      <c r="G225" s="52"/>
      <c r="H225" s="41"/>
      <c r="I225" s="42"/>
      <c r="J225" s="43"/>
      <c r="K225" s="43"/>
      <c r="L225" s="43"/>
      <c r="M225" s="43"/>
      <c r="N225" s="42"/>
      <c r="O225" s="44"/>
      <c r="P225" s="44"/>
      <c r="Q225" s="44"/>
      <c r="R225" s="44"/>
      <c r="S225" s="53" t="s">
        <v>618</v>
      </c>
      <c r="T225" s="46"/>
      <c r="U225" s="47"/>
      <c r="V225" s="48"/>
    </row>
    <row r="226" spans="2:22" ht="14.25" customHeight="1">
      <c r="B226" s="60"/>
      <c r="C226" s="106"/>
      <c r="D226" s="26"/>
      <c r="E226" s="19"/>
      <c r="F226" s="51"/>
      <c r="G226" s="52"/>
      <c r="H226" s="41"/>
      <c r="I226" s="42"/>
      <c r="J226" s="43"/>
      <c r="K226" s="43"/>
      <c r="L226" s="43"/>
      <c r="M226" s="43"/>
      <c r="N226" s="42"/>
      <c r="O226" s="44"/>
      <c r="P226" s="44"/>
      <c r="Q226" s="44"/>
      <c r="R226" s="44"/>
      <c r="S226" s="53" t="s">
        <v>619</v>
      </c>
      <c r="T226" s="46"/>
      <c r="U226" s="47"/>
      <c r="V226" s="48"/>
    </row>
    <row r="227" spans="2:22" ht="14.25" customHeight="1">
      <c r="B227" s="60"/>
      <c r="C227" s="106"/>
      <c r="D227" s="26"/>
      <c r="E227" s="19"/>
      <c r="F227" s="51"/>
      <c r="G227" s="52"/>
      <c r="H227" s="41"/>
      <c r="I227" s="42"/>
      <c r="J227" s="43"/>
      <c r="K227" s="43"/>
      <c r="L227" s="43"/>
      <c r="M227" s="43"/>
      <c r="N227" s="42"/>
      <c r="O227" s="44"/>
      <c r="P227" s="44"/>
      <c r="Q227" s="44"/>
      <c r="R227" s="44"/>
      <c r="S227" s="53" t="s">
        <v>213</v>
      </c>
      <c r="T227" s="46"/>
      <c r="U227" s="47"/>
      <c r="V227" s="48"/>
    </row>
    <row r="228" spans="2:22" ht="14.25" customHeight="1">
      <c r="B228" s="60"/>
      <c r="C228" s="106"/>
      <c r="D228" s="26"/>
      <c r="E228" s="19"/>
      <c r="F228" s="51"/>
      <c r="G228" s="52"/>
      <c r="H228" s="41"/>
      <c r="I228" s="42"/>
      <c r="J228" s="43"/>
      <c r="K228" s="43"/>
      <c r="L228" s="43"/>
      <c r="M228" s="43"/>
      <c r="N228" s="42"/>
      <c r="O228" s="44"/>
      <c r="P228" s="44"/>
      <c r="Q228" s="44"/>
      <c r="R228" s="44"/>
      <c r="S228" s="53" t="s">
        <v>214</v>
      </c>
      <c r="T228" s="46"/>
      <c r="U228" s="47"/>
      <c r="V228" s="48"/>
    </row>
    <row r="229" spans="2:22" ht="14.25" customHeight="1">
      <c r="B229" s="60"/>
      <c r="C229" s="106"/>
      <c r="D229" s="26"/>
      <c r="E229" s="19"/>
      <c r="F229" s="51"/>
      <c r="G229" s="52"/>
      <c r="H229" s="41"/>
      <c r="I229" s="42"/>
      <c r="J229" s="43"/>
      <c r="K229" s="43"/>
      <c r="L229" s="43"/>
      <c r="M229" s="43"/>
      <c r="N229" s="42"/>
      <c r="O229" s="44"/>
      <c r="P229" s="44"/>
      <c r="Q229" s="44"/>
      <c r="R229" s="44"/>
      <c r="S229" s="53" t="s">
        <v>620</v>
      </c>
      <c r="T229" s="46"/>
      <c r="U229" s="47"/>
      <c r="V229" s="48"/>
    </row>
    <row r="230" spans="2:22" ht="14.25" customHeight="1">
      <c r="B230" s="60"/>
      <c r="C230" s="106"/>
      <c r="D230" s="26"/>
      <c r="E230" s="19"/>
      <c r="F230" s="51"/>
      <c r="G230" s="52"/>
      <c r="H230" s="41"/>
      <c r="I230" s="94"/>
      <c r="J230" s="92"/>
      <c r="K230" s="92"/>
      <c r="L230" s="92"/>
      <c r="M230" s="92"/>
      <c r="N230" s="94"/>
      <c r="O230" s="93"/>
      <c r="P230" s="93"/>
      <c r="Q230" s="93"/>
      <c r="R230" s="93"/>
      <c r="S230" s="45" t="s">
        <v>621</v>
      </c>
      <c r="T230" s="46"/>
      <c r="U230" s="47"/>
      <c r="V230" s="48"/>
    </row>
    <row r="231" spans="2:22" ht="14.25" customHeight="1">
      <c r="B231" s="60"/>
      <c r="C231" s="106"/>
      <c r="D231" s="26"/>
      <c r="E231" s="19"/>
      <c r="F231" s="51"/>
      <c r="G231" s="52"/>
      <c r="H231" s="41"/>
      <c r="I231" s="94"/>
      <c r="J231" s="92"/>
      <c r="K231" s="92"/>
      <c r="L231" s="92"/>
      <c r="M231" s="92"/>
      <c r="N231" s="94"/>
      <c r="O231" s="93"/>
      <c r="P231" s="93"/>
      <c r="Q231" s="93"/>
      <c r="R231" s="93"/>
      <c r="S231" s="45"/>
      <c r="T231" s="46"/>
      <c r="U231" s="47"/>
      <c r="V231" s="48"/>
    </row>
    <row r="232" spans="2:22" ht="14.25" customHeight="1">
      <c r="B232" s="60"/>
      <c r="C232" s="106"/>
      <c r="D232" s="26"/>
      <c r="E232" s="19"/>
      <c r="F232" s="51">
        <f>+F223+1</f>
        <v>9</v>
      </c>
      <c r="G232" s="52"/>
      <c r="H232" s="41" t="s">
        <v>215</v>
      </c>
      <c r="I232" s="42">
        <v>54149000</v>
      </c>
      <c r="J232" s="43">
        <v>26129000</v>
      </c>
      <c r="K232" s="43">
        <v>0</v>
      </c>
      <c r="L232" s="43">
        <v>13064000</v>
      </c>
      <c r="M232" s="43">
        <f>+I232-SUM(J232:L232)</f>
        <v>14956000</v>
      </c>
      <c r="N232" s="42">
        <v>53127102</v>
      </c>
      <c r="O232" s="44">
        <v>26129250</v>
      </c>
      <c r="P232" s="44">
        <v>0</v>
      </c>
      <c r="Q232" s="44">
        <v>13064000</v>
      </c>
      <c r="R232" s="44">
        <f>+N232-SUM(O232:Q232)</f>
        <v>13933852</v>
      </c>
      <c r="S232" s="53" t="s">
        <v>216</v>
      </c>
      <c r="T232" s="46" t="s">
        <v>140</v>
      </c>
      <c r="U232" s="47" t="s">
        <v>140</v>
      </c>
      <c r="V232" s="48"/>
    </row>
    <row r="233" spans="2:22" ht="14.25" customHeight="1">
      <c r="B233" s="60"/>
      <c r="C233" s="106"/>
      <c r="D233" s="26"/>
      <c r="E233" s="19"/>
      <c r="F233" s="51"/>
      <c r="G233" s="52"/>
      <c r="H233" s="41"/>
      <c r="I233" s="42"/>
      <c r="J233" s="43"/>
      <c r="K233" s="43"/>
      <c r="L233" s="43"/>
      <c r="M233" s="43"/>
      <c r="N233" s="42"/>
      <c r="O233" s="44"/>
      <c r="P233" s="44"/>
      <c r="Q233" s="44"/>
      <c r="R233" s="44"/>
      <c r="S233" s="53" t="s">
        <v>622</v>
      </c>
      <c r="T233" s="46"/>
      <c r="U233" s="47"/>
      <c r="V233" s="48"/>
    </row>
    <row r="234" spans="2:22" ht="14.25" customHeight="1">
      <c r="B234" s="60"/>
      <c r="C234" s="106"/>
      <c r="D234" s="26"/>
      <c r="E234" s="19"/>
      <c r="F234" s="51"/>
      <c r="G234" s="52"/>
      <c r="H234" s="41"/>
      <c r="I234" s="94"/>
      <c r="J234" s="92"/>
      <c r="K234" s="92"/>
      <c r="L234" s="92"/>
      <c r="M234" s="92"/>
      <c r="N234" s="94"/>
      <c r="O234" s="93"/>
      <c r="P234" s="93"/>
      <c r="Q234" s="93"/>
      <c r="R234" s="93"/>
      <c r="S234" s="45"/>
      <c r="T234" s="46"/>
      <c r="U234" s="47"/>
      <c r="V234" s="48"/>
    </row>
    <row r="235" spans="2:22" ht="14.25" customHeight="1">
      <c r="B235" s="60"/>
      <c r="C235" s="106"/>
      <c r="D235" s="26"/>
      <c r="E235" s="19"/>
      <c r="F235" s="51">
        <f>+F232+1</f>
        <v>10</v>
      </c>
      <c r="G235" s="52"/>
      <c r="H235" s="41" t="s">
        <v>217</v>
      </c>
      <c r="I235" s="94">
        <v>19440000</v>
      </c>
      <c r="J235" s="92">
        <v>0</v>
      </c>
      <c r="K235" s="92">
        <v>0</v>
      </c>
      <c r="L235" s="92">
        <v>12721000</v>
      </c>
      <c r="M235" s="43">
        <f>+I235-SUM(J235:L235)</f>
        <v>6719000</v>
      </c>
      <c r="N235" s="94">
        <v>18169342</v>
      </c>
      <c r="O235" s="93">
        <v>0</v>
      </c>
      <c r="P235" s="93">
        <v>0</v>
      </c>
      <c r="Q235" s="93">
        <v>12720198</v>
      </c>
      <c r="R235" s="44">
        <f>+N235-SUM(O235:Q235)</f>
        <v>5449144</v>
      </c>
      <c r="S235" s="58" t="s">
        <v>563</v>
      </c>
      <c r="T235" s="67"/>
      <c r="U235" s="59"/>
      <c r="V235" s="48"/>
    </row>
    <row r="236" spans="2:22" ht="14.25" customHeight="1">
      <c r="B236" s="60"/>
      <c r="C236" s="106"/>
      <c r="D236" s="26"/>
      <c r="E236" s="19"/>
      <c r="F236" s="51"/>
      <c r="G236" s="52"/>
      <c r="H236" s="41"/>
      <c r="I236" s="94"/>
      <c r="J236" s="92"/>
      <c r="K236" s="92"/>
      <c r="L236" s="92"/>
      <c r="M236" s="92"/>
      <c r="N236" s="94"/>
      <c r="O236" s="93"/>
      <c r="P236" s="93"/>
      <c r="Q236" s="93"/>
      <c r="R236" s="93"/>
      <c r="S236" s="53" t="s">
        <v>623</v>
      </c>
      <c r="T236" s="67"/>
      <c r="U236" s="59"/>
      <c r="V236" s="48"/>
    </row>
    <row r="237" spans="2:22" ht="14.25" customHeight="1">
      <c r="B237" s="60"/>
      <c r="C237" s="106"/>
      <c r="D237" s="26"/>
      <c r="E237" s="19"/>
      <c r="F237" s="51"/>
      <c r="G237" s="52"/>
      <c r="H237" s="41"/>
      <c r="I237" s="94"/>
      <c r="J237" s="92"/>
      <c r="K237" s="92"/>
      <c r="L237" s="92"/>
      <c r="M237" s="92"/>
      <c r="N237" s="94"/>
      <c r="O237" s="93"/>
      <c r="P237" s="93"/>
      <c r="Q237" s="93"/>
      <c r="R237" s="93"/>
      <c r="S237" s="98" t="s">
        <v>624</v>
      </c>
      <c r="T237" s="67"/>
      <c r="U237" s="59"/>
      <c r="V237" s="48"/>
    </row>
    <row r="238" spans="2:22" ht="14.25" customHeight="1">
      <c r="B238" s="60"/>
      <c r="C238" s="106"/>
      <c r="D238" s="26"/>
      <c r="E238" s="19"/>
      <c r="F238" s="51"/>
      <c r="G238" s="52"/>
      <c r="H238" s="41"/>
      <c r="I238" s="94"/>
      <c r="J238" s="92"/>
      <c r="K238" s="92"/>
      <c r="L238" s="92"/>
      <c r="M238" s="92"/>
      <c r="N238" s="94"/>
      <c r="O238" s="93"/>
      <c r="P238" s="93"/>
      <c r="Q238" s="93"/>
      <c r="R238" s="93"/>
      <c r="S238" s="53" t="s">
        <v>625</v>
      </c>
      <c r="T238" s="67"/>
      <c r="U238" s="59"/>
      <c r="V238" s="48"/>
    </row>
    <row r="239" spans="2:22" ht="14.25" customHeight="1">
      <c r="B239" s="60"/>
      <c r="C239" s="106"/>
      <c r="D239" s="26"/>
      <c r="E239" s="19"/>
      <c r="F239" s="51"/>
      <c r="G239" s="52"/>
      <c r="H239" s="41"/>
      <c r="I239" s="94"/>
      <c r="J239" s="92"/>
      <c r="K239" s="92"/>
      <c r="L239" s="92"/>
      <c r="M239" s="92"/>
      <c r="N239" s="94"/>
      <c r="O239" s="93"/>
      <c r="P239" s="93"/>
      <c r="Q239" s="93"/>
      <c r="R239" s="93"/>
      <c r="S239" s="45"/>
      <c r="T239" s="46"/>
      <c r="U239" s="47"/>
      <c r="V239" s="48"/>
    </row>
    <row r="240" spans="2:22" ht="14.25" customHeight="1">
      <c r="B240" s="60"/>
      <c r="C240" s="106"/>
      <c r="D240" s="26"/>
      <c r="E240" s="19"/>
      <c r="F240" s="51">
        <f>+F235+1</f>
        <v>11</v>
      </c>
      <c r="G240" s="52"/>
      <c r="H240" s="41" t="s">
        <v>219</v>
      </c>
      <c r="I240" s="94">
        <v>55300000</v>
      </c>
      <c r="J240" s="92">
        <v>55300000</v>
      </c>
      <c r="K240" s="92">
        <v>0</v>
      </c>
      <c r="L240" s="92">
        <v>0</v>
      </c>
      <c r="M240" s="92">
        <f>+I240-SUM(J240:L240)</f>
        <v>0</v>
      </c>
      <c r="N240" s="94">
        <v>33341700</v>
      </c>
      <c r="O240" s="93">
        <v>33341700</v>
      </c>
      <c r="P240" s="93">
        <v>0</v>
      </c>
      <c r="Q240" s="93">
        <v>0</v>
      </c>
      <c r="R240" s="93">
        <f>+N240-SUM(O240:Q240)</f>
        <v>0</v>
      </c>
      <c r="S240" s="53" t="s">
        <v>220</v>
      </c>
      <c r="T240" s="46" t="s">
        <v>140</v>
      </c>
      <c r="U240" s="47" t="s">
        <v>140</v>
      </c>
      <c r="V240" s="48"/>
    </row>
    <row r="241" spans="2:22" ht="14.25" customHeight="1">
      <c r="B241" s="60"/>
      <c r="C241" s="106"/>
      <c r="D241" s="26"/>
      <c r="E241" s="19"/>
      <c r="F241" s="51"/>
      <c r="G241" s="52"/>
      <c r="H241" s="41"/>
      <c r="I241" s="42"/>
      <c r="J241" s="43"/>
      <c r="K241" s="43"/>
      <c r="L241" s="43"/>
      <c r="M241" s="43"/>
      <c r="N241" s="127"/>
      <c r="O241" s="44"/>
      <c r="P241" s="44"/>
      <c r="Q241" s="44"/>
      <c r="R241" s="44"/>
      <c r="S241" s="45" t="s">
        <v>626</v>
      </c>
      <c r="T241" s="46"/>
      <c r="U241" s="47"/>
      <c r="V241" s="48"/>
    </row>
    <row r="242" spans="2:22" ht="14.25" customHeight="1">
      <c r="B242" s="60"/>
      <c r="C242" s="106"/>
      <c r="D242" s="26"/>
      <c r="E242" s="19"/>
      <c r="F242" s="51"/>
      <c r="G242" s="52"/>
      <c r="H242" s="41"/>
      <c r="I242" s="42"/>
      <c r="J242" s="43"/>
      <c r="K242" s="43"/>
      <c r="L242" s="43"/>
      <c r="M242" s="43"/>
      <c r="N242" s="127"/>
      <c r="O242" s="44"/>
      <c r="P242" s="44"/>
      <c r="Q242" s="44"/>
      <c r="R242" s="44"/>
      <c r="S242" s="45" t="s">
        <v>627</v>
      </c>
      <c r="T242" s="46"/>
      <c r="U242" s="47"/>
      <c r="V242" s="48"/>
    </row>
    <row r="243" spans="2:22" ht="14.25" customHeight="1">
      <c r="B243" s="60"/>
      <c r="C243" s="106"/>
      <c r="D243" s="26"/>
      <c r="E243" s="19"/>
      <c r="F243" s="51"/>
      <c r="G243" s="52"/>
      <c r="H243" s="41"/>
      <c r="I243" s="42"/>
      <c r="J243" s="43"/>
      <c r="K243" s="43"/>
      <c r="L243" s="43"/>
      <c r="M243" s="43"/>
      <c r="N243" s="127"/>
      <c r="O243" s="44"/>
      <c r="P243" s="44"/>
      <c r="Q243" s="44"/>
      <c r="R243" s="44"/>
      <c r="S243" s="57"/>
      <c r="T243" s="46"/>
      <c r="U243" s="47"/>
      <c r="V243" s="48"/>
    </row>
    <row r="244" spans="2:22" ht="14.25" customHeight="1">
      <c r="B244" s="60"/>
      <c r="C244" s="106"/>
      <c r="D244" s="26"/>
      <c r="E244" s="19"/>
      <c r="F244" s="51">
        <f>+F240+1</f>
        <v>12</v>
      </c>
      <c r="G244" s="52"/>
      <c r="H244" s="64" t="s">
        <v>221</v>
      </c>
      <c r="I244" s="94">
        <v>-104000</v>
      </c>
      <c r="J244" s="92">
        <v>0</v>
      </c>
      <c r="K244" s="92">
        <v>0</v>
      </c>
      <c r="L244" s="92">
        <v>0</v>
      </c>
      <c r="M244" s="92">
        <f>+I244-SUM(J244:L244)</f>
        <v>-104000</v>
      </c>
      <c r="N244" s="94">
        <v>0</v>
      </c>
      <c r="O244" s="93">
        <v>0</v>
      </c>
      <c r="P244" s="93">
        <v>0</v>
      </c>
      <c r="Q244" s="93">
        <v>0</v>
      </c>
      <c r="R244" s="93">
        <f>+N244-SUM(O244:Q244)</f>
        <v>0</v>
      </c>
      <c r="S244" s="128" t="s">
        <v>218</v>
      </c>
      <c r="T244" s="46"/>
      <c r="U244" s="47"/>
      <c r="V244" s="48"/>
    </row>
    <row r="245" spans="2:22" ht="14.25" customHeight="1">
      <c r="B245" s="60"/>
      <c r="C245" s="106"/>
      <c r="D245" s="26"/>
      <c r="E245" s="19"/>
      <c r="F245" s="51"/>
      <c r="G245" s="52"/>
      <c r="H245" s="41"/>
      <c r="I245" s="94"/>
      <c r="J245" s="92"/>
      <c r="K245" s="92"/>
      <c r="L245" s="92"/>
      <c r="M245" s="92"/>
      <c r="N245" s="94"/>
      <c r="O245" s="93"/>
      <c r="P245" s="93"/>
      <c r="Q245" s="93"/>
      <c r="R245" s="93"/>
      <c r="S245" s="128"/>
      <c r="T245" s="46"/>
      <c r="U245" s="47"/>
      <c r="V245" s="48"/>
    </row>
    <row r="246" spans="2:22" ht="14.25" customHeight="1">
      <c r="B246" s="60"/>
      <c r="C246" s="106"/>
      <c r="D246" s="26"/>
      <c r="E246" s="19" t="s">
        <v>222</v>
      </c>
      <c r="F246" s="51">
        <f>F244+1</f>
        <v>13</v>
      </c>
      <c r="G246" s="52"/>
      <c r="H246" s="41" t="s">
        <v>209</v>
      </c>
      <c r="I246" s="42">
        <v>10587000</v>
      </c>
      <c r="J246" s="43">
        <v>0</v>
      </c>
      <c r="K246" s="43">
        <v>0</v>
      </c>
      <c r="L246" s="43">
        <v>5043000</v>
      </c>
      <c r="M246" s="43">
        <f>+I246-SUM(J246:L246)</f>
        <v>5544000</v>
      </c>
      <c r="N246" s="42">
        <f>15987000-5400000</f>
        <v>10587000</v>
      </c>
      <c r="O246" s="44">
        <v>0</v>
      </c>
      <c r="P246" s="44">
        <v>0</v>
      </c>
      <c r="Q246" s="44">
        <v>5963000</v>
      </c>
      <c r="R246" s="44">
        <f>+N246-SUM(O246:Q246)</f>
        <v>4624000</v>
      </c>
      <c r="S246" s="53" t="s">
        <v>628</v>
      </c>
      <c r="T246" s="46" t="s">
        <v>629</v>
      </c>
      <c r="U246" s="47" t="s">
        <v>629</v>
      </c>
      <c r="V246" s="48"/>
    </row>
    <row r="247" spans="2:22" ht="14.25" customHeight="1">
      <c r="B247" s="60"/>
      <c r="C247" s="106"/>
      <c r="D247" s="26"/>
      <c r="E247" s="19" t="s">
        <v>223</v>
      </c>
      <c r="F247" s="51"/>
      <c r="G247" s="52"/>
      <c r="H247" s="41"/>
      <c r="I247" s="42"/>
      <c r="J247" s="43"/>
      <c r="K247" s="43"/>
      <c r="L247" s="43"/>
      <c r="M247" s="43"/>
      <c r="N247" s="42"/>
      <c r="O247" s="44"/>
      <c r="P247" s="44"/>
      <c r="Q247" s="44"/>
      <c r="R247" s="44"/>
      <c r="S247" s="53" t="s">
        <v>630</v>
      </c>
      <c r="T247" s="46"/>
      <c r="U247" s="47"/>
      <c r="V247" s="48"/>
    </row>
    <row r="248" spans="2:22" ht="14.25" customHeight="1">
      <c r="B248" s="60"/>
      <c r="C248" s="106"/>
      <c r="D248" s="26"/>
      <c r="E248" s="19"/>
      <c r="F248" s="51"/>
      <c r="G248" s="52"/>
      <c r="H248" s="41"/>
      <c r="I248" s="42"/>
      <c r="J248" s="43"/>
      <c r="K248" s="43"/>
      <c r="L248" s="43"/>
      <c r="M248" s="43"/>
      <c r="N248" s="42"/>
      <c r="O248" s="44"/>
      <c r="P248" s="44"/>
      <c r="Q248" s="44"/>
      <c r="R248" s="44"/>
      <c r="S248" s="53" t="s">
        <v>631</v>
      </c>
      <c r="T248" s="46"/>
      <c r="U248" s="47"/>
      <c r="V248" s="48"/>
    </row>
    <row r="249" spans="2:22" ht="14.25" customHeight="1">
      <c r="B249" s="60"/>
      <c r="C249" s="106"/>
      <c r="D249" s="26"/>
      <c r="E249" s="19"/>
      <c r="F249" s="51"/>
      <c r="G249" s="52"/>
      <c r="H249" s="41"/>
      <c r="I249" s="94"/>
      <c r="J249" s="92"/>
      <c r="K249" s="92"/>
      <c r="L249" s="92"/>
      <c r="M249" s="92"/>
      <c r="N249" s="94"/>
      <c r="O249" s="93"/>
      <c r="P249" s="93"/>
      <c r="Q249" s="93"/>
      <c r="R249" s="93"/>
      <c r="S249" s="128"/>
      <c r="T249" s="46"/>
      <c r="U249" s="47"/>
      <c r="V249" s="48"/>
    </row>
    <row r="250" spans="2:22" ht="14.25" customHeight="1">
      <c r="B250" s="60"/>
      <c r="C250" s="106"/>
      <c r="D250" s="26"/>
      <c r="E250" s="19"/>
      <c r="F250" s="51">
        <f>+F246+1</f>
        <v>14</v>
      </c>
      <c r="G250" s="52"/>
      <c r="H250" s="64" t="s">
        <v>535</v>
      </c>
      <c r="I250" s="42">
        <v>16175000</v>
      </c>
      <c r="J250" s="43">
        <v>0</v>
      </c>
      <c r="K250" s="43">
        <v>0</v>
      </c>
      <c r="L250" s="43">
        <v>7502500</v>
      </c>
      <c r="M250" s="43">
        <f>+I250-SUM(J250:L250)</f>
        <v>8672500</v>
      </c>
      <c r="N250" s="42">
        <v>15902484</v>
      </c>
      <c r="O250" s="44">
        <v>0</v>
      </c>
      <c r="P250" s="44">
        <v>0</v>
      </c>
      <c r="Q250" s="44">
        <v>8672500</v>
      </c>
      <c r="R250" s="44">
        <f>+N250-SUM(O250:Q250)</f>
        <v>7229984</v>
      </c>
      <c r="S250" s="126" t="s">
        <v>632</v>
      </c>
      <c r="T250" s="46" t="s">
        <v>629</v>
      </c>
      <c r="U250" s="47" t="s">
        <v>629</v>
      </c>
      <c r="V250" s="48"/>
    </row>
    <row r="251" spans="2:22" ht="14.25" customHeight="1">
      <c r="B251" s="60"/>
      <c r="C251" s="106"/>
      <c r="D251" s="26"/>
      <c r="E251" s="19"/>
      <c r="F251" s="51"/>
      <c r="G251" s="52"/>
      <c r="H251" s="41"/>
      <c r="I251" s="42"/>
      <c r="J251" s="43"/>
      <c r="K251" s="43"/>
      <c r="L251" s="43"/>
      <c r="M251" s="43"/>
      <c r="N251" s="42"/>
      <c r="O251" s="44"/>
      <c r="P251" s="44"/>
      <c r="Q251" s="44"/>
      <c r="R251" s="44"/>
      <c r="S251" s="53" t="s">
        <v>633</v>
      </c>
      <c r="T251" s="46"/>
      <c r="U251" s="47"/>
      <c r="V251" s="48"/>
    </row>
    <row r="252" spans="2:22" ht="14.25" customHeight="1">
      <c r="B252" s="60"/>
      <c r="C252" s="106"/>
      <c r="D252" s="26"/>
      <c r="E252" s="19"/>
      <c r="F252" s="51"/>
      <c r="G252" s="52"/>
      <c r="H252" s="41"/>
      <c r="I252" s="42"/>
      <c r="J252" s="43"/>
      <c r="K252" s="43"/>
      <c r="L252" s="43"/>
      <c r="M252" s="43"/>
      <c r="N252" s="42"/>
      <c r="O252" s="44"/>
      <c r="P252" s="44"/>
      <c r="Q252" s="44"/>
      <c r="R252" s="44"/>
      <c r="S252" s="53" t="s">
        <v>634</v>
      </c>
      <c r="T252" s="46"/>
      <c r="U252" s="47"/>
      <c r="V252" s="48"/>
    </row>
    <row r="253" spans="2:22" ht="14.25" customHeight="1">
      <c r="B253" s="60"/>
      <c r="C253" s="106"/>
      <c r="D253" s="26"/>
      <c r="E253" s="19"/>
      <c r="F253" s="51"/>
      <c r="G253" s="52"/>
      <c r="H253" s="41"/>
      <c r="I253" s="94"/>
      <c r="J253" s="92"/>
      <c r="K253" s="92"/>
      <c r="L253" s="92"/>
      <c r="M253" s="92"/>
      <c r="N253" s="94"/>
      <c r="O253" s="93"/>
      <c r="P253" s="93"/>
      <c r="Q253" s="93"/>
      <c r="R253" s="93"/>
      <c r="S253" s="45"/>
      <c r="T253" s="46"/>
      <c r="U253" s="47"/>
      <c r="V253" s="48"/>
    </row>
    <row r="254" spans="2:22" ht="14.25" customHeight="1">
      <c r="B254" s="60"/>
      <c r="C254" s="106"/>
      <c r="D254" s="26"/>
      <c r="E254" s="19"/>
      <c r="F254" s="51">
        <f>+F250+1</f>
        <v>15</v>
      </c>
      <c r="G254" s="52"/>
      <c r="H254" s="41" t="s">
        <v>224</v>
      </c>
      <c r="I254" s="42">
        <v>172966000</v>
      </c>
      <c r="J254" s="43">
        <v>83965000</v>
      </c>
      <c r="K254" s="43">
        <v>49000000</v>
      </c>
      <c r="L254" s="43">
        <v>39582000</v>
      </c>
      <c r="M254" s="43">
        <f>+I254-SUM(J254:L254)</f>
        <v>419000</v>
      </c>
      <c r="N254" s="42">
        <v>165495624</v>
      </c>
      <c r="O254" s="44">
        <v>96330500</v>
      </c>
      <c r="P254" s="44">
        <v>47000000</v>
      </c>
      <c r="Q254" s="44">
        <v>39492000</v>
      </c>
      <c r="R254" s="44">
        <f>+N254-SUM(O254:Q254)</f>
        <v>-17326876</v>
      </c>
      <c r="S254" s="53" t="s">
        <v>635</v>
      </c>
      <c r="T254" s="46" t="s">
        <v>225</v>
      </c>
      <c r="U254" s="47" t="s">
        <v>225</v>
      </c>
      <c r="V254" s="48"/>
    </row>
    <row r="255" spans="2:22" ht="14.25" customHeight="1">
      <c r="B255" s="60"/>
      <c r="C255" s="106"/>
      <c r="D255" s="26"/>
      <c r="E255" s="19"/>
      <c r="F255" s="51"/>
      <c r="G255" s="52"/>
      <c r="H255" s="41"/>
      <c r="I255" s="42"/>
      <c r="J255" s="43"/>
      <c r="K255" s="43"/>
      <c r="L255" s="43"/>
      <c r="M255" s="43"/>
      <c r="N255" s="42"/>
      <c r="O255" s="44"/>
      <c r="P255" s="44"/>
      <c r="Q255" s="44"/>
      <c r="R255" s="44"/>
      <c r="S255" s="53" t="s">
        <v>636</v>
      </c>
      <c r="T255" s="46"/>
      <c r="U255" s="118"/>
      <c r="V255" s="48"/>
    </row>
    <row r="256" spans="2:22" ht="14.25" customHeight="1">
      <c r="B256" s="60"/>
      <c r="C256" s="106"/>
      <c r="D256" s="26"/>
      <c r="E256" s="19"/>
      <c r="F256" s="51"/>
      <c r="G256" s="52"/>
      <c r="H256" s="41"/>
      <c r="I256" s="42"/>
      <c r="J256" s="43"/>
      <c r="K256" s="43"/>
      <c r="L256" s="43"/>
      <c r="M256" s="43"/>
      <c r="N256" s="42"/>
      <c r="O256" s="44"/>
      <c r="P256" s="44"/>
      <c r="Q256" s="44"/>
      <c r="R256" s="44"/>
      <c r="S256" s="53" t="s">
        <v>637</v>
      </c>
      <c r="T256" s="46"/>
      <c r="U256" s="118"/>
      <c r="V256" s="48"/>
    </row>
    <row r="257" spans="2:22" ht="14.25" customHeight="1" thickBot="1">
      <c r="B257" s="69"/>
      <c r="C257" s="110"/>
      <c r="D257" s="27"/>
      <c r="E257" s="24"/>
      <c r="F257" s="71"/>
      <c r="G257" s="72"/>
      <c r="H257" s="111"/>
      <c r="I257" s="74"/>
      <c r="J257" s="75"/>
      <c r="K257" s="75"/>
      <c r="L257" s="75"/>
      <c r="M257" s="75"/>
      <c r="N257" s="74"/>
      <c r="O257" s="76"/>
      <c r="P257" s="76"/>
      <c r="Q257" s="76"/>
      <c r="R257" s="76"/>
      <c r="S257" s="115"/>
      <c r="T257" s="78"/>
      <c r="U257" s="79"/>
      <c r="V257" s="48"/>
    </row>
    <row r="258" spans="2:22" ht="14.25" customHeight="1">
      <c r="B258" s="60"/>
      <c r="C258" s="106"/>
      <c r="D258" s="26"/>
      <c r="E258" s="19"/>
      <c r="F258" s="51"/>
      <c r="G258" s="52"/>
      <c r="H258" s="41"/>
      <c r="I258" s="94"/>
      <c r="J258" s="92"/>
      <c r="K258" s="92"/>
      <c r="L258" s="92"/>
      <c r="M258" s="92"/>
      <c r="N258" s="94"/>
      <c r="O258" s="93"/>
      <c r="P258" s="93"/>
      <c r="Q258" s="93"/>
      <c r="R258" s="93"/>
      <c r="S258" s="53"/>
      <c r="T258" s="46"/>
      <c r="U258" s="47"/>
      <c r="V258" s="48"/>
    </row>
    <row r="259" spans="2:22" ht="14.25" customHeight="1">
      <c r="B259" s="17" t="s">
        <v>51</v>
      </c>
      <c r="C259" s="26">
        <f>SUM(I259:I271)</f>
        <v>150419000</v>
      </c>
      <c r="D259" s="26">
        <f>SUM(N259:N271)</f>
        <v>135756546</v>
      </c>
      <c r="E259" s="19" t="s">
        <v>226</v>
      </c>
      <c r="F259" s="51">
        <v>1</v>
      </c>
      <c r="G259" s="52"/>
      <c r="H259" s="41" t="s">
        <v>227</v>
      </c>
      <c r="I259" s="94">
        <f>63828000+61333000</f>
        <v>125161000</v>
      </c>
      <c r="J259" s="92">
        <v>86733000</v>
      </c>
      <c r="K259" s="92">
        <v>0</v>
      </c>
      <c r="L259" s="92">
        <v>0</v>
      </c>
      <c r="M259" s="92">
        <f>+I259-SUM(J259:L259)</f>
        <v>38428000</v>
      </c>
      <c r="N259" s="94">
        <f>60575342+61210000</f>
        <v>121785342</v>
      </c>
      <c r="O259" s="93">
        <v>81453342</v>
      </c>
      <c r="P259" s="93">
        <v>0</v>
      </c>
      <c r="Q259" s="93">
        <v>0</v>
      </c>
      <c r="R259" s="93">
        <f>+N259-SUM(O259:Q259)</f>
        <v>40332000</v>
      </c>
      <c r="S259" s="53" t="s">
        <v>228</v>
      </c>
      <c r="T259" s="46" t="s">
        <v>229</v>
      </c>
      <c r="U259" s="47" t="s">
        <v>229</v>
      </c>
      <c r="V259" s="48"/>
    </row>
    <row r="260" spans="2:22" ht="14.25" customHeight="1">
      <c r="B260" s="17" t="s">
        <v>121</v>
      </c>
      <c r="C260" s="26"/>
      <c r="D260" s="16"/>
      <c r="E260" s="19"/>
      <c r="F260" s="51"/>
      <c r="G260" s="52"/>
      <c r="H260" s="41"/>
      <c r="I260" s="94"/>
      <c r="J260" s="92"/>
      <c r="K260" s="92"/>
      <c r="L260" s="92"/>
      <c r="M260" s="92"/>
      <c r="N260" s="94"/>
      <c r="O260" s="93"/>
      <c r="P260" s="93"/>
      <c r="Q260" s="93"/>
      <c r="R260" s="93"/>
      <c r="S260" s="53" t="s">
        <v>1078</v>
      </c>
      <c r="T260" s="46"/>
      <c r="U260" s="47"/>
      <c r="V260" s="48"/>
    </row>
    <row r="261" spans="2:22" ht="14.25" customHeight="1">
      <c r="B261" s="17"/>
      <c r="C261" s="26" t="s">
        <v>7</v>
      </c>
      <c r="D261" s="26" t="s">
        <v>7</v>
      </c>
      <c r="E261" s="19"/>
      <c r="F261" s="51"/>
      <c r="G261" s="52"/>
      <c r="H261" s="41"/>
      <c r="I261" s="42"/>
      <c r="J261" s="43"/>
      <c r="K261" s="43"/>
      <c r="L261" s="43"/>
      <c r="M261" s="43"/>
      <c r="N261" s="42"/>
      <c r="O261" s="44"/>
      <c r="P261" s="44"/>
      <c r="Q261" s="44"/>
      <c r="R261" s="44"/>
      <c r="S261" s="53"/>
      <c r="T261" s="129"/>
      <c r="U261" s="130"/>
      <c r="V261" s="48"/>
    </row>
    <row r="262" spans="2:22" ht="14.25" customHeight="1">
      <c r="B262" s="60"/>
      <c r="C262" s="26">
        <f>SUM(J259:J271)</f>
        <v>108997000</v>
      </c>
      <c r="D262" s="26">
        <f>SUM(O259:O271)</f>
        <v>93366633</v>
      </c>
      <c r="E262" s="19"/>
      <c r="F262" s="51">
        <f>+F259+1</f>
        <v>2</v>
      </c>
      <c r="G262" s="52"/>
      <c r="H262" s="64" t="s">
        <v>230</v>
      </c>
      <c r="I262" s="42">
        <v>3407000</v>
      </c>
      <c r="J262" s="43">
        <v>393000</v>
      </c>
      <c r="K262" s="43">
        <v>0</v>
      </c>
      <c r="L262" s="43">
        <v>0</v>
      </c>
      <c r="M262" s="43">
        <f>+I262-SUM(J262:L262)</f>
        <v>3014000</v>
      </c>
      <c r="N262" s="42">
        <v>2661983</v>
      </c>
      <c r="O262" s="44">
        <v>393000</v>
      </c>
      <c r="P262" s="44">
        <v>0</v>
      </c>
      <c r="Q262" s="44">
        <v>0</v>
      </c>
      <c r="R262" s="44">
        <f>+N262-SUM(O262:Q262)</f>
        <v>2268983</v>
      </c>
      <c r="S262" s="53" t="s">
        <v>231</v>
      </c>
      <c r="T262" s="46" t="s">
        <v>1079</v>
      </c>
      <c r="U262" s="47" t="s">
        <v>1080</v>
      </c>
      <c r="V262" s="48"/>
    </row>
    <row r="263" spans="2:22" ht="14.25" customHeight="1">
      <c r="B263" s="60"/>
      <c r="C263" s="26" t="s">
        <v>9</v>
      </c>
      <c r="D263" s="26" t="s">
        <v>9</v>
      </c>
      <c r="E263" s="19"/>
      <c r="F263" s="51"/>
      <c r="G263" s="52"/>
      <c r="H263" s="41"/>
      <c r="I263" s="94"/>
      <c r="J263" s="92"/>
      <c r="K263" s="92"/>
      <c r="L263" s="92"/>
      <c r="M263" s="92"/>
      <c r="N263" s="94"/>
      <c r="O263" s="93"/>
      <c r="P263" s="93"/>
      <c r="Q263" s="93"/>
      <c r="R263" s="93"/>
      <c r="S263" s="57"/>
      <c r="T263" s="46"/>
      <c r="U263" s="47"/>
      <c r="V263" s="48"/>
    </row>
    <row r="264" spans="2:22" ht="14.25" customHeight="1">
      <c r="B264" s="60"/>
      <c r="C264" s="26">
        <f>C259-C262</f>
        <v>41422000</v>
      </c>
      <c r="D264" s="26">
        <f>D259-D262</f>
        <v>42389913</v>
      </c>
      <c r="E264" s="19"/>
      <c r="F264" s="51">
        <f>+F262+1</f>
        <v>3</v>
      </c>
      <c r="G264" s="52"/>
      <c r="H264" s="41" t="s">
        <v>232</v>
      </c>
      <c r="I264" s="42">
        <v>21871000</v>
      </c>
      <c r="J264" s="43">
        <v>21871000</v>
      </c>
      <c r="K264" s="43">
        <v>0</v>
      </c>
      <c r="L264" s="43">
        <v>0</v>
      </c>
      <c r="M264" s="43">
        <f>+I264-SUM(J264:L264)</f>
        <v>0</v>
      </c>
      <c r="N264" s="42">
        <v>11309221</v>
      </c>
      <c r="O264" s="44">
        <v>11520291</v>
      </c>
      <c r="P264" s="44">
        <v>0</v>
      </c>
      <c r="Q264" s="44">
        <v>0</v>
      </c>
      <c r="R264" s="44">
        <f>+N264-SUM(O264:Q264)</f>
        <v>-211070</v>
      </c>
      <c r="S264" s="53" t="s">
        <v>233</v>
      </c>
      <c r="T264" s="129" t="s">
        <v>1081</v>
      </c>
      <c r="U264" s="130" t="s">
        <v>1082</v>
      </c>
      <c r="V264" s="48"/>
    </row>
    <row r="265" spans="2:22" ht="14.25" customHeight="1">
      <c r="B265" s="60"/>
      <c r="C265" s="26"/>
      <c r="D265" s="26"/>
      <c r="E265" s="19"/>
      <c r="F265" s="51"/>
      <c r="G265" s="52"/>
      <c r="H265" s="41"/>
      <c r="I265" s="42"/>
      <c r="J265" s="43"/>
      <c r="K265" s="43"/>
      <c r="L265" s="43"/>
      <c r="M265" s="43"/>
      <c r="N265" s="42"/>
      <c r="O265" s="44"/>
      <c r="P265" s="44"/>
      <c r="Q265" s="44"/>
      <c r="R265" s="44"/>
      <c r="S265" s="53" t="s">
        <v>234</v>
      </c>
      <c r="T265" s="46" t="s">
        <v>1083</v>
      </c>
      <c r="U265" s="47" t="s">
        <v>1084</v>
      </c>
      <c r="V265" s="48"/>
    </row>
    <row r="266" spans="2:22" ht="14.25" customHeight="1">
      <c r="B266" s="60"/>
      <c r="C266" s="26"/>
      <c r="D266" s="26"/>
      <c r="E266" s="19"/>
      <c r="F266" s="51"/>
      <c r="G266" s="52"/>
      <c r="H266" s="41"/>
      <c r="I266" s="42"/>
      <c r="J266" s="43"/>
      <c r="K266" s="43"/>
      <c r="L266" s="43"/>
      <c r="M266" s="43"/>
      <c r="N266" s="42"/>
      <c r="O266" s="44"/>
      <c r="P266" s="44"/>
      <c r="Q266" s="44"/>
      <c r="R266" s="44"/>
      <c r="S266" s="53" t="s">
        <v>1085</v>
      </c>
      <c r="T266" s="46"/>
      <c r="U266" s="47"/>
      <c r="V266" s="48"/>
    </row>
    <row r="267" spans="2:22" ht="14.25" customHeight="1">
      <c r="B267" s="60"/>
      <c r="C267" s="26"/>
      <c r="D267" s="26"/>
      <c r="E267" s="19"/>
      <c r="F267" s="51"/>
      <c r="G267" s="52"/>
      <c r="H267" s="41"/>
      <c r="I267" s="42"/>
      <c r="J267" s="43"/>
      <c r="K267" s="43"/>
      <c r="L267" s="43"/>
      <c r="M267" s="43"/>
      <c r="N267" s="42"/>
      <c r="O267" s="44"/>
      <c r="P267" s="44"/>
      <c r="Q267" s="44"/>
      <c r="R267" s="44"/>
      <c r="S267" s="53" t="s">
        <v>1086</v>
      </c>
      <c r="T267" s="46"/>
      <c r="U267" s="47"/>
      <c r="V267" s="48"/>
    </row>
    <row r="268" spans="2:22" ht="14.25" customHeight="1">
      <c r="B268" s="60"/>
      <c r="C268" s="26"/>
      <c r="D268" s="26"/>
      <c r="E268" s="19"/>
      <c r="F268" s="51"/>
      <c r="G268" s="52"/>
      <c r="H268" s="41"/>
      <c r="I268" s="94"/>
      <c r="J268" s="92"/>
      <c r="K268" s="92"/>
      <c r="L268" s="92"/>
      <c r="M268" s="92"/>
      <c r="N268" s="94"/>
      <c r="O268" s="93"/>
      <c r="P268" s="93"/>
      <c r="Q268" s="93"/>
      <c r="R268" s="93"/>
      <c r="S268" s="57" t="s">
        <v>235</v>
      </c>
      <c r="T268" s="46"/>
      <c r="U268" s="47"/>
      <c r="V268" s="48"/>
    </row>
    <row r="269" spans="2:22" ht="14.25" customHeight="1">
      <c r="B269" s="60"/>
      <c r="C269" s="106"/>
      <c r="D269" s="26"/>
      <c r="E269" s="19"/>
      <c r="F269" s="51"/>
      <c r="G269" s="52"/>
      <c r="H269" s="41"/>
      <c r="I269" s="94"/>
      <c r="J269" s="92"/>
      <c r="K269" s="92"/>
      <c r="L269" s="92"/>
      <c r="M269" s="92"/>
      <c r="N269" s="94"/>
      <c r="O269" s="93"/>
      <c r="P269" s="93"/>
      <c r="Q269" s="93"/>
      <c r="R269" s="93"/>
      <c r="S269" s="131" t="s">
        <v>1096</v>
      </c>
      <c r="T269" s="46"/>
      <c r="U269" s="47"/>
      <c r="V269" s="48"/>
    </row>
    <row r="270" spans="2:22" ht="14.25" customHeight="1">
      <c r="B270" s="60"/>
      <c r="C270" s="106"/>
      <c r="D270" s="26"/>
      <c r="E270" s="19"/>
      <c r="F270" s="51"/>
      <c r="G270" s="52"/>
      <c r="H270" s="41"/>
      <c r="I270" s="42"/>
      <c r="J270" s="43"/>
      <c r="K270" s="43"/>
      <c r="L270" s="43"/>
      <c r="M270" s="43"/>
      <c r="N270" s="42"/>
      <c r="O270" s="44"/>
      <c r="P270" s="44"/>
      <c r="Q270" s="44"/>
      <c r="R270" s="44"/>
      <c r="S270" s="58"/>
      <c r="T270" s="46"/>
      <c r="U270" s="47"/>
      <c r="V270" s="48"/>
    </row>
    <row r="271" spans="2:22" ht="14.25" customHeight="1">
      <c r="B271" s="60"/>
      <c r="C271" s="106"/>
      <c r="D271" s="26"/>
      <c r="E271" s="19"/>
      <c r="F271" s="51">
        <f>+F264+1</f>
        <v>4</v>
      </c>
      <c r="G271" s="52"/>
      <c r="H271" s="64" t="s">
        <v>221</v>
      </c>
      <c r="I271" s="42">
        <v>-20000</v>
      </c>
      <c r="J271" s="43">
        <v>0</v>
      </c>
      <c r="K271" s="43">
        <v>0</v>
      </c>
      <c r="L271" s="43">
        <v>0</v>
      </c>
      <c r="M271" s="43">
        <f>+I271-SUM(J271:L271)</f>
        <v>-20000</v>
      </c>
      <c r="N271" s="42">
        <v>0</v>
      </c>
      <c r="O271" s="44">
        <v>0</v>
      </c>
      <c r="P271" s="44">
        <v>0</v>
      </c>
      <c r="Q271" s="44">
        <v>0</v>
      </c>
      <c r="R271" s="44">
        <f>+N271-SUM(O271:Q271)</f>
        <v>0</v>
      </c>
      <c r="S271" s="58" t="s">
        <v>218</v>
      </c>
      <c r="T271" s="46"/>
      <c r="U271" s="47"/>
      <c r="V271" s="48"/>
    </row>
    <row r="272" spans="2:22" ht="14.25" customHeight="1" thickBot="1">
      <c r="B272" s="69"/>
      <c r="C272" s="110"/>
      <c r="D272" s="27"/>
      <c r="E272" s="24"/>
      <c r="F272" s="71"/>
      <c r="G272" s="72"/>
      <c r="H272" s="111"/>
      <c r="I272" s="112"/>
      <c r="J272" s="113"/>
      <c r="K272" s="113"/>
      <c r="L272" s="113"/>
      <c r="M272" s="113"/>
      <c r="N272" s="112"/>
      <c r="O272" s="114"/>
      <c r="P272" s="114"/>
      <c r="Q272" s="114"/>
      <c r="R272" s="114"/>
      <c r="S272" s="115"/>
      <c r="T272" s="78"/>
      <c r="U272" s="79"/>
      <c r="V272" s="48"/>
    </row>
    <row r="273" spans="2:22" ht="14.25" customHeight="1">
      <c r="B273" s="60"/>
      <c r="C273" s="100"/>
      <c r="D273" s="101"/>
      <c r="E273" s="19"/>
      <c r="F273" s="51"/>
      <c r="G273" s="52"/>
      <c r="H273" s="41"/>
      <c r="I273" s="42"/>
      <c r="J273" s="43"/>
      <c r="K273" s="43"/>
      <c r="L273" s="43"/>
      <c r="M273" s="43"/>
      <c r="N273" s="42"/>
      <c r="O273" s="44"/>
      <c r="P273" s="44"/>
      <c r="Q273" s="44"/>
      <c r="R273" s="44"/>
      <c r="S273" s="53"/>
      <c r="T273" s="46"/>
      <c r="U273" s="47"/>
      <c r="V273" s="55"/>
    </row>
    <row r="274" spans="2:22" ht="14.25" customHeight="1">
      <c r="B274" s="17" t="s">
        <v>236</v>
      </c>
      <c r="C274" s="26">
        <f>SUM(I274:I286)</f>
        <v>135743000</v>
      </c>
      <c r="D274" s="26">
        <f>SUM(N274:N286)</f>
        <v>129757127</v>
      </c>
      <c r="E274" s="19" t="s">
        <v>237</v>
      </c>
      <c r="F274" s="51">
        <v>1</v>
      </c>
      <c r="G274" s="52"/>
      <c r="H274" s="41" t="s">
        <v>238</v>
      </c>
      <c r="I274" s="94">
        <f>7330000+7166000</f>
        <v>14496000</v>
      </c>
      <c r="J274" s="92">
        <v>5875000</v>
      </c>
      <c r="K274" s="92">
        <v>0</v>
      </c>
      <c r="L274" s="92">
        <v>4658000</v>
      </c>
      <c r="M274" s="92">
        <f>+I274-SUM(J274:L274)</f>
        <v>3963000</v>
      </c>
      <c r="N274" s="94">
        <f>7037166+4863424</f>
        <v>11900590</v>
      </c>
      <c r="O274" s="93">
        <v>3647000</v>
      </c>
      <c r="P274" s="93">
        <v>0</v>
      </c>
      <c r="Q274" s="93">
        <v>4648571</v>
      </c>
      <c r="R274" s="93">
        <f>+N274-SUM(O274:Q274)</f>
        <v>3605019</v>
      </c>
      <c r="S274" s="53" t="s">
        <v>239</v>
      </c>
      <c r="T274" s="46" t="s">
        <v>1087</v>
      </c>
      <c r="U274" s="47" t="s">
        <v>1088</v>
      </c>
      <c r="V274" s="55"/>
    </row>
    <row r="275" spans="2:22" ht="14.25" customHeight="1">
      <c r="B275" s="17" t="s">
        <v>121</v>
      </c>
      <c r="C275" s="26"/>
      <c r="D275" s="16"/>
      <c r="E275" s="19"/>
      <c r="F275" s="51"/>
      <c r="G275" s="52"/>
      <c r="H275" s="41"/>
      <c r="I275" s="42"/>
      <c r="J275" s="43"/>
      <c r="K275" s="43"/>
      <c r="L275" s="43"/>
      <c r="M275" s="43"/>
      <c r="N275" s="42"/>
      <c r="O275" s="44"/>
      <c r="P275" s="44"/>
      <c r="Q275" s="44"/>
      <c r="R275" s="44"/>
      <c r="S275" s="131" t="s">
        <v>1089</v>
      </c>
      <c r="T275" s="46"/>
      <c r="U275" s="47"/>
      <c r="V275" s="55"/>
    </row>
    <row r="276" spans="2:22" ht="14.25" customHeight="1">
      <c r="B276" s="17"/>
      <c r="C276" s="26" t="s">
        <v>7</v>
      </c>
      <c r="D276" s="26" t="s">
        <v>7</v>
      </c>
      <c r="E276" s="19"/>
      <c r="F276" s="51"/>
      <c r="G276" s="52"/>
      <c r="H276" s="41"/>
      <c r="I276" s="94"/>
      <c r="J276" s="92"/>
      <c r="K276" s="92"/>
      <c r="L276" s="92"/>
      <c r="M276" s="92"/>
      <c r="N276" s="94"/>
      <c r="O276" s="93"/>
      <c r="P276" s="93"/>
      <c r="Q276" s="93"/>
      <c r="R276" s="93"/>
      <c r="S276" s="131" t="s">
        <v>1090</v>
      </c>
      <c r="T276" s="46"/>
      <c r="U276" s="47"/>
      <c r="V276" s="48"/>
    </row>
    <row r="277" spans="2:22" ht="14.25" customHeight="1">
      <c r="B277" s="60"/>
      <c r="C277" s="26">
        <f>SUM(J274:J286)</f>
        <v>5875000</v>
      </c>
      <c r="D277" s="26">
        <f>SUM(O274:O286)</f>
        <v>3647000</v>
      </c>
      <c r="E277" s="19"/>
      <c r="F277" s="51"/>
      <c r="G277" s="52"/>
      <c r="H277" s="41"/>
      <c r="I277" s="42"/>
      <c r="J277" s="43"/>
      <c r="K277" s="43"/>
      <c r="L277" s="43"/>
      <c r="M277" s="43"/>
      <c r="N277" s="42"/>
      <c r="O277" s="44"/>
      <c r="P277" s="44"/>
      <c r="Q277" s="44"/>
      <c r="R277" s="44"/>
      <c r="S277" s="57"/>
      <c r="T277" s="46"/>
      <c r="U277" s="47"/>
      <c r="V277" s="95"/>
    </row>
    <row r="278" spans="2:22" ht="14.25" customHeight="1">
      <c r="B278" s="60"/>
      <c r="C278" s="26" t="s">
        <v>8</v>
      </c>
      <c r="D278" s="26" t="s">
        <v>8</v>
      </c>
      <c r="E278" s="19"/>
      <c r="F278" s="51">
        <f>+F274+1</f>
        <v>2</v>
      </c>
      <c r="G278" s="52"/>
      <c r="H278" s="64" t="s">
        <v>1245</v>
      </c>
      <c r="I278" s="94">
        <v>121278000</v>
      </c>
      <c r="J278" s="92">
        <v>0</v>
      </c>
      <c r="K278" s="92">
        <v>0</v>
      </c>
      <c r="L278" s="92">
        <v>121278000</v>
      </c>
      <c r="M278" s="92">
        <f>+I278-SUM(J278:L278)</f>
        <v>0</v>
      </c>
      <c r="N278" s="94">
        <v>117856537</v>
      </c>
      <c r="O278" s="93">
        <v>0</v>
      </c>
      <c r="P278" s="93">
        <v>0</v>
      </c>
      <c r="Q278" s="93">
        <v>117829851</v>
      </c>
      <c r="R278" s="93">
        <f>+N278-SUM(O278:Q278)</f>
        <v>26686</v>
      </c>
      <c r="S278" s="99" t="s">
        <v>1091</v>
      </c>
      <c r="T278" s="46" t="s">
        <v>816</v>
      </c>
      <c r="U278" s="47" t="s">
        <v>816</v>
      </c>
      <c r="V278" s="48"/>
    </row>
    <row r="279" spans="2:22" ht="14.25" customHeight="1">
      <c r="B279" s="60"/>
      <c r="C279" s="26">
        <f>SUM(L274:L286)</f>
        <v>125936000</v>
      </c>
      <c r="D279" s="26">
        <f>SUM(Q274:Q286)</f>
        <v>122478422</v>
      </c>
      <c r="E279" s="19"/>
      <c r="F279" s="51"/>
      <c r="G279" s="52"/>
      <c r="H279" s="41"/>
      <c r="I279" s="42"/>
      <c r="J279" s="43"/>
      <c r="K279" s="43"/>
      <c r="L279" s="43"/>
      <c r="M279" s="43"/>
      <c r="N279" s="42"/>
      <c r="O279" s="44"/>
      <c r="P279" s="44"/>
      <c r="Q279" s="44"/>
      <c r="R279" s="44"/>
      <c r="S279" s="131" t="s">
        <v>1097</v>
      </c>
      <c r="T279" s="46"/>
      <c r="U279" s="47"/>
      <c r="V279" s="48"/>
    </row>
    <row r="280" spans="2:22" ht="14.25" customHeight="1">
      <c r="B280" s="60"/>
      <c r="C280" s="26" t="s">
        <v>9</v>
      </c>
      <c r="D280" s="26" t="s">
        <v>9</v>
      </c>
      <c r="E280" s="19"/>
      <c r="F280" s="51"/>
      <c r="G280" s="52"/>
      <c r="H280" s="41"/>
      <c r="I280" s="42"/>
      <c r="J280" s="43"/>
      <c r="K280" s="43"/>
      <c r="L280" s="43"/>
      <c r="M280" s="43"/>
      <c r="N280" s="42"/>
      <c r="O280" s="44"/>
      <c r="P280" s="44"/>
      <c r="Q280" s="44"/>
      <c r="R280" s="44"/>
      <c r="S280" s="99" t="s">
        <v>1092</v>
      </c>
      <c r="T280" s="46"/>
      <c r="U280" s="47"/>
      <c r="V280" s="48"/>
    </row>
    <row r="281" spans="2:22" ht="14.25" customHeight="1">
      <c r="B281" s="60"/>
      <c r="C281" s="26">
        <f>C274-C277-C279</f>
        <v>3932000</v>
      </c>
      <c r="D281" s="26">
        <f>D274-D277-D279</f>
        <v>3631705</v>
      </c>
      <c r="E281" s="19"/>
      <c r="F281" s="51"/>
      <c r="G281" s="52"/>
      <c r="H281" s="41"/>
      <c r="I281" s="42"/>
      <c r="J281" s="43"/>
      <c r="K281" s="43"/>
      <c r="L281" s="43"/>
      <c r="M281" s="43"/>
      <c r="N281" s="42"/>
      <c r="O281" s="44"/>
      <c r="P281" s="44"/>
      <c r="Q281" s="44"/>
      <c r="R281" s="44"/>
      <c r="S281" s="99" t="s">
        <v>1093</v>
      </c>
      <c r="T281" s="46"/>
      <c r="U281" s="47"/>
      <c r="V281" s="48"/>
    </row>
    <row r="282" spans="2:22" ht="14.25" customHeight="1">
      <c r="B282" s="60"/>
      <c r="C282" s="26"/>
      <c r="D282" s="26"/>
      <c r="E282" s="19"/>
      <c r="F282" s="51"/>
      <c r="G282" s="52"/>
      <c r="H282" s="41"/>
      <c r="I282" s="42"/>
      <c r="J282" s="43"/>
      <c r="K282" s="43"/>
      <c r="L282" s="43"/>
      <c r="M282" s="43"/>
      <c r="N282" s="42"/>
      <c r="O282" s="44"/>
      <c r="P282" s="44"/>
      <c r="Q282" s="44"/>
      <c r="R282" s="44"/>
      <c r="S282" s="99"/>
      <c r="T282" s="46"/>
      <c r="U282" s="47"/>
      <c r="V282" s="48"/>
    </row>
    <row r="283" spans="2:22" ht="14.25" customHeight="1">
      <c r="B283" s="60"/>
      <c r="C283" s="26"/>
      <c r="D283" s="26"/>
      <c r="E283" s="19"/>
      <c r="F283" s="51"/>
      <c r="G283" s="52"/>
      <c r="H283" s="41"/>
      <c r="I283" s="42"/>
      <c r="J283" s="43"/>
      <c r="K283" s="43"/>
      <c r="L283" s="43"/>
      <c r="M283" s="43"/>
      <c r="N283" s="42"/>
      <c r="O283" s="44"/>
      <c r="P283" s="44"/>
      <c r="Q283" s="44"/>
      <c r="R283" s="44"/>
      <c r="S283" s="99" t="s">
        <v>1094</v>
      </c>
      <c r="T283" s="46"/>
      <c r="U283" s="47"/>
      <c r="V283" s="48"/>
    </row>
    <row r="284" spans="2:22" ht="14.25" customHeight="1">
      <c r="B284" s="60"/>
      <c r="C284" s="26"/>
      <c r="D284" s="26"/>
      <c r="E284" s="19"/>
      <c r="F284" s="51"/>
      <c r="G284" s="52"/>
      <c r="H284" s="41"/>
      <c r="I284" s="42"/>
      <c r="J284" s="43"/>
      <c r="K284" s="43"/>
      <c r="L284" s="43"/>
      <c r="M284" s="43"/>
      <c r="N284" s="42"/>
      <c r="O284" s="44"/>
      <c r="P284" s="44"/>
      <c r="Q284" s="44"/>
      <c r="R284" s="44"/>
      <c r="S284" s="99" t="s">
        <v>1095</v>
      </c>
      <c r="T284" s="46"/>
      <c r="U284" s="47"/>
      <c r="V284" s="48"/>
    </row>
    <row r="285" spans="2:22" ht="14.25" customHeight="1">
      <c r="B285" s="60"/>
      <c r="C285" s="26"/>
      <c r="D285" s="26"/>
      <c r="E285" s="19"/>
      <c r="F285" s="51"/>
      <c r="G285" s="52"/>
      <c r="H285" s="41"/>
      <c r="I285" s="42"/>
      <c r="J285" s="43"/>
      <c r="K285" s="43"/>
      <c r="L285" s="43"/>
      <c r="M285" s="43"/>
      <c r="N285" s="42"/>
      <c r="O285" s="44"/>
      <c r="P285" s="44"/>
      <c r="Q285" s="44"/>
      <c r="R285" s="44"/>
      <c r="S285" s="57"/>
      <c r="T285" s="46"/>
      <c r="U285" s="47"/>
      <c r="V285" s="48"/>
    </row>
    <row r="286" spans="2:22" ht="14.25" customHeight="1">
      <c r="B286" s="60"/>
      <c r="C286" s="26"/>
      <c r="D286" s="26"/>
      <c r="E286" s="19"/>
      <c r="F286" s="51">
        <f>+F278+1</f>
        <v>3</v>
      </c>
      <c r="G286" s="40"/>
      <c r="H286" s="64" t="s">
        <v>221</v>
      </c>
      <c r="I286" s="94">
        <v>-31000</v>
      </c>
      <c r="J286" s="92">
        <v>0</v>
      </c>
      <c r="K286" s="92">
        <v>0</v>
      </c>
      <c r="L286" s="92">
        <v>0</v>
      </c>
      <c r="M286" s="92">
        <f>+I286-SUM(J286:L286)</f>
        <v>-31000</v>
      </c>
      <c r="N286" s="94">
        <v>0</v>
      </c>
      <c r="O286" s="93">
        <v>0</v>
      </c>
      <c r="P286" s="93">
        <v>0</v>
      </c>
      <c r="Q286" s="93">
        <v>0</v>
      </c>
      <c r="R286" s="93">
        <f>+N286-SUM(O286:Q286)</f>
        <v>0</v>
      </c>
      <c r="S286" s="58" t="s">
        <v>218</v>
      </c>
      <c r="T286" s="46"/>
      <c r="U286" s="47"/>
      <c r="V286" s="48"/>
    </row>
    <row r="287" spans="2:22" ht="14.25" customHeight="1" thickBot="1">
      <c r="B287" s="69"/>
      <c r="C287" s="27"/>
      <c r="D287" s="27"/>
      <c r="E287" s="24"/>
      <c r="F287" s="71"/>
      <c r="G287" s="72"/>
      <c r="H287" s="111"/>
      <c r="I287" s="112"/>
      <c r="J287" s="113"/>
      <c r="K287" s="113"/>
      <c r="L287" s="113"/>
      <c r="M287" s="113"/>
      <c r="N287" s="112"/>
      <c r="O287" s="114"/>
      <c r="P287" s="114"/>
      <c r="Q287" s="114"/>
      <c r="R287" s="114"/>
      <c r="S287" s="132"/>
      <c r="T287" s="78"/>
      <c r="U287" s="79"/>
      <c r="V287" s="55"/>
    </row>
    <row r="288" spans="2:22" ht="14.25" customHeight="1">
      <c r="B288" s="60"/>
      <c r="C288" s="100"/>
      <c r="D288" s="101"/>
      <c r="E288" s="19"/>
      <c r="F288" s="51"/>
      <c r="G288" s="52"/>
      <c r="H288" s="41"/>
      <c r="I288" s="94"/>
      <c r="J288" s="92"/>
      <c r="K288" s="92"/>
      <c r="L288" s="92"/>
      <c r="M288" s="92"/>
      <c r="N288" s="94"/>
      <c r="O288" s="93"/>
      <c r="P288" s="93"/>
      <c r="Q288" s="93"/>
      <c r="R288" s="93"/>
      <c r="S288" s="58"/>
      <c r="T288" s="46"/>
      <c r="U288" s="47"/>
      <c r="V288" s="48"/>
    </row>
    <row r="289" spans="2:22" ht="14.25" customHeight="1">
      <c r="B289" s="17" t="s">
        <v>240</v>
      </c>
      <c r="C289" s="26">
        <f>SUM(I289:I344)</f>
        <v>1575889300</v>
      </c>
      <c r="D289" s="26">
        <f>SUM(N289:N344)</f>
        <v>1460012119</v>
      </c>
      <c r="E289" s="19" t="s">
        <v>241</v>
      </c>
      <c r="F289" s="51">
        <v>1</v>
      </c>
      <c r="G289" s="52"/>
      <c r="H289" s="64" t="s">
        <v>242</v>
      </c>
      <c r="I289" s="94">
        <f>6732000+48971000</f>
        <v>55703000</v>
      </c>
      <c r="J289" s="92">
        <v>31957000</v>
      </c>
      <c r="K289" s="92">
        <v>0</v>
      </c>
      <c r="L289" s="92">
        <v>0</v>
      </c>
      <c r="M289" s="92">
        <f>+I289-SUM(J289:L289)</f>
        <v>23746000</v>
      </c>
      <c r="N289" s="94">
        <f>6488850+47925492</f>
        <v>54414342</v>
      </c>
      <c r="O289" s="93">
        <v>31924635</v>
      </c>
      <c r="P289" s="93">
        <v>0</v>
      </c>
      <c r="Q289" s="93">
        <v>0</v>
      </c>
      <c r="R289" s="93">
        <f>+N289-SUM(O289:Q289)</f>
        <v>22489707</v>
      </c>
      <c r="S289" s="53" t="s">
        <v>243</v>
      </c>
      <c r="T289" s="46" t="s">
        <v>817</v>
      </c>
      <c r="U289" s="47" t="s">
        <v>818</v>
      </c>
      <c r="V289" s="55"/>
    </row>
    <row r="290" spans="2:22" ht="14.25" customHeight="1">
      <c r="B290" s="17" t="s">
        <v>244</v>
      </c>
      <c r="C290" s="26"/>
      <c r="D290" s="16"/>
      <c r="E290" s="19" t="s">
        <v>245</v>
      </c>
      <c r="F290" s="51"/>
      <c r="G290" s="52"/>
      <c r="H290" s="41"/>
      <c r="I290" s="42"/>
      <c r="J290" s="43"/>
      <c r="K290" s="43"/>
      <c r="L290" s="43"/>
      <c r="M290" s="43"/>
      <c r="N290" s="42"/>
      <c r="O290" s="44"/>
      <c r="P290" s="44"/>
      <c r="Q290" s="44"/>
      <c r="R290" s="44"/>
      <c r="S290" s="53" t="s">
        <v>819</v>
      </c>
      <c r="T290" s="46"/>
      <c r="U290" s="47"/>
      <c r="V290" s="55"/>
    </row>
    <row r="291" spans="2:22" ht="14.25" customHeight="1">
      <c r="B291" s="17"/>
      <c r="C291" s="26" t="s">
        <v>7</v>
      </c>
      <c r="D291" s="26" t="s">
        <v>7</v>
      </c>
      <c r="E291" s="19"/>
      <c r="F291" s="51"/>
      <c r="G291" s="52"/>
      <c r="H291" s="41"/>
      <c r="I291" s="42"/>
      <c r="J291" s="43"/>
      <c r="K291" s="43"/>
      <c r="L291" s="43"/>
      <c r="M291" s="43"/>
      <c r="N291" s="42"/>
      <c r="O291" s="44"/>
      <c r="P291" s="44"/>
      <c r="Q291" s="44"/>
      <c r="R291" s="44"/>
      <c r="S291" s="53" t="s">
        <v>1098</v>
      </c>
      <c r="T291" s="46"/>
      <c r="U291" s="47"/>
      <c r="V291" s="48"/>
    </row>
    <row r="292" spans="2:22" ht="14.25" customHeight="1">
      <c r="B292" s="60"/>
      <c r="C292" s="26">
        <f>SUM(J289:J344)</f>
        <v>411034000</v>
      </c>
      <c r="D292" s="26">
        <f>SUM(O289:O344)</f>
        <v>406523359</v>
      </c>
      <c r="E292" s="19"/>
      <c r="F292" s="51"/>
      <c r="G292" s="52"/>
      <c r="H292" s="41"/>
      <c r="I292" s="94"/>
      <c r="J292" s="92"/>
      <c r="K292" s="92"/>
      <c r="L292" s="92"/>
      <c r="M292" s="92"/>
      <c r="N292" s="94"/>
      <c r="O292" s="93"/>
      <c r="P292" s="93"/>
      <c r="Q292" s="93"/>
      <c r="R292" s="93"/>
      <c r="S292" s="53"/>
      <c r="T292" s="46"/>
      <c r="U292" s="47"/>
      <c r="V292" s="95"/>
    </row>
    <row r="293" spans="2:22" ht="14.25" customHeight="1">
      <c r="B293" s="60"/>
      <c r="C293" s="26" t="s">
        <v>10</v>
      </c>
      <c r="D293" s="26" t="s">
        <v>10</v>
      </c>
      <c r="E293" s="19"/>
      <c r="F293" s="51">
        <f>+F289+1</f>
        <v>2</v>
      </c>
      <c r="G293" s="52"/>
      <c r="H293" s="41" t="s">
        <v>246</v>
      </c>
      <c r="I293" s="94">
        <v>37054000</v>
      </c>
      <c r="J293" s="92">
        <v>535000</v>
      </c>
      <c r="K293" s="92">
        <v>6000000</v>
      </c>
      <c r="L293" s="92">
        <v>2986000</v>
      </c>
      <c r="M293" s="92">
        <f>+I293-SUM(J293:L293)</f>
        <v>27533000</v>
      </c>
      <c r="N293" s="94">
        <v>36380848</v>
      </c>
      <c r="O293" s="93">
        <v>508793</v>
      </c>
      <c r="P293" s="93">
        <v>6000000</v>
      </c>
      <c r="Q293" s="93">
        <v>1347601</v>
      </c>
      <c r="R293" s="93">
        <f>+N293-SUM(O293:Q293)</f>
        <v>28524454</v>
      </c>
      <c r="S293" s="53" t="s">
        <v>247</v>
      </c>
      <c r="T293" s="46" t="s">
        <v>820</v>
      </c>
      <c r="U293" s="47" t="s">
        <v>821</v>
      </c>
      <c r="V293" s="95"/>
    </row>
    <row r="294" spans="2:22" ht="14.25" customHeight="1">
      <c r="B294" s="60"/>
      <c r="C294" s="26">
        <f>SUM(K289:K344)</f>
        <v>437000000</v>
      </c>
      <c r="D294" s="26">
        <f>SUM(P289:P344)</f>
        <v>440000000</v>
      </c>
      <c r="E294" s="19"/>
      <c r="F294" s="51"/>
      <c r="G294" s="52"/>
      <c r="H294" s="41"/>
      <c r="I294" s="42"/>
      <c r="J294" s="43"/>
      <c r="K294" s="43"/>
      <c r="L294" s="43"/>
      <c r="M294" s="43"/>
      <c r="N294" s="42"/>
      <c r="O294" s="44"/>
      <c r="P294" s="44"/>
      <c r="Q294" s="44"/>
      <c r="R294" s="44"/>
      <c r="S294" s="53" t="s">
        <v>1099</v>
      </c>
      <c r="T294" s="46"/>
      <c r="U294" s="47"/>
      <c r="V294" s="95"/>
    </row>
    <row r="295" spans="2:22" ht="14.25" customHeight="1">
      <c r="B295" s="60"/>
      <c r="C295" s="26" t="s">
        <v>8</v>
      </c>
      <c r="D295" s="26" t="s">
        <v>8</v>
      </c>
      <c r="E295" s="19"/>
      <c r="F295" s="51"/>
      <c r="G295" s="52"/>
      <c r="H295" s="41"/>
      <c r="I295" s="42"/>
      <c r="J295" s="43"/>
      <c r="K295" s="43"/>
      <c r="L295" s="43"/>
      <c r="M295" s="43"/>
      <c r="N295" s="42"/>
      <c r="O295" s="44"/>
      <c r="P295" s="44"/>
      <c r="Q295" s="44"/>
      <c r="R295" s="44"/>
      <c r="S295" s="53" t="s">
        <v>1100</v>
      </c>
      <c r="T295" s="46"/>
      <c r="U295" s="47"/>
      <c r="V295" s="48"/>
    </row>
    <row r="296" spans="2:22" ht="14.25" customHeight="1">
      <c r="B296" s="60"/>
      <c r="C296" s="26">
        <f>SUM(L289:L344)</f>
        <v>522162650</v>
      </c>
      <c r="D296" s="26">
        <f>SUM(Q289:Q344)</f>
        <v>492757263</v>
      </c>
      <c r="E296" s="19"/>
      <c r="F296" s="51"/>
      <c r="G296" s="52"/>
      <c r="H296" s="41"/>
      <c r="I296" s="94"/>
      <c r="J296" s="92"/>
      <c r="K296" s="92"/>
      <c r="L296" s="92"/>
      <c r="M296" s="92"/>
      <c r="N296" s="94"/>
      <c r="O296" s="93"/>
      <c r="P296" s="93"/>
      <c r="Q296" s="93"/>
      <c r="R296" s="93"/>
      <c r="S296" s="53" t="s">
        <v>1101</v>
      </c>
      <c r="T296" s="46"/>
      <c r="U296" s="47"/>
      <c r="V296" s="48"/>
    </row>
    <row r="297" spans="2:22" ht="14.25" customHeight="1">
      <c r="B297" s="60"/>
      <c r="C297" s="26" t="s">
        <v>9</v>
      </c>
      <c r="D297" s="26" t="s">
        <v>9</v>
      </c>
      <c r="E297" s="19"/>
      <c r="F297" s="51"/>
      <c r="G297" s="52"/>
      <c r="H297" s="41"/>
      <c r="I297" s="42"/>
      <c r="J297" s="43"/>
      <c r="K297" s="43"/>
      <c r="L297" s="43"/>
      <c r="M297" s="43"/>
      <c r="N297" s="42"/>
      <c r="O297" s="44"/>
      <c r="P297" s="44"/>
      <c r="Q297" s="44"/>
      <c r="R297" s="44"/>
      <c r="S297" s="53" t="s">
        <v>1102</v>
      </c>
      <c r="T297" s="46"/>
      <c r="U297" s="47"/>
      <c r="V297" s="48"/>
    </row>
    <row r="298" spans="2:22" ht="14.25" customHeight="1">
      <c r="B298" s="60"/>
      <c r="C298" s="26">
        <f>C289-C292-C294-C296</f>
        <v>205692650</v>
      </c>
      <c r="D298" s="26">
        <f>D289-D292-D294-D296</f>
        <v>120731497</v>
      </c>
      <c r="E298" s="19"/>
      <c r="F298" s="51"/>
      <c r="G298" s="52"/>
      <c r="H298" s="41"/>
      <c r="I298" s="42"/>
      <c r="J298" s="43"/>
      <c r="K298" s="43"/>
      <c r="L298" s="43"/>
      <c r="M298" s="43"/>
      <c r="N298" s="42"/>
      <c r="O298" s="44"/>
      <c r="P298" s="44"/>
      <c r="Q298" s="44"/>
      <c r="R298" s="44"/>
      <c r="S298" s="53"/>
      <c r="T298" s="46"/>
      <c r="U298" s="47"/>
      <c r="V298" s="48"/>
    </row>
    <row r="299" spans="2:22" ht="14.25" customHeight="1" thickBot="1">
      <c r="B299" s="69"/>
      <c r="C299" s="335"/>
      <c r="D299" s="27"/>
      <c r="E299" s="24"/>
      <c r="F299" s="71"/>
      <c r="G299" s="72"/>
      <c r="H299" s="111"/>
      <c r="I299" s="112"/>
      <c r="J299" s="113"/>
      <c r="K299" s="113"/>
      <c r="L299" s="113"/>
      <c r="M299" s="113"/>
      <c r="N299" s="112"/>
      <c r="O299" s="114"/>
      <c r="P299" s="114"/>
      <c r="Q299" s="114"/>
      <c r="R299" s="114"/>
      <c r="S299" s="115"/>
      <c r="T299" s="78"/>
      <c r="U299" s="79"/>
      <c r="V299" s="48"/>
    </row>
    <row r="300" spans="2:22" ht="14.25" customHeight="1">
      <c r="B300" s="60"/>
      <c r="C300" s="100"/>
      <c r="D300" s="101"/>
      <c r="E300" s="19"/>
      <c r="F300" s="51">
        <f>+F293+1</f>
        <v>3</v>
      </c>
      <c r="G300" s="52"/>
      <c r="H300" s="64" t="s">
        <v>248</v>
      </c>
      <c r="I300" s="42">
        <f>544170000-47363000+900000</f>
        <v>497707000</v>
      </c>
      <c r="J300" s="43">
        <v>208538000</v>
      </c>
      <c r="K300" s="43">
        <v>271000000</v>
      </c>
      <c r="L300" s="43">
        <v>0</v>
      </c>
      <c r="M300" s="43">
        <f>+I300-SUM(J300:L300)</f>
        <v>18169000</v>
      </c>
      <c r="N300" s="42">
        <v>441966636</v>
      </c>
      <c r="O300" s="44">
        <v>210625600</v>
      </c>
      <c r="P300" s="44">
        <v>280000000</v>
      </c>
      <c r="Q300" s="44">
        <v>0</v>
      </c>
      <c r="R300" s="44">
        <f>+N300-SUM(O300:Q300)</f>
        <v>-48658964</v>
      </c>
      <c r="S300" s="57" t="s">
        <v>249</v>
      </c>
      <c r="T300" s="46" t="s">
        <v>822</v>
      </c>
      <c r="U300" s="47" t="s">
        <v>823</v>
      </c>
      <c r="V300" s="48"/>
    </row>
    <row r="301" spans="2:22" ht="14.25" customHeight="1">
      <c r="B301" s="60"/>
      <c r="C301" s="100"/>
      <c r="D301" s="101"/>
      <c r="E301" s="19"/>
      <c r="F301" s="51"/>
      <c r="G301" s="52"/>
      <c r="H301" s="41"/>
      <c r="I301" s="42"/>
      <c r="J301" s="43"/>
      <c r="K301" s="43"/>
      <c r="L301" s="43"/>
      <c r="M301" s="43"/>
      <c r="N301" s="42"/>
      <c r="O301" s="44"/>
      <c r="P301" s="44"/>
      <c r="Q301" s="44"/>
      <c r="R301" s="44"/>
      <c r="S301" s="57" t="s">
        <v>1103</v>
      </c>
      <c r="T301" s="46"/>
      <c r="U301" s="47"/>
      <c r="V301" s="48"/>
    </row>
    <row r="302" spans="2:22" ht="14.25" customHeight="1">
      <c r="B302" s="60"/>
      <c r="C302" s="100"/>
      <c r="D302" s="101"/>
      <c r="E302" s="19"/>
      <c r="F302" s="51"/>
      <c r="G302" s="52"/>
      <c r="H302" s="41"/>
      <c r="I302" s="42"/>
      <c r="J302" s="43"/>
      <c r="K302" s="43"/>
      <c r="L302" s="43"/>
      <c r="M302" s="43"/>
      <c r="N302" s="42"/>
      <c r="O302" s="44"/>
      <c r="P302" s="44"/>
      <c r="Q302" s="44"/>
      <c r="R302" s="44"/>
      <c r="S302" s="57" t="s">
        <v>1104</v>
      </c>
      <c r="T302" s="46"/>
      <c r="U302" s="47"/>
      <c r="V302" s="48"/>
    </row>
    <row r="303" spans="2:22" ht="14.25" customHeight="1">
      <c r="B303" s="60"/>
      <c r="C303" s="100"/>
      <c r="D303" s="101"/>
      <c r="E303" s="19"/>
      <c r="F303" s="51"/>
      <c r="G303" s="52"/>
      <c r="H303" s="41"/>
      <c r="I303" s="42"/>
      <c r="J303" s="43"/>
      <c r="K303" s="43"/>
      <c r="L303" s="43"/>
      <c r="M303" s="43"/>
      <c r="N303" s="42"/>
      <c r="O303" s="44"/>
      <c r="P303" s="44"/>
      <c r="Q303" s="44"/>
      <c r="R303" s="44"/>
      <c r="S303" s="57" t="s">
        <v>1105</v>
      </c>
      <c r="T303" s="46"/>
      <c r="U303" s="47"/>
      <c r="V303" s="48"/>
    </row>
    <row r="304" spans="2:22" ht="14.25" customHeight="1">
      <c r="B304" s="60"/>
      <c r="C304" s="100"/>
      <c r="D304" s="101"/>
      <c r="E304" s="19"/>
      <c r="F304" s="51"/>
      <c r="G304" s="52"/>
      <c r="H304" s="41"/>
      <c r="I304" s="42"/>
      <c r="J304" s="43"/>
      <c r="K304" s="43"/>
      <c r="L304" s="43"/>
      <c r="M304" s="43"/>
      <c r="N304" s="42"/>
      <c r="O304" s="44"/>
      <c r="P304" s="44"/>
      <c r="Q304" s="44"/>
      <c r="R304" s="44"/>
      <c r="S304" s="57" t="s">
        <v>1106</v>
      </c>
      <c r="T304" s="46"/>
      <c r="U304" s="47"/>
      <c r="V304" s="48"/>
    </row>
    <row r="305" spans="2:22" ht="14.25" customHeight="1">
      <c r="B305" s="60"/>
      <c r="C305" s="100"/>
      <c r="D305" s="101"/>
      <c r="E305" s="19"/>
      <c r="F305" s="51"/>
      <c r="G305" s="52"/>
      <c r="H305" s="41"/>
      <c r="I305" s="42"/>
      <c r="J305" s="43"/>
      <c r="K305" s="43"/>
      <c r="L305" s="43"/>
      <c r="M305" s="43"/>
      <c r="N305" s="42"/>
      <c r="O305" s="44"/>
      <c r="P305" s="44"/>
      <c r="Q305" s="44"/>
      <c r="R305" s="44"/>
      <c r="S305" s="57" t="s">
        <v>1107</v>
      </c>
      <c r="T305" s="46"/>
      <c r="U305" s="47"/>
      <c r="V305" s="48"/>
    </row>
    <row r="306" spans="2:22" ht="14.25" customHeight="1">
      <c r="B306" s="60"/>
      <c r="C306" s="100"/>
      <c r="D306" s="101"/>
      <c r="E306" s="19"/>
      <c r="F306" s="51"/>
      <c r="G306" s="52"/>
      <c r="H306" s="41"/>
      <c r="I306" s="42"/>
      <c r="J306" s="43"/>
      <c r="K306" s="43"/>
      <c r="L306" s="43"/>
      <c r="M306" s="43"/>
      <c r="N306" s="42"/>
      <c r="O306" s="44"/>
      <c r="P306" s="44"/>
      <c r="Q306" s="44"/>
      <c r="R306" s="44"/>
      <c r="S306" s="57" t="s">
        <v>1108</v>
      </c>
      <c r="T306" s="46"/>
      <c r="U306" s="47"/>
      <c r="V306" s="48"/>
    </row>
    <row r="307" spans="2:22" ht="14.25" customHeight="1">
      <c r="B307" s="60"/>
      <c r="C307" s="100"/>
      <c r="D307" s="101"/>
      <c r="E307" s="19"/>
      <c r="F307" s="51"/>
      <c r="G307" s="52"/>
      <c r="H307" s="41"/>
      <c r="I307" s="42"/>
      <c r="J307" s="43"/>
      <c r="K307" s="43"/>
      <c r="L307" s="43"/>
      <c r="M307" s="43"/>
      <c r="N307" s="42"/>
      <c r="O307" s="44"/>
      <c r="P307" s="44"/>
      <c r="Q307" s="44"/>
      <c r="R307" s="44"/>
      <c r="S307" s="57"/>
      <c r="T307" s="46"/>
      <c r="U307" s="47"/>
      <c r="V307" s="48"/>
    </row>
    <row r="308" spans="2:22" ht="14.25" customHeight="1">
      <c r="B308" s="60"/>
      <c r="C308" s="100"/>
      <c r="D308" s="101"/>
      <c r="E308" s="19"/>
      <c r="F308" s="51">
        <f>+F300+1</f>
        <v>4</v>
      </c>
      <c r="G308" s="52"/>
      <c r="H308" s="64" t="s">
        <v>250</v>
      </c>
      <c r="I308" s="94">
        <v>68543000</v>
      </c>
      <c r="J308" s="92">
        <v>24900000</v>
      </c>
      <c r="K308" s="92">
        <v>42000000</v>
      </c>
      <c r="L308" s="92">
        <v>0</v>
      </c>
      <c r="M308" s="92">
        <f>+I308-SUM(J308:L308)</f>
        <v>1643000</v>
      </c>
      <c r="N308" s="94">
        <v>64142360</v>
      </c>
      <c r="O308" s="93">
        <v>24255000</v>
      </c>
      <c r="P308" s="93">
        <v>41000000</v>
      </c>
      <c r="Q308" s="93">
        <v>0</v>
      </c>
      <c r="R308" s="93">
        <f>+N308-SUM(O308:Q308)</f>
        <v>-1112640</v>
      </c>
      <c r="S308" s="53" t="s">
        <v>824</v>
      </c>
      <c r="T308" s="46" t="s">
        <v>825</v>
      </c>
      <c r="U308" s="47" t="s">
        <v>826</v>
      </c>
      <c r="V308" s="48"/>
    </row>
    <row r="309" spans="2:22" ht="14.25" customHeight="1">
      <c r="B309" s="60"/>
      <c r="C309" s="100"/>
      <c r="D309" s="101"/>
      <c r="E309" s="19"/>
      <c r="F309" s="51"/>
      <c r="G309" s="52"/>
      <c r="H309" s="41"/>
      <c r="I309" s="42"/>
      <c r="J309" s="43"/>
      <c r="K309" s="43"/>
      <c r="L309" s="43"/>
      <c r="M309" s="43"/>
      <c r="N309" s="42"/>
      <c r="O309" s="44"/>
      <c r="P309" s="44"/>
      <c r="Q309" s="44"/>
      <c r="R309" s="44"/>
      <c r="S309" s="53"/>
      <c r="T309" s="46"/>
      <c r="U309" s="47"/>
      <c r="V309" s="48"/>
    </row>
    <row r="310" spans="2:22" ht="14.25" customHeight="1">
      <c r="B310" s="60"/>
      <c r="C310" s="100"/>
      <c r="D310" s="101"/>
      <c r="E310" s="19"/>
      <c r="F310" s="51">
        <f>+F308+1</f>
        <v>5</v>
      </c>
      <c r="G310" s="52"/>
      <c r="H310" s="64" t="s">
        <v>251</v>
      </c>
      <c r="I310" s="94">
        <f>73833000+43738000+149553000+58000000</f>
        <v>325124000</v>
      </c>
      <c r="J310" s="92">
        <v>17668000</v>
      </c>
      <c r="K310" s="92">
        <f>21000000+42000000</f>
        <v>63000000</v>
      </c>
      <c r="L310" s="92">
        <v>155935000</v>
      </c>
      <c r="M310" s="92">
        <f>+I310-SUM(J310:L310)</f>
        <v>88521000</v>
      </c>
      <c r="N310" s="94">
        <f>62653299-997500+42386583+135749759+50707919</f>
        <v>290500060</v>
      </c>
      <c r="O310" s="93">
        <v>23129171</v>
      </c>
      <c r="P310" s="93">
        <f>20000000+39000000</f>
        <v>59000000</v>
      </c>
      <c r="Q310" s="93">
        <v>141417800</v>
      </c>
      <c r="R310" s="93">
        <f>+N310-SUM(O310:Q310)</f>
        <v>66953089</v>
      </c>
      <c r="S310" s="53" t="s">
        <v>840</v>
      </c>
      <c r="T310" s="46" t="s">
        <v>826</v>
      </c>
      <c r="U310" s="47" t="s">
        <v>825</v>
      </c>
      <c r="V310" s="48"/>
    </row>
    <row r="311" spans="2:22" ht="14.25" customHeight="1">
      <c r="B311" s="60"/>
      <c r="C311" s="100"/>
      <c r="D311" s="101"/>
      <c r="E311" s="19"/>
      <c r="F311" s="51"/>
      <c r="G311" s="52"/>
      <c r="H311" s="41"/>
      <c r="I311" s="42"/>
      <c r="J311" s="43"/>
      <c r="K311" s="43"/>
      <c r="L311" s="43"/>
      <c r="M311" s="43"/>
      <c r="N311" s="42"/>
      <c r="O311" s="44"/>
      <c r="P311" s="44"/>
      <c r="Q311" s="44"/>
      <c r="R311" s="44"/>
      <c r="S311" s="57" t="s">
        <v>841</v>
      </c>
      <c r="T311" s="46"/>
      <c r="U311" s="47"/>
      <c r="V311" s="48"/>
    </row>
    <row r="312" spans="2:22" ht="14.25" customHeight="1">
      <c r="B312" s="60"/>
      <c r="C312" s="100"/>
      <c r="D312" s="101"/>
      <c r="E312" s="19"/>
      <c r="F312" s="51"/>
      <c r="G312" s="52"/>
      <c r="H312" s="41"/>
      <c r="I312" s="42"/>
      <c r="J312" s="43"/>
      <c r="K312" s="43"/>
      <c r="L312" s="43"/>
      <c r="M312" s="43"/>
      <c r="N312" s="42"/>
      <c r="O312" s="44"/>
      <c r="P312" s="44"/>
      <c r="Q312" s="44"/>
      <c r="R312" s="44"/>
      <c r="S312" s="53"/>
      <c r="T312" s="46"/>
      <c r="U312" s="47"/>
      <c r="V312" s="48"/>
    </row>
    <row r="313" spans="2:22" ht="14.25" customHeight="1">
      <c r="B313" s="60"/>
      <c r="C313" s="100"/>
      <c r="D313" s="101"/>
      <c r="E313" s="19"/>
      <c r="F313" s="51">
        <f>+F310+1</f>
        <v>6</v>
      </c>
      <c r="G313" s="52"/>
      <c r="H313" s="64" t="s">
        <v>252</v>
      </c>
      <c r="I313" s="94">
        <v>17608000</v>
      </c>
      <c r="J313" s="92">
        <v>7284000</v>
      </c>
      <c r="K313" s="92">
        <v>0</v>
      </c>
      <c r="L313" s="92">
        <v>0</v>
      </c>
      <c r="M313" s="92">
        <f>+I313-SUM(J313:L313)</f>
        <v>10324000</v>
      </c>
      <c r="N313" s="94">
        <v>17202325</v>
      </c>
      <c r="O313" s="93">
        <v>7155835</v>
      </c>
      <c r="P313" s="93">
        <v>0</v>
      </c>
      <c r="Q313" s="93">
        <v>0</v>
      </c>
      <c r="R313" s="93">
        <f>+N313-SUM(O313:Q313)</f>
        <v>10046490</v>
      </c>
      <c r="S313" s="53" t="s">
        <v>249</v>
      </c>
      <c r="T313" s="46" t="s">
        <v>827</v>
      </c>
      <c r="U313" s="47" t="s">
        <v>828</v>
      </c>
      <c r="V313" s="48"/>
    </row>
    <row r="314" spans="2:22" ht="14.25" customHeight="1">
      <c r="B314" s="60"/>
      <c r="C314" s="100"/>
      <c r="D314" s="101"/>
      <c r="E314" s="19"/>
      <c r="F314" s="51"/>
      <c r="G314" s="52"/>
      <c r="H314" s="41"/>
      <c r="I314" s="94"/>
      <c r="J314" s="92"/>
      <c r="K314" s="92"/>
      <c r="L314" s="92"/>
      <c r="M314" s="92"/>
      <c r="N314" s="94"/>
      <c r="O314" s="93"/>
      <c r="P314" s="93"/>
      <c r="Q314" s="93"/>
      <c r="R314" s="93"/>
      <c r="S314" s="53" t="s">
        <v>829</v>
      </c>
      <c r="T314" s="46"/>
      <c r="U314" s="47"/>
      <c r="V314" s="48"/>
    </row>
    <row r="315" spans="2:22" ht="14.25" customHeight="1">
      <c r="B315" s="60"/>
      <c r="C315" s="100"/>
      <c r="D315" s="101"/>
      <c r="E315" s="19"/>
      <c r="F315" s="51"/>
      <c r="G315" s="52"/>
      <c r="H315" s="41"/>
      <c r="I315" s="94"/>
      <c r="J315" s="92"/>
      <c r="K315" s="92"/>
      <c r="L315" s="92"/>
      <c r="M315" s="92"/>
      <c r="N315" s="94"/>
      <c r="O315" s="93"/>
      <c r="P315" s="93"/>
      <c r="Q315" s="93"/>
      <c r="R315" s="93"/>
      <c r="S315" s="53" t="s">
        <v>1109</v>
      </c>
      <c r="T315" s="46"/>
      <c r="U315" s="47"/>
      <c r="V315" s="48"/>
    </row>
    <row r="316" spans="2:22" ht="14.25" customHeight="1">
      <c r="B316" s="60"/>
      <c r="C316" s="100"/>
      <c r="D316" s="101"/>
      <c r="E316" s="19"/>
      <c r="F316" s="51"/>
      <c r="G316" s="52"/>
      <c r="H316" s="41"/>
      <c r="I316" s="42"/>
      <c r="J316" s="43"/>
      <c r="K316" s="43"/>
      <c r="L316" s="43"/>
      <c r="M316" s="43"/>
      <c r="N316" s="42"/>
      <c r="O316" s="44"/>
      <c r="P316" s="44"/>
      <c r="Q316" s="44"/>
      <c r="R316" s="44"/>
      <c r="S316" s="57"/>
      <c r="T316" s="46"/>
      <c r="U316" s="47"/>
      <c r="V316" s="48"/>
    </row>
    <row r="317" spans="2:22" ht="14.25" customHeight="1">
      <c r="B317" s="60"/>
      <c r="C317" s="100"/>
      <c r="D317" s="101"/>
      <c r="E317" s="19"/>
      <c r="F317" s="51">
        <f>+F313+1</f>
        <v>7</v>
      </c>
      <c r="G317" s="52"/>
      <c r="H317" s="64" t="s">
        <v>253</v>
      </c>
      <c r="I317" s="42">
        <v>17872000</v>
      </c>
      <c r="J317" s="43">
        <v>3452000</v>
      </c>
      <c r="K317" s="43">
        <v>0</v>
      </c>
      <c r="L317" s="43">
        <v>0</v>
      </c>
      <c r="M317" s="43">
        <f>+I317-SUM(J317:L317)</f>
        <v>14420000</v>
      </c>
      <c r="N317" s="42">
        <v>17162534</v>
      </c>
      <c r="O317" s="44">
        <v>3452000</v>
      </c>
      <c r="P317" s="44">
        <v>0</v>
      </c>
      <c r="Q317" s="44">
        <v>0</v>
      </c>
      <c r="R317" s="44">
        <f>+N317-SUM(O317:Q317)</f>
        <v>13710534</v>
      </c>
      <c r="S317" s="53" t="s">
        <v>254</v>
      </c>
      <c r="T317" s="46" t="s">
        <v>830</v>
      </c>
      <c r="U317" s="47" t="s">
        <v>831</v>
      </c>
      <c r="V317" s="48"/>
    </row>
    <row r="318" spans="2:22" ht="14.25" customHeight="1">
      <c r="B318" s="60"/>
      <c r="C318" s="100"/>
      <c r="D318" s="101"/>
      <c r="E318" s="19"/>
      <c r="F318" s="51"/>
      <c r="G318" s="52"/>
      <c r="H318" s="41"/>
      <c r="I318" s="42"/>
      <c r="J318" s="43"/>
      <c r="K318" s="43"/>
      <c r="L318" s="43"/>
      <c r="M318" s="43"/>
      <c r="N318" s="42"/>
      <c r="O318" s="44"/>
      <c r="P318" s="44"/>
      <c r="Q318" s="44"/>
      <c r="R318" s="44"/>
      <c r="S318" s="53" t="s">
        <v>255</v>
      </c>
      <c r="T318" s="46" t="s">
        <v>832</v>
      </c>
      <c r="U318" s="47" t="s">
        <v>833</v>
      </c>
      <c r="V318" s="48"/>
    </row>
    <row r="319" spans="2:22" ht="14.25" customHeight="1">
      <c r="B319" s="60"/>
      <c r="C319" s="100"/>
      <c r="D319" s="101"/>
      <c r="E319" s="19"/>
      <c r="F319" s="51"/>
      <c r="G319" s="52"/>
      <c r="H319" s="41"/>
      <c r="I319" s="42"/>
      <c r="J319" s="43"/>
      <c r="K319" s="43"/>
      <c r="L319" s="43"/>
      <c r="M319" s="43"/>
      <c r="N319" s="42"/>
      <c r="O319" s="44"/>
      <c r="P319" s="44"/>
      <c r="Q319" s="44"/>
      <c r="R319" s="44"/>
      <c r="S319" s="53" t="s">
        <v>834</v>
      </c>
      <c r="T319" s="46"/>
      <c r="U319" s="47"/>
      <c r="V319" s="48"/>
    </row>
    <row r="320" spans="2:22" ht="14.25" customHeight="1">
      <c r="B320" s="60"/>
      <c r="C320" s="100"/>
      <c r="D320" s="101"/>
      <c r="E320" s="19"/>
      <c r="F320" s="51"/>
      <c r="G320" s="52"/>
      <c r="H320" s="41"/>
      <c r="I320" s="42"/>
      <c r="J320" s="43"/>
      <c r="K320" s="43"/>
      <c r="L320" s="43"/>
      <c r="M320" s="43"/>
      <c r="N320" s="42"/>
      <c r="O320" s="44"/>
      <c r="P320" s="44"/>
      <c r="Q320" s="44"/>
      <c r="R320" s="44"/>
      <c r="S320" s="53" t="s">
        <v>256</v>
      </c>
      <c r="T320" s="46"/>
      <c r="U320" s="47"/>
      <c r="V320" s="48"/>
    </row>
    <row r="321" spans="2:22" ht="14.25" customHeight="1">
      <c r="B321" s="60"/>
      <c r="C321" s="100"/>
      <c r="D321" s="101"/>
      <c r="E321" s="19"/>
      <c r="F321" s="51"/>
      <c r="G321" s="52"/>
      <c r="H321" s="41"/>
      <c r="I321" s="42"/>
      <c r="J321" s="43"/>
      <c r="K321" s="43"/>
      <c r="L321" s="43"/>
      <c r="M321" s="43"/>
      <c r="N321" s="42"/>
      <c r="O321" s="44"/>
      <c r="P321" s="44"/>
      <c r="Q321" s="44"/>
      <c r="R321" s="44"/>
      <c r="S321" s="53" t="s">
        <v>835</v>
      </c>
      <c r="T321" s="46"/>
      <c r="U321" s="47"/>
      <c r="V321" s="48"/>
    </row>
    <row r="322" spans="2:22" ht="14.25" customHeight="1">
      <c r="B322" s="60"/>
      <c r="C322" s="100"/>
      <c r="D322" s="101"/>
      <c r="E322" s="19"/>
      <c r="F322" s="51"/>
      <c r="G322" s="52"/>
      <c r="H322" s="41"/>
      <c r="I322" s="42"/>
      <c r="J322" s="43"/>
      <c r="K322" s="43"/>
      <c r="L322" s="43"/>
      <c r="M322" s="43"/>
      <c r="N322" s="42"/>
      <c r="O322" s="44"/>
      <c r="P322" s="44"/>
      <c r="Q322" s="44"/>
      <c r="R322" s="44"/>
      <c r="S322" s="53" t="s">
        <v>257</v>
      </c>
      <c r="T322" s="46"/>
      <c r="U322" s="47"/>
      <c r="V322" s="48"/>
    </row>
    <row r="323" spans="2:22" ht="14.25" customHeight="1">
      <c r="B323" s="60"/>
      <c r="C323" s="100"/>
      <c r="D323" s="101"/>
      <c r="E323" s="19"/>
      <c r="F323" s="51"/>
      <c r="G323" s="52"/>
      <c r="H323" s="41"/>
      <c r="I323" s="42"/>
      <c r="J323" s="43"/>
      <c r="K323" s="43"/>
      <c r="L323" s="43"/>
      <c r="M323" s="43"/>
      <c r="N323" s="42"/>
      <c r="O323" s="44"/>
      <c r="P323" s="44"/>
      <c r="Q323" s="44"/>
      <c r="R323" s="44"/>
      <c r="S323" s="99" t="s">
        <v>1249</v>
      </c>
      <c r="T323" s="46"/>
      <c r="U323" s="47"/>
      <c r="V323" s="48"/>
    </row>
    <row r="324" spans="2:22" ht="14.25" customHeight="1">
      <c r="B324" s="60"/>
      <c r="C324" s="100"/>
      <c r="D324" s="101"/>
      <c r="E324" s="19"/>
      <c r="F324" s="51"/>
      <c r="G324" s="52"/>
      <c r="H324" s="41"/>
      <c r="I324" s="42"/>
      <c r="J324" s="43"/>
      <c r="K324" s="43"/>
      <c r="L324" s="43"/>
      <c r="M324" s="43"/>
      <c r="N324" s="42"/>
      <c r="O324" s="44"/>
      <c r="P324" s="44"/>
      <c r="Q324" s="44"/>
      <c r="R324" s="44"/>
      <c r="S324" s="57"/>
      <c r="T324" s="46"/>
      <c r="U324" s="47"/>
      <c r="V324" s="48"/>
    </row>
    <row r="325" spans="2:22" ht="14.25" customHeight="1">
      <c r="B325" s="60"/>
      <c r="C325" s="100"/>
      <c r="D325" s="101"/>
      <c r="E325" s="19"/>
      <c r="F325" s="51">
        <f>+F317+1</f>
        <v>8</v>
      </c>
      <c r="G325" s="52"/>
      <c r="H325" s="64" t="s">
        <v>258</v>
      </c>
      <c r="I325" s="42">
        <v>340259000</v>
      </c>
      <c r="J325" s="43">
        <v>0</v>
      </c>
      <c r="K325" s="43">
        <v>0</v>
      </c>
      <c r="L325" s="43">
        <v>340259000</v>
      </c>
      <c r="M325" s="43">
        <f>+I325-SUM(J325:L325)</f>
        <v>0</v>
      </c>
      <c r="N325" s="42">
        <v>326110536</v>
      </c>
      <c r="O325" s="44">
        <v>0</v>
      </c>
      <c r="P325" s="44">
        <v>0</v>
      </c>
      <c r="Q325" s="44">
        <v>326073212</v>
      </c>
      <c r="R325" s="44">
        <f>+N325-SUM(O325:Q325)</f>
        <v>37324</v>
      </c>
      <c r="S325" s="57" t="s">
        <v>259</v>
      </c>
      <c r="T325" s="46" t="s">
        <v>836</v>
      </c>
      <c r="U325" s="47" t="s">
        <v>837</v>
      </c>
      <c r="V325" s="48"/>
    </row>
    <row r="326" spans="2:22" ht="14.25" customHeight="1">
      <c r="B326" s="60"/>
      <c r="C326" s="100"/>
      <c r="D326" s="101"/>
      <c r="E326" s="19"/>
      <c r="F326" s="51"/>
      <c r="G326" s="52"/>
      <c r="H326" s="41"/>
      <c r="I326" s="42"/>
      <c r="J326" s="43"/>
      <c r="K326" s="43"/>
      <c r="L326" s="43"/>
      <c r="M326" s="43"/>
      <c r="N326" s="42"/>
      <c r="O326" s="44"/>
      <c r="P326" s="44"/>
      <c r="Q326" s="44"/>
      <c r="R326" s="44"/>
      <c r="S326" s="57" t="s">
        <v>260</v>
      </c>
      <c r="T326" s="46" t="s">
        <v>838</v>
      </c>
      <c r="U326" s="47" t="s">
        <v>839</v>
      </c>
      <c r="V326" s="48"/>
    </row>
    <row r="327" spans="2:22" ht="14.25" customHeight="1">
      <c r="B327" s="60"/>
      <c r="C327" s="100"/>
      <c r="D327" s="101"/>
      <c r="E327" s="19"/>
      <c r="F327" s="51"/>
      <c r="G327" s="52"/>
      <c r="H327" s="41"/>
      <c r="I327" s="42"/>
      <c r="J327" s="43"/>
      <c r="K327" s="43"/>
      <c r="L327" s="43"/>
      <c r="M327" s="43"/>
      <c r="N327" s="42"/>
      <c r="O327" s="44"/>
      <c r="P327" s="44"/>
      <c r="Q327" s="44"/>
      <c r="R327" s="44"/>
      <c r="S327" s="57" t="s">
        <v>1110</v>
      </c>
      <c r="T327" s="46"/>
      <c r="U327" s="47"/>
      <c r="V327" s="48"/>
    </row>
    <row r="328" spans="2:22" ht="14.25" customHeight="1">
      <c r="B328" s="60"/>
      <c r="C328" s="100"/>
      <c r="D328" s="101"/>
      <c r="E328" s="19"/>
      <c r="F328" s="51"/>
      <c r="G328" s="52"/>
      <c r="H328" s="41"/>
      <c r="I328" s="42"/>
      <c r="J328" s="43"/>
      <c r="K328" s="43"/>
      <c r="L328" s="43"/>
      <c r="M328" s="43"/>
      <c r="N328" s="42"/>
      <c r="O328" s="44"/>
      <c r="P328" s="44"/>
      <c r="Q328" s="44"/>
      <c r="R328" s="44"/>
      <c r="S328" s="57"/>
      <c r="T328" s="46"/>
      <c r="U328" s="47"/>
      <c r="V328" s="48"/>
    </row>
    <row r="329" spans="2:22" ht="14.25" customHeight="1">
      <c r="B329" s="60"/>
      <c r="C329" s="100"/>
      <c r="D329" s="101"/>
      <c r="E329" s="19"/>
      <c r="F329" s="51"/>
      <c r="G329" s="52"/>
      <c r="H329" s="41"/>
      <c r="I329" s="42"/>
      <c r="J329" s="43"/>
      <c r="K329" s="43"/>
      <c r="L329" s="43"/>
      <c r="M329" s="43"/>
      <c r="N329" s="42"/>
      <c r="O329" s="44"/>
      <c r="P329" s="44"/>
      <c r="Q329" s="44"/>
      <c r="R329" s="44"/>
      <c r="S329" s="53"/>
      <c r="T329" s="46"/>
      <c r="U329" s="47"/>
      <c r="V329" s="48"/>
    </row>
    <row r="330" spans="2:22" ht="14.25" customHeight="1">
      <c r="B330" s="60"/>
      <c r="C330" s="100"/>
      <c r="D330" s="101"/>
      <c r="E330" s="19"/>
      <c r="F330" s="51">
        <f>+F325+1</f>
        <v>9</v>
      </c>
      <c r="G330" s="52"/>
      <c r="H330" s="41" t="s">
        <v>111</v>
      </c>
      <c r="I330" s="42">
        <v>-2582000</v>
      </c>
      <c r="J330" s="43">
        <v>0</v>
      </c>
      <c r="K330" s="43">
        <v>0</v>
      </c>
      <c r="L330" s="43">
        <v>0</v>
      </c>
      <c r="M330" s="43">
        <f>+I330-SUM(J330:L330)</f>
        <v>-2582000</v>
      </c>
      <c r="N330" s="42">
        <v>0</v>
      </c>
      <c r="O330" s="44">
        <v>0</v>
      </c>
      <c r="P330" s="44">
        <v>0</v>
      </c>
      <c r="Q330" s="44">
        <v>0</v>
      </c>
      <c r="R330" s="44">
        <f>+N330-SUM(O330:Q330)</f>
        <v>0</v>
      </c>
      <c r="S330" s="58" t="s">
        <v>218</v>
      </c>
      <c r="T330" s="46"/>
      <c r="U330" s="47"/>
      <c r="V330" s="48"/>
    </row>
    <row r="331" spans="2:22" ht="14.25" customHeight="1">
      <c r="B331" s="60"/>
      <c r="C331" s="100"/>
      <c r="D331" s="101"/>
      <c r="E331" s="19"/>
      <c r="F331" s="51"/>
      <c r="G331" s="52"/>
      <c r="H331" s="41"/>
      <c r="I331" s="42"/>
      <c r="J331" s="43"/>
      <c r="K331" s="43"/>
      <c r="L331" s="43"/>
      <c r="M331" s="43"/>
      <c r="N331" s="42"/>
      <c r="O331" s="44"/>
      <c r="P331" s="44"/>
      <c r="Q331" s="44"/>
      <c r="R331" s="44"/>
      <c r="S331" s="53"/>
      <c r="T331" s="46"/>
      <c r="U331" s="47"/>
      <c r="V331" s="48"/>
    </row>
    <row r="332" spans="2:22" ht="14.25" customHeight="1">
      <c r="B332" s="60"/>
      <c r="C332" s="100"/>
      <c r="D332" s="101"/>
      <c r="E332" s="19" t="s">
        <v>261</v>
      </c>
      <c r="F332" s="51">
        <f>+F330+1</f>
        <v>10</v>
      </c>
      <c r="G332" s="52"/>
      <c r="H332" s="41" t="s">
        <v>262</v>
      </c>
      <c r="I332" s="42">
        <v>46901300</v>
      </c>
      <c r="J332" s="43">
        <v>0</v>
      </c>
      <c r="K332" s="43">
        <v>0</v>
      </c>
      <c r="L332" s="43">
        <v>22982650</v>
      </c>
      <c r="M332" s="43">
        <f>+I332-SUM(J332:L332)</f>
        <v>23918650</v>
      </c>
      <c r="N332" s="42">
        <v>46788920</v>
      </c>
      <c r="O332" s="44">
        <v>0</v>
      </c>
      <c r="P332" s="44">
        <v>0</v>
      </c>
      <c r="Q332" s="44">
        <v>23918650</v>
      </c>
      <c r="R332" s="44">
        <f>+N332-SUM(O332:Q332)</f>
        <v>22870270</v>
      </c>
      <c r="S332" s="57" t="s">
        <v>249</v>
      </c>
      <c r="T332" s="67" t="s">
        <v>779</v>
      </c>
      <c r="U332" s="59" t="s">
        <v>779</v>
      </c>
      <c r="V332" s="48"/>
    </row>
    <row r="333" spans="2:22" ht="14.25" customHeight="1">
      <c r="B333" s="60"/>
      <c r="C333" s="100"/>
      <c r="D333" s="101"/>
      <c r="E333" s="19"/>
      <c r="F333" s="51"/>
      <c r="G333" s="52"/>
      <c r="H333" s="41"/>
      <c r="I333" s="42"/>
      <c r="J333" s="43"/>
      <c r="K333" s="43"/>
      <c r="L333" s="43"/>
      <c r="M333" s="43"/>
      <c r="N333" s="42"/>
      <c r="O333" s="44"/>
      <c r="P333" s="44"/>
      <c r="Q333" s="44"/>
      <c r="R333" s="44"/>
      <c r="S333" s="131" t="s">
        <v>1250</v>
      </c>
      <c r="T333" s="46"/>
      <c r="U333" s="47"/>
      <c r="V333" s="48"/>
    </row>
    <row r="334" spans="2:22" ht="14.25" customHeight="1">
      <c r="B334" s="60"/>
      <c r="C334" s="100"/>
      <c r="D334" s="101"/>
      <c r="E334" s="19"/>
      <c r="F334" s="51"/>
      <c r="G334" s="52"/>
      <c r="H334" s="41"/>
      <c r="I334" s="42"/>
      <c r="J334" s="43"/>
      <c r="K334" s="43"/>
      <c r="L334" s="43"/>
      <c r="M334" s="43"/>
      <c r="N334" s="42"/>
      <c r="O334" s="44"/>
      <c r="P334" s="44"/>
      <c r="Q334" s="44"/>
      <c r="R334" s="44"/>
      <c r="S334" s="57" t="s">
        <v>842</v>
      </c>
      <c r="T334" s="46"/>
      <c r="U334" s="47"/>
      <c r="V334" s="48"/>
    </row>
    <row r="335" spans="2:22" ht="14.25" customHeight="1">
      <c r="B335" s="60"/>
      <c r="C335" s="100"/>
      <c r="D335" s="101"/>
      <c r="E335" s="19"/>
      <c r="F335" s="51"/>
      <c r="G335" s="52"/>
      <c r="H335" s="41"/>
      <c r="I335" s="42"/>
      <c r="J335" s="43"/>
      <c r="K335" s="43"/>
      <c r="L335" s="43"/>
      <c r="M335" s="43"/>
      <c r="N335" s="42"/>
      <c r="O335" s="44"/>
      <c r="P335" s="44"/>
      <c r="Q335" s="44"/>
      <c r="R335" s="44"/>
      <c r="S335" s="57"/>
      <c r="T335" s="46"/>
      <c r="U335" s="47"/>
      <c r="V335" s="48"/>
    </row>
    <row r="336" spans="2:22" ht="14.25" customHeight="1">
      <c r="B336" s="60"/>
      <c r="C336" s="100"/>
      <c r="D336" s="101"/>
      <c r="E336" s="19"/>
      <c r="F336" s="51">
        <f>+F332+1</f>
        <v>11</v>
      </c>
      <c r="G336" s="52"/>
      <c r="H336" s="41" t="s">
        <v>263</v>
      </c>
      <c r="I336" s="42">
        <v>105000000</v>
      </c>
      <c r="J336" s="43">
        <f>116700000-66700000</f>
        <v>50000000</v>
      </c>
      <c r="K336" s="43">
        <v>55000000</v>
      </c>
      <c r="L336" s="43">
        <v>0</v>
      </c>
      <c r="M336" s="43">
        <f>+I336-SUM(J336:L336)</f>
        <v>0</v>
      </c>
      <c r="N336" s="42">
        <v>103396172</v>
      </c>
      <c r="O336" s="44">
        <v>49981925</v>
      </c>
      <c r="P336" s="44">
        <v>54000000</v>
      </c>
      <c r="Q336" s="44">
        <v>0</v>
      </c>
      <c r="R336" s="44">
        <f>+N336-SUM(O336:Q336)</f>
        <v>-585753</v>
      </c>
      <c r="S336" s="57" t="s">
        <v>249</v>
      </c>
      <c r="T336" s="67" t="s">
        <v>779</v>
      </c>
      <c r="U336" s="47" t="s">
        <v>843</v>
      </c>
      <c r="V336" s="48"/>
    </row>
    <row r="337" spans="2:22" ht="14.25" customHeight="1">
      <c r="B337" s="60"/>
      <c r="C337" s="100"/>
      <c r="D337" s="101"/>
      <c r="E337" s="19"/>
      <c r="F337" s="51"/>
      <c r="G337" s="52"/>
      <c r="H337" s="41"/>
      <c r="I337" s="42"/>
      <c r="J337" s="43"/>
      <c r="K337" s="43"/>
      <c r="L337" s="43"/>
      <c r="M337" s="43"/>
      <c r="N337" s="42"/>
      <c r="O337" s="44"/>
      <c r="P337" s="44"/>
      <c r="Q337" s="44"/>
      <c r="R337" s="44"/>
      <c r="S337" s="336" t="s">
        <v>1251</v>
      </c>
      <c r="T337" s="46"/>
      <c r="U337" s="47"/>
      <c r="V337" s="48"/>
    </row>
    <row r="338" spans="2:22" ht="14.25" customHeight="1">
      <c r="B338" s="60"/>
      <c r="C338" s="100"/>
      <c r="D338" s="101"/>
      <c r="E338" s="19"/>
      <c r="F338" s="51"/>
      <c r="G338" s="52"/>
      <c r="H338" s="41"/>
      <c r="I338" s="42"/>
      <c r="J338" s="43"/>
      <c r="K338" s="43"/>
      <c r="L338" s="43"/>
      <c r="M338" s="43"/>
      <c r="N338" s="42"/>
      <c r="O338" s="44"/>
      <c r="P338" s="44"/>
      <c r="Q338" s="44"/>
      <c r="R338" s="44"/>
      <c r="S338" s="336" t="s">
        <v>1252</v>
      </c>
      <c r="T338" s="46"/>
      <c r="U338" s="47"/>
      <c r="V338" s="48"/>
    </row>
    <row r="339" spans="2:22" ht="14.25" customHeight="1">
      <c r="B339" s="60"/>
      <c r="C339" s="100"/>
      <c r="D339" s="101"/>
      <c r="E339" s="19"/>
      <c r="F339" s="51"/>
      <c r="G339" s="52"/>
      <c r="H339" s="41"/>
      <c r="I339" s="42"/>
      <c r="J339" s="43"/>
      <c r="K339" s="43"/>
      <c r="L339" s="43"/>
      <c r="M339" s="43"/>
      <c r="N339" s="42"/>
      <c r="O339" s="44"/>
      <c r="P339" s="44"/>
      <c r="Q339" s="44"/>
      <c r="R339" s="44"/>
      <c r="S339" s="131" t="s">
        <v>1253</v>
      </c>
      <c r="T339" s="46"/>
      <c r="U339" s="47"/>
      <c r="V339" s="48"/>
    </row>
    <row r="340" spans="2:22" ht="14.25" customHeight="1">
      <c r="B340" s="60"/>
      <c r="C340" s="100"/>
      <c r="D340" s="101"/>
      <c r="E340" s="19"/>
      <c r="F340" s="51"/>
      <c r="G340" s="52"/>
      <c r="H340" s="41"/>
      <c r="J340" s="43"/>
      <c r="K340" s="43"/>
      <c r="L340" s="43"/>
      <c r="M340" s="43"/>
      <c r="N340" s="42"/>
      <c r="O340" s="44"/>
      <c r="P340" s="44"/>
      <c r="Q340" s="44"/>
      <c r="R340" s="44"/>
      <c r="S340" s="57" t="s">
        <v>844</v>
      </c>
      <c r="T340" s="46"/>
      <c r="U340" s="47"/>
      <c r="V340" s="48"/>
    </row>
    <row r="341" spans="2:22" ht="14.25" customHeight="1">
      <c r="B341" s="60"/>
      <c r="C341" s="100"/>
      <c r="D341" s="101"/>
      <c r="E341" s="19"/>
      <c r="F341" s="51"/>
      <c r="G341" s="52"/>
      <c r="H341" s="41"/>
      <c r="I341" s="42"/>
      <c r="J341" s="43"/>
      <c r="K341" s="43"/>
      <c r="L341" s="43"/>
      <c r="M341" s="43"/>
      <c r="N341" s="42"/>
      <c r="O341" s="44"/>
      <c r="P341" s="44"/>
      <c r="Q341" s="44"/>
      <c r="R341" s="44"/>
      <c r="S341" s="57" t="s">
        <v>845</v>
      </c>
      <c r="T341" s="46"/>
      <c r="U341" s="47"/>
      <c r="V341" s="48"/>
    </row>
    <row r="342" spans="2:22" ht="14.25" customHeight="1">
      <c r="B342" s="60"/>
      <c r="C342" s="100"/>
      <c r="D342" s="101"/>
      <c r="E342" s="19"/>
      <c r="F342" s="51"/>
      <c r="G342" s="52"/>
      <c r="H342" s="41"/>
      <c r="I342" s="42"/>
      <c r="J342" s="43"/>
      <c r="K342" s="43"/>
      <c r="L342" s="43"/>
      <c r="M342" s="43"/>
      <c r="N342" s="42"/>
      <c r="O342" s="44"/>
      <c r="P342" s="44"/>
      <c r="Q342" s="44"/>
      <c r="R342" s="44"/>
      <c r="S342" s="57" t="s">
        <v>846</v>
      </c>
      <c r="T342" s="46"/>
      <c r="U342" s="47"/>
      <c r="V342" s="48"/>
    </row>
    <row r="343" spans="2:22" ht="14.25" customHeight="1" thickBot="1">
      <c r="B343" s="69"/>
      <c r="C343" s="120"/>
      <c r="D343" s="121"/>
      <c r="E343" s="24"/>
      <c r="F343" s="71"/>
      <c r="G343" s="72"/>
      <c r="H343" s="111"/>
      <c r="I343" s="112"/>
      <c r="J343" s="113"/>
      <c r="K343" s="113"/>
      <c r="L343" s="113"/>
      <c r="M343" s="113"/>
      <c r="N343" s="112"/>
      <c r="O343" s="114"/>
      <c r="P343" s="114"/>
      <c r="Q343" s="114"/>
      <c r="R343" s="114"/>
      <c r="S343" s="133"/>
      <c r="T343" s="78"/>
      <c r="U343" s="79"/>
      <c r="V343" s="48"/>
    </row>
    <row r="344" spans="2:22" ht="14.25" customHeight="1">
      <c r="B344" s="60"/>
      <c r="C344" s="100"/>
      <c r="D344" s="101"/>
      <c r="E344" s="19"/>
      <c r="F344" s="51">
        <f>+F336+1</f>
        <v>12</v>
      </c>
      <c r="G344" s="52"/>
      <c r="H344" s="41" t="s">
        <v>264</v>
      </c>
      <c r="I344" s="94">
        <v>66700000</v>
      </c>
      <c r="J344" s="92">
        <v>66700000</v>
      </c>
      <c r="K344" s="92">
        <v>0</v>
      </c>
      <c r="L344" s="92">
        <v>0</v>
      </c>
      <c r="M344" s="92">
        <f>+I344-SUM(J344:L344)</f>
        <v>0</v>
      </c>
      <c r="N344" s="94">
        <v>61947386</v>
      </c>
      <c r="O344" s="93">
        <v>55490400</v>
      </c>
      <c r="P344" s="93">
        <v>0</v>
      </c>
      <c r="Q344" s="93">
        <v>0</v>
      </c>
      <c r="R344" s="93">
        <f>+N344-SUM(O344:Q344)</f>
        <v>6456986</v>
      </c>
      <c r="S344" s="57" t="s">
        <v>847</v>
      </c>
      <c r="T344" s="67" t="s">
        <v>779</v>
      </c>
      <c r="U344" s="47" t="s">
        <v>848</v>
      </c>
      <c r="V344" s="48"/>
    </row>
    <row r="345" spans="2:22" ht="14.25" customHeight="1">
      <c r="B345" s="60"/>
      <c r="C345" s="100"/>
      <c r="D345" s="101"/>
      <c r="E345" s="19"/>
      <c r="F345" s="51"/>
      <c r="G345" s="52"/>
      <c r="H345" s="41"/>
      <c r="I345" s="94"/>
      <c r="J345" s="92"/>
      <c r="K345" s="92"/>
      <c r="L345" s="92"/>
      <c r="M345" s="92"/>
      <c r="N345" s="94"/>
      <c r="O345" s="93"/>
      <c r="P345" s="93"/>
      <c r="Q345" s="93"/>
      <c r="R345" s="93"/>
      <c r="S345" s="283" t="s">
        <v>849</v>
      </c>
      <c r="T345" s="46"/>
      <c r="U345" s="47"/>
      <c r="V345" s="48"/>
    </row>
    <row r="346" spans="2:22" ht="14.25" customHeight="1">
      <c r="B346" s="60"/>
      <c r="C346" s="100"/>
      <c r="D346" s="101"/>
      <c r="E346" s="19"/>
      <c r="F346" s="51"/>
      <c r="G346" s="52"/>
      <c r="H346" s="41"/>
      <c r="I346" s="94"/>
      <c r="J346" s="92"/>
      <c r="K346" s="92"/>
      <c r="L346" s="92"/>
      <c r="M346" s="92"/>
      <c r="N346" s="94"/>
      <c r="O346" s="93"/>
      <c r="P346" s="93"/>
      <c r="Q346" s="93"/>
      <c r="R346" s="93"/>
      <c r="S346" s="57" t="s">
        <v>850</v>
      </c>
      <c r="T346" s="46"/>
      <c r="U346" s="47"/>
      <c r="V346" s="48"/>
    </row>
    <row r="347" spans="2:22" ht="14.25" customHeight="1">
      <c r="B347" s="60"/>
      <c r="C347" s="100"/>
      <c r="D347" s="101"/>
      <c r="E347" s="19"/>
      <c r="F347" s="51"/>
      <c r="G347" s="52"/>
      <c r="H347" s="41"/>
      <c r="I347" s="94"/>
      <c r="J347" s="92"/>
      <c r="K347" s="92"/>
      <c r="L347" s="92"/>
      <c r="M347" s="92"/>
      <c r="N347" s="94"/>
      <c r="O347" s="93"/>
      <c r="P347" s="93"/>
      <c r="Q347" s="93"/>
      <c r="R347" s="93"/>
      <c r="S347" s="57" t="s">
        <v>851</v>
      </c>
      <c r="T347" s="46"/>
      <c r="U347" s="47"/>
      <c r="V347" s="48"/>
    </row>
    <row r="348" spans="2:22" ht="14.25" customHeight="1">
      <c r="B348" s="60"/>
      <c r="C348" s="100"/>
      <c r="D348" s="101"/>
      <c r="E348" s="19"/>
      <c r="F348" s="51"/>
      <c r="G348" s="52"/>
      <c r="H348" s="41"/>
      <c r="I348" s="94"/>
      <c r="J348" s="92"/>
      <c r="K348" s="92"/>
      <c r="L348" s="92"/>
      <c r="M348" s="92"/>
      <c r="N348" s="94"/>
      <c r="O348" s="93"/>
      <c r="P348" s="93"/>
      <c r="Q348" s="93"/>
      <c r="R348" s="93"/>
      <c r="S348" s="57" t="s">
        <v>852</v>
      </c>
      <c r="T348" s="46"/>
      <c r="U348" s="47"/>
      <c r="V348" s="48"/>
    </row>
    <row r="349" spans="2:22" ht="14.25" customHeight="1" thickBot="1">
      <c r="B349" s="69"/>
      <c r="C349" s="120"/>
      <c r="D349" s="121"/>
      <c r="E349" s="24"/>
      <c r="F349" s="71"/>
      <c r="G349" s="72"/>
      <c r="H349" s="111"/>
      <c r="I349" s="112"/>
      <c r="J349" s="113"/>
      <c r="K349" s="113"/>
      <c r="L349" s="113"/>
      <c r="M349" s="113"/>
      <c r="N349" s="112"/>
      <c r="O349" s="114"/>
      <c r="P349" s="114"/>
      <c r="Q349" s="114"/>
      <c r="R349" s="114"/>
      <c r="S349" s="77"/>
      <c r="T349" s="78"/>
      <c r="U349" s="79"/>
      <c r="V349" s="48"/>
    </row>
    <row r="350" spans="2:22" ht="14.25" customHeight="1">
      <c r="B350" s="60"/>
      <c r="C350" s="100"/>
      <c r="D350" s="101"/>
      <c r="E350" s="22"/>
      <c r="F350" s="51"/>
      <c r="G350" s="52"/>
      <c r="H350" s="41"/>
      <c r="I350" s="94"/>
      <c r="J350" s="92"/>
      <c r="K350" s="92"/>
      <c r="L350" s="92"/>
      <c r="M350" s="92"/>
      <c r="N350" s="94"/>
      <c r="O350" s="93"/>
      <c r="P350" s="93"/>
      <c r="Q350" s="93"/>
      <c r="R350" s="93"/>
      <c r="S350" s="53"/>
      <c r="T350" s="46"/>
      <c r="U350" s="47"/>
      <c r="V350" s="95"/>
    </row>
    <row r="351" spans="2:22" ht="14.25" customHeight="1">
      <c r="B351" s="17" t="s">
        <v>265</v>
      </c>
      <c r="C351" s="26">
        <f>SUM(I351)</f>
        <v>195622000</v>
      </c>
      <c r="D351" s="26">
        <f>SUM(N351)</f>
        <v>195424513</v>
      </c>
      <c r="E351" s="19" t="s">
        <v>241</v>
      </c>
      <c r="F351" s="51">
        <f>+F337+1</f>
        <v>1</v>
      </c>
      <c r="G351" s="52"/>
      <c r="H351" s="64" t="s">
        <v>266</v>
      </c>
      <c r="I351" s="94">
        <v>195622000</v>
      </c>
      <c r="J351" s="92">
        <v>0</v>
      </c>
      <c r="K351" s="92">
        <v>0</v>
      </c>
      <c r="L351" s="92">
        <v>5461000</v>
      </c>
      <c r="M351" s="92">
        <f>+I351-SUM(J351:L351)</f>
        <v>190161000</v>
      </c>
      <c r="N351" s="94">
        <v>195424513</v>
      </c>
      <c r="O351" s="93">
        <v>0</v>
      </c>
      <c r="P351" s="93">
        <v>0</v>
      </c>
      <c r="Q351" s="93">
        <v>4711780</v>
      </c>
      <c r="R351" s="93">
        <f>+N351-SUM(O351:Q351)</f>
        <v>190712733</v>
      </c>
      <c r="S351" s="53" t="s">
        <v>853</v>
      </c>
      <c r="T351" s="46" t="s">
        <v>854</v>
      </c>
      <c r="U351" s="47" t="s">
        <v>855</v>
      </c>
      <c r="V351" s="95"/>
    </row>
    <row r="352" spans="2:22" ht="14.25" customHeight="1">
      <c r="B352" s="17" t="s">
        <v>267</v>
      </c>
      <c r="C352" s="26"/>
      <c r="D352" s="16"/>
      <c r="E352" s="19" t="s">
        <v>245</v>
      </c>
      <c r="F352" s="51"/>
      <c r="G352" s="52"/>
      <c r="H352" s="41"/>
      <c r="I352" s="42"/>
      <c r="J352" s="43"/>
      <c r="K352" s="43"/>
      <c r="L352" s="43"/>
      <c r="M352" s="43"/>
      <c r="N352" s="42"/>
      <c r="O352" s="44"/>
      <c r="P352" s="44"/>
      <c r="Q352" s="44"/>
      <c r="R352" s="44"/>
      <c r="S352" s="53" t="s">
        <v>1006</v>
      </c>
      <c r="T352" s="46"/>
      <c r="U352" s="47"/>
      <c r="V352" s="95"/>
    </row>
    <row r="353" spans="2:22" ht="14.25" customHeight="1">
      <c r="B353" s="17"/>
      <c r="C353" s="26" t="s">
        <v>8</v>
      </c>
      <c r="D353" s="26" t="s">
        <v>8</v>
      </c>
      <c r="E353" s="19"/>
      <c r="F353" s="51"/>
      <c r="G353" s="52"/>
      <c r="H353" s="41"/>
      <c r="I353" s="94"/>
      <c r="J353" s="92"/>
      <c r="K353" s="92"/>
      <c r="L353" s="92"/>
      <c r="M353" s="92"/>
      <c r="N353" s="94"/>
      <c r="O353" s="93"/>
      <c r="P353" s="93"/>
      <c r="Q353" s="93"/>
      <c r="R353" s="93"/>
      <c r="S353" s="53"/>
      <c r="T353" s="46"/>
      <c r="U353" s="47"/>
      <c r="V353" s="95"/>
    </row>
    <row r="354" spans="2:22" ht="14.25" customHeight="1">
      <c r="B354" s="60"/>
      <c r="C354" s="26">
        <f>SUM(L351)</f>
        <v>5461000</v>
      </c>
      <c r="D354" s="26">
        <f>SUM(Q351)</f>
        <v>4711780</v>
      </c>
      <c r="E354" s="19"/>
      <c r="F354" s="51"/>
      <c r="G354" s="52"/>
      <c r="H354" s="41"/>
      <c r="I354" s="94"/>
      <c r="J354" s="92"/>
      <c r="K354" s="92"/>
      <c r="L354" s="92"/>
      <c r="M354" s="92"/>
      <c r="N354" s="94"/>
      <c r="O354" s="93"/>
      <c r="P354" s="93"/>
      <c r="Q354" s="93"/>
      <c r="R354" s="93"/>
      <c r="S354" s="53"/>
      <c r="T354" s="46"/>
      <c r="U354" s="47"/>
      <c r="V354" s="95"/>
    </row>
    <row r="355" spans="2:22" ht="14.25" customHeight="1">
      <c r="B355" s="60"/>
      <c r="C355" s="26" t="s">
        <v>9</v>
      </c>
      <c r="D355" s="26" t="s">
        <v>9</v>
      </c>
      <c r="E355" s="19"/>
      <c r="F355" s="51"/>
      <c r="G355" s="52"/>
      <c r="H355" s="56"/>
      <c r="I355" s="94"/>
      <c r="J355" s="92"/>
      <c r="K355" s="92"/>
      <c r="L355" s="92"/>
      <c r="M355" s="92"/>
      <c r="N355" s="94"/>
      <c r="O355" s="93"/>
      <c r="P355" s="93"/>
      <c r="Q355" s="93"/>
      <c r="R355" s="93"/>
      <c r="S355" s="53"/>
      <c r="T355" s="46"/>
      <c r="U355" s="47"/>
      <c r="V355" s="95"/>
    </row>
    <row r="356" spans="2:22" ht="14.25" customHeight="1">
      <c r="B356" s="60"/>
      <c r="C356" s="26">
        <f>C351-C354</f>
        <v>190161000</v>
      </c>
      <c r="D356" s="26">
        <f>D351-D354</f>
        <v>190712733</v>
      </c>
      <c r="E356" s="19"/>
      <c r="F356" s="51"/>
      <c r="G356" s="52"/>
      <c r="H356" s="56"/>
      <c r="I356" s="42"/>
      <c r="J356" s="92"/>
      <c r="K356" s="92"/>
      <c r="L356" s="92"/>
      <c r="M356" s="92"/>
      <c r="N356" s="94"/>
      <c r="O356" s="93"/>
      <c r="P356" s="93"/>
      <c r="Q356" s="93"/>
      <c r="R356" s="93"/>
      <c r="S356" s="58"/>
      <c r="T356" s="46"/>
      <c r="U356" s="47"/>
      <c r="V356" s="95"/>
    </row>
    <row r="357" spans="2:22" ht="14.25" customHeight="1" thickBot="1">
      <c r="B357" s="69"/>
      <c r="C357" s="120"/>
      <c r="D357" s="121"/>
      <c r="E357" s="24"/>
      <c r="F357" s="71"/>
      <c r="G357" s="72"/>
      <c r="H357" s="111"/>
      <c r="I357" s="74"/>
      <c r="J357" s="75"/>
      <c r="K357" s="75"/>
      <c r="L357" s="75"/>
      <c r="M357" s="75"/>
      <c r="N357" s="74"/>
      <c r="O357" s="76"/>
      <c r="P357" s="114"/>
      <c r="Q357" s="114"/>
      <c r="R357" s="114"/>
      <c r="S357" s="133"/>
      <c r="T357" s="78"/>
      <c r="U357" s="79"/>
      <c r="V357" s="95"/>
    </row>
    <row r="358" spans="2:22" ht="14.25" customHeight="1">
      <c r="B358" s="80"/>
      <c r="C358" s="81"/>
      <c r="D358" s="25"/>
      <c r="E358" s="82"/>
      <c r="F358" s="83"/>
      <c r="G358" s="84"/>
      <c r="H358" s="85"/>
      <c r="I358" s="86"/>
      <c r="J358" s="87"/>
      <c r="K358" s="87"/>
      <c r="L358" s="87"/>
      <c r="M358" s="87"/>
      <c r="N358" s="86"/>
      <c r="O358" s="88"/>
      <c r="P358" s="88"/>
      <c r="Q358" s="88"/>
      <c r="R358" s="88"/>
      <c r="S358" s="89"/>
      <c r="T358" s="90"/>
      <c r="U358" s="91"/>
      <c r="V358" s="55"/>
    </row>
    <row r="359" spans="2:22" ht="14.25" customHeight="1">
      <c r="B359" s="17" t="s">
        <v>268</v>
      </c>
      <c r="C359" s="26">
        <f>SUM(I359:I391)</f>
        <v>762294000</v>
      </c>
      <c r="D359" s="26">
        <f>SUM(N359:N391)</f>
        <v>668876127</v>
      </c>
      <c r="E359" s="19" t="s">
        <v>269</v>
      </c>
      <c r="F359" s="51">
        <v>1</v>
      </c>
      <c r="G359" s="52"/>
      <c r="H359" s="64" t="s">
        <v>270</v>
      </c>
      <c r="I359" s="42">
        <f>8032000+22770000</f>
        <v>30802000</v>
      </c>
      <c r="J359" s="43">
        <v>500000</v>
      </c>
      <c r="K359" s="43">
        <v>0</v>
      </c>
      <c r="L359" s="43">
        <v>0</v>
      </c>
      <c r="M359" s="43">
        <f>+I359-SUM(J359:L359)</f>
        <v>30302000</v>
      </c>
      <c r="N359" s="42">
        <f>7901550+22770000</f>
        <v>30671550</v>
      </c>
      <c r="O359" s="44">
        <v>500000</v>
      </c>
      <c r="P359" s="44">
        <v>0</v>
      </c>
      <c r="Q359" s="44">
        <v>0</v>
      </c>
      <c r="R359" s="44">
        <f>+N359-SUM(O359:Q359)</f>
        <v>30171550</v>
      </c>
      <c r="S359" s="53" t="s">
        <v>271</v>
      </c>
      <c r="T359" s="46" t="s">
        <v>820</v>
      </c>
      <c r="U359" s="47" t="s">
        <v>820</v>
      </c>
      <c r="V359" s="55"/>
    </row>
    <row r="360" spans="2:22" ht="14.25" customHeight="1">
      <c r="B360" s="17" t="s">
        <v>272</v>
      </c>
      <c r="C360" s="26"/>
      <c r="D360" s="16"/>
      <c r="E360" s="19" t="s">
        <v>273</v>
      </c>
      <c r="F360" s="51"/>
      <c r="G360" s="52"/>
      <c r="H360" s="41"/>
      <c r="I360" s="42"/>
      <c r="J360" s="43"/>
      <c r="K360" s="43"/>
      <c r="L360" s="43"/>
      <c r="M360" s="43"/>
      <c r="N360" s="42"/>
      <c r="O360" s="44"/>
      <c r="P360" s="44"/>
      <c r="Q360" s="44"/>
      <c r="R360" s="44"/>
      <c r="S360" s="126" t="s">
        <v>274</v>
      </c>
      <c r="T360" s="67"/>
      <c r="U360" s="59"/>
      <c r="V360" s="55"/>
    </row>
    <row r="361" spans="2:22" ht="14.25" customHeight="1">
      <c r="B361" s="17"/>
      <c r="C361" s="26" t="s">
        <v>7</v>
      </c>
      <c r="D361" s="26" t="s">
        <v>7</v>
      </c>
      <c r="E361" s="19"/>
      <c r="F361" s="51"/>
      <c r="G361" s="52"/>
      <c r="H361" s="41"/>
      <c r="I361" s="42"/>
      <c r="J361" s="43"/>
      <c r="K361" s="43"/>
      <c r="L361" s="43"/>
      <c r="M361" s="43"/>
      <c r="N361" s="42"/>
      <c r="O361" s="44"/>
      <c r="P361" s="44"/>
      <c r="Q361" s="44"/>
      <c r="R361" s="44"/>
      <c r="S361" s="53" t="s">
        <v>856</v>
      </c>
      <c r="T361" s="67"/>
      <c r="U361" s="59"/>
      <c r="V361" s="48"/>
    </row>
    <row r="362" spans="2:22" ht="14.25" customHeight="1">
      <c r="B362" s="60"/>
      <c r="C362" s="26">
        <f>SUM(J359:J391)</f>
        <v>204300000</v>
      </c>
      <c r="D362" s="26">
        <f>SUM(O359:O391)</f>
        <v>202146400</v>
      </c>
      <c r="E362" s="19"/>
      <c r="F362" s="51"/>
      <c r="G362" s="52"/>
      <c r="H362" s="41"/>
      <c r="I362" s="42"/>
      <c r="J362" s="43"/>
      <c r="K362" s="43"/>
      <c r="L362" s="43"/>
      <c r="M362" s="43"/>
      <c r="N362" s="42"/>
      <c r="O362" s="44"/>
      <c r="P362" s="44"/>
      <c r="Q362" s="44"/>
      <c r="R362" s="44"/>
      <c r="S362" s="53" t="s">
        <v>1111</v>
      </c>
      <c r="T362" s="67"/>
      <c r="U362" s="59"/>
      <c r="V362" s="95"/>
    </row>
    <row r="363" spans="2:22" ht="14.25" customHeight="1">
      <c r="B363" s="60"/>
      <c r="C363" s="26" t="s">
        <v>8</v>
      </c>
      <c r="D363" s="26" t="s">
        <v>8</v>
      </c>
      <c r="E363" s="19"/>
      <c r="F363" s="51"/>
      <c r="G363" s="52"/>
      <c r="H363" s="41"/>
      <c r="I363" s="42"/>
      <c r="J363" s="43"/>
      <c r="K363" s="43"/>
      <c r="L363" s="43"/>
      <c r="M363" s="43"/>
      <c r="N363" s="42"/>
      <c r="O363" s="44"/>
      <c r="P363" s="44"/>
      <c r="Q363" s="44"/>
      <c r="R363" s="44"/>
      <c r="S363" s="53"/>
      <c r="T363" s="67"/>
      <c r="U363" s="59"/>
      <c r="V363" s="95"/>
    </row>
    <row r="364" spans="2:22" ht="14.25" customHeight="1">
      <c r="B364" s="60"/>
      <c r="C364" s="26">
        <f>SUM(L359:L391)</f>
        <v>131477000</v>
      </c>
      <c r="D364" s="26">
        <f>SUM(Q359:Q391)</f>
        <v>94650308</v>
      </c>
      <c r="E364" s="19"/>
      <c r="F364" s="51">
        <f>+F359+1</f>
        <v>2</v>
      </c>
      <c r="G364" s="52"/>
      <c r="H364" s="64" t="s">
        <v>275</v>
      </c>
      <c r="I364" s="94">
        <f>207003000+91507000</f>
        <v>298510000</v>
      </c>
      <c r="J364" s="92">
        <v>195800000</v>
      </c>
      <c r="K364" s="92">
        <v>0</v>
      </c>
      <c r="L364" s="92">
        <v>72827000</v>
      </c>
      <c r="M364" s="92">
        <f>+I364-SUM(J364:L364)</f>
        <v>29883000</v>
      </c>
      <c r="N364" s="94">
        <f>203356479+72539044</f>
        <v>275895523</v>
      </c>
      <c r="O364" s="93">
        <v>195800000</v>
      </c>
      <c r="P364" s="93">
        <v>0</v>
      </c>
      <c r="Q364" s="93">
        <v>57241075</v>
      </c>
      <c r="R364" s="93">
        <f>+N364-SUM(O364:Q364)</f>
        <v>22854448</v>
      </c>
      <c r="S364" s="53" t="s">
        <v>276</v>
      </c>
      <c r="T364" s="46" t="s">
        <v>277</v>
      </c>
      <c r="U364" s="47" t="s">
        <v>857</v>
      </c>
      <c r="V364" s="95"/>
    </row>
    <row r="365" spans="2:22" ht="14.25" customHeight="1">
      <c r="B365" s="60"/>
      <c r="C365" s="26" t="s">
        <v>9</v>
      </c>
      <c r="D365" s="26" t="s">
        <v>9</v>
      </c>
      <c r="E365" s="19"/>
      <c r="F365" s="51"/>
      <c r="G365" s="52"/>
      <c r="H365" s="41"/>
      <c r="I365" s="42"/>
      <c r="J365" s="43"/>
      <c r="K365" s="43"/>
      <c r="L365" s="43"/>
      <c r="M365" s="43"/>
      <c r="N365" s="42"/>
      <c r="O365" s="44"/>
      <c r="P365" s="44"/>
      <c r="Q365" s="44"/>
      <c r="R365" s="44"/>
      <c r="S365" s="53" t="s">
        <v>1112</v>
      </c>
      <c r="T365" s="46"/>
      <c r="U365" s="47"/>
      <c r="V365" s="95"/>
    </row>
    <row r="366" spans="2:22" ht="14.25" customHeight="1">
      <c r="B366" s="60"/>
      <c r="C366" s="26">
        <f>C359-C362-C364</f>
        <v>426517000</v>
      </c>
      <c r="D366" s="26">
        <f>D359-D362-D364</f>
        <v>372079419</v>
      </c>
      <c r="E366" s="19"/>
      <c r="F366" s="51"/>
      <c r="G366" s="52"/>
      <c r="H366" s="41"/>
      <c r="I366" s="42"/>
      <c r="J366" s="43"/>
      <c r="K366" s="43"/>
      <c r="L366" s="43"/>
      <c r="M366" s="43"/>
      <c r="N366" s="42"/>
      <c r="O366" s="44"/>
      <c r="P366" s="44"/>
      <c r="Q366" s="44"/>
      <c r="R366" s="44"/>
      <c r="S366" s="53" t="s">
        <v>1113</v>
      </c>
      <c r="T366" s="46"/>
      <c r="U366" s="47"/>
      <c r="V366" s="95"/>
    </row>
    <row r="367" spans="2:22" ht="14.25" customHeight="1">
      <c r="B367" s="60"/>
      <c r="C367" s="26"/>
      <c r="D367" s="26"/>
      <c r="E367" s="19"/>
      <c r="F367" s="51"/>
      <c r="G367" s="52"/>
      <c r="H367" s="41"/>
      <c r="I367" s="42"/>
      <c r="J367" s="43"/>
      <c r="K367" s="43"/>
      <c r="L367" s="43"/>
      <c r="M367" s="43"/>
      <c r="N367" s="42"/>
      <c r="O367" s="44"/>
      <c r="P367" s="44"/>
      <c r="Q367" s="44"/>
      <c r="R367" s="44"/>
      <c r="S367" s="53" t="s">
        <v>1114</v>
      </c>
      <c r="T367" s="67"/>
      <c r="U367" s="59"/>
      <c r="V367" s="95"/>
    </row>
    <row r="368" spans="2:22" ht="14.25" customHeight="1">
      <c r="B368" s="60"/>
      <c r="C368" s="26"/>
      <c r="D368" s="26"/>
      <c r="E368" s="19"/>
      <c r="F368" s="51"/>
      <c r="G368" s="52"/>
      <c r="H368" s="41"/>
      <c r="I368" s="42"/>
      <c r="J368" s="43"/>
      <c r="K368" s="43"/>
      <c r="L368" s="43"/>
      <c r="M368" s="43"/>
      <c r="N368" s="42"/>
      <c r="O368" s="44"/>
      <c r="P368" s="44"/>
      <c r="Q368" s="44"/>
      <c r="R368" s="44"/>
      <c r="S368" s="53" t="s">
        <v>1115</v>
      </c>
      <c r="T368" s="46"/>
      <c r="U368" s="47"/>
      <c r="V368" s="95"/>
    </row>
    <row r="369" spans="2:22" ht="14.25" customHeight="1">
      <c r="B369" s="60"/>
      <c r="C369" s="26"/>
      <c r="D369" s="26"/>
      <c r="E369" s="19"/>
      <c r="F369" s="51"/>
      <c r="G369" s="52"/>
      <c r="H369" s="41"/>
      <c r="I369" s="42"/>
      <c r="J369" s="43"/>
      <c r="K369" s="43"/>
      <c r="L369" s="43"/>
      <c r="M369" s="43"/>
      <c r="N369" s="42"/>
      <c r="O369" s="44"/>
      <c r="P369" s="44"/>
      <c r="Q369" s="44"/>
      <c r="R369" s="44"/>
      <c r="S369" s="53" t="s">
        <v>858</v>
      </c>
      <c r="T369" s="46"/>
      <c r="U369" s="47"/>
      <c r="V369" s="95"/>
    </row>
    <row r="370" spans="2:22" ht="14.25" customHeight="1">
      <c r="B370" s="60"/>
      <c r="C370" s="26"/>
      <c r="D370" s="26"/>
      <c r="E370" s="19"/>
      <c r="F370" s="51"/>
      <c r="G370" s="52"/>
      <c r="H370" s="41"/>
      <c r="I370" s="42"/>
      <c r="J370" s="43"/>
      <c r="K370" s="43"/>
      <c r="L370" s="43"/>
      <c r="M370" s="43"/>
      <c r="N370" s="42"/>
      <c r="O370" s="44"/>
      <c r="P370" s="44"/>
      <c r="Q370" s="44"/>
      <c r="R370" s="44"/>
      <c r="S370" s="53" t="s">
        <v>859</v>
      </c>
      <c r="T370" s="46"/>
      <c r="U370" s="47"/>
      <c r="V370" s="95"/>
    </row>
    <row r="371" spans="2:22" ht="14.25" customHeight="1">
      <c r="B371" s="60"/>
      <c r="C371" s="26"/>
      <c r="D371" s="26"/>
      <c r="E371" s="19"/>
      <c r="F371" s="51"/>
      <c r="G371" s="52"/>
      <c r="H371" s="41"/>
      <c r="I371" s="42"/>
      <c r="J371" s="43"/>
      <c r="K371" s="43"/>
      <c r="L371" s="43"/>
      <c r="M371" s="43"/>
      <c r="N371" s="42"/>
      <c r="O371" s="44"/>
      <c r="P371" s="44"/>
      <c r="Q371" s="44"/>
      <c r="R371" s="44"/>
      <c r="S371" s="53" t="s">
        <v>860</v>
      </c>
      <c r="T371" s="46"/>
      <c r="U371" s="47"/>
      <c r="V371" s="95"/>
    </row>
    <row r="372" spans="2:22" ht="14.25" customHeight="1">
      <c r="B372" s="60"/>
      <c r="C372" s="26"/>
      <c r="D372" s="26"/>
      <c r="E372" s="19"/>
      <c r="F372" s="51"/>
      <c r="G372" s="52"/>
      <c r="H372" s="41"/>
      <c r="I372" s="42"/>
      <c r="J372" s="43"/>
      <c r="K372" s="43"/>
      <c r="L372" s="43"/>
      <c r="M372" s="43"/>
      <c r="N372" s="42"/>
      <c r="O372" s="44"/>
      <c r="P372" s="44"/>
      <c r="Q372" s="44"/>
      <c r="R372" s="44"/>
      <c r="S372" s="53" t="s">
        <v>861</v>
      </c>
      <c r="T372" s="46"/>
      <c r="U372" s="47"/>
      <c r="V372" s="95"/>
    </row>
    <row r="373" spans="2:22" ht="14.25" customHeight="1">
      <c r="B373" s="60"/>
      <c r="C373" s="26"/>
      <c r="D373" s="26"/>
      <c r="E373" s="19"/>
      <c r="F373" s="51"/>
      <c r="G373" s="52"/>
      <c r="H373" s="41"/>
      <c r="I373" s="42"/>
      <c r="J373" s="43"/>
      <c r="K373" s="43"/>
      <c r="L373" s="43"/>
      <c r="M373" s="43"/>
      <c r="N373" s="42"/>
      <c r="O373" s="44"/>
      <c r="P373" s="44"/>
      <c r="Q373" s="44"/>
      <c r="R373" s="44"/>
      <c r="S373" s="53" t="s">
        <v>862</v>
      </c>
      <c r="T373" s="46"/>
      <c r="U373" s="47"/>
      <c r="V373" s="95"/>
    </row>
    <row r="374" spans="2:22" ht="14.25" customHeight="1">
      <c r="B374" s="60"/>
      <c r="C374" s="26"/>
      <c r="D374" s="26"/>
      <c r="E374" s="103"/>
      <c r="F374" s="51"/>
      <c r="G374" s="52"/>
      <c r="H374" s="41"/>
      <c r="I374" s="94"/>
      <c r="J374" s="92"/>
      <c r="K374" s="92"/>
      <c r="L374" s="92"/>
      <c r="M374" s="92"/>
      <c r="N374" s="94"/>
      <c r="O374" s="93"/>
      <c r="P374" s="93"/>
      <c r="Q374" s="93"/>
      <c r="R374" s="93"/>
      <c r="S374" s="53"/>
      <c r="T374" s="46"/>
      <c r="U374" s="47"/>
      <c r="V374" s="95"/>
    </row>
    <row r="375" spans="2:22" ht="14.25" customHeight="1">
      <c r="B375" s="60"/>
      <c r="C375" s="26"/>
      <c r="D375" s="26"/>
      <c r="E375" s="19"/>
      <c r="F375" s="51">
        <f>+F364+1</f>
        <v>3</v>
      </c>
      <c r="G375" s="52"/>
      <c r="H375" s="41" t="s">
        <v>278</v>
      </c>
      <c r="I375" s="94">
        <v>23034000</v>
      </c>
      <c r="J375" s="92">
        <v>0</v>
      </c>
      <c r="K375" s="92">
        <v>0</v>
      </c>
      <c r="L375" s="92">
        <v>0</v>
      </c>
      <c r="M375" s="92">
        <f>+I375-SUM(J375:L375)</f>
        <v>23034000</v>
      </c>
      <c r="N375" s="94">
        <v>20130870</v>
      </c>
      <c r="O375" s="93">
        <v>0</v>
      </c>
      <c r="P375" s="93">
        <v>0</v>
      </c>
      <c r="Q375" s="93">
        <v>0</v>
      </c>
      <c r="R375" s="93">
        <f>+N375-SUM(O375:Q375)</f>
        <v>20130870</v>
      </c>
      <c r="S375" s="53" t="s">
        <v>279</v>
      </c>
      <c r="T375" s="46" t="s">
        <v>863</v>
      </c>
      <c r="U375" s="47" t="s">
        <v>864</v>
      </c>
      <c r="V375" s="95"/>
    </row>
    <row r="376" spans="2:22" ht="14.25" customHeight="1">
      <c r="B376" s="60"/>
      <c r="C376" s="26"/>
      <c r="D376" s="26"/>
      <c r="E376" s="19"/>
      <c r="F376" s="51"/>
      <c r="G376" s="52"/>
      <c r="H376" s="41"/>
      <c r="I376" s="42"/>
      <c r="J376" s="43"/>
      <c r="K376" s="43"/>
      <c r="L376" s="43"/>
      <c r="M376" s="43"/>
      <c r="N376" s="42"/>
      <c r="O376" s="44"/>
      <c r="P376" s="44"/>
      <c r="Q376" s="44"/>
      <c r="R376" s="44"/>
      <c r="S376" s="53" t="s">
        <v>280</v>
      </c>
      <c r="T376" s="46"/>
      <c r="U376" s="47"/>
      <c r="V376" s="95"/>
    </row>
    <row r="377" spans="2:22" ht="14.25" customHeight="1">
      <c r="B377" s="60"/>
      <c r="C377" s="26"/>
      <c r="D377" s="26"/>
      <c r="E377" s="19"/>
      <c r="F377" s="51"/>
      <c r="G377" s="52"/>
      <c r="H377" s="41"/>
      <c r="I377" s="42"/>
      <c r="J377" s="43"/>
      <c r="K377" s="43"/>
      <c r="L377" s="43"/>
      <c r="M377" s="43"/>
      <c r="N377" s="42"/>
      <c r="O377" s="44"/>
      <c r="P377" s="44"/>
      <c r="Q377" s="44"/>
      <c r="R377" s="44"/>
      <c r="S377" s="53" t="s">
        <v>865</v>
      </c>
      <c r="T377" s="46"/>
      <c r="U377" s="47"/>
      <c r="V377" s="95"/>
    </row>
    <row r="378" spans="2:21" ht="14.25" customHeight="1">
      <c r="B378" s="60"/>
      <c r="C378" s="26"/>
      <c r="D378" s="26"/>
      <c r="E378" s="19"/>
      <c r="F378" s="51"/>
      <c r="G378" s="52"/>
      <c r="H378" s="41"/>
      <c r="I378" s="42"/>
      <c r="J378" s="43"/>
      <c r="K378" s="43"/>
      <c r="L378" s="43"/>
      <c r="M378" s="43"/>
      <c r="N378" s="42"/>
      <c r="O378" s="44"/>
      <c r="P378" s="44"/>
      <c r="Q378" s="44"/>
      <c r="R378" s="44"/>
      <c r="S378" s="53"/>
      <c r="T378" s="46"/>
      <c r="U378" s="47"/>
    </row>
    <row r="379" spans="2:21" ht="14.25" customHeight="1">
      <c r="B379" s="60"/>
      <c r="C379" s="26"/>
      <c r="D379" s="26"/>
      <c r="E379" s="19"/>
      <c r="F379" s="51">
        <f>+F375+1</f>
        <v>4</v>
      </c>
      <c r="G379" s="52"/>
      <c r="H379" s="64" t="s">
        <v>281</v>
      </c>
      <c r="I379" s="94">
        <v>402549000</v>
      </c>
      <c r="J379" s="92">
        <v>0</v>
      </c>
      <c r="K379" s="92">
        <v>0</v>
      </c>
      <c r="L379" s="92">
        <v>58650000</v>
      </c>
      <c r="M379" s="92">
        <f>+I379-SUM(J379:L379)</f>
        <v>343899000</v>
      </c>
      <c r="N379" s="94">
        <v>336331784</v>
      </c>
      <c r="O379" s="93">
        <v>0</v>
      </c>
      <c r="P379" s="93">
        <v>0</v>
      </c>
      <c r="Q379" s="93">
        <v>37409233</v>
      </c>
      <c r="R379" s="93">
        <f>+N379-SUM(O379:Q379)</f>
        <v>298922551</v>
      </c>
      <c r="S379" s="53" t="s">
        <v>282</v>
      </c>
      <c r="T379" s="46" t="s">
        <v>283</v>
      </c>
      <c r="U379" s="47" t="s">
        <v>866</v>
      </c>
    </row>
    <row r="380" spans="2:21" ht="14.25" customHeight="1">
      <c r="B380" s="60"/>
      <c r="C380" s="26"/>
      <c r="D380" s="26"/>
      <c r="E380" s="19"/>
      <c r="F380" s="51"/>
      <c r="G380" s="52"/>
      <c r="H380" s="41"/>
      <c r="I380" s="42"/>
      <c r="J380" s="43"/>
      <c r="K380" s="43"/>
      <c r="L380" s="43"/>
      <c r="M380" s="43"/>
      <c r="N380" s="42"/>
      <c r="O380" s="44"/>
      <c r="P380" s="44"/>
      <c r="Q380" s="44"/>
      <c r="R380" s="44"/>
      <c r="S380" s="53" t="s">
        <v>284</v>
      </c>
      <c r="T380" s="46"/>
      <c r="U380" s="47"/>
    </row>
    <row r="381" spans="2:21" ht="14.25" customHeight="1">
      <c r="B381" s="60"/>
      <c r="C381" s="26"/>
      <c r="D381" s="26"/>
      <c r="E381" s="19"/>
      <c r="F381" s="51"/>
      <c r="G381" s="52"/>
      <c r="H381" s="41"/>
      <c r="I381" s="42"/>
      <c r="J381" s="43"/>
      <c r="K381" s="43"/>
      <c r="L381" s="43"/>
      <c r="M381" s="43"/>
      <c r="N381" s="42"/>
      <c r="O381" s="44"/>
      <c r="P381" s="44"/>
      <c r="Q381" s="44"/>
      <c r="R381" s="44"/>
      <c r="S381" s="126" t="s">
        <v>867</v>
      </c>
      <c r="T381" s="46"/>
      <c r="U381" s="47"/>
    </row>
    <row r="382" spans="2:21" ht="14.25" customHeight="1">
      <c r="B382" s="60"/>
      <c r="C382" s="26"/>
      <c r="D382" s="26"/>
      <c r="E382" s="19"/>
      <c r="F382" s="51"/>
      <c r="G382" s="52"/>
      <c r="H382" s="41"/>
      <c r="I382" s="42"/>
      <c r="J382" s="43"/>
      <c r="K382" s="43"/>
      <c r="L382" s="43"/>
      <c r="M382" s="43"/>
      <c r="N382" s="42"/>
      <c r="O382" s="44"/>
      <c r="P382" s="44"/>
      <c r="Q382" s="44"/>
      <c r="R382" s="44"/>
      <c r="S382" s="126" t="s">
        <v>285</v>
      </c>
      <c r="T382" s="46"/>
      <c r="U382" s="47"/>
    </row>
    <row r="383" spans="2:21" ht="14.25" customHeight="1">
      <c r="B383" s="60"/>
      <c r="C383" s="26"/>
      <c r="D383" s="26"/>
      <c r="E383" s="19"/>
      <c r="F383" s="51"/>
      <c r="G383" s="52"/>
      <c r="H383" s="41"/>
      <c r="I383" s="42"/>
      <c r="J383" s="43"/>
      <c r="K383" s="43"/>
      <c r="L383" s="43"/>
      <c r="M383" s="43"/>
      <c r="N383" s="42"/>
      <c r="O383" s="44"/>
      <c r="P383" s="44"/>
      <c r="Q383" s="44"/>
      <c r="R383" s="44"/>
      <c r="S383" s="126" t="s">
        <v>868</v>
      </c>
      <c r="T383" s="46"/>
      <c r="U383" s="47"/>
    </row>
    <row r="384" spans="2:21" ht="14.25" customHeight="1">
      <c r="B384" s="60"/>
      <c r="C384" s="26"/>
      <c r="D384" s="26"/>
      <c r="E384" s="19"/>
      <c r="F384" s="51"/>
      <c r="G384" s="52"/>
      <c r="H384" s="41"/>
      <c r="I384" s="42"/>
      <c r="J384" s="43"/>
      <c r="K384" s="43"/>
      <c r="L384" s="43"/>
      <c r="M384" s="43"/>
      <c r="N384" s="42"/>
      <c r="O384" s="44"/>
      <c r="P384" s="44"/>
      <c r="Q384" s="44"/>
      <c r="R384" s="44"/>
      <c r="S384" s="126" t="s">
        <v>286</v>
      </c>
      <c r="T384" s="46"/>
      <c r="U384" s="47"/>
    </row>
    <row r="385" spans="2:21" ht="14.25" customHeight="1">
      <c r="B385" s="60"/>
      <c r="C385" s="26"/>
      <c r="D385" s="26"/>
      <c r="E385" s="19"/>
      <c r="F385" s="51"/>
      <c r="G385" s="52"/>
      <c r="H385" s="41"/>
      <c r="I385" s="42"/>
      <c r="J385" s="43"/>
      <c r="K385" s="43"/>
      <c r="L385" s="43"/>
      <c r="M385" s="43"/>
      <c r="N385" s="42"/>
      <c r="O385" s="44"/>
      <c r="P385" s="44"/>
      <c r="Q385" s="44"/>
      <c r="R385" s="44"/>
      <c r="S385" s="53" t="s">
        <v>869</v>
      </c>
      <c r="T385" s="46"/>
      <c r="U385" s="47"/>
    </row>
    <row r="386" spans="2:21" ht="14.25" customHeight="1">
      <c r="B386" s="60"/>
      <c r="C386" s="26"/>
      <c r="D386" s="26"/>
      <c r="E386" s="19"/>
      <c r="F386" s="51"/>
      <c r="G386" s="52"/>
      <c r="H386" s="41"/>
      <c r="I386" s="42"/>
      <c r="J386" s="43"/>
      <c r="K386" s="43"/>
      <c r="L386" s="43"/>
      <c r="M386" s="43"/>
      <c r="N386" s="42"/>
      <c r="O386" s="44"/>
      <c r="P386" s="44"/>
      <c r="Q386" s="44"/>
      <c r="R386" s="44"/>
      <c r="S386" s="53"/>
      <c r="T386" s="46"/>
      <c r="U386" s="47"/>
    </row>
    <row r="387" spans="2:21" ht="14.25" customHeight="1">
      <c r="B387" s="60"/>
      <c r="C387" s="26"/>
      <c r="D387" s="26"/>
      <c r="E387" s="19"/>
      <c r="F387" s="51">
        <f>+F379+1</f>
        <v>5</v>
      </c>
      <c r="G387" s="52"/>
      <c r="H387" s="41" t="s">
        <v>287</v>
      </c>
      <c r="I387" s="94">
        <v>8000000</v>
      </c>
      <c r="J387" s="92">
        <v>8000000</v>
      </c>
      <c r="K387" s="92">
        <v>0</v>
      </c>
      <c r="L387" s="92">
        <v>0</v>
      </c>
      <c r="M387" s="92">
        <f>+I387-SUM(J387:L387)</f>
        <v>0</v>
      </c>
      <c r="N387" s="94">
        <f>4848900+997500</f>
        <v>5846400</v>
      </c>
      <c r="O387" s="93">
        <v>5846400</v>
      </c>
      <c r="P387" s="93">
        <v>0</v>
      </c>
      <c r="Q387" s="93">
        <v>0</v>
      </c>
      <c r="R387" s="93">
        <f>+N387-SUM(O387:Q387)</f>
        <v>0</v>
      </c>
      <c r="S387" s="57" t="s">
        <v>249</v>
      </c>
      <c r="T387" s="67" t="s">
        <v>14</v>
      </c>
      <c r="U387" s="59" t="s">
        <v>14</v>
      </c>
    </row>
    <row r="388" spans="2:21" ht="14.25" customHeight="1">
      <c r="B388" s="60"/>
      <c r="C388" s="26"/>
      <c r="D388" s="26"/>
      <c r="E388" s="19"/>
      <c r="F388" s="51"/>
      <c r="G388" s="52"/>
      <c r="H388" s="41"/>
      <c r="I388" s="42"/>
      <c r="J388" s="43"/>
      <c r="K388" s="43"/>
      <c r="L388" s="43"/>
      <c r="M388" s="43"/>
      <c r="N388" s="42"/>
      <c r="O388" s="44"/>
      <c r="P388" s="44"/>
      <c r="Q388" s="44"/>
      <c r="R388" s="44"/>
      <c r="S388" s="53" t="s">
        <v>1007</v>
      </c>
      <c r="T388" s="67"/>
      <c r="U388" s="59"/>
    </row>
    <row r="389" spans="2:21" ht="14.25" customHeight="1">
      <c r="B389" s="60"/>
      <c r="C389" s="26"/>
      <c r="D389" s="26"/>
      <c r="E389" s="19"/>
      <c r="F389" s="51"/>
      <c r="G389" s="52"/>
      <c r="H389" s="41"/>
      <c r="I389" s="42"/>
      <c r="J389" s="43"/>
      <c r="K389" s="43"/>
      <c r="L389" s="43"/>
      <c r="M389" s="43"/>
      <c r="N389" s="42"/>
      <c r="O389" s="44"/>
      <c r="P389" s="44"/>
      <c r="Q389" s="44"/>
      <c r="R389" s="44"/>
      <c r="S389" s="53" t="s">
        <v>1116</v>
      </c>
      <c r="T389" s="67"/>
      <c r="U389" s="59"/>
    </row>
    <row r="390" spans="2:21" ht="14.25" customHeight="1" thickBot="1">
      <c r="B390" s="69"/>
      <c r="C390" s="27"/>
      <c r="D390" s="27"/>
      <c r="E390" s="24"/>
      <c r="F390" s="71"/>
      <c r="G390" s="72"/>
      <c r="H390" s="111"/>
      <c r="I390" s="112"/>
      <c r="J390" s="113"/>
      <c r="K390" s="113"/>
      <c r="L390" s="113"/>
      <c r="M390" s="113"/>
      <c r="N390" s="112"/>
      <c r="O390" s="114"/>
      <c r="P390" s="114"/>
      <c r="Q390" s="114"/>
      <c r="R390" s="114"/>
      <c r="S390" s="115"/>
      <c r="T390" s="138"/>
      <c r="U390" s="139"/>
    </row>
    <row r="391" spans="2:21" ht="14.25" customHeight="1">
      <c r="B391" s="60"/>
      <c r="C391" s="26"/>
      <c r="D391" s="26"/>
      <c r="E391" s="19"/>
      <c r="F391" s="51">
        <f>+F387+1</f>
        <v>6</v>
      </c>
      <c r="G391" s="52"/>
      <c r="H391" s="41" t="s">
        <v>111</v>
      </c>
      <c r="I391" s="94">
        <v>-601000</v>
      </c>
      <c r="J391" s="92">
        <v>0</v>
      </c>
      <c r="K391" s="92">
        <v>0</v>
      </c>
      <c r="L391" s="92">
        <v>0</v>
      </c>
      <c r="M391" s="92">
        <f>+I391-SUM(J391:L391)</f>
        <v>-601000</v>
      </c>
      <c r="N391" s="94">
        <v>0</v>
      </c>
      <c r="O391" s="93">
        <v>0</v>
      </c>
      <c r="P391" s="93">
        <v>0</v>
      </c>
      <c r="Q391" s="93">
        <v>0</v>
      </c>
      <c r="R391" s="93">
        <f>+N391-SUM(O391:Q391)</f>
        <v>0</v>
      </c>
      <c r="S391" s="58" t="s">
        <v>218</v>
      </c>
      <c r="T391" s="46"/>
      <c r="U391" s="47"/>
    </row>
    <row r="392" spans="2:21" ht="14.25" customHeight="1" thickBot="1">
      <c r="B392" s="69"/>
      <c r="C392" s="27"/>
      <c r="D392" s="27"/>
      <c r="E392" s="135"/>
      <c r="F392" s="71"/>
      <c r="G392" s="72"/>
      <c r="H392" s="111"/>
      <c r="I392" s="74"/>
      <c r="J392" s="75"/>
      <c r="K392" s="75"/>
      <c r="L392" s="75"/>
      <c r="M392" s="75"/>
      <c r="N392" s="74"/>
      <c r="O392" s="76"/>
      <c r="P392" s="76"/>
      <c r="Q392" s="76"/>
      <c r="R392" s="76"/>
      <c r="S392" s="133"/>
      <c r="T392" s="78"/>
      <c r="U392" s="79"/>
    </row>
    <row r="393" spans="2:21" ht="14.25" customHeight="1">
      <c r="B393" s="60"/>
      <c r="C393" s="26"/>
      <c r="D393" s="26"/>
      <c r="E393" s="19"/>
      <c r="F393" s="51"/>
      <c r="G393" s="52"/>
      <c r="H393" s="41"/>
      <c r="I393" s="42"/>
      <c r="J393" s="43"/>
      <c r="K393" s="43"/>
      <c r="L393" s="43"/>
      <c r="M393" s="43"/>
      <c r="N393" s="42"/>
      <c r="O393" s="44"/>
      <c r="P393" s="44"/>
      <c r="Q393" s="44"/>
      <c r="R393" s="44"/>
      <c r="S393" s="53"/>
      <c r="T393" s="67"/>
      <c r="U393" s="59"/>
    </row>
    <row r="394" spans="2:22" ht="14.25" customHeight="1">
      <c r="B394" s="17" t="s">
        <v>288</v>
      </c>
      <c r="C394" s="26">
        <f>SUM(I394:I411)</f>
        <v>125993000</v>
      </c>
      <c r="D394" s="26">
        <f>SUM(N394:N411)</f>
        <v>111981285</v>
      </c>
      <c r="E394" s="19" t="s">
        <v>289</v>
      </c>
      <c r="F394" s="51">
        <v>1</v>
      </c>
      <c r="G394" s="52"/>
      <c r="H394" s="41" t="s">
        <v>290</v>
      </c>
      <c r="I394" s="94">
        <v>14614000</v>
      </c>
      <c r="J394" s="92">
        <v>1736000</v>
      </c>
      <c r="K394" s="92">
        <v>0</v>
      </c>
      <c r="L394" s="92">
        <v>0</v>
      </c>
      <c r="M394" s="43">
        <f>+I394-SUM(J394:L394)</f>
        <v>12878000</v>
      </c>
      <c r="N394" s="94">
        <v>13385192</v>
      </c>
      <c r="O394" s="93">
        <v>0</v>
      </c>
      <c r="P394" s="93">
        <v>0</v>
      </c>
      <c r="Q394" s="93">
        <v>1736000</v>
      </c>
      <c r="R394" s="44">
        <f>+N394-SUM(O394:Q394)</f>
        <v>11649192</v>
      </c>
      <c r="S394" s="53" t="s">
        <v>291</v>
      </c>
      <c r="T394" s="46" t="s">
        <v>673</v>
      </c>
      <c r="U394" s="47" t="s">
        <v>674</v>
      </c>
      <c r="V394" s="48"/>
    </row>
    <row r="395" spans="2:22" ht="14.25" customHeight="1">
      <c r="B395" s="17" t="s">
        <v>58</v>
      </c>
      <c r="C395" s="106"/>
      <c r="D395" s="26"/>
      <c r="E395" s="19" t="s">
        <v>292</v>
      </c>
      <c r="F395" s="51"/>
      <c r="G395" s="52"/>
      <c r="H395" s="41"/>
      <c r="I395" s="42"/>
      <c r="J395" s="43"/>
      <c r="K395" s="43"/>
      <c r="L395" s="43"/>
      <c r="M395" s="92"/>
      <c r="N395" s="42"/>
      <c r="O395" s="44"/>
      <c r="P395" s="44"/>
      <c r="Q395" s="44"/>
      <c r="R395" s="93"/>
      <c r="S395" s="53" t="s">
        <v>293</v>
      </c>
      <c r="T395" s="46" t="s">
        <v>675</v>
      </c>
      <c r="U395" s="47" t="s">
        <v>676</v>
      </c>
      <c r="V395" s="55"/>
    </row>
    <row r="396" spans="2:22" ht="14.25" customHeight="1">
      <c r="B396" s="17"/>
      <c r="C396" s="26" t="s">
        <v>7</v>
      </c>
      <c r="D396" s="26" t="s">
        <v>7</v>
      </c>
      <c r="E396" s="19"/>
      <c r="F396" s="51"/>
      <c r="G396" s="52"/>
      <c r="H396" s="41"/>
      <c r="I396" s="94"/>
      <c r="J396" s="92"/>
      <c r="K396" s="92"/>
      <c r="L396" s="92"/>
      <c r="M396" s="92"/>
      <c r="N396" s="94"/>
      <c r="O396" s="93"/>
      <c r="P396" s="93"/>
      <c r="Q396" s="93"/>
      <c r="R396" s="93"/>
      <c r="S396" s="53" t="s">
        <v>294</v>
      </c>
      <c r="T396" s="46"/>
      <c r="U396" s="47"/>
      <c r="V396" s="48"/>
    </row>
    <row r="397" spans="2:22" ht="14.25" customHeight="1">
      <c r="B397" s="60"/>
      <c r="C397" s="26">
        <f>SUM(J394:J411)</f>
        <v>16287000</v>
      </c>
      <c r="D397" s="26">
        <f>SUM(O394:O411)</f>
        <v>643000</v>
      </c>
      <c r="E397" s="19"/>
      <c r="F397" s="51"/>
      <c r="G397" s="40"/>
      <c r="H397" s="41"/>
      <c r="I397" s="94"/>
      <c r="J397" s="92"/>
      <c r="K397" s="92"/>
      <c r="L397" s="92"/>
      <c r="M397" s="92"/>
      <c r="N397" s="94"/>
      <c r="O397" s="93"/>
      <c r="P397" s="93"/>
      <c r="Q397" s="93"/>
      <c r="R397" s="93"/>
      <c r="S397" s="53" t="s">
        <v>295</v>
      </c>
      <c r="T397" s="46"/>
      <c r="U397" s="47"/>
      <c r="V397" s="55"/>
    </row>
    <row r="398" spans="2:22" ht="14.25" customHeight="1">
      <c r="B398" s="60"/>
      <c r="C398" s="26" t="s">
        <v>10</v>
      </c>
      <c r="D398" s="26" t="s">
        <v>10</v>
      </c>
      <c r="E398" s="136"/>
      <c r="F398" s="51"/>
      <c r="G398" s="52"/>
      <c r="H398" s="41"/>
      <c r="I398" s="42"/>
      <c r="J398" s="43"/>
      <c r="K398" s="43"/>
      <c r="L398" s="43"/>
      <c r="M398" s="43"/>
      <c r="N398" s="42"/>
      <c r="O398" s="44"/>
      <c r="P398" s="44"/>
      <c r="Q398" s="44"/>
      <c r="R398" s="44"/>
      <c r="S398" s="57" t="s">
        <v>1117</v>
      </c>
      <c r="T398" s="46"/>
      <c r="U398" s="47"/>
      <c r="V398" s="55"/>
    </row>
    <row r="399" spans="2:22" ht="14.25" customHeight="1">
      <c r="B399" s="60"/>
      <c r="C399" s="26">
        <f>SUM(K394:K411)</f>
        <v>14000000</v>
      </c>
      <c r="D399" s="26">
        <f>SUM(P394:P411)</f>
        <v>13000000</v>
      </c>
      <c r="E399" s="19"/>
      <c r="F399" s="51"/>
      <c r="G399" s="52"/>
      <c r="H399" s="41"/>
      <c r="I399" s="42"/>
      <c r="J399" s="43"/>
      <c r="K399" s="43"/>
      <c r="L399" s="43"/>
      <c r="M399" s="43"/>
      <c r="N399" s="42"/>
      <c r="O399" s="44"/>
      <c r="P399" s="44"/>
      <c r="Q399" s="44"/>
      <c r="R399" s="44"/>
      <c r="S399" s="57" t="s">
        <v>1118</v>
      </c>
      <c r="T399" s="46"/>
      <c r="U399" s="47"/>
      <c r="V399" s="55"/>
    </row>
    <row r="400" spans="2:22" ht="14.25" customHeight="1">
      <c r="B400" s="60"/>
      <c r="C400" s="26" t="s">
        <v>8</v>
      </c>
      <c r="D400" s="26" t="s">
        <v>8</v>
      </c>
      <c r="E400" s="19"/>
      <c r="F400" s="51"/>
      <c r="G400" s="52"/>
      <c r="H400" s="41"/>
      <c r="I400" s="94"/>
      <c r="J400" s="92"/>
      <c r="K400" s="92"/>
      <c r="L400" s="92"/>
      <c r="M400" s="92"/>
      <c r="N400" s="94"/>
      <c r="O400" s="93"/>
      <c r="P400" s="93"/>
      <c r="Q400" s="93"/>
      <c r="R400" s="93"/>
      <c r="S400" s="107"/>
      <c r="T400" s="46"/>
      <c r="U400" s="47"/>
      <c r="V400" s="55"/>
    </row>
    <row r="401" spans="2:22" ht="14.25" customHeight="1">
      <c r="B401" s="60"/>
      <c r="C401" s="26">
        <f>SUM(L394:L411)</f>
        <v>74381000</v>
      </c>
      <c r="D401" s="26">
        <f>SUM(Q394:Q411)</f>
        <v>65321645</v>
      </c>
      <c r="E401" s="19"/>
      <c r="F401" s="51">
        <f>+F394+1</f>
        <v>2</v>
      </c>
      <c r="G401" s="52"/>
      <c r="H401" s="64" t="s">
        <v>296</v>
      </c>
      <c r="I401" s="94">
        <f>27648000+600000+74283000</f>
        <v>102531000</v>
      </c>
      <c r="J401" s="92">
        <v>13824000</v>
      </c>
      <c r="K401" s="92">
        <v>14000000</v>
      </c>
      <c r="L401" s="92">
        <v>74283000</v>
      </c>
      <c r="M401" s="43">
        <f>+I401-SUM(J401:L401)</f>
        <v>424000</v>
      </c>
      <c r="N401" s="94">
        <f>26586900+511868+63559500</f>
        <v>90658268</v>
      </c>
      <c r="O401" s="93">
        <v>0</v>
      </c>
      <c r="P401" s="93">
        <v>13000000</v>
      </c>
      <c r="Q401" s="93">
        <v>63559500</v>
      </c>
      <c r="R401" s="44">
        <f>+N401-SUM(O401:Q401)</f>
        <v>14098768</v>
      </c>
      <c r="S401" s="53" t="s">
        <v>297</v>
      </c>
      <c r="T401" s="46" t="s">
        <v>677</v>
      </c>
      <c r="U401" s="47" t="s">
        <v>678</v>
      </c>
      <c r="V401" s="48"/>
    </row>
    <row r="402" spans="2:22" ht="14.25" customHeight="1">
      <c r="B402" s="60"/>
      <c r="C402" s="26" t="s">
        <v>9</v>
      </c>
      <c r="D402" s="26" t="s">
        <v>9</v>
      </c>
      <c r="E402" s="19"/>
      <c r="F402" s="51"/>
      <c r="G402" s="52"/>
      <c r="H402" s="41"/>
      <c r="I402" s="42"/>
      <c r="J402" s="43"/>
      <c r="K402" s="43"/>
      <c r="L402" s="43"/>
      <c r="M402" s="43"/>
      <c r="N402" s="42"/>
      <c r="O402" s="44"/>
      <c r="P402" s="44"/>
      <c r="Q402" s="44"/>
      <c r="R402" s="44"/>
      <c r="S402" s="53" t="s">
        <v>298</v>
      </c>
      <c r="T402" s="46"/>
      <c r="U402" s="47"/>
      <c r="V402" s="95"/>
    </row>
    <row r="403" spans="2:22" ht="14.25" customHeight="1">
      <c r="B403" s="60"/>
      <c r="C403" s="26">
        <f>C394-C397-C399-C401</f>
        <v>21325000</v>
      </c>
      <c r="D403" s="26">
        <f>D394-D397-D399-D401</f>
        <v>33016640</v>
      </c>
      <c r="E403" s="19"/>
      <c r="F403" s="51"/>
      <c r="G403" s="52"/>
      <c r="H403" s="41"/>
      <c r="I403" s="42"/>
      <c r="J403" s="43"/>
      <c r="K403" s="43"/>
      <c r="L403" s="43"/>
      <c r="M403" s="43"/>
      <c r="N403" s="42"/>
      <c r="O403" s="44"/>
      <c r="P403" s="44"/>
      <c r="Q403" s="44"/>
      <c r="R403" s="44"/>
      <c r="S403" s="53" t="s">
        <v>679</v>
      </c>
      <c r="T403" s="109"/>
      <c r="U403" s="137"/>
      <c r="V403" s="95"/>
    </row>
    <row r="404" spans="2:22" ht="14.25" customHeight="1">
      <c r="B404" s="60"/>
      <c r="C404" s="100"/>
      <c r="D404" s="101"/>
      <c r="E404" s="19"/>
      <c r="F404" s="51"/>
      <c r="G404" s="52"/>
      <c r="H404" s="41"/>
      <c r="I404" s="42"/>
      <c r="J404" s="43"/>
      <c r="K404" s="43"/>
      <c r="L404" s="43"/>
      <c r="M404" s="43"/>
      <c r="N404" s="42"/>
      <c r="O404" s="44"/>
      <c r="P404" s="44"/>
      <c r="Q404" s="44"/>
      <c r="R404" s="44"/>
      <c r="S404" s="53" t="s">
        <v>680</v>
      </c>
      <c r="T404" s="46"/>
      <c r="U404" s="47"/>
      <c r="V404" s="95"/>
    </row>
    <row r="405" spans="2:22" ht="14.25" customHeight="1">
      <c r="B405" s="60"/>
      <c r="C405" s="100"/>
      <c r="D405" s="101"/>
      <c r="E405" s="19"/>
      <c r="F405" s="51"/>
      <c r="G405" s="52"/>
      <c r="H405" s="41"/>
      <c r="I405" s="42"/>
      <c r="J405" s="43"/>
      <c r="K405" s="43"/>
      <c r="L405" s="43"/>
      <c r="M405" s="43"/>
      <c r="N405" s="42"/>
      <c r="O405" s="44"/>
      <c r="P405" s="44"/>
      <c r="Q405" s="44"/>
      <c r="R405" s="44"/>
      <c r="S405" s="53"/>
      <c r="T405" s="46"/>
      <c r="U405" s="47"/>
      <c r="V405" s="48"/>
    </row>
    <row r="406" spans="2:22" ht="14.25" customHeight="1">
      <c r="B406" s="60"/>
      <c r="C406" s="106"/>
      <c r="D406" s="26"/>
      <c r="E406" s="19"/>
      <c r="F406" s="51">
        <f>+F401+1</f>
        <v>3</v>
      </c>
      <c r="G406" s="40"/>
      <c r="H406" s="41" t="s">
        <v>299</v>
      </c>
      <c r="I406" s="94">
        <f>8996000+50000</f>
        <v>9046000</v>
      </c>
      <c r="J406" s="92">
        <v>727000</v>
      </c>
      <c r="K406" s="92">
        <v>0</v>
      </c>
      <c r="L406" s="92">
        <v>98000</v>
      </c>
      <c r="M406" s="43">
        <f>+I406-SUM(J406:L406)</f>
        <v>8221000</v>
      </c>
      <c r="N406" s="94">
        <f>7887825+50000</f>
        <v>7937825</v>
      </c>
      <c r="O406" s="93">
        <v>643000</v>
      </c>
      <c r="P406" s="93">
        <v>0</v>
      </c>
      <c r="Q406" s="93">
        <v>26145</v>
      </c>
      <c r="R406" s="44">
        <f>+N406-SUM(O406:Q406)</f>
        <v>7268680</v>
      </c>
      <c r="S406" s="53" t="s">
        <v>300</v>
      </c>
      <c r="T406" s="46" t="s">
        <v>301</v>
      </c>
      <c r="U406" s="47" t="s">
        <v>301</v>
      </c>
      <c r="V406" s="48"/>
    </row>
    <row r="407" spans="2:22" ht="14.25" customHeight="1">
      <c r="B407" s="60"/>
      <c r="C407" s="106"/>
      <c r="D407" s="26"/>
      <c r="E407" s="19"/>
      <c r="F407" s="51"/>
      <c r="G407" s="40"/>
      <c r="H407" s="41"/>
      <c r="I407" s="94"/>
      <c r="J407" s="92"/>
      <c r="K407" s="92"/>
      <c r="L407" s="92"/>
      <c r="M407" s="43"/>
      <c r="N407" s="94"/>
      <c r="O407" s="93"/>
      <c r="P407" s="93"/>
      <c r="Q407" s="93"/>
      <c r="R407" s="44"/>
      <c r="S407" s="53" t="s">
        <v>302</v>
      </c>
      <c r="T407" s="46"/>
      <c r="U407" s="47"/>
      <c r="V407" s="48"/>
    </row>
    <row r="408" spans="2:22" ht="14.25" customHeight="1">
      <c r="B408" s="60"/>
      <c r="C408" s="106"/>
      <c r="D408" s="26"/>
      <c r="E408" s="19"/>
      <c r="F408" s="51"/>
      <c r="G408" s="40"/>
      <c r="H408" s="41"/>
      <c r="I408" s="94"/>
      <c r="J408" s="92"/>
      <c r="K408" s="92"/>
      <c r="L408" s="92"/>
      <c r="M408" s="43"/>
      <c r="N408" s="94"/>
      <c r="O408" s="93"/>
      <c r="P408" s="93"/>
      <c r="Q408" s="93"/>
      <c r="R408" s="44"/>
      <c r="S408" s="53" t="s">
        <v>303</v>
      </c>
      <c r="T408" s="46"/>
      <c r="U408" s="47"/>
      <c r="V408" s="48"/>
    </row>
    <row r="409" spans="2:22" ht="14.25" customHeight="1">
      <c r="B409" s="60"/>
      <c r="C409" s="106"/>
      <c r="D409" s="26"/>
      <c r="E409" s="19"/>
      <c r="F409" s="51"/>
      <c r="G409" s="40"/>
      <c r="H409" s="41"/>
      <c r="I409" s="94"/>
      <c r="J409" s="92"/>
      <c r="K409" s="92"/>
      <c r="L409" s="92"/>
      <c r="M409" s="43"/>
      <c r="N409" s="94"/>
      <c r="O409" s="93"/>
      <c r="P409" s="93"/>
      <c r="Q409" s="93"/>
      <c r="R409" s="44"/>
      <c r="S409" s="53" t="s">
        <v>304</v>
      </c>
      <c r="T409" s="46"/>
      <c r="U409" s="47"/>
      <c r="V409" s="48"/>
    </row>
    <row r="410" spans="2:22" ht="14.25" customHeight="1">
      <c r="B410" s="60"/>
      <c r="C410" s="106"/>
      <c r="D410" s="26"/>
      <c r="E410" s="19"/>
      <c r="F410" s="51"/>
      <c r="G410" s="40"/>
      <c r="H410" s="41"/>
      <c r="I410" s="94"/>
      <c r="J410" s="92"/>
      <c r="K410" s="92"/>
      <c r="L410" s="92"/>
      <c r="M410" s="43"/>
      <c r="N410" s="94"/>
      <c r="O410" s="93"/>
      <c r="P410" s="93"/>
      <c r="Q410" s="93"/>
      <c r="R410" s="44"/>
      <c r="S410" s="53"/>
      <c r="T410" s="46"/>
      <c r="U410" s="47"/>
      <c r="V410" s="48"/>
    </row>
    <row r="411" spans="2:22" ht="14.25" customHeight="1">
      <c r="B411" s="60"/>
      <c r="C411" s="106"/>
      <c r="D411" s="26"/>
      <c r="E411" s="19"/>
      <c r="F411" s="51">
        <f>+F406+1</f>
        <v>4</v>
      </c>
      <c r="G411" s="52"/>
      <c r="H411" s="41" t="s">
        <v>111</v>
      </c>
      <c r="I411" s="42">
        <v>-198000</v>
      </c>
      <c r="J411" s="43">
        <v>0</v>
      </c>
      <c r="K411" s="43">
        <v>0</v>
      </c>
      <c r="L411" s="43">
        <v>0</v>
      </c>
      <c r="M411" s="43">
        <f>+I411-SUM(J411:L411)</f>
        <v>-198000</v>
      </c>
      <c r="N411" s="42">
        <v>0</v>
      </c>
      <c r="O411" s="44">
        <v>0</v>
      </c>
      <c r="P411" s="44">
        <v>0</v>
      </c>
      <c r="Q411" s="44">
        <v>0</v>
      </c>
      <c r="R411" s="44">
        <f>+N411-SUM(O411:Q411)</f>
        <v>0</v>
      </c>
      <c r="S411" s="58" t="s">
        <v>218</v>
      </c>
      <c r="T411" s="46"/>
      <c r="U411" s="47"/>
      <c r="V411" s="48"/>
    </row>
    <row r="412" spans="2:21" ht="14.25" customHeight="1" thickBot="1">
      <c r="B412" s="69"/>
      <c r="C412" s="27"/>
      <c r="D412" s="27"/>
      <c r="E412" s="24"/>
      <c r="F412" s="71"/>
      <c r="G412" s="72"/>
      <c r="H412" s="111"/>
      <c r="I412" s="112"/>
      <c r="J412" s="113"/>
      <c r="K412" s="113"/>
      <c r="L412" s="113"/>
      <c r="M412" s="113"/>
      <c r="N412" s="112"/>
      <c r="O412" s="114"/>
      <c r="P412" s="114"/>
      <c r="Q412" s="114"/>
      <c r="R412" s="114"/>
      <c r="S412" s="115"/>
      <c r="T412" s="138"/>
      <c r="U412" s="139"/>
    </row>
    <row r="413" spans="2:21" ht="14.25" customHeight="1">
      <c r="B413" s="60"/>
      <c r="C413" s="26"/>
      <c r="D413" s="26"/>
      <c r="E413" s="19"/>
      <c r="F413" s="51"/>
      <c r="G413" s="52"/>
      <c r="H413" s="41"/>
      <c r="I413" s="42"/>
      <c r="J413" s="43"/>
      <c r="K413" s="43"/>
      <c r="L413" s="43"/>
      <c r="M413" s="43"/>
      <c r="N413" s="42"/>
      <c r="O413" s="44"/>
      <c r="P413" s="44"/>
      <c r="Q413" s="44"/>
      <c r="R413" s="44"/>
      <c r="S413" s="53"/>
      <c r="T413" s="67"/>
      <c r="U413" s="59"/>
    </row>
    <row r="414" spans="2:22" ht="14.25" customHeight="1">
      <c r="B414" s="17" t="s">
        <v>57</v>
      </c>
      <c r="C414" s="26">
        <f>SUM(I414:I427)</f>
        <v>30710000</v>
      </c>
      <c r="D414" s="26">
        <f>SUM(N414:N427)</f>
        <v>28708099</v>
      </c>
      <c r="E414" s="19" t="s">
        <v>305</v>
      </c>
      <c r="F414" s="51">
        <v>1</v>
      </c>
      <c r="G414" s="52"/>
      <c r="H414" s="41" t="s">
        <v>306</v>
      </c>
      <c r="I414" s="94">
        <v>10949000</v>
      </c>
      <c r="J414" s="92">
        <v>2353000</v>
      </c>
      <c r="K414" s="92">
        <v>0</v>
      </c>
      <c r="L414" s="92">
        <v>0</v>
      </c>
      <c r="M414" s="92">
        <f>+I414-SUM(J414:L414)</f>
        <v>8596000</v>
      </c>
      <c r="N414" s="94">
        <v>10677502</v>
      </c>
      <c r="O414" s="93">
        <v>2414000</v>
      </c>
      <c r="P414" s="93">
        <v>0</v>
      </c>
      <c r="Q414" s="93">
        <v>0</v>
      </c>
      <c r="R414" s="44">
        <f>+N414-SUM(O414:Q414)</f>
        <v>8263502</v>
      </c>
      <c r="S414" s="107" t="s">
        <v>307</v>
      </c>
      <c r="T414" s="46" t="s">
        <v>308</v>
      </c>
      <c r="U414" s="47" t="s">
        <v>308</v>
      </c>
      <c r="V414" s="48"/>
    </row>
    <row r="415" spans="2:22" ht="14.25" customHeight="1">
      <c r="B415" s="17" t="s">
        <v>58</v>
      </c>
      <c r="C415" s="106"/>
      <c r="D415" s="26"/>
      <c r="E415" s="19"/>
      <c r="F415" s="51"/>
      <c r="G415" s="40"/>
      <c r="H415" s="41"/>
      <c r="I415" s="94"/>
      <c r="J415" s="92"/>
      <c r="K415" s="92"/>
      <c r="L415" s="92"/>
      <c r="M415" s="43"/>
      <c r="N415" s="94"/>
      <c r="O415" s="93"/>
      <c r="P415" s="93"/>
      <c r="Q415" s="93"/>
      <c r="R415" s="44"/>
      <c r="S415" s="53" t="s">
        <v>309</v>
      </c>
      <c r="T415" s="46"/>
      <c r="U415" s="47"/>
      <c r="V415" s="48"/>
    </row>
    <row r="416" spans="2:22" ht="14.25" customHeight="1">
      <c r="B416" s="17"/>
      <c r="C416" s="26" t="s">
        <v>7</v>
      </c>
      <c r="D416" s="26" t="s">
        <v>7</v>
      </c>
      <c r="E416" s="19"/>
      <c r="F416" s="51"/>
      <c r="G416" s="52"/>
      <c r="H416" s="41"/>
      <c r="I416" s="42"/>
      <c r="J416" s="43"/>
      <c r="K416" s="43"/>
      <c r="L416" s="43"/>
      <c r="M416" s="92"/>
      <c r="N416" s="42"/>
      <c r="O416" s="44"/>
      <c r="P416" s="44"/>
      <c r="Q416" s="44"/>
      <c r="R416" s="93"/>
      <c r="S416" s="57" t="s">
        <v>310</v>
      </c>
      <c r="T416" s="67"/>
      <c r="U416" s="59"/>
      <c r="V416" s="48"/>
    </row>
    <row r="417" spans="2:22" ht="14.25" customHeight="1">
      <c r="B417" s="60"/>
      <c r="C417" s="26">
        <f>SUM(J414:J427)</f>
        <v>2763000</v>
      </c>
      <c r="D417" s="26">
        <f>SUM(O414:O427)</f>
        <v>2680000</v>
      </c>
      <c r="E417" s="19"/>
      <c r="F417" s="51"/>
      <c r="G417" s="52"/>
      <c r="H417" s="41"/>
      <c r="I417" s="42"/>
      <c r="J417" s="43"/>
      <c r="K417" s="43"/>
      <c r="L417" s="43"/>
      <c r="M417" s="92"/>
      <c r="N417" s="42"/>
      <c r="O417" s="44"/>
      <c r="P417" s="44"/>
      <c r="Q417" s="44"/>
      <c r="R417" s="93"/>
      <c r="S417" s="57"/>
      <c r="T417" s="67"/>
      <c r="U417" s="59"/>
      <c r="V417" s="48"/>
    </row>
    <row r="418" spans="2:22" ht="14.25" customHeight="1">
      <c r="B418" s="60"/>
      <c r="C418" s="26" t="s">
        <v>8</v>
      </c>
      <c r="D418" s="26" t="s">
        <v>8</v>
      </c>
      <c r="E418" s="19"/>
      <c r="F418" s="51">
        <f>+F414+1</f>
        <v>2</v>
      </c>
      <c r="G418" s="52"/>
      <c r="H418" s="41" t="s">
        <v>311</v>
      </c>
      <c r="I418" s="94">
        <v>3344000</v>
      </c>
      <c r="J418" s="92">
        <v>410000</v>
      </c>
      <c r="K418" s="92">
        <v>0</v>
      </c>
      <c r="L418" s="92">
        <v>0</v>
      </c>
      <c r="M418" s="92">
        <f>+I418-SUM(J418:L418)</f>
        <v>2934000</v>
      </c>
      <c r="N418" s="94">
        <v>3322011</v>
      </c>
      <c r="O418" s="93">
        <v>266000</v>
      </c>
      <c r="P418" s="93">
        <v>0</v>
      </c>
      <c r="Q418" s="93">
        <v>0</v>
      </c>
      <c r="R418" s="44">
        <f>+N418-SUM(O418:Q418)</f>
        <v>3056011</v>
      </c>
      <c r="S418" s="107" t="s">
        <v>307</v>
      </c>
      <c r="T418" s="46" t="s">
        <v>681</v>
      </c>
      <c r="U418" s="47" t="s">
        <v>681</v>
      </c>
      <c r="V418" s="48"/>
    </row>
    <row r="419" spans="2:22" ht="14.25" customHeight="1">
      <c r="B419" s="60"/>
      <c r="C419" s="26">
        <f>SUM(L414:L427)</f>
        <v>2782000</v>
      </c>
      <c r="D419" s="26">
        <f>SUM(Q414:Q427)</f>
        <v>3625800</v>
      </c>
      <c r="E419" s="19"/>
      <c r="F419" s="51"/>
      <c r="G419" s="52"/>
      <c r="H419" s="41"/>
      <c r="I419" s="42"/>
      <c r="J419" s="43"/>
      <c r="K419" s="43"/>
      <c r="L419" s="43"/>
      <c r="M419" s="92"/>
      <c r="N419" s="42"/>
      <c r="O419" s="44"/>
      <c r="P419" s="44"/>
      <c r="Q419" s="44"/>
      <c r="R419" s="93"/>
      <c r="S419" s="53" t="s">
        <v>312</v>
      </c>
      <c r="T419" s="46"/>
      <c r="U419" s="47"/>
      <c r="V419" s="48"/>
    </row>
    <row r="420" spans="2:22" ht="14.25" customHeight="1">
      <c r="B420" s="60"/>
      <c r="C420" s="26" t="s">
        <v>9</v>
      </c>
      <c r="D420" s="26" t="s">
        <v>9</v>
      </c>
      <c r="E420" s="19"/>
      <c r="F420" s="51"/>
      <c r="G420" s="52"/>
      <c r="H420" s="41"/>
      <c r="I420" s="42"/>
      <c r="J420" s="43"/>
      <c r="K420" s="43"/>
      <c r="L420" s="43"/>
      <c r="M420" s="92"/>
      <c r="N420" s="42"/>
      <c r="O420" s="44"/>
      <c r="P420" s="44"/>
      <c r="Q420" s="44"/>
      <c r="R420" s="93"/>
      <c r="S420" s="57" t="s">
        <v>313</v>
      </c>
      <c r="T420" s="67"/>
      <c r="U420" s="59"/>
      <c r="V420" s="48"/>
    </row>
    <row r="421" spans="2:22" ht="14.25" customHeight="1">
      <c r="B421" s="60"/>
      <c r="C421" s="26">
        <f>C414-C417-C419</f>
        <v>25165000</v>
      </c>
      <c r="D421" s="26">
        <f>D414-D417-D419</f>
        <v>22402299</v>
      </c>
      <c r="E421" s="19"/>
      <c r="F421" s="51"/>
      <c r="G421" s="52"/>
      <c r="H421" s="41"/>
      <c r="I421" s="42"/>
      <c r="J421" s="43"/>
      <c r="K421" s="43"/>
      <c r="L421" s="43"/>
      <c r="M421" s="92"/>
      <c r="N421" s="42"/>
      <c r="O421" s="44"/>
      <c r="P421" s="44"/>
      <c r="Q421" s="44"/>
      <c r="R421" s="93"/>
      <c r="S421" s="57"/>
      <c r="T421" s="67"/>
      <c r="U421" s="59"/>
      <c r="V421" s="48"/>
    </row>
    <row r="422" spans="2:22" ht="14.25" customHeight="1">
      <c r="B422" s="60"/>
      <c r="C422" s="26"/>
      <c r="D422" s="26"/>
      <c r="E422" s="19"/>
      <c r="F422" s="51">
        <f>+F418+1</f>
        <v>3</v>
      </c>
      <c r="G422" s="52"/>
      <c r="H422" s="41" t="s">
        <v>314</v>
      </c>
      <c r="I422" s="42">
        <v>16533000</v>
      </c>
      <c r="J422" s="43">
        <v>0</v>
      </c>
      <c r="K422" s="43">
        <v>0</v>
      </c>
      <c r="L422" s="43">
        <v>2782000</v>
      </c>
      <c r="M422" s="43">
        <f>+I422-SUM(J422:L422)</f>
        <v>13751000</v>
      </c>
      <c r="N422" s="42">
        <v>14708586</v>
      </c>
      <c r="O422" s="44">
        <v>0</v>
      </c>
      <c r="P422" s="44">
        <v>0</v>
      </c>
      <c r="Q422" s="44">
        <v>3625800</v>
      </c>
      <c r="R422" s="44">
        <f>+N422-SUM(O422:Q422)</f>
        <v>11082786</v>
      </c>
      <c r="S422" s="57" t="s">
        <v>315</v>
      </c>
      <c r="T422" s="46" t="s">
        <v>316</v>
      </c>
      <c r="U422" s="47" t="s">
        <v>316</v>
      </c>
      <c r="V422" s="48"/>
    </row>
    <row r="423" spans="2:22" ht="14.25" customHeight="1">
      <c r="B423" s="60"/>
      <c r="C423" s="26"/>
      <c r="D423" s="26"/>
      <c r="E423" s="19"/>
      <c r="F423" s="51"/>
      <c r="G423" s="40"/>
      <c r="H423" s="41"/>
      <c r="I423" s="94"/>
      <c r="J423" s="92"/>
      <c r="K423" s="92"/>
      <c r="L423" s="92"/>
      <c r="M423" s="43"/>
      <c r="N423" s="94"/>
      <c r="O423" s="93"/>
      <c r="P423" s="93"/>
      <c r="Q423" s="93"/>
      <c r="R423" s="44"/>
      <c r="S423" s="53" t="s">
        <v>317</v>
      </c>
      <c r="T423" s="46"/>
      <c r="U423" s="47"/>
      <c r="V423" s="48"/>
    </row>
    <row r="424" spans="2:22" ht="14.25" customHeight="1">
      <c r="B424" s="60"/>
      <c r="C424" s="106"/>
      <c r="D424" s="26"/>
      <c r="E424" s="19"/>
      <c r="F424" s="51"/>
      <c r="G424" s="40"/>
      <c r="H424" s="41"/>
      <c r="I424" s="94"/>
      <c r="J424" s="92"/>
      <c r="K424" s="92"/>
      <c r="L424" s="92"/>
      <c r="M424" s="43"/>
      <c r="N424" s="94"/>
      <c r="O424" s="93"/>
      <c r="P424" s="93"/>
      <c r="Q424" s="93"/>
      <c r="R424" s="44"/>
      <c r="S424" s="53" t="s">
        <v>682</v>
      </c>
      <c r="T424" s="46"/>
      <c r="U424" s="47"/>
      <c r="V424" s="48"/>
    </row>
    <row r="425" spans="2:22" ht="14.25" customHeight="1">
      <c r="B425" s="60"/>
      <c r="C425" s="106"/>
      <c r="D425" s="26"/>
      <c r="E425" s="19"/>
      <c r="F425" s="51"/>
      <c r="G425" s="40"/>
      <c r="H425" s="41"/>
      <c r="I425" s="94"/>
      <c r="J425" s="92"/>
      <c r="K425" s="92"/>
      <c r="L425" s="92"/>
      <c r="M425" s="43"/>
      <c r="N425" s="94"/>
      <c r="O425" s="93"/>
      <c r="P425" s="93"/>
      <c r="Q425" s="93"/>
      <c r="R425" s="44"/>
      <c r="S425" s="53" t="s">
        <v>318</v>
      </c>
      <c r="T425" s="46"/>
      <c r="U425" s="47"/>
      <c r="V425" s="48"/>
    </row>
    <row r="426" spans="2:22" ht="14.25" customHeight="1">
      <c r="B426" s="60"/>
      <c r="C426" s="106"/>
      <c r="D426" s="26"/>
      <c r="E426" s="19"/>
      <c r="F426" s="51"/>
      <c r="G426" s="52"/>
      <c r="H426" s="41"/>
      <c r="I426" s="42"/>
      <c r="J426" s="43"/>
      <c r="K426" s="43"/>
      <c r="L426" s="43"/>
      <c r="M426" s="92"/>
      <c r="N426" s="42"/>
      <c r="O426" s="44"/>
      <c r="P426" s="44"/>
      <c r="Q426" s="44"/>
      <c r="R426" s="93"/>
      <c r="S426" s="57"/>
      <c r="T426" s="67"/>
      <c r="U426" s="59"/>
      <c r="V426" s="48"/>
    </row>
    <row r="427" spans="2:22" ht="14.25" customHeight="1">
      <c r="B427" s="60"/>
      <c r="C427" s="106"/>
      <c r="D427" s="26"/>
      <c r="E427" s="19"/>
      <c r="F427" s="51">
        <f>+F422+1</f>
        <v>4</v>
      </c>
      <c r="G427" s="52"/>
      <c r="H427" s="41" t="s">
        <v>111</v>
      </c>
      <c r="I427" s="94">
        <v>-116000</v>
      </c>
      <c r="J427" s="92">
        <v>0</v>
      </c>
      <c r="K427" s="92">
        <v>0</v>
      </c>
      <c r="L427" s="92">
        <v>0</v>
      </c>
      <c r="M427" s="92">
        <f>+I427-SUM(J427:L427)</f>
        <v>-116000</v>
      </c>
      <c r="N427" s="94">
        <v>0</v>
      </c>
      <c r="O427" s="93">
        <v>0</v>
      </c>
      <c r="P427" s="93">
        <v>0</v>
      </c>
      <c r="Q427" s="93">
        <v>0</v>
      </c>
      <c r="R427" s="44">
        <f>+N427-SUM(O427:Q427)</f>
        <v>0</v>
      </c>
      <c r="S427" s="58" t="s">
        <v>218</v>
      </c>
      <c r="T427" s="46"/>
      <c r="U427" s="47"/>
      <c r="V427" s="48"/>
    </row>
    <row r="428" spans="2:21" ht="14.25" customHeight="1" thickBot="1">
      <c r="B428" s="69"/>
      <c r="C428" s="27"/>
      <c r="D428" s="27"/>
      <c r="E428" s="24"/>
      <c r="F428" s="71"/>
      <c r="G428" s="140"/>
      <c r="H428" s="111"/>
      <c r="I428" s="74"/>
      <c r="J428" s="75"/>
      <c r="K428" s="75"/>
      <c r="L428" s="75"/>
      <c r="M428" s="113"/>
      <c r="N428" s="74"/>
      <c r="O428" s="76"/>
      <c r="P428" s="76"/>
      <c r="Q428" s="76"/>
      <c r="R428" s="114"/>
      <c r="S428" s="115"/>
      <c r="T428" s="78"/>
      <c r="U428" s="79"/>
    </row>
    <row r="429" spans="2:21" ht="14.25" customHeight="1">
      <c r="B429" s="60"/>
      <c r="C429" s="26"/>
      <c r="D429" s="26"/>
      <c r="E429" s="19"/>
      <c r="F429" s="51"/>
      <c r="G429" s="40"/>
      <c r="H429" s="41"/>
      <c r="I429" s="94"/>
      <c r="J429" s="92"/>
      <c r="K429" s="92"/>
      <c r="L429" s="92"/>
      <c r="M429" s="43"/>
      <c r="N429" s="94"/>
      <c r="O429" s="93"/>
      <c r="P429" s="93"/>
      <c r="Q429" s="93"/>
      <c r="R429" s="44"/>
      <c r="S429" s="53"/>
      <c r="T429" s="46"/>
      <c r="U429" s="47"/>
    </row>
    <row r="430" spans="2:22" ht="14.25" customHeight="1">
      <c r="B430" s="17" t="s">
        <v>59</v>
      </c>
      <c r="C430" s="26">
        <f>SUM(I430:I449)</f>
        <v>295235350</v>
      </c>
      <c r="D430" s="26">
        <f>SUM(N430:N449)</f>
        <v>180514795</v>
      </c>
      <c r="E430" s="19" t="s">
        <v>319</v>
      </c>
      <c r="F430" s="51">
        <v>1</v>
      </c>
      <c r="G430" s="52"/>
      <c r="H430" s="41" t="s">
        <v>320</v>
      </c>
      <c r="I430" s="42">
        <f>53049000+7996000</f>
        <v>61045000</v>
      </c>
      <c r="J430" s="43">
        <v>0</v>
      </c>
      <c r="K430" s="43">
        <v>0</v>
      </c>
      <c r="L430" s="43">
        <v>72836000</v>
      </c>
      <c r="M430" s="43">
        <f>+I430-SUM(J430:L430)</f>
        <v>-11791000</v>
      </c>
      <c r="N430" s="42">
        <f>47450731+6999901</f>
        <v>54450632</v>
      </c>
      <c r="O430" s="44">
        <v>0</v>
      </c>
      <c r="P430" s="44">
        <v>0</v>
      </c>
      <c r="Q430" s="44">
        <v>70381845</v>
      </c>
      <c r="R430" s="44">
        <f>+N430-SUM(O430:Q430)</f>
        <v>-15931213</v>
      </c>
      <c r="S430" s="53" t="s">
        <v>1120</v>
      </c>
      <c r="T430" s="46" t="s">
        <v>323</v>
      </c>
      <c r="U430" s="47" t="s">
        <v>323</v>
      </c>
      <c r="V430" s="48"/>
    </row>
    <row r="431" spans="2:22" ht="14.25" customHeight="1">
      <c r="B431" s="17"/>
      <c r="C431" s="106"/>
      <c r="D431" s="26"/>
      <c r="E431" s="19"/>
      <c r="F431" s="51"/>
      <c r="G431" s="52"/>
      <c r="H431" s="41"/>
      <c r="I431" s="42"/>
      <c r="J431" s="43"/>
      <c r="K431" s="43"/>
      <c r="L431" s="43"/>
      <c r="M431" s="92"/>
      <c r="N431" s="42"/>
      <c r="O431" s="44"/>
      <c r="P431" s="44"/>
      <c r="Q431" s="44"/>
      <c r="R431" s="93"/>
      <c r="S431" s="57" t="s">
        <v>1121</v>
      </c>
      <c r="T431" s="67"/>
      <c r="U431" s="59"/>
      <c r="V431" s="48"/>
    </row>
    <row r="432" spans="2:22" ht="14.25" customHeight="1">
      <c r="B432" s="17"/>
      <c r="C432" s="26" t="s">
        <v>7</v>
      </c>
      <c r="D432" s="26" t="s">
        <v>7</v>
      </c>
      <c r="E432" s="19"/>
      <c r="F432" s="51"/>
      <c r="G432" s="52"/>
      <c r="H432" s="41"/>
      <c r="I432" s="42"/>
      <c r="J432" s="43"/>
      <c r="K432" s="43"/>
      <c r="L432" s="43"/>
      <c r="M432" s="92"/>
      <c r="N432" s="42"/>
      <c r="O432" s="44"/>
      <c r="P432" s="44"/>
      <c r="Q432" s="44"/>
      <c r="R432" s="93"/>
      <c r="S432" s="57" t="s">
        <v>1122</v>
      </c>
      <c r="T432" s="67"/>
      <c r="U432" s="59"/>
      <c r="V432" s="48"/>
    </row>
    <row r="433" spans="2:22" ht="14.25" customHeight="1">
      <c r="B433" s="60"/>
      <c r="C433" s="26">
        <f>SUM(J430:J449)</f>
        <v>77000000</v>
      </c>
      <c r="D433" s="26">
        <f>SUM(O430:O449)</f>
        <v>52410550</v>
      </c>
      <c r="E433" s="19"/>
      <c r="F433" s="51"/>
      <c r="G433" s="52"/>
      <c r="H433" s="41"/>
      <c r="I433" s="42"/>
      <c r="J433" s="43"/>
      <c r="K433" s="43"/>
      <c r="L433" s="43"/>
      <c r="M433" s="92"/>
      <c r="N433" s="42"/>
      <c r="O433" s="44"/>
      <c r="P433" s="44"/>
      <c r="Q433" s="44"/>
      <c r="R433" s="93"/>
      <c r="S433" s="57" t="s">
        <v>1123</v>
      </c>
      <c r="T433" s="67"/>
      <c r="U433" s="59"/>
      <c r="V433" s="48"/>
    </row>
    <row r="434" spans="2:22" ht="14.25" customHeight="1">
      <c r="B434" s="60"/>
      <c r="C434" s="26" t="s">
        <v>10</v>
      </c>
      <c r="D434" s="26" t="s">
        <v>10</v>
      </c>
      <c r="E434" s="19"/>
      <c r="F434" s="51"/>
      <c r="G434" s="52"/>
      <c r="H434" s="41"/>
      <c r="I434" s="42"/>
      <c r="J434" s="43"/>
      <c r="K434" s="43"/>
      <c r="L434" s="43"/>
      <c r="M434" s="92"/>
      <c r="N434" s="42"/>
      <c r="O434" s="44"/>
      <c r="P434" s="44"/>
      <c r="Q434" s="44"/>
      <c r="R434" s="93"/>
      <c r="S434" s="57"/>
      <c r="T434" s="67"/>
      <c r="U434" s="59"/>
      <c r="V434" s="48"/>
    </row>
    <row r="435" spans="2:22" ht="14.25" customHeight="1">
      <c r="B435" s="60"/>
      <c r="C435" s="26">
        <f>SUM(K430:K449)</f>
        <v>78200000</v>
      </c>
      <c r="D435" s="26">
        <f>SUM(P430:P449)</f>
        <v>77000000</v>
      </c>
      <c r="E435" s="19"/>
      <c r="F435" s="51">
        <f>+F430+1</f>
        <v>2</v>
      </c>
      <c r="G435" s="52"/>
      <c r="H435" s="64" t="s">
        <v>321</v>
      </c>
      <c r="I435" s="42">
        <f>800000+65000000+3295000</f>
        <v>69095000</v>
      </c>
      <c r="J435" s="43">
        <v>32500000</v>
      </c>
      <c r="K435" s="43">
        <v>3200000</v>
      </c>
      <c r="L435" s="43">
        <v>3295000</v>
      </c>
      <c r="M435" s="43">
        <f>+I435-SUM(J435:L435)</f>
        <v>30100000</v>
      </c>
      <c r="N435" s="42">
        <f>514711+41120000+2745850</f>
        <v>44380561</v>
      </c>
      <c r="O435" s="44">
        <v>20560000</v>
      </c>
      <c r="P435" s="44">
        <v>21000000</v>
      </c>
      <c r="Q435" s="44">
        <v>2745850</v>
      </c>
      <c r="R435" s="44">
        <f>+N435-SUM(O435:Q435)</f>
        <v>74711</v>
      </c>
      <c r="S435" s="53" t="s">
        <v>322</v>
      </c>
      <c r="T435" s="46" t="s">
        <v>323</v>
      </c>
      <c r="U435" s="47" t="s">
        <v>323</v>
      </c>
      <c r="V435" s="48"/>
    </row>
    <row r="436" spans="2:22" ht="14.25" customHeight="1">
      <c r="B436" s="60"/>
      <c r="C436" s="26" t="s">
        <v>8</v>
      </c>
      <c r="D436" s="26" t="s">
        <v>8</v>
      </c>
      <c r="E436" s="19"/>
      <c r="F436" s="51"/>
      <c r="G436" s="52"/>
      <c r="H436" s="41"/>
      <c r="I436" s="42"/>
      <c r="J436" s="43"/>
      <c r="K436" s="43"/>
      <c r="L436" s="43"/>
      <c r="M436" s="92"/>
      <c r="N436" s="42"/>
      <c r="O436" s="44"/>
      <c r="P436" s="44"/>
      <c r="Q436" s="44"/>
      <c r="R436" s="93"/>
      <c r="S436" s="57" t="s">
        <v>1124</v>
      </c>
      <c r="T436" s="67"/>
      <c r="U436" s="59"/>
      <c r="V436" s="48"/>
    </row>
    <row r="437" spans="2:22" ht="14.25" customHeight="1">
      <c r="B437" s="60"/>
      <c r="C437" s="26">
        <f>SUM(L430:L449)</f>
        <v>94238350</v>
      </c>
      <c r="D437" s="26">
        <f>SUM(Q430:Q449)</f>
        <v>90886745</v>
      </c>
      <c r="E437" s="19"/>
      <c r="F437" s="51"/>
      <c r="G437" s="52"/>
      <c r="H437" s="41"/>
      <c r="I437" s="42"/>
      <c r="J437" s="43"/>
      <c r="K437" s="43"/>
      <c r="L437" s="43"/>
      <c r="M437" s="92"/>
      <c r="N437" s="42"/>
      <c r="O437" s="44"/>
      <c r="P437" s="44"/>
      <c r="Q437" s="44"/>
      <c r="R437" s="93"/>
      <c r="S437" s="57" t="s">
        <v>683</v>
      </c>
      <c r="T437" s="67"/>
      <c r="U437" s="59"/>
      <c r="V437" s="48"/>
    </row>
    <row r="438" spans="2:22" ht="14.25" customHeight="1">
      <c r="B438" s="60"/>
      <c r="C438" s="26" t="s">
        <v>9</v>
      </c>
      <c r="D438" s="26" t="s">
        <v>9</v>
      </c>
      <c r="E438" s="19"/>
      <c r="F438" s="51"/>
      <c r="G438" s="52"/>
      <c r="H438" s="41"/>
      <c r="I438" s="42"/>
      <c r="J438" s="43"/>
      <c r="K438" s="43"/>
      <c r="L438" s="43"/>
      <c r="M438" s="92"/>
      <c r="N438" s="42"/>
      <c r="O438" s="44"/>
      <c r="P438" s="44"/>
      <c r="Q438" s="44"/>
      <c r="R438" s="93"/>
      <c r="S438" s="57"/>
      <c r="T438" s="67"/>
      <c r="U438" s="59"/>
      <c r="V438" s="48"/>
    </row>
    <row r="439" spans="2:22" ht="14.25" customHeight="1">
      <c r="B439" s="60"/>
      <c r="C439" s="26">
        <f>C430-C433-C435-C437</f>
        <v>45797000</v>
      </c>
      <c r="D439" s="337">
        <f>D430-D433-D435-D437</f>
        <v>-39782500</v>
      </c>
      <c r="E439" s="19"/>
      <c r="F439" s="51">
        <f>+F435+1</f>
        <v>3</v>
      </c>
      <c r="G439" s="52"/>
      <c r="H439" s="64" t="s">
        <v>324</v>
      </c>
      <c r="I439" s="42">
        <f>1300000+140688000+11700000</f>
        <v>153688000</v>
      </c>
      <c r="J439" s="43">
        <v>44500000</v>
      </c>
      <c r="K439" s="43">
        <v>75000000</v>
      </c>
      <c r="L439" s="43">
        <v>11700000</v>
      </c>
      <c r="M439" s="43">
        <f>+I439-SUM(J439:L439)</f>
        <v>22488000</v>
      </c>
      <c r="N439" s="42">
        <f>1231130+57693422+11351700</f>
        <v>70276252</v>
      </c>
      <c r="O439" s="44">
        <v>31850550</v>
      </c>
      <c r="P439" s="44">
        <v>56000000</v>
      </c>
      <c r="Q439" s="44">
        <v>11351700</v>
      </c>
      <c r="R439" s="44">
        <f>+N439-SUM(O439:Q439)</f>
        <v>-28925998</v>
      </c>
      <c r="S439" s="53" t="s">
        <v>684</v>
      </c>
      <c r="T439" s="46" t="s">
        <v>327</v>
      </c>
      <c r="U439" s="47" t="s">
        <v>327</v>
      </c>
      <c r="V439" s="48"/>
    </row>
    <row r="440" spans="2:22" ht="14.25" customHeight="1">
      <c r="B440" s="60"/>
      <c r="C440" s="26"/>
      <c r="D440" s="26"/>
      <c r="E440" s="19"/>
      <c r="F440" s="51"/>
      <c r="G440" s="52"/>
      <c r="H440" s="41"/>
      <c r="I440" s="42"/>
      <c r="J440" s="43"/>
      <c r="K440" s="43"/>
      <c r="L440" s="43"/>
      <c r="M440" s="92"/>
      <c r="N440" s="42"/>
      <c r="O440" s="44"/>
      <c r="P440" s="44"/>
      <c r="Q440" s="44"/>
      <c r="R440" s="93"/>
      <c r="S440" s="57" t="s">
        <v>1125</v>
      </c>
      <c r="T440" s="67"/>
      <c r="U440" s="59"/>
      <c r="V440" s="48"/>
    </row>
    <row r="441" spans="2:22" ht="14.25" customHeight="1">
      <c r="B441" s="60"/>
      <c r="C441" s="106"/>
      <c r="D441" s="26"/>
      <c r="E441" s="19"/>
      <c r="F441" s="51"/>
      <c r="G441" s="52"/>
      <c r="H441" s="41"/>
      <c r="I441" s="42"/>
      <c r="J441" s="43"/>
      <c r="K441" s="43"/>
      <c r="L441" s="43"/>
      <c r="M441" s="92"/>
      <c r="N441" s="42"/>
      <c r="O441" s="44"/>
      <c r="P441" s="44"/>
      <c r="Q441" s="44"/>
      <c r="R441" s="93"/>
      <c r="S441" s="57" t="s">
        <v>685</v>
      </c>
      <c r="T441" s="67"/>
      <c r="U441" s="59"/>
      <c r="V441" s="48"/>
    </row>
    <row r="442" spans="2:22" ht="14.25" customHeight="1">
      <c r="B442" s="60"/>
      <c r="C442" s="106"/>
      <c r="D442" s="26"/>
      <c r="E442" s="19"/>
      <c r="F442" s="51"/>
      <c r="G442" s="52"/>
      <c r="H442" s="41"/>
      <c r="I442" s="42"/>
      <c r="J442" s="43"/>
      <c r="K442" s="43"/>
      <c r="L442" s="43"/>
      <c r="M442" s="92"/>
      <c r="N442" s="42"/>
      <c r="O442" s="44"/>
      <c r="P442" s="44"/>
      <c r="Q442" s="44"/>
      <c r="R442" s="93"/>
      <c r="S442" s="57" t="s">
        <v>1126</v>
      </c>
      <c r="T442" s="67"/>
      <c r="U442" s="59"/>
      <c r="V442" s="48"/>
    </row>
    <row r="443" spans="2:22" ht="14.25" customHeight="1">
      <c r="B443" s="60"/>
      <c r="C443" s="106"/>
      <c r="D443" s="26"/>
      <c r="E443" s="19"/>
      <c r="F443" s="51"/>
      <c r="G443" s="52"/>
      <c r="H443" s="41"/>
      <c r="I443" s="42"/>
      <c r="J443" s="43"/>
      <c r="K443" s="43"/>
      <c r="L443" s="43"/>
      <c r="M443" s="92"/>
      <c r="N443" s="42"/>
      <c r="O443" s="44"/>
      <c r="P443" s="44"/>
      <c r="Q443" s="44"/>
      <c r="R443" s="93"/>
      <c r="S443" s="57" t="s">
        <v>1119</v>
      </c>
      <c r="T443" s="67"/>
      <c r="U443" s="59"/>
      <c r="V443" s="48"/>
    </row>
    <row r="444" spans="2:22" ht="14.25" customHeight="1">
      <c r="B444" s="60"/>
      <c r="C444" s="106"/>
      <c r="D444" s="26"/>
      <c r="E444" s="19"/>
      <c r="F444" s="51"/>
      <c r="G444" s="52"/>
      <c r="H444" s="41"/>
      <c r="I444" s="42"/>
      <c r="J444" s="43"/>
      <c r="K444" s="43"/>
      <c r="L444" s="43"/>
      <c r="M444" s="92"/>
      <c r="N444" s="42"/>
      <c r="O444" s="44"/>
      <c r="P444" s="44"/>
      <c r="Q444" s="44"/>
      <c r="R444" s="93"/>
      <c r="S444" s="57" t="s">
        <v>686</v>
      </c>
      <c r="T444" s="67"/>
      <c r="U444" s="59"/>
      <c r="V444" s="48"/>
    </row>
    <row r="445" spans="2:22" ht="14.25" customHeight="1">
      <c r="B445" s="60"/>
      <c r="C445" s="106"/>
      <c r="D445" s="26"/>
      <c r="E445" s="19"/>
      <c r="F445" s="51"/>
      <c r="G445" s="52"/>
      <c r="H445" s="41"/>
      <c r="I445" s="42"/>
      <c r="J445" s="43"/>
      <c r="K445" s="43"/>
      <c r="L445" s="43"/>
      <c r="M445" s="92"/>
      <c r="N445" s="42"/>
      <c r="O445" s="44"/>
      <c r="P445" s="44"/>
      <c r="Q445" s="44"/>
      <c r="R445" s="93"/>
      <c r="S445" s="57"/>
      <c r="T445" s="67"/>
      <c r="U445" s="59"/>
      <c r="V445" s="48"/>
    </row>
    <row r="446" spans="2:22" ht="14.25" customHeight="1">
      <c r="B446" s="60"/>
      <c r="C446" s="106"/>
      <c r="D446" s="26"/>
      <c r="E446" s="19" t="s">
        <v>325</v>
      </c>
      <c r="F446" s="51">
        <f>+F439+1</f>
        <v>4</v>
      </c>
      <c r="G446" s="52"/>
      <c r="H446" s="41" t="s">
        <v>326</v>
      </c>
      <c r="I446" s="42">
        <v>1407350</v>
      </c>
      <c r="J446" s="43">
        <v>0</v>
      </c>
      <c r="K446" s="43">
        <v>0</v>
      </c>
      <c r="L446" s="43">
        <v>1407350</v>
      </c>
      <c r="M446" s="43">
        <f>+I446-SUM(J446:L446)</f>
        <v>0</v>
      </c>
      <c r="N446" s="42">
        <v>1407350</v>
      </c>
      <c r="O446" s="44">
        <v>0</v>
      </c>
      <c r="P446" s="44">
        <v>0</v>
      </c>
      <c r="Q446" s="44">
        <v>1407350</v>
      </c>
      <c r="R446" s="44">
        <f>+N446-SUM(O446:Q446)</f>
        <v>0</v>
      </c>
      <c r="S446" s="57" t="s">
        <v>687</v>
      </c>
      <c r="T446" s="46" t="s">
        <v>1127</v>
      </c>
      <c r="U446" s="47" t="s">
        <v>1127</v>
      </c>
      <c r="V446" s="48"/>
    </row>
    <row r="447" spans="2:22" ht="14.25" customHeight="1">
      <c r="B447" s="60"/>
      <c r="C447" s="106"/>
      <c r="D447" s="26"/>
      <c r="E447" s="19"/>
      <c r="F447" s="51"/>
      <c r="G447" s="52"/>
      <c r="H447" s="41"/>
      <c r="I447" s="42"/>
      <c r="J447" s="43"/>
      <c r="K447" s="43"/>
      <c r="L447" s="43"/>
      <c r="M447" s="43"/>
      <c r="N447" s="42"/>
      <c r="O447" s="44"/>
      <c r="P447" s="44"/>
      <c r="Q447" s="44"/>
      <c r="R447" s="44"/>
      <c r="S447" s="57" t="s">
        <v>688</v>
      </c>
      <c r="T447" s="67"/>
      <c r="U447" s="59"/>
      <c r="V447" s="48"/>
    </row>
    <row r="448" spans="2:22" ht="14.25" customHeight="1">
      <c r="B448" s="60"/>
      <c r="C448" s="26"/>
      <c r="D448" s="26"/>
      <c r="E448" s="19"/>
      <c r="F448" s="51"/>
      <c r="G448" s="52"/>
      <c r="H448" s="41"/>
      <c r="I448" s="42"/>
      <c r="J448" s="43"/>
      <c r="K448" s="43"/>
      <c r="L448" s="43"/>
      <c r="M448" s="43"/>
      <c r="N448" s="42"/>
      <c r="O448" s="44"/>
      <c r="P448" s="44"/>
      <c r="Q448" s="44"/>
      <c r="R448" s="44"/>
      <c r="S448" s="57"/>
      <c r="T448" s="67"/>
      <c r="U448" s="59"/>
      <c r="V448" s="48"/>
    </row>
    <row r="449" spans="2:22" ht="14.25" customHeight="1">
      <c r="B449" s="60"/>
      <c r="C449" s="26"/>
      <c r="D449" s="26"/>
      <c r="E449" s="19"/>
      <c r="F449" s="51">
        <f>+F446+1</f>
        <v>5</v>
      </c>
      <c r="G449" s="52"/>
      <c r="H449" s="41" t="s">
        <v>328</v>
      </c>
      <c r="I449" s="42">
        <v>10000000</v>
      </c>
      <c r="J449" s="43">
        <v>0</v>
      </c>
      <c r="K449" s="43">
        <v>0</v>
      </c>
      <c r="L449" s="43">
        <v>5000000</v>
      </c>
      <c r="M449" s="43">
        <f>+I449-SUM(J449:L449)</f>
        <v>5000000</v>
      </c>
      <c r="N449" s="42">
        <v>10000000</v>
      </c>
      <c r="O449" s="44">
        <v>0</v>
      </c>
      <c r="P449" s="44">
        <v>0</v>
      </c>
      <c r="Q449" s="44">
        <v>5000000</v>
      </c>
      <c r="R449" s="44">
        <f>+N449-SUM(O449:Q449)</f>
        <v>5000000</v>
      </c>
      <c r="S449" s="57" t="s">
        <v>689</v>
      </c>
      <c r="T449" s="46" t="s">
        <v>1127</v>
      </c>
      <c r="U449" s="47" t="s">
        <v>1127</v>
      </c>
      <c r="V449" s="48"/>
    </row>
    <row r="450" spans="2:22" ht="14.25" customHeight="1">
      <c r="B450" s="60"/>
      <c r="C450" s="26"/>
      <c r="D450" s="26"/>
      <c r="E450" s="19"/>
      <c r="F450" s="51"/>
      <c r="G450" s="52"/>
      <c r="H450" s="41"/>
      <c r="I450" s="42"/>
      <c r="J450" s="43"/>
      <c r="K450" s="43"/>
      <c r="L450" s="43"/>
      <c r="M450" s="92"/>
      <c r="N450" s="42"/>
      <c r="O450" s="44"/>
      <c r="P450" s="44"/>
      <c r="Q450" s="44"/>
      <c r="R450" s="93"/>
      <c r="S450" s="57" t="s">
        <v>690</v>
      </c>
      <c r="T450" s="67"/>
      <c r="U450" s="59"/>
      <c r="V450" s="48"/>
    </row>
    <row r="451" spans="2:22" ht="14.25" customHeight="1" thickBot="1">
      <c r="B451" s="69"/>
      <c r="C451" s="110"/>
      <c r="D451" s="27"/>
      <c r="E451" s="24"/>
      <c r="F451" s="71"/>
      <c r="G451" s="72"/>
      <c r="H451" s="111"/>
      <c r="I451" s="112"/>
      <c r="J451" s="113"/>
      <c r="K451" s="113"/>
      <c r="L451" s="113"/>
      <c r="M451" s="75"/>
      <c r="N451" s="112"/>
      <c r="O451" s="114"/>
      <c r="P451" s="114"/>
      <c r="Q451" s="114"/>
      <c r="R451" s="76"/>
      <c r="S451" s="77"/>
      <c r="T451" s="138"/>
      <c r="U451" s="139"/>
      <c r="V451" s="55"/>
    </row>
    <row r="452" spans="2:21" ht="14.25" customHeight="1">
      <c r="B452" s="60"/>
      <c r="C452" s="26"/>
      <c r="D452" s="26"/>
      <c r="E452" s="19"/>
      <c r="F452" s="51"/>
      <c r="G452" s="40"/>
      <c r="H452" s="41"/>
      <c r="I452" s="94"/>
      <c r="J452" s="92"/>
      <c r="K452" s="92"/>
      <c r="L452" s="92"/>
      <c r="M452" s="43"/>
      <c r="N452" s="94"/>
      <c r="O452" s="93"/>
      <c r="P452" s="93"/>
      <c r="Q452" s="93"/>
      <c r="R452" s="44"/>
      <c r="S452" s="53"/>
      <c r="T452" s="46"/>
      <c r="U452" s="47"/>
    </row>
    <row r="453" spans="2:21" ht="14.25" customHeight="1">
      <c r="B453" s="17" t="s">
        <v>329</v>
      </c>
      <c r="C453" s="26">
        <f>SUM(I453:I483)</f>
        <v>1013717000</v>
      </c>
      <c r="D453" s="26">
        <f>SUM(N453:N483)</f>
        <v>883094768</v>
      </c>
      <c r="E453" s="19" t="s">
        <v>330</v>
      </c>
      <c r="F453" s="51">
        <v>1</v>
      </c>
      <c r="G453" s="52"/>
      <c r="H453" s="64" t="s">
        <v>331</v>
      </c>
      <c r="I453" s="42">
        <v>1708000</v>
      </c>
      <c r="J453" s="43">
        <v>0</v>
      </c>
      <c r="K453" s="43">
        <v>0</v>
      </c>
      <c r="L453" s="43">
        <v>559000</v>
      </c>
      <c r="M453" s="43">
        <f>+I453-SUM(J453:L453)</f>
        <v>1149000</v>
      </c>
      <c r="N453" s="42">
        <v>1287720</v>
      </c>
      <c r="O453" s="44">
        <v>0</v>
      </c>
      <c r="P453" s="44">
        <v>0</v>
      </c>
      <c r="Q453" s="44">
        <v>216230</v>
      </c>
      <c r="R453" s="44">
        <f>+N453-SUM(O453:Q453)</f>
        <v>1071490</v>
      </c>
      <c r="S453" s="126" t="s">
        <v>1128</v>
      </c>
      <c r="T453" s="46" t="s">
        <v>870</v>
      </c>
      <c r="U453" s="47" t="s">
        <v>871</v>
      </c>
    </row>
    <row r="454" spans="2:21" ht="14.25" customHeight="1">
      <c r="B454" s="17" t="s">
        <v>58</v>
      </c>
      <c r="C454" s="26"/>
      <c r="D454" s="26"/>
      <c r="E454" s="19" t="s">
        <v>273</v>
      </c>
      <c r="F454" s="51"/>
      <c r="G454" s="52"/>
      <c r="H454" s="41"/>
      <c r="I454" s="42"/>
      <c r="J454" s="43"/>
      <c r="K454" s="43"/>
      <c r="L454" s="43"/>
      <c r="M454" s="43"/>
      <c r="N454" s="42"/>
      <c r="O454" s="44"/>
      <c r="P454" s="44"/>
      <c r="Q454" s="44"/>
      <c r="R454" s="44"/>
      <c r="S454" s="53" t="s">
        <v>332</v>
      </c>
      <c r="T454" s="105"/>
      <c r="U454" s="284"/>
    </row>
    <row r="455" spans="2:21" ht="14.25" customHeight="1">
      <c r="B455" s="17"/>
      <c r="C455" s="26" t="s">
        <v>7</v>
      </c>
      <c r="D455" s="26" t="s">
        <v>7</v>
      </c>
      <c r="E455" s="19"/>
      <c r="F455" s="51"/>
      <c r="G455" s="52"/>
      <c r="H455" s="41"/>
      <c r="I455" s="42"/>
      <c r="J455" s="43"/>
      <c r="K455" s="43"/>
      <c r="L455" s="43"/>
      <c r="M455" s="43"/>
      <c r="N455" s="42"/>
      <c r="O455" s="44"/>
      <c r="P455" s="44"/>
      <c r="Q455" s="44"/>
      <c r="R455" s="44"/>
      <c r="S455" s="53" t="s">
        <v>333</v>
      </c>
      <c r="T455" s="46"/>
      <c r="U455" s="47"/>
    </row>
    <row r="456" spans="2:21" ht="14.25" customHeight="1">
      <c r="B456" s="17"/>
      <c r="C456" s="26">
        <f>SUM(J453:J483)</f>
        <v>697511000</v>
      </c>
      <c r="D456" s="26">
        <f>SUM(O453:O483)</f>
        <v>588199940</v>
      </c>
      <c r="E456" s="19"/>
      <c r="F456" s="51"/>
      <c r="G456" s="52"/>
      <c r="H456" s="41"/>
      <c r="I456" s="42"/>
      <c r="J456" s="43"/>
      <c r="K456" s="43"/>
      <c r="L456" s="43"/>
      <c r="M456" s="43"/>
      <c r="N456" s="42"/>
      <c r="O456" s="44"/>
      <c r="P456" s="44"/>
      <c r="Q456" s="44"/>
      <c r="R456" s="44"/>
      <c r="S456" s="53"/>
      <c r="T456" s="46"/>
      <c r="U456" s="47"/>
    </row>
    <row r="457" spans="2:21" ht="14.25" customHeight="1">
      <c r="B457" s="17"/>
      <c r="C457" s="26" t="s">
        <v>8</v>
      </c>
      <c r="D457" s="26" t="s">
        <v>8</v>
      </c>
      <c r="E457" s="19"/>
      <c r="F457" s="51">
        <f>+F453+1</f>
        <v>2</v>
      </c>
      <c r="G457" s="52"/>
      <c r="H457" s="64" t="s">
        <v>334</v>
      </c>
      <c r="I457" s="42">
        <v>9471000</v>
      </c>
      <c r="J457" s="43">
        <v>0</v>
      </c>
      <c r="K457" s="43">
        <v>0</v>
      </c>
      <c r="L457" s="43">
        <v>9450000</v>
      </c>
      <c r="M457" s="43">
        <f>+I457-SUM(J457:L457)</f>
        <v>21000</v>
      </c>
      <c r="N457" s="42">
        <v>4876533</v>
      </c>
      <c r="O457" s="44">
        <v>0</v>
      </c>
      <c r="P457" s="44">
        <v>0</v>
      </c>
      <c r="Q457" s="141">
        <v>3897582</v>
      </c>
      <c r="R457" s="44">
        <f>+N457-SUM(O457:Q457)</f>
        <v>978951</v>
      </c>
      <c r="S457" s="53" t="s">
        <v>335</v>
      </c>
      <c r="T457" s="46" t="s">
        <v>336</v>
      </c>
      <c r="U457" s="47" t="s">
        <v>355</v>
      </c>
    </row>
    <row r="458" spans="2:21" ht="14.25" customHeight="1">
      <c r="B458" s="17"/>
      <c r="C458" s="26">
        <f>SUM(L453:L483)</f>
        <v>325939000</v>
      </c>
      <c r="D458" s="26">
        <f>SUM(Q453:Q483)</f>
        <v>306777785</v>
      </c>
      <c r="E458" s="19"/>
      <c r="F458" s="51"/>
      <c r="G458" s="52"/>
      <c r="H458" s="41"/>
      <c r="I458" s="42"/>
      <c r="J458" s="43"/>
      <c r="K458" s="43"/>
      <c r="L458" s="43"/>
      <c r="M458" s="43"/>
      <c r="N458" s="42"/>
      <c r="O458" s="44"/>
      <c r="P458" s="44"/>
      <c r="Q458" s="141"/>
      <c r="R458" s="44"/>
      <c r="S458" s="53" t="s">
        <v>872</v>
      </c>
      <c r="T458" s="46"/>
      <c r="U458" s="47"/>
    </row>
    <row r="459" spans="2:21" ht="14.25" customHeight="1">
      <c r="B459" s="17"/>
      <c r="C459" s="26" t="s">
        <v>9</v>
      </c>
      <c r="D459" s="26" t="s">
        <v>9</v>
      </c>
      <c r="E459" s="19"/>
      <c r="F459" s="51"/>
      <c r="G459" s="52"/>
      <c r="H459" s="41"/>
      <c r="I459" s="42"/>
      <c r="J459" s="43"/>
      <c r="K459" s="43"/>
      <c r="L459" s="43"/>
      <c r="M459" s="43"/>
      <c r="N459" s="42"/>
      <c r="O459" s="44"/>
      <c r="P459" s="44"/>
      <c r="Q459" s="141"/>
      <c r="R459" s="44"/>
      <c r="S459" s="53" t="s">
        <v>1129</v>
      </c>
      <c r="T459" s="46"/>
      <c r="U459" s="47"/>
    </row>
    <row r="460" spans="2:21" ht="14.25" customHeight="1">
      <c r="B460" s="60"/>
      <c r="C460" s="337">
        <f>C453-C456-C458</f>
        <v>-9733000</v>
      </c>
      <c r="D460" s="337">
        <f>D453-D456-D458</f>
        <v>-11882957</v>
      </c>
      <c r="E460" s="19"/>
      <c r="F460" s="51"/>
      <c r="G460" s="52"/>
      <c r="H460" s="41"/>
      <c r="I460" s="42"/>
      <c r="J460" s="43"/>
      <c r="K460" s="43"/>
      <c r="L460" s="43"/>
      <c r="M460" s="43"/>
      <c r="N460" s="42"/>
      <c r="O460" s="44"/>
      <c r="P460" s="44"/>
      <c r="Q460" s="141"/>
      <c r="R460" s="44"/>
      <c r="S460" s="53" t="s">
        <v>1130</v>
      </c>
      <c r="T460" s="46"/>
      <c r="U460" s="47"/>
    </row>
    <row r="461" spans="2:21" ht="14.25" customHeight="1">
      <c r="B461" s="60"/>
      <c r="C461" s="26"/>
      <c r="D461" s="26"/>
      <c r="E461" s="19"/>
      <c r="F461" s="51"/>
      <c r="G461" s="52"/>
      <c r="H461" s="41"/>
      <c r="I461" s="42"/>
      <c r="J461" s="43"/>
      <c r="K461" s="43"/>
      <c r="L461" s="43"/>
      <c r="M461" s="43"/>
      <c r="N461" s="42"/>
      <c r="O461" s="44"/>
      <c r="P461" s="44"/>
      <c r="Q461" s="141"/>
      <c r="R461" s="44"/>
      <c r="S461" s="53"/>
      <c r="T461" s="46"/>
      <c r="U461" s="47"/>
    </row>
    <row r="462" spans="2:21" ht="14.25" customHeight="1">
      <c r="B462" s="60"/>
      <c r="C462" s="26"/>
      <c r="D462" s="26"/>
      <c r="E462" s="19"/>
      <c r="F462" s="51">
        <f>+F457+1</f>
        <v>3</v>
      </c>
      <c r="G462" s="52"/>
      <c r="H462" s="64" t="s">
        <v>337</v>
      </c>
      <c r="I462" s="42">
        <v>678422000</v>
      </c>
      <c r="J462" s="43">
        <v>692081000</v>
      </c>
      <c r="K462" s="43">
        <v>0</v>
      </c>
      <c r="L462" s="43">
        <v>0</v>
      </c>
      <c r="M462" s="43">
        <f>+I462-SUM(J462:L462)</f>
        <v>-13659000</v>
      </c>
      <c r="N462" s="42">
        <v>568717006</v>
      </c>
      <c r="O462" s="44">
        <v>582820000</v>
      </c>
      <c r="P462" s="44">
        <v>0</v>
      </c>
      <c r="Q462" s="44">
        <v>0</v>
      </c>
      <c r="R462" s="44">
        <f>+N462-SUM(O462:Q462)</f>
        <v>-14102994</v>
      </c>
      <c r="S462" s="53" t="s">
        <v>873</v>
      </c>
      <c r="T462" s="46" t="s">
        <v>338</v>
      </c>
      <c r="U462" s="47" t="s">
        <v>874</v>
      </c>
    </row>
    <row r="463" spans="2:21" ht="14.25" customHeight="1">
      <c r="B463" s="60"/>
      <c r="C463" s="26"/>
      <c r="D463" s="26"/>
      <c r="E463" s="19"/>
      <c r="F463" s="51"/>
      <c r="G463" s="52"/>
      <c r="H463" s="41"/>
      <c r="I463" s="42"/>
      <c r="J463" s="43"/>
      <c r="K463" s="43"/>
      <c r="L463" s="43"/>
      <c r="M463" s="43"/>
      <c r="N463" s="42"/>
      <c r="O463" s="44"/>
      <c r="P463" s="44"/>
      <c r="Q463" s="44"/>
      <c r="R463" s="44"/>
      <c r="S463" s="53" t="s">
        <v>339</v>
      </c>
      <c r="T463" s="46"/>
      <c r="U463" s="47"/>
    </row>
    <row r="464" spans="2:21" ht="14.25" customHeight="1">
      <c r="B464" s="60"/>
      <c r="C464" s="26"/>
      <c r="D464" s="26"/>
      <c r="E464" s="19"/>
      <c r="F464" s="51"/>
      <c r="G464" s="52"/>
      <c r="H464" s="41"/>
      <c r="I464" s="42"/>
      <c r="J464" s="43"/>
      <c r="K464" s="43"/>
      <c r="L464" s="43"/>
      <c r="M464" s="43"/>
      <c r="N464" s="42"/>
      <c r="O464" s="44"/>
      <c r="P464" s="44"/>
      <c r="Q464" s="44"/>
      <c r="R464" s="44"/>
      <c r="S464" s="53" t="s">
        <v>875</v>
      </c>
      <c r="T464" s="46"/>
      <c r="U464" s="47"/>
    </row>
    <row r="465" spans="2:21" ht="14.25" customHeight="1">
      <c r="B465" s="60"/>
      <c r="C465" s="26"/>
      <c r="D465" s="26"/>
      <c r="E465" s="19"/>
      <c r="F465" s="51"/>
      <c r="G465" s="52"/>
      <c r="H465" s="41"/>
      <c r="I465" s="42"/>
      <c r="J465" s="43"/>
      <c r="K465" s="43"/>
      <c r="L465" s="43"/>
      <c r="M465" s="43"/>
      <c r="N465" s="42"/>
      <c r="O465" s="44"/>
      <c r="P465" s="44"/>
      <c r="Q465" s="44"/>
      <c r="R465" s="44"/>
      <c r="S465" s="53"/>
      <c r="T465" s="46"/>
      <c r="U465" s="47"/>
    </row>
    <row r="466" spans="2:21" ht="14.25" customHeight="1">
      <c r="B466" s="60"/>
      <c r="C466" s="26"/>
      <c r="D466" s="26"/>
      <c r="E466" s="19"/>
      <c r="F466" s="51">
        <f>+F462+1</f>
        <v>4</v>
      </c>
      <c r="G466" s="52"/>
      <c r="H466" s="64" t="s">
        <v>340</v>
      </c>
      <c r="I466" s="42">
        <v>705000</v>
      </c>
      <c r="J466" s="43">
        <v>0</v>
      </c>
      <c r="K466" s="43">
        <v>0</v>
      </c>
      <c r="L466" s="43">
        <v>0</v>
      </c>
      <c r="M466" s="43">
        <f>+I466-SUM(J466:L466)</f>
        <v>705000</v>
      </c>
      <c r="N466" s="42">
        <v>187700</v>
      </c>
      <c r="O466" s="44">
        <v>0</v>
      </c>
      <c r="P466" s="44">
        <v>0</v>
      </c>
      <c r="Q466" s="44">
        <v>0</v>
      </c>
      <c r="R466" s="44">
        <f>+N466-SUM(O466:Q466)</f>
        <v>187700</v>
      </c>
      <c r="S466" s="126" t="s">
        <v>876</v>
      </c>
      <c r="T466" s="46" t="s">
        <v>877</v>
      </c>
      <c r="U466" s="47" t="s">
        <v>878</v>
      </c>
    </row>
    <row r="467" spans="2:21" ht="14.25" customHeight="1">
      <c r="B467" s="60"/>
      <c r="C467" s="26"/>
      <c r="D467" s="26"/>
      <c r="E467" s="19"/>
      <c r="F467" s="51"/>
      <c r="G467" s="52"/>
      <c r="H467" s="41"/>
      <c r="I467" s="42"/>
      <c r="J467" s="43"/>
      <c r="K467" s="43"/>
      <c r="L467" s="43"/>
      <c r="M467" s="43"/>
      <c r="N467" s="42"/>
      <c r="O467" s="44"/>
      <c r="P467" s="44"/>
      <c r="Q467" s="44"/>
      <c r="R467" s="44"/>
      <c r="S467" s="53" t="s">
        <v>879</v>
      </c>
      <c r="T467" s="46"/>
      <c r="U467" s="47"/>
    </row>
    <row r="468" spans="2:21" ht="14.25" customHeight="1">
      <c r="B468" s="60"/>
      <c r="C468" s="26"/>
      <c r="D468" s="26"/>
      <c r="E468" s="19"/>
      <c r="F468" s="51"/>
      <c r="G468" s="52"/>
      <c r="H468" s="41"/>
      <c r="I468" s="42"/>
      <c r="J468" s="43"/>
      <c r="K468" s="43"/>
      <c r="L468" s="43"/>
      <c r="M468" s="43"/>
      <c r="N468" s="42"/>
      <c r="O468" s="44"/>
      <c r="P468" s="44"/>
      <c r="Q468" s="44"/>
      <c r="R468" s="44"/>
      <c r="S468" s="53"/>
      <c r="T468" s="67"/>
      <c r="U468" s="59"/>
    </row>
    <row r="469" spans="2:21" ht="14.25" customHeight="1">
      <c r="B469" s="60"/>
      <c r="C469" s="26"/>
      <c r="D469" s="26"/>
      <c r="E469" s="19"/>
      <c r="F469" s="51">
        <f>+F466+1</f>
        <v>5</v>
      </c>
      <c r="G469" s="52"/>
      <c r="H469" s="64" t="s">
        <v>341</v>
      </c>
      <c r="I469" s="42">
        <f>876000+315930000</f>
        <v>316806000</v>
      </c>
      <c r="J469" s="43">
        <v>0</v>
      </c>
      <c r="K469" s="43">
        <v>0</v>
      </c>
      <c r="L469" s="43">
        <v>315930000</v>
      </c>
      <c r="M469" s="43">
        <f>+I469-SUM(J469:L469)</f>
        <v>876000</v>
      </c>
      <c r="N469" s="42">
        <f>501780+300965000</f>
        <v>301466780</v>
      </c>
      <c r="O469" s="44">
        <v>0</v>
      </c>
      <c r="P469" s="44">
        <v>0</v>
      </c>
      <c r="Q469" s="44">
        <v>302663973</v>
      </c>
      <c r="R469" s="44">
        <f>+N469-SUM(O469:Q469)</f>
        <v>-1197193</v>
      </c>
      <c r="S469" s="53" t="s">
        <v>880</v>
      </c>
      <c r="T469" s="285" t="s">
        <v>1132</v>
      </c>
      <c r="U469" s="47" t="s">
        <v>881</v>
      </c>
    </row>
    <row r="470" spans="2:21" ht="14.25" customHeight="1">
      <c r="B470" s="60"/>
      <c r="C470" s="26"/>
      <c r="D470" s="26"/>
      <c r="E470" s="19"/>
      <c r="F470" s="51"/>
      <c r="G470" s="52"/>
      <c r="H470" s="41"/>
      <c r="I470" s="42"/>
      <c r="J470" s="43"/>
      <c r="K470" s="43"/>
      <c r="L470" s="43"/>
      <c r="M470" s="43"/>
      <c r="N470" s="42"/>
      <c r="O470" s="44"/>
      <c r="P470" s="44"/>
      <c r="Q470" s="44"/>
      <c r="R470" s="44"/>
      <c r="S470" s="53" t="s">
        <v>1131</v>
      </c>
      <c r="T470" s="46"/>
      <c r="U470" s="47"/>
    </row>
    <row r="471" spans="2:21" ht="14.25" customHeight="1">
      <c r="B471" s="60"/>
      <c r="C471" s="26"/>
      <c r="D471" s="26"/>
      <c r="E471" s="19"/>
      <c r="F471" s="51"/>
      <c r="G471" s="52"/>
      <c r="H471" s="41"/>
      <c r="I471" s="42"/>
      <c r="J471" s="43"/>
      <c r="K471" s="43"/>
      <c r="L471" s="43"/>
      <c r="M471" s="43"/>
      <c r="N471" s="42"/>
      <c r="O471" s="44"/>
      <c r="P471" s="44"/>
      <c r="Q471" s="44"/>
      <c r="R471" s="44"/>
      <c r="S471" s="53" t="s">
        <v>882</v>
      </c>
      <c r="T471" s="46" t="s">
        <v>883</v>
      </c>
      <c r="U471" s="47" t="s">
        <v>884</v>
      </c>
    </row>
    <row r="472" spans="2:21" ht="14.25" customHeight="1">
      <c r="B472" s="60"/>
      <c r="C472" s="26"/>
      <c r="D472" s="26"/>
      <c r="E472" s="19"/>
      <c r="F472" s="51"/>
      <c r="G472" s="52"/>
      <c r="H472" s="41"/>
      <c r="I472" s="42"/>
      <c r="J472" s="43"/>
      <c r="K472" s="43"/>
      <c r="L472" s="43"/>
      <c r="M472" s="43"/>
      <c r="N472" s="42"/>
      <c r="O472" s="44"/>
      <c r="P472" s="44"/>
      <c r="Q472" s="44"/>
      <c r="R472" s="44"/>
      <c r="S472" s="53" t="s">
        <v>885</v>
      </c>
      <c r="T472" s="67"/>
      <c r="U472" s="59"/>
    </row>
    <row r="473" spans="2:21" ht="14.25" customHeight="1">
      <c r="B473" s="60"/>
      <c r="C473" s="26"/>
      <c r="D473" s="26"/>
      <c r="E473" s="19"/>
      <c r="F473" s="51"/>
      <c r="G473" s="52"/>
      <c r="H473" s="41"/>
      <c r="I473" s="42"/>
      <c r="J473" s="43"/>
      <c r="K473" s="43"/>
      <c r="L473" s="43"/>
      <c r="M473" s="43"/>
      <c r="N473" s="42"/>
      <c r="O473" s="44"/>
      <c r="P473" s="44"/>
      <c r="Q473" s="44"/>
      <c r="R473" s="44"/>
      <c r="S473" s="53" t="s">
        <v>342</v>
      </c>
      <c r="T473" s="46"/>
      <c r="U473" s="47"/>
    </row>
    <row r="474" spans="2:21" ht="14.25" customHeight="1" thickBot="1">
      <c r="B474" s="69"/>
      <c r="C474" s="27"/>
      <c r="D474" s="27"/>
      <c r="E474" s="24"/>
      <c r="F474" s="71"/>
      <c r="G474" s="72"/>
      <c r="H474" s="111"/>
      <c r="I474" s="112"/>
      <c r="J474" s="113"/>
      <c r="K474" s="113"/>
      <c r="L474" s="113"/>
      <c r="M474" s="113"/>
      <c r="N474" s="112"/>
      <c r="O474" s="114"/>
      <c r="P474" s="114"/>
      <c r="Q474" s="114"/>
      <c r="R474" s="114"/>
      <c r="S474" s="115"/>
      <c r="T474" s="138"/>
      <c r="U474" s="139"/>
    </row>
    <row r="475" spans="2:21" ht="14.25" customHeight="1">
      <c r="B475" s="60"/>
      <c r="C475" s="26"/>
      <c r="D475" s="26"/>
      <c r="E475" s="19"/>
      <c r="F475" s="51">
        <f>+F469+1</f>
        <v>6</v>
      </c>
      <c r="G475" s="52"/>
      <c r="H475" s="64" t="s">
        <v>343</v>
      </c>
      <c r="I475" s="42">
        <v>5430000</v>
      </c>
      <c r="J475" s="43">
        <v>5430000</v>
      </c>
      <c r="K475" s="43">
        <v>0</v>
      </c>
      <c r="L475" s="43">
        <v>0</v>
      </c>
      <c r="M475" s="43">
        <f>+I475-SUM(J475:L475)</f>
        <v>0</v>
      </c>
      <c r="N475" s="42">
        <v>5418540</v>
      </c>
      <c r="O475" s="44">
        <v>5379940</v>
      </c>
      <c r="P475" s="44">
        <v>0</v>
      </c>
      <c r="Q475" s="44">
        <v>0</v>
      </c>
      <c r="R475" s="44">
        <f>+N475-SUM(O475:Q475)</f>
        <v>38600</v>
      </c>
      <c r="S475" s="53" t="s">
        <v>886</v>
      </c>
      <c r="T475" s="67"/>
      <c r="U475" s="59"/>
    </row>
    <row r="476" spans="2:21" ht="14.25" customHeight="1">
      <c r="B476" s="60"/>
      <c r="C476" s="26"/>
      <c r="D476" s="26"/>
      <c r="E476" s="19"/>
      <c r="F476" s="51"/>
      <c r="G476" s="52"/>
      <c r="H476" s="41"/>
      <c r="I476" s="42"/>
      <c r="J476" s="43"/>
      <c r="K476" s="43"/>
      <c r="L476" s="43"/>
      <c r="M476" s="43"/>
      <c r="N476" s="42"/>
      <c r="O476" s="44"/>
      <c r="P476" s="44"/>
      <c r="Q476" s="44"/>
      <c r="R476" s="44"/>
      <c r="S476" s="53" t="s">
        <v>887</v>
      </c>
      <c r="T476" s="46"/>
      <c r="U476" s="47"/>
    </row>
    <row r="477" spans="2:21" ht="14.25" customHeight="1">
      <c r="B477" s="60"/>
      <c r="C477" s="26"/>
      <c r="D477" s="26"/>
      <c r="E477" s="19"/>
      <c r="F477" s="51"/>
      <c r="G477" s="52"/>
      <c r="H477" s="41"/>
      <c r="I477" s="42"/>
      <c r="J477" s="43"/>
      <c r="K477" s="43"/>
      <c r="L477" s="43"/>
      <c r="M477" s="43"/>
      <c r="N477" s="42"/>
      <c r="O477" s="44"/>
      <c r="P477" s="44"/>
      <c r="Q477" s="44"/>
      <c r="R477" s="44"/>
      <c r="S477" s="53" t="s">
        <v>888</v>
      </c>
      <c r="T477" s="46"/>
      <c r="U477" s="47"/>
    </row>
    <row r="478" spans="2:21" ht="14.25" customHeight="1">
      <c r="B478" s="60"/>
      <c r="C478" s="26"/>
      <c r="D478" s="26"/>
      <c r="E478" s="19"/>
      <c r="F478" s="51"/>
      <c r="G478" s="52"/>
      <c r="H478" s="41"/>
      <c r="I478" s="42"/>
      <c r="J478" s="43"/>
      <c r="K478" s="43"/>
      <c r="L478" s="43"/>
      <c r="M478" s="43"/>
      <c r="N478" s="42"/>
      <c r="O478" s="44"/>
      <c r="P478" s="44"/>
      <c r="Q478" s="44"/>
      <c r="R478" s="44"/>
      <c r="S478" s="53"/>
      <c r="T478" s="67"/>
      <c r="U478" s="59"/>
    </row>
    <row r="479" spans="2:21" ht="14.25" customHeight="1">
      <c r="B479" s="60"/>
      <c r="C479" s="26"/>
      <c r="D479" s="26"/>
      <c r="E479" s="19"/>
      <c r="F479" s="51">
        <f>+F475+1</f>
        <v>7</v>
      </c>
      <c r="G479" s="52"/>
      <c r="H479" s="64" t="s">
        <v>344</v>
      </c>
      <c r="I479" s="42">
        <v>1232000</v>
      </c>
      <c r="J479" s="43">
        <v>0</v>
      </c>
      <c r="K479" s="43">
        <v>0</v>
      </c>
      <c r="L479" s="43">
        <v>0</v>
      </c>
      <c r="M479" s="43">
        <f>+I479-SUM(J479:L479)</f>
        <v>1232000</v>
      </c>
      <c r="N479" s="42">
        <v>1140489</v>
      </c>
      <c r="O479" s="44">
        <v>0</v>
      </c>
      <c r="P479" s="44">
        <v>0</v>
      </c>
      <c r="Q479" s="44">
        <v>0</v>
      </c>
      <c r="R479" s="44">
        <f>+N479-SUM(O479:Q479)</f>
        <v>1140489</v>
      </c>
      <c r="S479" s="53" t="s">
        <v>889</v>
      </c>
      <c r="T479" s="46" t="s">
        <v>890</v>
      </c>
      <c r="U479" s="47" t="s">
        <v>891</v>
      </c>
    </row>
    <row r="480" spans="2:21" ht="14.25" customHeight="1">
      <c r="B480" s="60"/>
      <c r="C480" s="26"/>
      <c r="D480" s="26"/>
      <c r="E480" s="19"/>
      <c r="F480" s="51"/>
      <c r="G480" s="52"/>
      <c r="H480" s="64"/>
      <c r="I480" s="42"/>
      <c r="J480" s="43"/>
      <c r="K480" s="43"/>
      <c r="L480" s="43"/>
      <c r="M480" s="43"/>
      <c r="N480" s="42"/>
      <c r="O480" s="44"/>
      <c r="P480" s="44"/>
      <c r="Q480" s="44"/>
      <c r="R480" s="44"/>
      <c r="S480" s="99" t="s">
        <v>1133</v>
      </c>
      <c r="T480" s="67"/>
      <c r="U480" s="59"/>
    </row>
    <row r="481" spans="2:21" ht="14.25" customHeight="1">
      <c r="B481" s="60"/>
      <c r="C481" s="26"/>
      <c r="D481" s="26"/>
      <c r="E481" s="19"/>
      <c r="F481" s="51"/>
      <c r="G481" s="52"/>
      <c r="H481" s="41"/>
      <c r="I481" s="42"/>
      <c r="J481" s="43"/>
      <c r="K481" s="43"/>
      <c r="L481" s="43"/>
      <c r="M481" s="43"/>
      <c r="N481" s="42"/>
      <c r="O481" s="44"/>
      <c r="P481" s="44"/>
      <c r="Q481" s="44"/>
      <c r="R481" s="44"/>
      <c r="S481" s="99" t="s">
        <v>1134</v>
      </c>
      <c r="T481" s="46"/>
      <c r="U481" s="47"/>
    </row>
    <row r="482" spans="2:21" ht="14.25" customHeight="1">
      <c r="B482" s="60"/>
      <c r="C482" s="26"/>
      <c r="D482" s="26"/>
      <c r="E482" s="19"/>
      <c r="F482" s="51"/>
      <c r="G482" s="52"/>
      <c r="H482" s="41"/>
      <c r="I482" s="42"/>
      <c r="J482" s="43"/>
      <c r="K482" s="43"/>
      <c r="L482" s="43"/>
      <c r="M482" s="43"/>
      <c r="N482" s="42"/>
      <c r="O482" s="44"/>
      <c r="P482" s="44"/>
      <c r="Q482" s="44"/>
      <c r="R482" s="44"/>
      <c r="S482" s="53"/>
      <c r="T482" s="46"/>
      <c r="U482" s="47"/>
    </row>
    <row r="483" spans="2:21" ht="14.25" customHeight="1">
      <c r="B483" s="60"/>
      <c r="C483" s="26"/>
      <c r="D483" s="26"/>
      <c r="E483" s="19"/>
      <c r="F483" s="51">
        <f>+F479+1</f>
        <v>8</v>
      </c>
      <c r="G483" s="52"/>
      <c r="H483" s="41" t="s">
        <v>111</v>
      </c>
      <c r="I483" s="94">
        <v>-57000</v>
      </c>
      <c r="J483" s="92">
        <v>0</v>
      </c>
      <c r="K483" s="92">
        <v>0</v>
      </c>
      <c r="L483" s="92">
        <v>0</v>
      </c>
      <c r="M483" s="92">
        <f>+I483-SUM(J483:L483)</f>
        <v>-57000</v>
      </c>
      <c r="N483" s="94">
        <v>0</v>
      </c>
      <c r="O483" s="93">
        <v>0</v>
      </c>
      <c r="P483" s="93">
        <v>0</v>
      </c>
      <c r="Q483" s="93">
        <v>0</v>
      </c>
      <c r="R483" s="44">
        <f>+N483-SUM(O483:Q483)</f>
        <v>0</v>
      </c>
      <c r="S483" s="58" t="s">
        <v>218</v>
      </c>
      <c r="T483" s="46"/>
      <c r="U483" s="47"/>
    </row>
    <row r="484" spans="2:21" ht="14.25" customHeight="1" thickBot="1">
      <c r="B484" s="69"/>
      <c r="C484" s="27"/>
      <c r="D484" s="27"/>
      <c r="E484" s="24"/>
      <c r="F484" s="71"/>
      <c r="G484" s="72"/>
      <c r="H484" s="111"/>
      <c r="I484" s="112"/>
      <c r="J484" s="113"/>
      <c r="K484" s="113"/>
      <c r="L484" s="113"/>
      <c r="M484" s="113"/>
      <c r="N484" s="112"/>
      <c r="O484" s="114"/>
      <c r="P484" s="114"/>
      <c r="Q484" s="114"/>
      <c r="R484" s="114"/>
      <c r="S484" s="115"/>
      <c r="T484" s="138"/>
      <c r="U484" s="139"/>
    </row>
    <row r="485" spans="2:21" ht="14.25" customHeight="1">
      <c r="B485" s="60"/>
      <c r="C485" s="26"/>
      <c r="D485" s="26"/>
      <c r="E485" s="19"/>
      <c r="F485" s="51"/>
      <c r="G485" s="52"/>
      <c r="H485" s="41"/>
      <c r="I485" s="42"/>
      <c r="J485" s="43"/>
      <c r="K485" s="43"/>
      <c r="L485" s="43"/>
      <c r="M485" s="43"/>
      <c r="N485" s="42"/>
      <c r="O485" s="44"/>
      <c r="P485" s="44"/>
      <c r="Q485" s="44"/>
      <c r="R485" s="44"/>
      <c r="S485" s="53"/>
      <c r="T485" s="67"/>
      <c r="U485" s="59"/>
    </row>
    <row r="486" spans="2:21" ht="14.25" customHeight="1">
      <c r="B486" s="17" t="s">
        <v>330</v>
      </c>
      <c r="C486" s="26">
        <f>SUM(I486:I522)</f>
        <v>180549000</v>
      </c>
      <c r="D486" s="26">
        <f>SUM(N486:N522)</f>
        <v>157742799</v>
      </c>
      <c r="E486" s="19" t="s">
        <v>330</v>
      </c>
      <c r="F486" s="51">
        <v>1</v>
      </c>
      <c r="G486" s="52"/>
      <c r="H486" s="41" t="s">
        <v>345</v>
      </c>
      <c r="I486" s="94">
        <v>1103000</v>
      </c>
      <c r="J486" s="92">
        <v>0</v>
      </c>
      <c r="K486" s="92">
        <v>0</v>
      </c>
      <c r="L486" s="92">
        <v>0</v>
      </c>
      <c r="M486" s="92">
        <f>+I486-SUM(J486:L486)</f>
        <v>1103000</v>
      </c>
      <c r="N486" s="94">
        <v>141000</v>
      </c>
      <c r="O486" s="93">
        <v>0</v>
      </c>
      <c r="P486" s="93">
        <v>0</v>
      </c>
      <c r="Q486" s="93">
        <v>0</v>
      </c>
      <c r="R486" s="93">
        <f>+N486-SUM(O486:Q486)</f>
        <v>141000</v>
      </c>
      <c r="S486" s="53" t="s">
        <v>346</v>
      </c>
      <c r="T486" s="46" t="s">
        <v>316</v>
      </c>
      <c r="U486" s="47" t="s">
        <v>316</v>
      </c>
    </row>
    <row r="487" spans="2:21" ht="14.25" customHeight="1">
      <c r="B487" s="17" t="s">
        <v>121</v>
      </c>
      <c r="C487" s="26"/>
      <c r="D487" s="26"/>
      <c r="E487" s="19" t="s">
        <v>273</v>
      </c>
      <c r="F487" s="51"/>
      <c r="G487" s="52"/>
      <c r="H487" s="41"/>
      <c r="I487" s="94"/>
      <c r="J487" s="92"/>
      <c r="K487" s="92"/>
      <c r="L487" s="92"/>
      <c r="M487" s="92"/>
      <c r="N487" s="94"/>
      <c r="O487" s="93"/>
      <c r="P487" s="93"/>
      <c r="Q487" s="93"/>
      <c r="R487" s="93"/>
      <c r="S487" s="53"/>
      <c r="T487" s="46"/>
      <c r="U487" s="47"/>
    </row>
    <row r="488" spans="2:21" ht="14.25" customHeight="1">
      <c r="B488" s="17"/>
      <c r="C488" s="26" t="s">
        <v>8</v>
      </c>
      <c r="D488" s="26" t="s">
        <v>8</v>
      </c>
      <c r="E488" s="19"/>
      <c r="F488" s="51">
        <f>+F486+1</f>
        <v>2</v>
      </c>
      <c r="G488" s="52"/>
      <c r="H488" s="64" t="s">
        <v>347</v>
      </c>
      <c r="I488" s="42">
        <v>98724000</v>
      </c>
      <c r="J488" s="43">
        <v>0</v>
      </c>
      <c r="K488" s="43">
        <v>0</v>
      </c>
      <c r="L488" s="43">
        <v>0</v>
      </c>
      <c r="M488" s="43">
        <f>+I488-SUM(J488:L488)</f>
        <v>98724000</v>
      </c>
      <c r="N488" s="42">
        <v>85053000</v>
      </c>
      <c r="O488" s="44">
        <v>0</v>
      </c>
      <c r="P488" s="44">
        <v>0</v>
      </c>
      <c r="Q488" s="44">
        <v>0</v>
      </c>
      <c r="R488" s="44">
        <f>+N488-SUM(O488:Q488)</f>
        <v>85053000</v>
      </c>
      <c r="S488" s="57" t="s">
        <v>348</v>
      </c>
      <c r="T488" s="46" t="s">
        <v>349</v>
      </c>
      <c r="U488" s="47" t="s">
        <v>349</v>
      </c>
    </row>
    <row r="489" spans="2:21" ht="14.25" customHeight="1">
      <c r="B489" s="17"/>
      <c r="C489" s="26">
        <f>SUM(L486:L522)</f>
        <v>41162000</v>
      </c>
      <c r="D489" s="26">
        <f>SUM(Q486:Q522)</f>
        <v>38020336</v>
      </c>
      <c r="E489" s="19"/>
      <c r="F489" s="51"/>
      <c r="G489" s="52"/>
      <c r="H489" s="41"/>
      <c r="I489" s="42"/>
      <c r="J489" s="43"/>
      <c r="K489" s="43"/>
      <c r="L489" s="43"/>
      <c r="M489" s="43"/>
      <c r="N489" s="42"/>
      <c r="O489" s="44"/>
      <c r="P489" s="44"/>
      <c r="Q489" s="44"/>
      <c r="R489" s="44"/>
      <c r="S489" s="57" t="s">
        <v>1135</v>
      </c>
      <c r="T489" s="46"/>
      <c r="U489" s="47"/>
    </row>
    <row r="490" spans="2:21" ht="14.25" customHeight="1">
      <c r="B490" s="17"/>
      <c r="C490" s="26" t="s">
        <v>9</v>
      </c>
      <c r="D490" s="26" t="s">
        <v>9</v>
      </c>
      <c r="E490" s="19"/>
      <c r="F490" s="51"/>
      <c r="G490" s="52"/>
      <c r="H490" s="41"/>
      <c r="I490" s="42"/>
      <c r="J490" s="43"/>
      <c r="K490" s="43"/>
      <c r="L490" s="43"/>
      <c r="M490" s="43"/>
      <c r="N490" s="42"/>
      <c r="O490" s="44"/>
      <c r="P490" s="44"/>
      <c r="Q490" s="44"/>
      <c r="R490" s="44"/>
      <c r="S490" s="57"/>
      <c r="T490" s="46"/>
      <c r="U490" s="47"/>
    </row>
    <row r="491" spans="2:21" ht="14.25" customHeight="1">
      <c r="B491" s="17"/>
      <c r="C491" s="26">
        <f>C486-C489</f>
        <v>139387000</v>
      </c>
      <c r="D491" s="26">
        <f>D486-D489</f>
        <v>119722463</v>
      </c>
      <c r="E491" s="19"/>
      <c r="F491" s="51">
        <f>+F488+1</f>
        <v>3</v>
      </c>
      <c r="G491" s="52"/>
      <c r="H491" s="64" t="s">
        <v>350</v>
      </c>
      <c r="I491" s="42">
        <v>6567000</v>
      </c>
      <c r="J491" s="43">
        <v>0</v>
      </c>
      <c r="K491" s="43">
        <v>0</v>
      </c>
      <c r="L491" s="43">
        <v>7000</v>
      </c>
      <c r="M491" s="43">
        <f>+I491-SUM(J491:L491)</f>
        <v>6560000</v>
      </c>
      <c r="N491" s="42">
        <v>2613960</v>
      </c>
      <c r="O491" s="44">
        <v>0</v>
      </c>
      <c r="P491" s="44">
        <v>0</v>
      </c>
      <c r="Q491" s="44">
        <v>20336</v>
      </c>
      <c r="R491" s="44">
        <f>+N491-SUM(O491:Q491)</f>
        <v>2593624</v>
      </c>
      <c r="S491" s="53" t="s">
        <v>351</v>
      </c>
      <c r="T491" s="46" t="s">
        <v>316</v>
      </c>
      <c r="U491" s="47" t="s">
        <v>316</v>
      </c>
    </row>
    <row r="492" spans="2:21" ht="14.25" customHeight="1">
      <c r="B492" s="17"/>
      <c r="C492" s="26"/>
      <c r="D492" s="26"/>
      <c r="E492" s="19"/>
      <c r="F492" s="51"/>
      <c r="G492" s="52"/>
      <c r="H492" s="41"/>
      <c r="I492" s="42"/>
      <c r="J492" s="43"/>
      <c r="K492" s="43"/>
      <c r="L492" s="43"/>
      <c r="M492" s="43"/>
      <c r="N492" s="42"/>
      <c r="O492" s="44"/>
      <c r="P492" s="44"/>
      <c r="Q492" s="44"/>
      <c r="R492" s="44"/>
      <c r="S492" s="53" t="s">
        <v>352</v>
      </c>
      <c r="T492" s="46" t="s">
        <v>769</v>
      </c>
      <c r="U492" s="47" t="s">
        <v>770</v>
      </c>
    </row>
    <row r="493" spans="2:21" ht="14.25" customHeight="1">
      <c r="B493" s="60"/>
      <c r="C493" s="26"/>
      <c r="D493" s="26"/>
      <c r="E493" s="19"/>
      <c r="F493" s="51"/>
      <c r="G493" s="52"/>
      <c r="H493" s="41"/>
      <c r="I493" s="42"/>
      <c r="J493" s="43"/>
      <c r="K493" s="43"/>
      <c r="L493" s="43"/>
      <c r="M493" s="43"/>
      <c r="N493" s="42"/>
      <c r="O493" s="44"/>
      <c r="P493" s="44"/>
      <c r="Q493" s="44"/>
      <c r="R493" s="44"/>
      <c r="S493" s="53"/>
      <c r="T493" s="46"/>
      <c r="U493" s="47"/>
    </row>
    <row r="494" spans="2:21" ht="14.25" customHeight="1">
      <c r="B494" s="60"/>
      <c r="C494" s="26"/>
      <c r="D494" s="26"/>
      <c r="E494" s="19"/>
      <c r="F494" s="51">
        <f>+F491+1</f>
        <v>4</v>
      </c>
      <c r="G494" s="52"/>
      <c r="H494" s="41" t="s">
        <v>353</v>
      </c>
      <c r="I494" s="42">
        <v>3542000</v>
      </c>
      <c r="J494" s="43">
        <v>0</v>
      </c>
      <c r="K494" s="43">
        <v>0</v>
      </c>
      <c r="L494" s="43">
        <v>3155000</v>
      </c>
      <c r="M494" s="43">
        <f>+I494-SUM(J494:L494)</f>
        <v>387000</v>
      </c>
      <c r="N494" s="42">
        <v>3540983</v>
      </c>
      <c r="O494" s="44">
        <v>0</v>
      </c>
      <c r="P494" s="44">
        <v>0</v>
      </c>
      <c r="Q494" s="44">
        <v>3000000</v>
      </c>
      <c r="R494" s="44">
        <f>+N494-SUM(O494:Q494)</f>
        <v>540983</v>
      </c>
      <c r="S494" s="53" t="s">
        <v>771</v>
      </c>
      <c r="T494" s="109"/>
      <c r="U494" s="137"/>
    </row>
    <row r="495" spans="2:21" ht="14.25" customHeight="1">
      <c r="B495" s="60"/>
      <c r="C495" s="26"/>
      <c r="D495" s="26"/>
      <c r="E495" s="19"/>
      <c r="F495" s="51"/>
      <c r="G495" s="52"/>
      <c r="H495" s="41"/>
      <c r="I495" s="42"/>
      <c r="J495" s="43"/>
      <c r="K495" s="43"/>
      <c r="L495" s="43"/>
      <c r="M495" s="43"/>
      <c r="N495" s="42"/>
      <c r="O495" s="44"/>
      <c r="P495" s="44"/>
      <c r="Q495" s="44"/>
      <c r="R495" s="44"/>
      <c r="S495" s="53" t="s">
        <v>354</v>
      </c>
      <c r="T495" s="109" t="s">
        <v>379</v>
      </c>
      <c r="U495" s="137" t="s">
        <v>379</v>
      </c>
    </row>
    <row r="496" spans="2:21" ht="14.25" customHeight="1">
      <c r="B496" s="60"/>
      <c r="C496" s="26"/>
      <c r="D496" s="26"/>
      <c r="E496" s="19"/>
      <c r="F496" s="51"/>
      <c r="G496" s="52"/>
      <c r="H496" s="41"/>
      <c r="I496" s="42"/>
      <c r="J496" s="43"/>
      <c r="K496" s="43"/>
      <c r="L496" s="43"/>
      <c r="M496" s="43"/>
      <c r="N496" s="42"/>
      <c r="O496" s="44"/>
      <c r="P496" s="44"/>
      <c r="Q496" s="44"/>
      <c r="R496" s="44"/>
      <c r="S496" s="53" t="s">
        <v>772</v>
      </c>
      <c r="T496" s="109"/>
      <c r="U496" s="137"/>
    </row>
    <row r="497" spans="2:21" ht="14.25" customHeight="1">
      <c r="B497" s="60"/>
      <c r="C497" s="26"/>
      <c r="D497" s="26"/>
      <c r="E497" s="19"/>
      <c r="F497" s="51"/>
      <c r="G497" s="52"/>
      <c r="H497" s="41"/>
      <c r="I497" s="42"/>
      <c r="J497" s="43"/>
      <c r="K497" s="43"/>
      <c r="L497" s="43"/>
      <c r="M497" s="43"/>
      <c r="N497" s="42"/>
      <c r="O497" s="44"/>
      <c r="P497" s="44"/>
      <c r="Q497" s="44"/>
      <c r="R497" s="44"/>
      <c r="S497" s="53" t="s">
        <v>773</v>
      </c>
      <c r="T497" s="109"/>
      <c r="U497" s="137"/>
    </row>
    <row r="498" spans="2:21" ht="14.25" customHeight="1">
      <c r="B498" s="60"/>
      <c r="C498" s="26"/>
      <c r="D498" s="26"/>
      <c r="E498" s="19"/>
      <c r="F498" s="51"/>
      <c r="G498" s="52"/>
      <c r="H498" s="41"/>
      <c r="I498" s="42"/>
      <c r="J498" s="43"/>
      <c r="K498" s="43"/>
      <c r="L498" s="43"/>
      <c r="M498" s="43"/>
      <c r="N498" s="42"/>
      <c r="O498" s="44"/>
      <c r="P498" s="44"/>
      <c r="Q498" s="44"/>
      <c r="R498" s="44"/>
      <c r="S498" s="53" t="s">
        <v>774</v>
      </c>
      <c r="T498" s="109"/>
      <c r="U498" s="137"/>
    </row>
    <row r="499" spans="2:21" ht="14.25" customHeight="1">
      <c r="B499" s="60"/>
      <c r="C499" s="26"/>
      <c r="D499" s="26"/>
      <c r="E499" s="19"/>
      <c r="F499" s="51"/>
      <c r="G499" s="52"/>
      <c r="H499" s="41"/>
      <c r="I499" s="42"/>
      <c r="J499" s="43"/>
      <c r="K499" s="43"/>
      <c r="L499" s="43"/>
      <c r="M499" s="43"/>
      <c r="N499" s="42"/>
      <c r="O499" s="44"/>
      <c r="P499" s="44"/>
      <c r="Q499" s="44"/>
      <c r="R499" s="44"/>
      <c r="S499" s="53"/>
      <c r="T499" s="109"/>
      <c r="U499" s="137"/>
    </row>
    <row r="500" spans="2:21" ht="14.25" customHeight="1">
      <c r="B500" s="60"/>
      <c r="C500" s="26"/>
      <c r="D500" s="26"/>
      <c r="E500" s="19"/>
      <c r="F500" s="51">
        <f>+F494+1</f>
        <v>5</v>
      </c>
      <c r="G500" s="52"/>
      <c r="H500" s="41" t="s">
        <v>356</v>
      </c>
      <c r="I500" s="42">
        <v>6873000</v>
      </c>
      <c r="J500" s="43">
        <v>0</v>
      </c>
      <c r="K500" s="43">
        <v>0</v>
      </c>
      <c r="L500" s="43">
        <v>0</v>
      </c>
      <c r="M500" s="43">
        <f>+I500-SUM(J500:L500)</f>
        <v>6873000</v>
      </c>
      <c r="N500" s="42">
        <v>6164500</v>
      </c>
      <c r="O500" s="44">
        <v>0</v>
      </c>
      <c r="P500" s="44">
        <v>0</v>
      </c>
      <c r="Q500" s="44">
        <v>0</v>
      </c>
      <c r="R500" s="44">
        <f>+N500-SUM(O500:Q500)</f>
        <v>6164500</v>
      </c>
      <c r="S500" s="53" t="s">
        <v>775</v>
      </c>
      <c r="T500" s="67" t="s">
        <v>357</v>
      </c>
      <c r="U500" s="47" t="s">
        <v>776</v>
      </c>
    </row>
    <row r="501" spans="2:21" ht="14.25" customHeight="1">
      <c r="B501" s="60"/>
      <c r="C501" s="26"/>
      <c r="D501" s="26"/>
      <c r="E501" s="19"/>
      <c r="F501" s="51"/>
      <c r="G501" s="52"/>
      <c r="H501" s="41"/>
      <c r="I501" s="42"/>
      <c r="J501" s="43"/>
      <c r="K501" s="43"/>
      <c r="L501" s="43"/>
      <c r="M501" s="43"/>
      <c r="N501" s="42"/>
      <c r="O501" s="44"/>
      <c r="P501" s="44"/>
      <c r="Q501" s="44"/>
      <c r="R501" s="44"/>
      <c r="S501" s="53" t="s">
        <v>1136</v>
      </c>
      <c r="T501" s="46"/>
      <c r="U501" s="47"/>
    </row>
    <row r="502" spans="2:21" ht="14.25" customHeight="1">
      <c r="B502" s="60"/>
      <c r="C502" s="26"/>
      <c r="D502" s="26"/>
      <c r="E502" s="19"/>
      <c r="F502" s="51"/>
      <c r="G502" s="52"/>
      <c r="H502" s="41"/>
      <c r="I502" s="42"/>
      <c r="J502" s="43"/>
      <c r="K502" s="43"/>
      <c r="L502" s="43"/>
      <c r="M502" s="43"/>
      <c r="N502" s="42"/>
      <c r="O502" s="44"/>
      <c r="P502" s="44"/>
      <c r="Q502" s="44"/>
      <c r="R502" s="44"/>
      <c r="S502" s="53"/>
      <c r="T502" s="46"/>
      <c r="U502" s="47"/>
    </row>
    <row r="503" spans="2:21" ht="14.25" customHeight="1">
      <c r="B503" s="60"/>
      <c r="C503" s="26"/>
      <c r="D503" s="26"/>
      <c r="E503" s="19"/>
      <c r="F503" s="51">
        <f>+F500+1</f>
        <v>6</v>
      </c>
      <c r="G503" s="40"/>
      <c r="H503" s="41" t="s">
        <v>358</v>
      </c>
      <c r="I503" s="94">
        <f>3685000+1080000</f>
        <v>4765000</v>
      </c>
      <c r="J503" s="92">
        <v>0</v>
      </c>
      <c r="K503" s="92">
        <v>0</v>
      </c>
      <c r="L503" s="92">
        <v>0</v>
      </c>
      <c r="M503" s="92">
        <f>+I503-SUM(J503:L503)</f>
        <v>4765000</v>
      </c>
      <c r="N503" s="94">
        <f>2200485+1080000</f>
        <v>3280485</v>
      </c>
      <c r="O503" s="93">
        <v>0</v>
      </c>
      <c r="P503" s="93">
        <v>0</v>
      </c>
      <c r="Q503" s="93">
        <v>0</v>
      </c>
      <c r="R503" s="93">
        <f>+N503-SUM(O503:Q503)</f>
        <v>3280485</v>
      </c>
      <c r="S503" s="53" t="s">
        <v>359</v>
      </c>
      <c r="T503" s="46" t="s">
        <v>360</v>
      </c>
      <c r="U503" s="47" t="s">
        <v>777</v>
      </c>
    </row>
    <row r="504" spans="2:21" ht="14.25" customHeight="1">
      <c r="B504" s="60"/>
      <c r="C504" s="26"/>
      <c r="D504" s="26"/>
      <c r="E504" s="19"/>
      <c r="F504" s="51"/>
      <c r="G504" s="40"/>
      <c r="H504" s="41"/>
      <c r="I504" s="94"/>
      <c r="J504" s="92"/>
      <c r="K504" s="92"/>
      <c r="L504" s="92"/>
      <c r="M504" s="92"/>
      <c r="N504" s="94"/>
      <c r="O504" s="93"/>
      <c r="P504" s="93"/>
      <c r="Q504" s="93"/>
      <c r="R504" s="93"/>
      <c r="S504" s="53" t="s">
        <v>361</v>
      </c>
      <c r="T504" s="46"/>
      <c r="U504" s="47"/>
    </row>
    <row r="505" spans="2:21" ht="14.25" customHeight="1">
      <c r="B505" s="60"/>
      <c r="C505" s="26"/>
      <c r="D505" s="26"/>
      <c r="E505" s="19"/>
      <c r="F505" s="51"/>
      <c r="G505" s="40"/>
      <c r="H505" s="41"/>
      <c r="I505" s="94"/>
      <c r="J505" s="92"/>
      <c r="K505" s="92"/>
      <c r="L505" s="92"/>
      <c r="M505" s="92"/>
      <c r="N505" s="94"/>
      <c r="O505" s="93"/>
      <c r="P505" s="93"/>
      <c r="Q505" s="93"/>
      <c r="R505" s="93"/>
      <c r="S505" s="53" t="s">
        <v>1137</v>
      </c>
      <c r="T505" s="46"/>
      <c r="U505" s="47"/>
    </row>
    <row r="506" spans="2:21" ht="14.25" customHeight="1">
      <c r="B506" s="60"/>
      <c r="C506" s="26"/>
      <c r="D506" s="26"/>
      <c r="E506" s="19"/>
      <c r="F506" s="51"/>
      <c r="G506" s="40"/>
      <c r="H506" s="41"/>
      <c r="I506" s="94"/>
      <c r="J506" s="92"/>
      <c r="K506" s="92"/>
      <c r="L506" s="92"/>
      <c r="M506" s="92"/>
      <c r="N506" s="94"/>
      <c r="O506" s="93"/>
      <c r="P506" s="93"/>
      <c r="Q506" s="93"/>
      <c r="R506" s="93"/>
      <c r="S506" s="53" t="s">
        <v>362</v>
      </c>
      <c r="T506" s="46"/>
      <c r="U506" s="47"/>
    </row>
    <row r="507" spans="2:21" ht="14.25" customHeight="1">
      <c r="B507" s="60"/>
      <c r="C507" s="26"/>
      <c r="D507" s="26"/>
      <c r="E507" s="19"/>
      <c r="F507" s="51"/>
      <c r="G507" s="52"/>
      <c r="H507" s="41"/>
      <c r="I507" s="42"/>
      <c r="J507" s="43"/>
      <c r="K507" s="43"/>
      <c r="L507" s="43"/>
      <c r="M507" s="43"/>
      <c r="N507" s="42"/>
      <c r="O507" s="44"/>
      <c r="P507" s="44"/>
      <c r="Q507" s="44"/>
      <c r="R507" s="44"/>
      <c r="S507" s="57" t="s">
        <v>363</v>
      </c>
      <c r="T507" s="46"/>
      <c r="U507" s="47"/>
    </row>
    <row r="508" spans="2:22" ht="14.25" customHeight="1">
      <c r="B508" s="60"/>
      <c r="C508" s="26"/>
      <c r="D508" s="26"/>
      <c r="E508" s="19"/>
      <c r="F508" s="51"/>
      <c r="G508" s="52"/>
      <c r="H508" s="41"/>
      <c r="I508" s="42"/>
      <c r="J508" s="43"/>
      <c r="K508" s="43"/>
      <c r="L508" s="43"/>
      <c r="M508" s="43"/>
      <c r="N508" s="42"/>
      <c r="O508" s="44"/>
      <c r="P508" s="44"/>
      <c r="Q508" s="44"/>
      <c r="R508" s="44"/>
      <c r="S508" s="57"/>
      <c r="T508" s="46"/>
      <c r="U508" s="47"/>
      <c r="V508" s="48"/>
    </row>
    <row r="509" spans="2:22" ht="14.25" customHeight="1">
      <c r="B509" s="60"/>
      <c r="C509" s="26"/>
      <c r="D509" s="26"/>
      <c r="E509" s="19"/>
      <c r="F509" s="51">
        <f>+F503+1</f>
        <v>7</v>
      </c>
      <c r="G509" s="52"/>
      <c r="H509" s="41" t="s">
        <v>364</v>
      </c>
      <c r="I509" s="42">
        <v>1043000</v>
      </c>
      <c r="J509" s="43">
        <v>0</v>
      </c>
      <c r="K509" s="43">
        <v>0</v>
      </c>
      <c r="L509" s="43">
        <v>0</v>
      </c>
      <c r="M509" s="43">
        <f>+I509-SUM(J509:L509)</f>
        <v>1043000</v>
      </c>
      <c r="N509" s="42">
        <v>962000</v>
      </c>
      <c r="O509" s="44">
        <v>0</v>
      </c>
      <c r="P509" s="44">
        <v>0</v>
      </c>
      <c r="Q509" s="44">
        <v>0</v>
      </c>
      <c r="R509" s="44">
        <f>+N509-SUM(O509:Q509)</f>
        <v>962000</v>
      </c>
      <c r="S509" s="57" t="s">
        <v>365</v>
      </c>
      <c r="T509" s="46" t="s">
        <v>366</v>
      </c>
      <c r="U509" s="47" t="s">
        <v>366</v>
      </c>
      <c r="V509" s="48"/>
    </row>
    <row r="510" spans="2:22" ht="14.25" customHeight="1">
      <c r="B510" s="60"/>
      <c r="C510" s="26"/>
      <c r="D510" s="26"/>
      <c r="E510" s="19"/>
      <c r="F510" s="51"/>
      <c r="G510" s="52"/>
      <c r="H510" s="41"/>
      <c r="I510" s="42"/>
      <c r="J510" s="43"/>
      <c r="K510" s="43"/>
      <c r="L510" s="43"/>
      <c r="M510" s="43"/>
      <c r="N510" s="42"/>
      <c r="O510" s="44"/>
      <c r="P510" s="44"/>
      <c r="Q510" s="44"/>
      <c r="R510" s="44"/>
      <c r="S510" s="57" t="s">
        <v>367</v>
      </c>
      <c r="T510" s="46"/>
      <c r="U510" s="47"/>
      <c r="V510" s="48"/>
    </row>
    <row r="511" spans="2:22" ht="14.25" customHeight="1">
      <c r="B511" s="60"/>
      <c r="C511" s="26"/>
      <c r="D511" s="26"/>
      <c r="E511" s="19"/>
      <c r="F511" s="51"/>
      <c r="G511" s="52"/>
      <c r="H511" s="41"/>
      <c r="I511" s="42"/>
      <c r="J511" s="43"/>
      <c r="K511" s="43"/>
      <c r="L511" s="43"/>
      <c r="M511" s="43"/>
      <c r="N511" s="42"/>
      <c r="O511" s="44"/>
      <c r="P511" s="44"/>
      <c r="Q511" s="44"/>
      <c r="R511" s="44"/>
      <c r="S511" s="57" t="s">
        <v>368</v>
      </c>
      <c r="T511" s="46"/>
      <c r="U511" s="47"/>
      <c r="V511" s="48"/>
    </row>
    <row r="512" spans="2:22" ht="14.25" customHeight="1">
      <c r="B512" s="60"/>
      <c r="C512" s="26"/>
      <c r="D512" s="26"/>
      <c r="E512" s="19"/>
      <c r="F512" s="51"/>
      <c r="G512" s="52"/>
      <c r="H512" s="41"/>
      <c r="I512" s="42"/>
      <c r="J512" s="43"/>
      <c r="K512" s="43"/>
      <c r="L512" s="43"/>
      <c r="M512" s="43"/>
      <c r="N512" s="42"/>
      <c r="O512" s="44"/>
      <c r="P512" s="44"/>
      <c r="Q512" s="44"/>
      <c r="R512" s="44"/>
      <c r="S512" s="57" t="s">
        <v>1138</v>
      </c>
      <c r="T512" s="46"/>
      <c r="U512" s="47"/>
      <c r="V512" s="48"/>
    </row>
    <row r="513" spans="2:22" ht="14.25" customHeight="1">
      <c r="B513" s="60"/>
      <c r="C513" s="100"/>
      <c r="D513" s="101"/>
      <c r="E513" s="19"/>
      <c r="F513" s="51"/>
      <c r="G513" s="52"/>
      <c r="H513" s="41"/>
      <c r="I513" s="42"/>
      <c r="J513" s="43"/>
      <c r="K513" s="43"/>
      <c r="L513" s="43"/>
      <c r="M513" s="43"/>
      <c r="N513" s="42"/>
      <c r="O513" s="44"/>
      <c r="P513" s="44"/>
      <c r="Q513" s="44"/>
      <c r="R513" s="44"/>
      <c r="S513" s="57"/>
      <c r="T513" s="46"/>
      <c r="U513" s="47"/>
      <c r="V513" s="48"/>
    </row>
    <row r="514" spans="2:22" ht="14.25" customHeight="1">
      <c r="B514" s="60"/>
      <c r="C514" s="100"/>
      <c r="D514" s="101"/>
      <c r="E514" s="19"/>
      <c r="F514" s="51">
        <f>+F509+1</f>
        <v>8</v>
      </c>
      <c r="G514" s="52"/>
      <c r="H514" s="41" t="s">
        <v>369</v>
      </c>
      <c r="I514" s="94">
        <v>2898000</v>
      </c>
      <c r="J514" s="92">
        <v>0</v>
      </c>
      <c r="K514" s="92">
        <v>0</v>
      </c>
      <c r="L514" s="92">
        <v>0</v>
      </c>
      <c r="M514" s="92">
        <f>+I514-SUM(J514:L514)</f>
        <v>2898000</v>
      </c>
      <c r="N514" s="94">
        <v>2780356</v>
      </c>
      <c r="O514" s="93">
        <v>0</v>
      </c>
      <c r="P514" s="93">
        <v>0</v>
      </c>
      <c r="Q514" s="93">
        <v>0</v>
      </c>
      <c r="R514" s="93">
        <f>+N514-SUM(O514:Q514)</f>
        <v>2780356</v>
      </c>
      <c r="S514" s="107" t="s">
        <v>370</v>
      </c>
      <c r="T514" s="67" t="s">
        <v>357</v>
      </c>
      <c r="U514" s="47" t="s">
        <v>1139</v>
      </c>
      <c r="V514" s="48"/>
    </row>
    <row r="515" spans="2:22" ht="14.25" customHeight="1">
      <c r="B515" s="60"/>
      <c r="C515" s="100"/>
      <c r="D515" s="101"/>
      <c r="E515" s="19"/>
      <c r="F515" s="51"/>
      <c r="G515" s="52"/>
      <c r="H515" s="41"/>
      <c r="I515" s="94"/>
      <c r="J515" s="92"/>
      <c r="K515" s="92"/>
      <c r="L515" s="92"/>
      <c r="M515" s="92"/>
      <c r="N515" s="94"/>
      <c r="O515" s="93"/>
      <c r="P515" s="93"/>
      <c r="Q515" s="93"/>
      <c r="R515" s="93"/>
      <c r="S515" s="107" t="s">
        <v>1140</v>
      </c>
      <c r="T515" s="46"/>
      <c r="U515" s="47"/>
      <c r="V515" s="48"/>
    </row>
    <row r="516" spans="2:22" ht="14.25" customHeight="1">
      <c r="B516" s="60"/>
      <c r="C516" s="26"/>
      <c r="D516" s="26"/>
      <c r="E516" s="19"/>
      <c r="F516" s="51"/>
      <c r="G516" s="52"/>
      <c r="H516" s="41"/>
      <c r="I516" s="42"/>
      <c r="J516" s="43"/>
      <c r="K516" s="43"/>
      <c r="L516" s="43"/>
      <c r="M516" s="43"/>
      <c r="N516" s="42"/>
      <c r="O516" s="44"/>
      <c r="P516" s="44"/>
      <c r="Q516" s="44"/>
      <c r="R516" s="44"/>
      <c r="S516" s="126"/>
      <c r="T516" s="46"/>
      <c r="U516" s="47"/>
      <c r="V516" s="48"/>
    </row>
    <row r="517" spans="2:22" ht="14.25" customHeight="1">
      <c r="B517" s="60"/>
      <c r="C517" s="26"/>
      <c r="D517" s="26"/>
      <c r="E517" s="19"/>
      <c r="F517" s="51">
        <f>+F514+1</f>
        <v>9</v>
      </c>
      <c r="G517" s="52"/>
      <c r="H517" s="64" t="s">
        <v>371</v>
      </c>
      <c r="I517" s="42">
        <f>1344000+57000000</f>
        <v>58344000</v>
      </c>
      <c r="J517" s="43">
        <v>0</v>
      </c>
      <c r="K517" s="43">
        <v>0</v>
      </c>
      <c r="L517" s="43">
        <v>38000000</v>
      </c>
      <c r="M517" s="43">
        <f>+I517-SUM(J517:L517)</f>
        <v>20344000</v>
      </c>
      <c r="N517" s="42">
        <f>583515+52501000</f>
        <v>53084515</v>
      </c>
      <c r="O517" s="44">
        <v>0</v>
      </c>
      <c r="P517" s="44">
        <v>0</v>
      </c>
      <c r="Q517" s="44">
        <v>35000000</v>
      </c>
      <c r="R517" s="44">
        <f>+N517-SUM(O517:Q517)</f>
        <v>18084515</v>
      </c>
      <c r="S517" s="53" t="s">
        <v>372</v>
      </c>
      <c r="T517" s="67" t="s">
        <v>357</v>
      </c>
      <c r="U517" s="47" t="s">
        <v>1141</v>
      </c>
      <c r="V517" s="48"/>
    </row>
    <row r="518" spans="2:22" ht="14.25" customHeight="1">
      <c r="B518" s="60"/>
      <c r="C518" s="26"/>
      <c r="D518" s="26"/>
      <c r="E518" s="19"/>
      <c r="F518" s="51"/>
      <c r="G518" s="52"/>
      <c r="H518" s="41"/>
      <c r="I518" s="42"/>
      <c r="J518" s="43"/>
      <c r="K518" s="43"/>
      <c r="L518" s="43"/>
      <c r="M518" s="43"/>
      <c r="N518" s="42"/>
      <c r="O518" s="44"/>
      <c r="P518" s="44"/>
      <c r="Q518" s="44"/>
      <c r="R518" s="44"/>
      <c r="S518" s="53"/>
      <c r="T518" s="67"/>
      <c r="U518" s="47"/>
      <c r="V518" s="48"/>
    </row>
    <row r="519" spans="2:22" ht="14.25" customHeight="1">
      <c r="B519" s="60"/>
      <c r="C519" s="26"/>
      <c r="D519" s="26"/>
      <c r="E519" s="19"/>
      <c r="F519" s="51">
        <f>+F517+1</f>
        <v>10</v>
      </c>
      <c r="G519" s="52"/>
      <c r="H519" s="64" t="s">
        <v>373</v>
      </c>
      <c r="I519" s="42">
        <v>397000</v>
      </c>
      <c r="J519" s="43">
        <v>0</v>
      </c>
      <c r="K519" s="43">
        <v>0</v>
      </c>
      <c r="L519" s="43">
        <v>0</v>
      </c>
      <c r="M519" s="43">
        <f>+I519-SUM(J519:L519)</f>
        <v>397000</v>
      </c>
      <c r="N519" s="42">
        <v>122000</v>
      </c>
      <c r="O519" s="44">
        <v>0</v>
      </c>
      <c r="P519" s="44">
        <v>0</v>
      </c>
      <c r="Q519" s="44">
        <v>0</v>
      </c>
      <c r="R519" s="44">
        <f>+N519-SUM(O519:Q519)</f>
        <v>122000</v>
      </c>
      <c r="S519" s="53" t="s">
        <v>1142</v>
      </c>
      <c r="T519" s="67" t="s">
        <v>357</v>
      </c>
      <c r="U519" s="59" t="s">
        <v>357</v>
      </c>
      <c r="V519" s="48"/>
    </row>
    <row r="520" spans="2:22" ht="14.25" customHeight="1">
      <c r="B520" s="60"/>
      <c r="C520" s="97"/>
      <c r="D520" s="26"/>
      <c r="E520" s="19"/>
      <c r="F520" s="51"/>
      <c r="G520" s="52"/>
      <c r="H520" s="41"/>
      <c r="I520" s="42"/>
      <c r="J520" s="43"/>
      <c r="K520" s="43"/>
      <c r="L520" s="43"/>
      <c r="M520" s="43"/>
      <c r="N520" s="42"/>
      <c r="O520" s="44"/>
      <c r="P520" s="44"/>
      <c r="Q520" s="44"/>
      <c r="R520" s="44"/>
      <c r="S520" s="53" t="s">
        <v>778</v>
      </c>
      <c r="T520" s="46"/>
      <c r="U520" s="47"/>
      <c r="V520" s="48"/>
    </row>
    <row r="521" spans="2:22" ht="14.25" customHeight="1" thickBot="1">
      <c r="B521" s="69"/>
      <c r="C521" s="335"/>
      <c r="D521" s="27"/>
      <c r="E521" s="24"/>
      <c r="F521" s="71"/>
      <c r="G521" s="72"/>
      <c r="H521" s="111"/>
      <c r="I521" s="112"/>
      <c r="J521" s="113"/>
      <c r="K521" s="113"/>
      <c r="L521" s="113"/>
      <c r="M521" s="113"/>
      <c r="N521" s="112"/>
      <c r="O521" s="114"/>
      <c r="P521" s="114"/>
      <c r="Q521" s="114"/>
      <c r="R521" s="114"/>
      <c r="S521" s="115"/>
      <c r="T521" s="78"/>
      <c r="U521" s="79"/>
      <c r="V521" s="48"/>
    </row>
    <row r="522" spans="2:22" ht="14.25" customHeight="1">
      <c r="B522" s="60"/>
      <c r="C522" s="97"/>
      <c r="D522" s="26"/>
      <c r="E522" s="19"/>
      <c r="F522" s="51">
        <f>+F519+1</f>
        <v>11</v>
      </c>
      <c r="G522" s="52"/>
      <c r="H522" s="41" t="s">
        <v>111</v>
      </c>
      <c r="I522" s="94">
        <v>-3707000</v>
      </c>
      <c r="J522" s="92">
        <v>0</v>
      </c>
      <c r="K522" s="92">
        <v>0</v>
      </c>
      <c r="L522" s="92">
        <v>0</v>
      </c>
      <c r="M522" s="92">
        <f>+I522-SUM(J522:L522)</f>
        <v>-3707000</v>
      </c>
      <c r="N522" s="94">
        <v>0</v>
      </c>
      <c r="O522" s="93">
        <v>0</v>
      </c>
      <c r="P522" s="93">
        <v>0</v>
      </c>
      <c r="Q522" s="93">
        <v>0</v>
      </c>
      <c r="R522" s="44">
        <f>+N522-SUM(O522:Q522)</f>
        <v>0</v>
      </c>
      <c r="S522" s="58" t="s">
        <v>218</v>
      </c>
      <c r="T522" s="46"/>
      <c r="U522" s="47"/>
      <c r="V522" s="48"/>
    </row>
    <row r="523" spans="2:22" ht="14.25" customHeight="1" thickBot="1">
      <c r="B523" s="69"/>
      <c r="C523" s="120"/>
      <c r="D523" s="121"/>
      <c r="E523" s="24"/>
      <c r="F523" s="71"/>
      <c r="G523" s="72"/>
      <c r="H523" s="111"/>
      <c r="I523" s="112"/>
      <c r="J523" s="113"/>
      <c r="K523" s="113"/>
      <c r="L523" s="113"/>
      <c r="M523" s="113"/>
      <c r="N523" s="112"/>
      <c r="O523" s="114"/>
      <c r="P523" s="114"/>
      <c r="Q523" s="114"/>
      <c r="R523" s="114"/>
      <c r="S523" s="142"/>
      <c r="T523" s="78"/>
      <c r="U523" s="79"/>
      <c r="V523" s="48"/>
    </row>
    <row r="524" spans="2:22" ht="14.25" customHeight="1">
      <c r="B524" s="60"/>
      <c r="C524" s="100"/>
      <c r="D524" s="101"/>
      <c r="E524" s="19"/>
      <c r="F524" s="51"/>
      <c r="G524" s="52"/>
      <c r="H524" s="41"/>
      <c r="I524" s="42"/>
      <c r="J524" s="43"/>
      <c r="K524" s="43"/>
      <c r="L524" s="43"/>
      <c r="M524" s="43"/>
      <c r="N524" s="42"/>
      <c r="O524" s="44"/>
      <c r="P524" s="44"/>
      <c r="Q524" s="44"/>
      <c r="R524" s="44"/>
      <c r="S524" s="126"/>
      <c r="T524" s="46"/>
      <c r="U524" s="47"/>
      <c r="V524" s="48"/>
    </row>
    <row r="525" spans="2:22" ht="14.25" customHeight="1">
      <c r="B525" s="17" t="s">
        <v>374</v>
      </c>
      <c r="C525" s="26">
        <f>SUM(I525:I556)</f>
        <v>81468000</v>
      </c>
      <c r="D525" s="26">
        <f>SUM(N525:N556)</f>
        <v>69585050</v>
      </c>
      <c r="E525" s="19" t="s">
        <v>330</v>
      </c>
      <c r="F525" s="51">
        <v>1</v>
      </c>
      <c r="G525" s="52"/>
      <c r="H525" s="41" t="s">
        <v>375</v>
      </c>
      <c r="I525" s="42">
        <v>14332000</v>
      </c>
      <c r="J525" s="43">
        <v>0</v>
      </c>
      <c r="K525" s="43">
        <v>0</v>
      </c>
      <c r="L525" s="43">
        <v>0</v>
      </c>
      <c r="M525" s="43">
        <f>+I525-SUM(J525:L525)</f>
        <v>14332000</v>
      </c>
      <c r="N525" s="42">
        <v>10932143</v>
      </c>
      <c r="O525" s="44">
        <v>0</v>
      </c>
      <c r="P525" s="44">
        <v>0</v>
      </c>
      <c r="Q525" s="44">
        <v>0</v>
      </c>
      <c r="R525" s="44">
        <f>+N525-SUM(O525:Q525)</f>
        <v>10932143</v>
      </c>
      <c r="S525" s="53" t="s">
        <v>376</v>
      </c>
      <c r="T525" s="67" t="s">
        <v>779</v>
      </c>
      <c r="U525" s="47" t="s">
        <v>1145</v>
      </c>
      <c r="V525" s="48"/>
    </row>
    <row r="526" spans="2:22" ht="14.25" customHeight="1">
      <c r="B526" s="17" t="s">
        <v>58</v>
      </c>
      <c r="C526" s="26"/>
      <c r="D526" s="26"/>
      <c r="E526" s="19" t="s">
        <v>273</v>
      </c>
      <c r="F526" s="51"/>
      <c r="G526" s="52"/>
      <c r="H526" s="41"/>
      <c r="I526" s="42"/>
      <c r="J526" s="43"/>
      <c r="K526" s="43"/>
      <c r="L526" s="43"/>
      <c r="M526" s="43"/>
      <c r="N526" s="42"/>
      <c r="O526" s="44"/>
      <c r="P526" s="44"/>
      <c r="Q526" s="44"/>
      <c r="R526" s="44"/>
      <c r="S526" s="53" t="s">
        <v>780</v>
      </c>
      <c r="T526" s="46"/>
      <c r="U526" s="47"/>
      <c r="V526" s="48"/>
    </row>
    <row r="527" spans="2:22" ht="14.25" customHeight="1">
      <c r="B527" s="17"/>
      <c r="C527" s="26" t="s">
        <v>10</v>
      </c>
      <c r="D527" s="26" t="s">
        <v>10</v>
      </c>
      <c r="E527" s="19"/>
      <c r="F527" s="51"/>
      <c r="G527" s="52"/>
      <c r="H527" s="41"/>
      <c r="I527" s="42"/>
      <c r="J527" s="43"/>
      <c r="K527" s="43"/>
      <c r="L527" s="43"/>
      <c r="M527" s="43"/>
      <c r="N527" s="42"/>
      <c r="O527" s="44"/>
      <c r="P527" s="44"/>
      <c r="Q527" s="44"/>
      <c r="R527" s="44"/>
      <c r="S527" s="53" t="s">
        <v>1146</v>
      </c>
      <c r="T527" s="54"/>
      <c r="U527" s="171"/>
      <c r="V527" s="48"/>
    </row>
    <row r="528" spans="2:22" ht="14.25" customHeight="1">
      <c r="B528" s="17"/>
      <c r="C528" s="26">
        <f>SUM(K525:K556)</f>
        <v>47000000</v>
      </c>
      <c r="D528" s="26">
        <f>SUM(P525:P556)</f>
        <v>47000000</v>
      </c>
      <c r="E528" s="19"/>
      <c r="F528" s="51"/>
      <c r="G528" s="52"/>
      <c r="H528" s="41"/>
      <c r="I528" s="42"/>
      <c r="J528" s="43"/>
      <c r="K528" s="43"/>
      <c r="L528" s="43"/>
      <c r="M528" s="43"/>
      <c r="N528" s="42"/>
      <c r="O528" s="44"/>
      <c r="P528" s="44"/>
      <c r="Q528" s="44"/>
      <c r="R528" s="44"/>
      <c r="S528" s="53"/>
      <c r="T528" s="46"/>
      <c r="U528" s="47"/>
      <c r="V528" s="48"/>
    </row>
    <row r="529" spans="2:22" ht="14.25" customHeight="1">
      <c r="B529" s="17"/>
      <c r="C529" s="26" t="s">
        <v>8</v>
      </c>
      <c r="D529" s="26" t="s">
        <v>8</v>
      </c>
      <c r="E529" s="19"/>
      <c r="F529" s="51">
        <f>+F525+1</f>
        <v>2</v>
      </c>
      <c r="G529" s="52"/>
      <c r="H529" s="64" t="s">
        <v>377</v>
      </c>
      <c r="I529" s="42">
        <v>613000</v>
      </c>
      <c r="J529" s="43">
        <v>0</v>
      </c>
      <c r="K529" s="43">
        <v>0</v>
      </c>
      <c r="L529" s="43">
        <v>0</v>
      </c>
      <c r="M529" s="43">
        <f>+I529-SUM(J529:L529)</f>
        <v>613000</v>
      </c>
      <c r="N529" s="42">
        <v>550200</v>
      </c>
      <c r="O529" s="44">
        <v>0</v>
      </c>
      <c r="P529" s="44">
        <v>0</v>
      </c>
      <c r="Q529" s="44">
        <v>0</v>
      </c>
      <c r="R529" s="44">
        <f>+N529-SUM(O529:Q529)</f>
        <v>550200</v>
      </c>
      <c r="S529" s="53" t="s">
        <v>378</v>
      </c>
      <c r="T529" s="54" t="s">
        <v>380</v>
      </c>
      <c r="U529" s="47" t="s">
        <v>380</v>
      </c>
      <c r="V529" s="48"/>
    </row>
    <row r="530" spans="2:22" ht="14.25" customHeight="1">
      <c r="B530" s="17"/>
      <c r="C530" s="26">
        <f>SUM(L525:L556)</f>
        <v>7431000</v>
      </c>
      <c r="D530" s="26">
        <f>SUM(Q525:Q556)</f>
        <v>414000</v>
      </c>
      <c r="E530" s="19"/>
      <c r="F530" s="51"/>
      <c r="G530" s="52"/>
      <c r="H530" s="41"/>
      <c r="I530" s="42"/>
      <c r="J530" s="43"/>
      <c r="K530" s="43"/>
      <c r="L530" s="43"/>
      <c r="M530" s="43"/>
      <c r="N530" s="42"/>
      <c r="O530" s="44"/>
      <c r="P530" s="44"/>
      <c r="Q530" s="44"/>
      <c r="R530" s="44"/>
      <c r="S530" s="53" t="s">
        <v>381</v>
      </c>
      <c r="T530" s="46"/>
      <c r="U530" s="47"/>
      <c r="V530" s="48"/>
    </row>
    <row r="531" spans="2:22" ht="14.25" customHeight="1">
      <c r="B531" s="17"/>
      <c r="C531" s="26" t="s">
        <v>9</v>
      </c>
      <c r="D531" s="26" t="s">
        <v>9</v>
      </c>
      <c r="E531" s="19"/>
      <c r="F531" s="51"/>
      <c r="G531" s="52"/>
      <c r="H531" s="41"/>
      <c r="I531" s="42"/>
      <c r="J531" s="43"/>
      <c r="K531" s="43"/>
      <c r="L531" s="43"/>
      <c r="M531" s="43"/>
      <c r="N531" s="42"/>
      <c r="O531" s="44"/>
      <c r="P531" s="44"/>
      <c r="Q531" s="44"/>
      <c r="R531" s="44"/>
      <c r="S531" s="53" t="s">
        <v>1147</v>
      </c>
      <c r="T531" s="46"/>
      <c r="U531" s="47"/>
      <c r="V531" s="48"/>
    </row>
    <row r="532" spans="2:22" ht="14.25" customHeight="1">
      <c r="B532" s="17"/>
      <c r="C532" s="26">
        <f>C525-C528-C530</f>
        <v>27037000</v>
      </c>
      <c r="D532" s="26">
        <f>D525-D528-D530</f>
        <v>22171050</v>
      </c>
      <c r="E532" s="19"/>
      <c r="F532" s="51"/>
      <c r="G532" s="52"/>
      <c r="H532" s="41"/>
      <c r="I532" s="42"/>
      <c r="J532" s="43"/>
      <c r="K532" s="43"/>
      <c r="L532" s="43"/>
      <c r="M532" s="43"/>
      <c r="N532" s="42"/>
      <c r="O532" s="44"/>
      <c r="P532" s="44"/>
      <c r="Q532" s="44"/>
      <c r="R532" s="44"/>
      <c r="S532" s="53"/>
      <c r="T532" s="46"/>
      <c r="U532" s="47"/>
      <c r="V532" s="48"/>
    </row>
    <row r="533" spans="2:22" ht="14.25" customHeight="1">
      <c r="B533" s="17"/>
      <c r="C533" s="26"/>
      <c r="D533" s="26"/>
      <c r="E533" s="19"/>
      <c r="F533" s="51">
        <f>+F529+1</f>
        <v>3</v>
      </c>
      <c r="G533" s="52"/>
      <c r="H533" s="41" t="s">
        <v>382</v>
      </c>
      <c r="I533" s="42">
        <v>3411000</v>
      </c>
      <c r="J533" s="43">
        <v>0</v>
      </c>
      <c r="K533" s="43">
        <v>0</v>
      </c>
      <c r="L533" s="43">
        <v>0</v>
      </c>
      <c r="M533" s="43">
        <f>+I533-SUM(J533:L533)</f>
        <v>3411000</v>
      </c>
      <c r="N533" s="42">
        <v>1152566</v>
      </c>
      <c r="O533" s="44">
        <v>0</v>
      </c>
      <c r="P533" s="44">
        <v>0</v>
      </c>
      <c r="Q533" s="44">
        <v>0</v>
      </c>
      <c r="R533" s="44">
        <f>+N533-SUM(O533:Q533)</f>
        <v>1152566</v>
      </c>
      <c r="S533" s="53" t="s">
        <v>383</v>
      </c>
      <c r="T533" s="46" t="s">
        <v>781</v>
      </c>
      <c r="U533" s="47" t="s">
        <v>782</v>
      </c>
      <c r="V533" s="48"/>
    </row>
    <row r="534" spans="2:22" ht="14.25" customHeight="1">
      <c r="B534" s="60"/>
      <c r="C534" s="26"/>
      <c r="D534" s="26"/>
      <c r="E534" s="19"/>
      <c r="F534" s="51"/>
      <c r="G534" s="52"/>
      <c r="H534" s="41"/>
      <c r="I534" s="42"/>
      <c r="J534" s="43"/>
      <c r="K534" s="43"/>
      <c r="L534" s="43"/>
      <c r="M534" s="43"/>
      <c r="N534" s="42"/>
      <c r="O534" s="44"/>
      <c r="P534" s="44"/>
      <c r="Q534" s="44"/>
      <c r="R534" s="44"/>
      <c r="S534" s="53" t="s">
        <v>384</v>
      </c>
      <c r="T534" s="46"/>
      <c r="U534" s="47"/>
      <c r="V534" s="48"/>
    </row>
    <row r="535" spans="2:22" ht="14.25" customHeight="1">
      <c r="B535" s="60"/>
      <c r="C535" s="26"/>
      <c r="D535" s="26"/>
      <c r="E535" s="19"/>
      <c r="F535" s="51"/>
      <c r="G535" s="52"/>
      <c r="H535" s="41"/>
      <c r="I535" s="42"/>
      <c r="J535" s="43"/>
      <c r="K535" s="43"/>
      <c r="L535" s="43"/>
      <c r="M535" s="43"/>
      <c r="N535" s="42"/>
      <c r="O535" s="44"/>
      <c r="P535" s="44"/>
      <c r="Q535" s="44"/>
      <c r="R535" s="44"/>
      <c r="S535" s="53" t="s">
        <v>1148</v>
      </c>
      <c r="T535" s="46"/>
      <c r="U535" s="47"/>
      <c r="V535" s="48"/>
    </row>
    <row r="536" spans="2:22" ht="14.25" customHeight="1">
      <c r="B536" s="60"/>
      <c r="C536" s="26"/>
      <c r="D536" s="26"/>
      <c r="E536" s="19"/>
      <c r="F536" s="51"/>
      <c r="G536" s="52"/>
      <c r="H536" s="41"/>
      <c r="I536" s="42"/>
      <c r="J536" s="43"/>
      <c r="K536" s="43"/>
      <c r="L536" s="43"/>
      <c r="M536" s="43"/>
      <c r="N536" s="42"/>
      <c r="O536" s="44"/>
      <c r="P536" s="44"/>
      <c r="Q536" s="44"/>
      <c r="R536" s="44"/>
      <c r="S536" s="53"/>
      <c r="T536" s="46"/>
      <c r="U536" s="47"/>
      <c r="V536" s="48"/>
    </row>
    <row r="537" spans="2:22" ht="14.25" customHeight="1">
      <c r="B537" s="60"/>
      <c r="C537" s="100"/>
      <c r="D537" s="101"/>
      <c r="E537" s="19"/>
      <c r="F537" s="51">
        <f>+F533+1</f>
        <v>4</v>
      </c>
      <c r="G537" s="52"/>
      <c r="H537" s="64" t="s">
        <v>385</v>
      </c>
      <c r="I537" s="42">
        <v>47000000</v>
      </c>
      <c r="J537" s="43">
        <v>0</v>
      </c>
      <c r="K537" s="43">
        <v>47000000</v>
      </c>
      <c r="L537" s="43">
        <v>0</v>
      </c>
      <c r="M537" s="43">
        <f>+I537-SUM(J537:L537)</f>
        <v>0</v>
      </c>
      <c r="N537" s="42">
        <v>47000000</v>
      </c>
      <c r="O537" s="44">
        <v>0</v>
      </c>
      <c r="P537" s="44">
        <v>47000000</v>
      </c>
      <c r="Q537" s="44">
        <v>0</v>
      </c>
      <c r="R537" s="44">
        <f>+N537-SUM(O537:Q537)</f>
        <v>0</v>
      </c>
      <c r="S537" s="58" t="s">
        <v>779</v>
      </c>
      <c r="T537" s="67"/>
      <c r="U537" s="59"/>
      <c r="V537" s="48"/>
    </row>
    <row r="538" spans="2:22" ht="14.25" customHeight="1">
      <c r="B538" s="60"/>
      <c r="C538" s="26"/>
      <c r="D538" s="26"/>
      <c r="E538" s="19"/>
      <c r="F538" s="51"/>
      <c r="G538" s="52"/>
      <c r="H538" s="41"/>
      <c r="I538" s="42"/>
      <c r="J538" s="43"/>
      <c r="K538" s="43"/>
      <c r="L538" s="43"/>
      <c r="M538" s="43"/>
      <c r="N538" s="42"/>
      <c r="O538" s="44"/>
      <c r="P538" s="44"/>
      <c r="Q538" s="44"/>
      <c r="R538" s="44"/>
      <c r="S538" s="53" t="s">
        <v>386</v>
      </c>
      <c r="T538" s="46"/>
      <c r="U538" s="47"/>
      <c r="V538" s="48"/>
    </row>
    <row r="539" spans="2:22" ht="14.25" customHeight="1">
      <c r="B539" s="60"/>
      <c r="C539" s="26"/>
      <c r="D539" s="26"/>
      <c r="E539" s="19"/>
      <c r="F539" s="51"/>
      <c r="G539" s="52"/>
      <c r="H539" s="41"/>
      <c r="I539" s="42"/>
      <c r="J539" s="43"/>
      <c r="K539" s="43"/>
      <c r="L539" s="43"/>
      <c r="M539" s="43"/>
      <c r="N539" s="42"/>
      <c r="O539" s="44"/>
      <c r="P539" s="44"/>
      <c r="Q539" s="44"/>
      <c r="R539" s="44"/>
      <c r="S539" s="53" t="s">
        <v>1149</v>
      </c>
      <c r="T539" s="46"/>
      <c r="U539" s="47"/>
      <c r="V539" s="48"/>
    </row>
    <row r="540" spans="2:22" ht="14.25" customHeight="1">
      <c r="B540" s="60"/>
      <c r="C540" s="26"/>
      <c r="D540" s="26"/>
      <c r="E540" s="19"/>
      <c r="F540" s="51"/>
      <c r="G540" s="52"/>
      <c r="H540" s="41"/>
      <c r="I540" s="42"/>
      <c r="J540" s="43"/>
      <c r="K540" s="43"/>
      <c r="L540" s="43"/>
      <c r="M540" s="43"/>
      <c r="N540" s="42"/>
      <c r="O540" s="44"/>
      <c r="P540" s="44"/>
      <c r="Q540" s="44"/>
      <c r="R540" s="44"/>
      <c r="S540" s="53"/>
      <c r="T540" s="46"/>
      <c r="U540" s="47"/>
      <c r="V540" s="48"/>
    </row>
    <row r="541" spans="2:22" ht="14.25" customHeight="1">
      <c r="B541" s="60"/>
      <c r="C541" s="97"/>
      <c r="D541" s="26"/>
      <c r="E541" s="19"/>
      <c r="F541" s="51">
        <f>+F537+1</f>
        <v>5</v>
      </c>
      <c r="G541" s="52"/>
      <c r="H541" s="41" t="s">
        <v>387</v>
      </c>
      <c r="I541" s="42">
        <f>6939000+359000</f>
        <v>7298000</v>
      </c>
      <c r="J541" s="43">
        <v>0</v>
      </c>
      <c r="K541" s="43">
        <v>0</v>
      </c>
      <c r="L541" s="43">
        <v>0</v>
      </c>
      <c r="M541" s="43">
        <f>+I541-SUM(J541:L541)</f>
        <v>7298000</v>
      </c>
      <c r="N541" s="42">
        <f>5665120+232000</f>
        <v>5897120</v>
      </c>
      <c r="O541" s="44">
        <v>0</v>
      </c>
      <c r="P541" s="44">
        <v>0</v>
      </c>
      <c r="Q541" s="44">
        <v>0</v>
      </c>
      <c r="R541" s="44">
        <f>+N541-SUM(O541:Q541)</f>
        <v>5897120</v>
      </c>
      <c r="S541" s="53" t="s">
        <v>388</v>
      </c>
      <c r="T541" s="67" t="s">
        <v>357</v>
      </c>
      <c r="U541" s="47" t="s">
        <v>783</v>
      </c>
      <c r="V541" s="48"/>
    </row>
    <row r="542" spans="2:22" ht="14.25" customHeight="1">
      <c r="B542" s="60"/>
      <c r="C542" s="97"/>
      <c r="D542" s="26"/>
      <c r="E542" s="19"/>
      <c r="F542" s="51"/>
      <c r="G542" s="52"/>
      <c r="H542" s="41"/>
      <c r="I542" s="42"/>
      <c r="J542" s="43"/>
      <c r="K542" s="43"/>
      <c r="L542" s="43"/>
      <c r="M542" s="43"/>
      <c r="N542" s="42"/>
      <c r="O542" s="44"/>
      <c r="P542" s="44"/>
      <c r="Q542" s="44"/>
      <c r="R542" s="44"/>
      <c r="S542" s="53" t="s">
        <v>784</v>
      </c>
      <c r="T542" s="46"/>
      <c r="U542" s="47"/>
      <c r="V542" s="48"/>
    </row>
    <row r="543" spans="2:22" ht="14.25" customHeight="1">
      <c r="B543" s="60"/>
      <c r="C543" s="97"/>
      <c r="D543" s="26"/>
      <c r="E543" s="19"/>
      <c r="F543" s="51"/>
      <c r="G543" s="52"/>
      <c r="H543" s="41"/>
      <c r="I543" s="42"/>
      <c r="J543" s="43"/>
      <c r="K543" s="43"/>
      <c r="L543" s="43"/>
      <c r="M543" s="43"/>
      <c r="N543" s="42"/>
      <c r="O543" s="44"/>
      <c r="P543" s="44"/>
      <c r="Q543" s="44"/>
      <c r="R543" s="44"/>
      <c r="S543" s="53"/>
      <c r="T543" s="46"/>
      <c r="U543" s="47"/>
      <c r="V543" s="48"/>
    </row>
    <row r="544" spans="2:22" ht="14.25" customHeight="1">
      <c r="B544" s="60"/>
      <c r="C544" s="26"/>
      <c r="D544" s="26"/>
      <c r="E544" s="19"/>
      <c r="F544" s="51">
        <f>+F541+1</f>
        <v>6</v>
      </c>
      <c r="G544" s="52"/>
      <c r="H544" s="64" t="s">
        <v>389</v>
      </c>
      <c r="I544" s="42">
        <v>4333000</v>
      </c>
      <c r="J544" s="43">
        <v>0</v>
      </c>
      <c r="K544" s="43">
        <v>0</v>
      </c>
      <c r="L544" s="43">
        <v>360000</v>
      </c>
      <c r="M544" s="43">
        <f>+I544-SUM(J544:L544)</f>
        <v>3973000</v>
      </c>
      <c r="N544" s="42">
        <v>2171321</v>
      </c>
      <c r="O544" s="44">
        <v>0</v>
      </c>
      <c r="P544" s="44">
        <v>0</v>
      </c>
      <c r="Q544" s="44">
        <v>414000</v>
      </c>
      <c r="R544" s="44">
        <f>+N544-SUM(O544:Q544)</f>
        <v>1757321</v>
      </c>
      <c r="S544" s="53" t="s">
        <v>390</v>
      </c>
      <c r="T544" s="67" t="s">
        <v>779</v>
      </c>
      <c r="U544" s="47" t="s">
        <v>785</v>
      </c>
      <c r="V544" s="48"/>
    </row>
    <row r="545" spans="2:22" ht="14.25" customHeight="1">
      <c r="B545" s="60"/>
      <c r="C545" s="26"/>
      <c r="D545" s="26"/>
      <c r="E545" s="19"/>
      <c r="F545" s="51"/>
      <c r="G545" s="52"/>
      <c r="H545" s="41"/>
      <c r="I545" s="42"/>
      <c r="J545" s="43"/>
      <c r="K545" s="43"/>
      <c r="L545" s="43"/>
      <c r="M545" s="43"/>
      <c r="N545" s="127"/>
      <c r="O545" s="44"/>
      <c r="P545" s="44"/>
      <c r="Q545" s="119"/>
      <c r="R545" s="44"/>
      <c r="S545" s="53" t="s">
        <v>391</v>
      </c>
      <c r="T545" s="46" t="s">
        <v>786</v>
      </c>
      <c r="U545" s="47" t="s">
        <v>787</v>
      </c>
      <c r="V545" s="48"/>
    </row>
    <row r="546" spans="2:22" ht="14.25" customHeight="1">
      <c r="B546" s="60"/>
      <c r="C546" s="26"/>
      <c r="D546" s="26"/>
      <c r="E546" s="19"/>
      <c r="F546" s="51"/>
      <c r="G546" s="52"/>
      <c r="H546" s="41"/>
      <c r="I546" s="42"/>
      <c r="J546" s="43"/>
      <c r="K546" s="43"/>
      <c r="L546" s="43"/>
      <c r="M546" s="43"/>
      <c r="N546" s="127"/>
      <c r="O546" s="44"/>
      <c r="P546" s="44"/>
      <c r="Q546" s="119"/>
      <c r="R546" s="44"/>
      <c r="S546" s="53" t="s">
        <v>392</v>
      </c>
      <c r="T546" s="67"/>
      <c r="U546" s="47"/>
      <c r="V546" s="48"/>
    </row>
    <row r="547" spans="2:22" ht="14.25" customHeight="1">
      <c r="B547" s="60"/>
      <c r="C547" s="26"/>
      <c r="D547" s="26"/>
      <c r="E547" s="19"/>
      <c r="F547" s="51"/>
      <c r="G547" s="52"/>
      <c r="H547" s="41"/>
      <c r="I547" s="42"/>
      <c r="J547" s="43"/>
      <c r="K547" s="43"/>
      <c r="L547" s="43"/>
      <c r="M547" s="43"/>
      <c r="N547" s="127"/>
      <c r="O547" s="44"/>
      <c r="P547" s="44"/>
      <c r="Q547" s="119"/>
      <c r="R547" s="44"/>
      <c r="S547" s="53" t="s">
        <v>788</v>
      </c>
      <c r="T547" s="46"/>
      <c r="U547" s="47"/>
      <c r="V547" s="48"/>
    </row>
    <row r="548" spans="2:22" ht="14.25" customHeight="1">
      <c r="B548" s="60"/>
      <c r="C548" s="26"/>
      <c r="D548" s="26"/>
      <c r="E548" s="19"/>
      <c r="F548" s="51"/>
      <c r="G548" s="52"/>
      <c r="H548" s="41"/>
      <c r="I548" s="42"/>
      <c r="J548" s="43"/>
      <c r="K548" s="43"/>
      <c r="L548" s="43"/>
      <c r="M548" s="43"/>
      <c r="N548" s="42"/>
      <c r="O548" s="44"/>
      <c r="P548" s="44"/>
      <c r="Q548" s="44"/>
      <c r="R548" s="44"/>
      <c r="S548" s="126"/>
      <c r="T548" s="46"/>
      <c r="U548" s="47"/>
      <c r="V548" s="48"/>
    </row>
    <row r="549" spans="2:22" ht="14.25" customHeight="1">
      <c r="B549" s="60"/>
      <c r="C549" s="26"/>
      <c r="D549" s="26"/>
      <c r="E549" s="19"/>
      <c r="F549" s="51">
        <f>+F544+1</f>
        <v>7</v>
      </c>
      <c r="G549" s="52"/>
      <c r="H549" s="64" t="s">
        <v>393</v>
      </c>
      <c r="I549" s="42">
        <v>671000</v>
      </c>
      <c r="J549" s="43">
        <v>0</v>
      </c>
      <c r="K549" s="43">
        <v>0</v>
      </c>
      <c r="L549" s="43">
        <v>0</v>
      </c>
      <c r="M549" s="43">
        <f>+I549-SUM(J549:L549)</f>
        <v>671000</v>
      </c>
      <c r="N549" s="42">
        <v>553700</v>
      </c>
      <c r="O549" s="44">
        <v>0</v>
      </c>
      <c r="P549" s="44">
        <v>0</v>
      </c>
      <c r="Q549" s="44">
        <v>0</v>
      </c>
      <c r="R549" s="44">
        <f>+N549-SUM(O549:Q549)</f>
        <v>553700</v>
      </c>
      <c r="S549" s="53" t="s">
        <v>394</v>
      </c>
      <c r="T549" s="46" t="s">
        <v>786</v>
      </c>
      <c r="U549" s="47" t="s">
        <v>787</v>
      </c>
      <c r="V549" s="48"/>
    </row>
    <row r="550" spans="2:22" ht="14.25" customHeight="1">
      <c r="B550" s="60"/>
      <c r="C550" s="26"/>
      <c r="D550" s="26"/>
      <c r="E550" s="19"/>
      <c r="F550" s="51"/>
      <c r="G550" s="52"/>
      <c r="H550" s="41"/>
      <c r="I550" s="42"/>
      <c r="J550" s="43"/>
      <c r="K550" s="43"/>
      <c r="L550" s="43"/>
      <c r="M550" s="43"/>
      <c r="N550" s="127"/>
      <c r="O550" s="44"/>
      <c r="P550" s="44"/>
      <c r="Q550" s="119"/>
      <c r="R550" s="44"/>
      <c r="S550" s="53" t="s">
        <v>789</v>
      </c>
      <c r="T550" s="46"/>
      <c r="U550" s="47"/>
      <c r="V550" s="48"/>
    </row>
    <row r="551" spans="2:22" ht="14.25" customHeight="1">
      <c r="B551" s="60"/>
      <c r="C551" s="26"/>
      <c r="D551" s="26"/>
      <c r="E551" s="19"/>
      <c r="F551" s="51"/>
      <c r="G551" s="52"/>
      <c r="H551" s="41"/>
      <c r="I551" s="42"/>
      <c r="J551" s="43"/>
      <c r="K551" s="43"/>
      <c r="L551" s="43"/>
      <c r="M551" s="43"/>
      <c r="N551" s="127"/>
      <c r="O551" s="44"/>
      <c r="P551" s="44"/>
      <c r="Q551" s="119"/>
      <c r="R551" s="44"/>
      <c r="S551" s="53"/>
      <c r="T551" s="46"/>
      <c r="U551" s="47"/>
      <c r="V551" s="95"/>
    </row>
    <row r="552" spans="2:22" ht="14.25" customHeight="1">
      <c r="B552" s="60"/>
      <c r="C552" s="100"/>
      <c r="D552" s="101"/>
      <c r="E552" s="19"/>
      <c r="F552" s="51">
        <f>+F549+1</f>
        <v>8</v>
      </c>
      <c r="G552" s="52"/>
      <c r="H552" s="64" t="s">
        <v>341</v>
      </c>
      <c r="I552" s="42">
        <v>6195000</v>
      </c>
      <c r="J552" s="43">
        <v>0</v>
      </c>
      <c r="K552" s="43">
        <v>0</v>
      </c>
      <c r="L552" s="43">
        <v>7071000</v>
      </c>
      <c r="M552" s="43">
        <f>+I552-SUM(J552:L552)</f>
        <v>-876000</v>
      </c>
      <c r="N552" s="42">
        <v>1328000</v>
      </c>
      <c r="O552" s="44">
        <v>0</v>
      </c>
      <c r="P552" s="44">
        <v>0</v>
      </c>
      <c r="Q552" s="44">
        <v>0</v>
      </c>
      <c r="R552" s="44">
        <f>+N552-SUM(O552:Q552)</f>
        <v>1328000</v>
      </c>
      <c r="S552" s="53" t="s">
        <v>790</v>
      </c>
      <c r="T552" s="67" t="s">
        <v>779</v>
      </c>
      <c r="U552" s="47" t="s">
        <v>791</v>
      </c>
      <c r="V552" s="95"/>
    </row>
    <row r="553" spans="2:22" ht="14.25" customHeight="1">
      <c r="B553" s="60"/>
      <c r="C553" s="100"/>
      <c r="D553" s="101"/>
      <c r="E553" s="19"/>
      <c r="F553" s="51"/>
      <c r="G553" s="52"/>
      <c r="H553" s="41"/>
      <c r="I553" s="42"/>
      <c r="J553" s="43"/>
      <c r="K553" s="43"/>
      <c r="L553" s="43"/>
      <c r="M553" s="43"/>
      <c r="N553" s="42"/>
      <c r="O553" s="44"/>
      <c r="P553" s="44"/>
      <c r="Q553" s="44"/>
      <c r="R553" s="44"/>
      <c r="S553" s="53" t="s">
        <v>1143</v>
      </c>
      <c r="T553" s="67"/>
      <c r="U553" s="47"/>
      <c r="V553" s="95"/>
    </row>
    <row r="554" spans="2:22" ht="14.25" customHeight="1">
      <c r="B554" s="60"/>
      <c r="C554" s="100"/>
      <c r="D554" s="101"/>
      <c r="E554" s="19"/>
      <c r="F554" s="51"/>
      <c r="G554" s="52"/>
      <c r="H554" s="41"/>
      <c r="I554" s="42"/>
      <c r="J554" s="43"/>
      <c r="K554" s="43"/>
      <c r="L554" s="43"/>
      <c r="M554" s="43"/>
      <c r="N554" s="42"/>
      <c r="O554" s="44"/>
      <c r="P554" s="44"/>
      <c r="Q554" s="44"/>
      <c r="R554" s="44"/>
      <c r="S554" s="53" t="s">
        <v>1144</v>
      </c>
      <c r="T554" s="67"/>
      <c r="U554" s="47"/>
      <c r="V554" s="95"/>
    </row>
    <row r="555" spans="2:22" ht="14.25" customHeight="1">
      <c r="B555" s="60"/>
      <c r="C555" s="100"/>
      <c r="D555" s="101"/>
      <c r="E555" s="19"/>
      <c r="F555" s="51"/>
      <c r="G555" s="52"/>
      <c r="H555" s="41"/>
      <c r="I555" s="42"/>
      <c r="J555" s="43"/>
      <c r="K555" s="43"/>
      <c r="L555" s="43"/>
      <c r="M555" s="43"/>
      <c r="N555" s="42"/>
      <c r="O555" s="44"/>
      <c r="P555" s="44"/>
      <c r="Q555" s="44"/>
      <c r="R555" s="44"/>
      <c r="S555" s="53"/>
      <c r="T555" s="46"/>
      <c r="U555" s="47"/>
      <c r="V555" s="95"/>
    </row>
    <row r="556" spans="2:22" ht="14.25" customHeight="1">
      <c r="B556" s="60"/>
      <c r="C556" s="100"/>
      <c r="D556" s="101"/>
      <c r="E556" s="19"/>
      <c r="F556" s="51">
        <f>+F552+1</f>
        <v>9</v>
      </c>
      <c r="G556" s="52"/>
      <c r="H556" s="41" t="s">
        <v>111</v>
      </c>
      <c r="I556" s="94">
        <v>-2385000</v>
      </c>
      <c r="J556" s="92">
        <v>0</v>
      </c>
      <c r="K556" s="92">
        <v>0</v>
      </c>
      <c r="L556" s="92">
        <v>0</v>
      </c>
      <c r="M556" s="92">
        <f>+I556-SUM(J556:L556)</f>
        <v>-2385000</v>
      </c>
      <c r="N556" s="94">
        <v>0</v>
      </c>
      <c r="O556" s="93">
        <v>0</v>
      </c>
      <c r="P556" s="93">
        <v>0</v>
      </c>
      <c r="Q556" s="93">
        <v>0</v>
      </c>
      <c r="R556" s="44">
        <f>+N556-SUM(O556:Q556)</f>
        <v>0</v>
      </c>
      <c r="S556" s="58" t="s">
        <v>218</v>
      </c>
      <c r="T556" s="46"/>
      <c r="U556" s="47"/>
      <c r="V556" s="95"/>
    </row>
    <row r="557" spans="2:22" ht="14.25" customHeight="1" thickBot="1">
      <c r="B557" s="69"/>
      <c r="C557" s="120"/>
      <c r="D557" s="121"/>
      <c r="E557" s="24"/>
      <c r="F557" s="71"/>
      <c r="G557" s="72"/>
      <c r="H557" s="111"/>
      <c r="I557" s="74"/>
      <c r="J557" s="75"/>
      <c r="K557" s="75"/>
      <c r="L557" s="75"/>
      <c r="M557" s="75"/>
      <c r="N557" s="74"/>
      <c r="O557" s="76"/>
      <c r="P557" s="76"/>
      <c r="Q557" s="76"/>
      <c r="R557" s="76"/>
      <c r="S557" s="133"/>
      <c r="T557" s="78"/>
      <c r="U557" s="79"/>
      <c r="V557" s="48"/>
    </row>
    <row r="558" spans="2:22" ht="14.25" customHeight="1">
      <c r="B558" s="60"/>
      <c r="C558" s="100"/>
      <c r="D558" s="101"/>
      <c r="E558" s="19"/>
      <c r="F558" s="51"/>
      <c r="G558" s="52"/>
      <c r="H558" s="41"/>
      <c r="I558" s="94"/>
      <c r="J558" s="92"/>
      <c r="K558" s="92"/>
      <c r="L558" s="92"/>
      <c r="M558" s="92"/>
      <c r="N558" s="94"/>
      <c r="O558" s="93"/>
      <c r="P558" s="93"/>
      <c r="Q558" s="93"/>
      <c r="R558" s="93"/>
      <c r="S558" s="58"/>
      <c r="T558" s="46"/>
      <c r="U558" s="47"/>
      <c r="V558" s="48"/>
    </row>
    <row r="559" spans="2:22" ht="14.25" customHeight="1">
      <c r="B559" s="17" t="s">
        <v>395</v>
      </c>
      <c r="C559" s="26">
        <f>SUM(I559:I585)</f>
        <v>65667000</v>
      </c>
      <c r="D559" s="26">
        <f>SUM(N559:N585)</f>
        <v>56029451</v>
      </c>
      <c r="E559" s="19" t="s">
        <v>330</v>
      </c>
      <c r="F559" s="51">
        <v>1</v>
      </c>
      <c r="G559" s="52"/>
      <c r="H559" s="41" t="s">
        <v>396</v>
      </c>
      <c r="I559" s="94">
        <f>4967000+6446000</f>
        <v>11413000</v>
      </c>
      <c r="J559" s="92">
        <v>157000</v>
      </c>
      <c r="K559" s="92">
        <v>0</v>
      </c>
      <c r="L559" s="92">
        <v>0</v>
      </c>
      <c r="M559" s="92">
        <f>+I559-SUM(J559:L559)</f>
        <v>11256000</v>
      </c>
      <c r="N559" s="94">
        <f>4103943+5432531</f>
        <v>9536474</v>
      </c>
      <c r="O559" s="93">
        <v>141894</v>
      </c>
      <c r="P559" s="93">
        <v>0</v>
      </c>
      <c r="Q559" s="93">
        <v>0</v>
      </c>
      <c r="R559" s="93">
        <f>+N559-SUM(O559:Q559)</f>
        <v>9394580</v>
      </c>
      <c r="S559" s="53" t="s">
        <v>397</v>
      </c>
      <c r="T559" s="46"/>
      <c r="U559" s="47"/>
      <c r="V559" s="48"/>
    </row>
    <row r="560" spans="2:22" ht="14.25" customHeight="1">
      <c r="B560" s="17" t="s">
        <v>58</v>
      </c>
      <c r="C560" s="26"/>
      <c r="D560" s="26"/>
      <c r="E560" s="19" t="s">
        <v>273</v>
      </c>
      <c r="F560" s="51"/>
      <c r="G560" s="52"/>
      <c r="H560" s="41"/>
      <c r="I560" s="94"/>
      <c r="J560" s="92"/>
      <c r="K560" s="92"/>
      <c r="L560" s="92"/>
      <c r="M560" s="92"/>
      <c r="N560" s="94"/>
      <c r="O560" s="93"/>
      <c r="P560" s="93"/>
      <c r="Q560" s="93"/>
      <c r="R560" s="93"/>
      <c r="S560" s="53" t="s">
        <v>1150</v>
      </c>
      <c r="T560" s="46" t="s">
        <v>792</v>
      </c>
      <c r="U560" s="47" t="s">
        <v>792</v>
      </c>
      <c r="V560" s="48"/>
    </row>
    <row r="561" spans="2:22" ht="14.25" customHeight="1">
      <c r="B561" s="17"/>
      <c r="C561" s="26" t="s">
        <v>7</v>
      </c>
      <c r="D561" s="26" t="s">
        <v>7</v>
      </c>
      <c r="E561" s="19"/>
      <c r="F561" s="51"/>
      <c r="G561" s="52"/>
      <c r="H561" s="41"/>
      <c r="I561" s="94"/>
      <c r="J561" s="92"/>
      <c r="K561" s="92"/>
      <c r="L561" s="92"/>
      <c r="M561" s="92"/>
      <c r="N561" s="94"/>
      <c r="O561" s="93"/>
      <c r="P561" s="93"/>
      <c r="Q561" s="93"/>
      <c r="R561" s="93"/>
      <c r="S561" s="53" t="s">
        <v>793</v>
      </c>
      <c r="T561" s="46" t="s">
        <v>794</v>
      </c>
      <c r="U561" s="47" t="s">
        <v>794</v>
      </c>
      <c r="V561" s="48"/>
    </row>
    <row r="562" spans="2:22" ht="14.25" customHeight="1">
      <c r="B562" s="17"/>
      <c r="C562" s="26">
        <f>SUM(J559:J585)</f>
        <v>4205000</v>
      </c>
      <c r="D562" s="26">
        <f>SUM(O559:O585)</f>
        <v>5284877</v>
      </c>
      <c r="E562" s="19"/>
      <c r="F562" s="51"/>
      <c r="G562" s="52"/>
      <c r="H562" s="41"/>
      <c r="I562" s="94"/>
      <c r="J562" s="92"/>
      <c r="K562" s="92"/>
      <c r="L562" s="92"/>
      <c r="M562" s="92"/>
      <c r="N562" s="94"/>
      <c r="O562" s="93"/>
      <c r="P562" s="93"/>
      <c r="Q562" s="93"/>
      <c r="R562" s="93"/>
      <c r="S562" s="53" t="s">
        <v>795</v>
      </c>
      <c r="T562" s="46"/>
      <c r="U562" s="47"/>
      <c r="V562" s="48"/>
    </row>
    <row r="563" spans="2:22" ht="14.25" customHeight="1">
      <c r="B563" s="17"/>
      <c r="C563" s="26" t="s">
        <v>8</v>
      </c>
      <c r="D563" s="26" t="s">
        <v>8</v>
      </c>
      <c r="E563" s="19"/>
      <c r="F563" s="51"/>
      <c r="G563" s="52"/>
      <c r="H563" s="41"/>
      <c r="I563" s="94"/>
      <c r="J563" s="92"/>
      <c r="K563" s="92"/>
      <c r="L563" s="92"/>
      <c r="M563" s="92"/>
      <c r="N563" s="94"/>
      <c r="O563" s="93"/>
      <c r="P563" s="93"/>
      <c r="Q563" s="93"/>
      <c r="R563" s="93"/>
      <c r="S563" s="53"/>
      <c r="T563" s="46"/>
      <c r="U563" s="47"/>
      <c r="V563" s="48"/>
    </row>
    <row r="564" spans="2:22" ht="14.25" customHeight="1">
      <c r="B564" s="17"/>
      <c r="C564" s="26">
        <f>SUM(L559:L585)</f>
        <v>870000</v>
      </c>
      <c r="D564" s="26">
        <f>SUM(Q559:Q585)</f>
        <v>870000</v>
      </c>
      <c r="E564" s="19"/>
      <c r="F564" s="51">
        <f>+F559+1</f>
        <v>2</v>
      </c>
      <c r="G564" s="52"/>
      <c r="H564" s="41" t="s">
        <v>398</v>
      </c>
      <c r="I564" s="94">
        <v>7250000</v>
      </c>
      <c r="J564" s="92">
        <v>0</v>
      </c>
      <c r="K564" s="92">
        <v>0</v>
      </c>
      <c r="L564" s="92">
        <v>0</v>
      </c>
      <c r="M564" s="92">
        <f>+I564-SUM(J564:L564)</f>
        <v>7250000</v>
      </c>
      <c r="N564" s="94">
        <v>6535516</v>
      </c>
      <c r="O564" s="93">
        <v>0</v>
      </c>
      <c r="P564" s="93">
        <v>0</v>
      </c>
      <c r="Q564" s="93">
        <v>0</v>
      </c>
      <c r="R564" s="93">
        <f>+N564-SUM(O564:Q564)</f>
        <v>6535516</v>
      </c>
      <c r="S564" s="53" t="s">
        <v>399</v>
      </c>
      <c r="T564" s="46" t="s">
        <v>400</v>
      </c>
      <c r="U564" s="47" t="s">
        <v>400</v>
      </c>
      <c r="V564" s="48"/>
    </row>
    <row r="565" spans="2:22" ht="14.25" customHeight="1">
      <c r="B565" s="17"/>
      <c r="C565" s="26" t="s">
        <v>9</v>
      </c>
      <c r="D565" s="26" t="s">
        <v>9</v>
      </c>
      <c r="E565" s="19"/>
      <c r="F565" s="51"/>
      <c r="G565" s="52"/>
      <c r="H565" s="41"/>
      <c r="I565" s="94"/>
      <c r="J565" s="92"/>
      <c r="K565" s="92"/>
      <c r="L565" s="92"/>
      <c r="M565" s="92"/>
      <c r="N565" s="94"/>
      <c r="O565" s="93"/>
      <c r="P565" s="93"/>
      <c r="Q565" s="93"/>
      <c r="R565" s="93"/>
      <c r="S565" s="53" t="s">
        <v>401</v>
      </c>
      <c r="T565" s="46"/>
      <c r="U565" s="47"/>
      <c r="V565" s="48"/>
    </row>
    <row r="566" spans="2:22" ht="14.25" customHeight="1">
      <c r="B566" s="17"/>
      <c r="C566" s="26">
        <f>C559-C562-C564</f>
        <v>60592000</v>
      </c>
      <c r="D566" s="26">
        <f>D559-D562-D564</f>
        <v>49874574</v>
      </c>
      <c r="E566" s="19"/>
      <c r="F566" s="51"/>
      <c r="G566" s="52"/>
      <c r="H566" s="41"/>
      <c r="I566" s="94"/>
      <c r="J566" s="92"/>
      <c r="K566" s="92"/>
      <c r="L566" s="92"/>
      <c r="M566" s="92"/>
      <c r="N566" s="94"/>
      <c r="O566" s="93"/>
      <c r="P566" s="93"/>
      <c r="Q566" s="93"/>
      <c r="R566" s="93"/>
      <c r="S566" s="53" t="s">
        <v>1151</v>
      </c>
      <c r="T566" s="46"/>
      <c r="U566" s="47"/>
      <c r="V566" s="48"/>
    </row>
    <row r="567" spans="2:22" ht="14.25" customHeight="1" thickBot="1">
      <c r="B567" s="334"/>
      <c r="C567" s="27"/>
      <c r="D567" s="27"/>
      <c r="E567" s="24"/>
      <c r="F567" s="71"/>
      <c r="G567" s="72"/>
      <c r="H567" s="111"/>
      <c r="I567" s="74"/>
      <c r="J567" s="75"/>
      <c r="K567" s="75"/>
      <c r="L567" s="75"/>
      <c r="M567" s="75"/>
      <c r="N567" s="74"/>
      <c r="O567" s="76"/>
      <c r="P567" s="76"/>
      <c r="Q567" s="76"/>
      <c r="R567" s="76"/>
      <c r="S567" s="115"/>
      <c r="T567" s="78"/>
      <c r="U567" s="79"/>
      <c r="V567" s="48"/>
    </row>
    <row r="568" spans="2:22" ht="14.25" customHeight="1">
      <c r="B568" s="60"/>
      <c r="C568" s="26"/>
      <c r="D568" s="26"/>
      <c r="E568" s="19"/>
      <c r="F568" s="51">
        <f>+F564+1</f>
        <v>3</v>
      </c>
      <c r="G568" s="52"/>
      <c r="H568" s="41" t="s">
        <v>402</v>
      </c>
      <c r="I568" s="94">
        <v>13198000</v>
      </c>
      <c r="J568" s="92">
        <v>4048000</v>
      </c>
      <c r="K568" s="92">
        <v>0</v>
      </c>
      <c r="L568" s="92">
        <v>500000</v>
      </c>
      <c r="M568" s="92">
        <f>+I568-SUM(J568:L568)</f>
        <v>8650000</v>
      </c>
      <c r="N568" s="94">
        <v>9753450</v>
      </c>
      <c r="O568" s="93">
        <v>5142983</v>
      </c>
      <c r="P568" s="93">
        <v>0</v>
      </c>
      <c r="Q568" s="93">
        <v>500000</v>
      </c>
      <c r="R568" s="93">
        <f>+N568-SUM(O568:Q568)</f>
        <v>4110467</v>
      </c>
      <c r="S568" s="53" t="s">
        <v>796</v>
      </c>
      <c r="T568" s="46" t="s">
        <v>797</v>
      </c>
      <c r="U568" s="47" t="s">
        <v>798</v>
      </c>
      <c r="V568" s="48"/>
    </row>
    <row r="569" spans="2:22" ht="14.25" customHeight="1">
      <c r="B569" s="60"/>
      <c r="C569" s="26"/>
      <c r="D569" s="26"/>
      <c r="E569" s="19"/>
      <c r="F569" s="51"/>
      <c r="G569" s="52"/>
      <c r="H569" s="41"/>
      <c r="I569" s="94"/>
      <c r="J569" s="92"/>
      <c r="K569" s="92"/>
      <c r="L569" s="92"/>
      <c r="M569" s="92"/>
      <c r="N569" s="94"/>
      <c r="O569" s="93"/>
      <c r="P569" s="93"/>
      <c r="Q569" s="93"/>
      <c r="R569" s="93"/>
      <c r="S569" s="53" t="s">
        <v>799</v>
      </c>
      <c r="T569" s="46"/>
      <c r="U569" s="47"/>
      <c r="V569" s="48"/>
    </row>
    <row r="570" spans="2:22" ht="14.25" customHeight="1">
      <c r="B570" s="60"/>
      <c r="C570" s="26"/>
      <c r="D570" s="26"/>
      <c r="E570" s="19"/>
      <c r="F570" s="51"/>
      <c r="G570" s="52"/>
      <c r="H570" s="41"/>
      <c r="I570" s="94"/>
      <c r="J570" s="92"/>
      <c r="K570" s="92"/>
      <c r="L570" s="92"/>
      <c r="M570" s="92"/>
      <c r="N570" s="94"/>
      <c r="O570" s="93"/>
      <c r="P570" s="93"/>
      <c r="Q570" s="93"/>
      <c r="R570" s="93"/>
      <c r="S570" s="53" t="s">
        <v>800</v>
      </c>
      <c r="T570" s="46"/>
      <c r="U570" s="47"/>
      <c r="V570" s="48"/>
    </row>
    <row r="571" spans="2:22" ht="14.25" customHeight="1">
      <c r="B571" s="60"/>
      <c r="C571" s="100"/>
      <c r="D571" s="101"/>
      <c r="E571" s="19"/>
      <c r="F571" s="51"/>
      <c r="G571" s="52"/>
      <c r="H571" s="41"/>
      <c r="I571" s="94"/>
      <c r="J571" s="92"/>
      <c r="K571" s="92"/>
      <c r="L571" s="92"/>
      <c r="M571" s="92"/>
      <c r="N571" s="94"/>
      <c r="O571" s="93"/>
      <c r="P571" s="93"/>
      <c r="Q571" s="93"/>
      <c r="R571" s="93"/>
      <c r="S571" s="53" t="s">
        <v>801</v>
      </c>
      <c r="T571" s="46"/>
      <c r="U571" s="47"/>
      <c r="V571" s="48"/>
    </row>
    <row r="572" spans="2:22" ht="14.25" customHeight="1">
      <c r="B572" s="60"/>
      <c r="C572" s="100"/>
      <c r="D572" s="101"/>
      <c r="E572" s="19"/>
      <c r="F572" s="51"/>
      <c r="G572" s="52"/>
      <c r="H572" s="41"/>
      <c r="I572" s="94"/>
      <c r="J572" s="92"/>
      <c r="K572" s="92"/>
      <c r="L572" s="92"/>
      <c r="M572" s="92"/>
      <c r="N572" s="94"/>
      <c r="O572" s="93"/>
      <c r="P572" s="93"/>
      <c r="Q572" s="93"/>
      <c r="R572" s="93"/>
      <c r="S572" s="53"/>
      <c r="T572" s="46"/>
      <c r="U572" s="47"/>
      <c r="V572" s="48"/>
    </row>
    <row r="573" spans="2:22" ht="14.25" customHeight="1">
      <c r="B573" s="60"/>
      <c r="C573" s="100"/>
      <c r="D573" s="101"/>
      <c r="E573" s="19"/>
      <c r="F573" s="51"/>
      <c r="G573" s="52"/>
      <c r="H573" s="41"/>
      <c r="I573" s="94"/>
      <c r="J573" s="92"/>
      <c r="K573" s="92"/>
      <c r="L573" s="92"/>
      <c r="M573" s="92"/>
      <c r="N573" s="94"/>
      <c r="O573" s="93"/>
      <c r="P573" s="93"/>
      <c r="Q573" s="93"/>
      <c r="R573" s="93"/>
      <c r="S573" s="53" t="s">
        <v>802</v>
      </c>
      <c r="T573" s="67" t="s">
        <v>357</v>
      </c>
      <c r="U573" s="47" t="s">
        <v>803</v>
      </c>
      <c r="V573" s="48"/>
    </row>
    <row r="574" spans="2:22" ht="14.25" customHeight="1">
      <c r="B574" s="60"/>
      <c r="C574" s="100"/>
      <c r="D574" s="101"/>
      <c r="E574" s="19"/>
      <c r="F574" s="51"/>
      <c r="G574" s="52"/>
      <c r="H574" s="41"/>
      <c r="I574" s="94"/>
      <c r="J574" s="92"/>
      <c r="K574" s="92"/>
      <c r="L574" s="92"/>
      <c r="M574" s="92"/>
      <c r="N574" s="94"/>
      <c r="O574" s="93"/>
      <c r="P574" s="93"/>
      <c r="Q574" s="93"/>
      <c r="R574" s="93"/>
      <c r="S574" s="53" t="s">
        <v>804</v>
      </c>
      <c r="T574" s="46"/>
      <c r="U574" s="47"/>
      <c r="V574" s="48"/>
    </row>
    <row r="575" spans="2:22" ht="14.25" customHeight="1">
      <c r="B575" s="60"/>
      <c r="C575" s="100"/>
      <c r="D575" s="101"/>
      <c r="E575" s="19"/>
      <c r="F575" s="51"/>
      <c r="G575" s="52"/>
      <c r="H575" s="41"/>
      <c r="I575" s="94"/>
      <c r="J575" s="92"/>
      <c r="K575" s="92"/>
      <c r="L575" s="92"/>
      <c r="M575" s="92"/>
      <c r="N575" s="94"/>
      <c r="O575" s="93"/>
      <c r="P575" s="93"/>
      <c r="Q575" s="93"/>
      <c r="R575" s="93"/>
      <c r="S575" s="53" t="s">
        <v>805</v>
      </c>
      <c r="T575" s="46"/>
      <c r="U575" s="47"/>
      <c r="V575" s="48"/>
    </row>
    <row r="576" spans="2:22" ht="14.25" customHeight="1">
      <c r="B576" s="60"/>
      <c r="C576" s="100"/>
      <c r="D576" s="101"/>
      <c r="E576" s="19"/>
      <c r="F576" s="51"/>
      <c r="G576" s="52"/>
      <c r="H576" s="41"/>
      <c r="I576" s="94"/>
      <c r="J576" s="92"/>
      <c r="K576" s="92"/>
      <c r="L576" s="92"/>
      <c r="M576" s="92"/>
      <c r="N576" s="94"/>
      <c r="O576" s="93"/>
      <c r="P576" s="93"/>
      <c r="Q576" s="93"/>
      <c r="R576" s="93"/>
      <c r="S576" s="53" t="s">
        <v>806</v>
      </c>
      <c r="T576" s="46"/>
      <c r="U576" s="47"/>
      <c r="V576" s="48"/>
    </row>
    <row r="577" spans="2:22" ht="14.25" customHeight="1">
      <c r="B577" s="60"/>
      <c r="C577" s="100"/>
      <c r="D577" s="101"/>
      <c r="E577" s="19"/>
      <c r="F577" s="51"/>
      <c r="G577" s="52"/>
      <c r="H577" s="41"/>
      <c r="I577" s="94"/>
      <c r="J577" s="92"/>
      <c r="K577" s="92"/>
      <c r="L577" s="92"/>
      <c r="M577" s="92"/>
      <c r="N577" s="94"/>
      <c r="O577" s="93"/>
      <c r="P577" s="93"/>
      <c r="Q577" s="93"/>
      <c r="R577" s="93"/>
      <c r="S577" s="53" t="s">
        <v>807</v>
      </c>
      <c r="T577" s="46"/>
      <c r="U577" s="47"/>
      <c r="V577" s="48"/>
    </row>
    <row r="578" spans="2:22" ht="14.25" customHeight="1">
      <c r="B578" s="60"/>
      <c r="C578" s="100"/>
      <c r="D578" s="101"/>
      <c r="E578" s="19"/>
      <c r="F578" s="51"/>
      <c r="G578" s="52"/>
      <c r="H578" s="41"/>
      <c r="I578" s="94"/>
      <c r="J578" s="92"/>
      <c r="K578" s="92"/>
      <c r="L578" s="92"/>
      <c r="M578" s="92"/>
      <c r="N578" s="94"/>
      <c r="O578" s="93"/>
      <c r="P578" s="93"/>
      <c r="Q578" s="93"/>
      <c r="R578" s="93"/>
      <c r="S578" s="53"/>
      <c r="T578" s="46"/>
      <c r="U578" s="47"/>
      <c r="V578" s="48"/>
    </row>
    <row r="579" spans="2:22" ht="14.25" customHeight="1">
      <c r="B579" s="60"/>
      <c r="C579" s="100"/>
      <c r="D579" s="101"/>
      <c r="E579" s="19"/>
      <c r="F579" s="51">
        <f>+F568+1</f>
        <v>4</v>
      </c>
      <c r="G579" s="52"/>
      <c r="H579" s="64" t="s">
        <v>403</v>
      </c>
      <c r="I579" s="42">
        <f>7672000+26702000</f>
        <v>34374000</v>
      </c>
      <c r="J579" s="43">
        <v>0</v>
      </c>
      <c r="K579" s="43">
        <v>0</v>
      </c>
      <c r="L579" s="43">
        <v>370000</v>
      </c>
      <c r="M579" s="43">
        <f>+I579-SUM(J579:L579)</f>
        <v>34004000</v>
      </c>
      <c r="N579" s="42">
        <f>5311483+24408908</f>
        <v>29720391</v>
      </c>
      <c r="O579" s="44">
        <v>0</v>
      </c>
      <c r="P579" s="44">
        <v>0</v>
      </c>
      <c r="Q579" s="44">
        <v>370000</v>
      </c>
      <c r="R579" s="44">
        <f>+N579-SUM(O579:Q579)</f>
        <v>29350391</v>
      </c>
      <c r="S579" s="53" t="s">
        <v>404</v>
      </c>
      <c r="T579" s="46" t="s">
        <v>405</v>
      </c>
      <c r="U579" s="47" t="s">
        <v>1152</v>
      </c>
      <c r="V579" s="48"/>
    </row>
    <row r="580" spans="2:22" ht="14.25" customHeight="1">
      <c r="B580" s="60"/>
      <c r="C580" s="100"/>
      <c r="D580" s="101"/>
      <c r="E580" s="19"/>
      <c r="F580" s="51"/>
      <c r="G580" s="52"/>
      <c r="H580" s="41"/>
      <c r="I580" s="42"/>
      <c r="J580" s="43"/>
      <c r="K580" s="43"/>
      <c r="L580" s="43"/>
      <c r="M580" s="43"/>
      <c r="N580" s="42"/>
      <c r="O580" s="44"/>
      <c r="P580" s="44"/>
      <c r="Q580" s="44"/>
      <c r="R580" s="44"/>
      <c r="S580" s="53" t="s">
        <v>406</v>
      </c>
      <c r="T580" s="46"/>
      <c r="U580" s="47"/>
      <c r="V580" s="48"/>
    </row>
    <row r="581" spans="2:22" ht="14.25" customHeight="1">
      <c r="B581" s="60"/>
      <c r="C581" s="100"/>
      <c r="D581" s="101"/>
      <c r="E581" s="19"/>
      <c r="F581" s="51"/>
      <c r="G581" s="52"/>
      <c r="H581" s="41"/>
      <c r="I581" s="42"/>
      <c r="J581" s="43"/>
      <c r="K581" s="43"/>
      <c r="L581" s="43"/>
      <c r="M581" s="43"/>
      <c r="N581" s="42"/>
      <c r="O581" s="44"/>
      <c r="P581" s="44"/>
      <c r="Q581" s="44"/>
      <c r="R581" s="44"/>
      <c r="S581" s="53" t="s">
        <v>1153</v>
      </c>
      <c r="T581" s="46"/>
      <c r="U581" s="47"/>
      <c r="V581" s="48"/>
    </row>
    <row r="582" spans="2:22" ht="14.25" customHeight="1">
      <c r="B582" s="60"/>
      <c r="C582" s="100"/>
      <c r="D582" s="101"/>
      <c r="E582" s="19"/>
      <c r="F582" s="51"/>
      <c r="G582" s="52"/>
      <c r="H582" s="41"/>
      <c r="I582" s="42"/>
      <c r="J582" s="43"/>
      <c r="K582" s="43"/>
      <c r="L582" s="43"/>
      <c r="M582" s="43"/>
      <c r="N582" s="42"/>
      <c r="O582" s="44"/>
      <c r="P582" s="44"/>
      <c r="Q582" s="44"/>
      <c r="R582" s="44"/>
      <c r="S582" s="58"/>
      <c r="T582" s="67"/>
      <c r="U582" s="59"/>
      <c r="V582" s="48"/>
    </row>
    <row r="583" spans="2:22" ht="14.25" customHeight="1">
      <c r="B583" s="60"/>
      <c r="C583" s="100"/>
      <c r="D583" s="101"/>
      <c r="E583" s="19"/>
      <c r="F583" s="51">
        <f>+F579+1</f>
        <v>5</v>
      </c>
      <c r="G583" s="52"/>
      <c r="H583" s="64" t="s">
        <v>407</v>
      </c>
      <c r="I583" s="143">
        <v>594000</v>
      </c>
      <c r="J583" s="43">
        <v>0</v>
      </c>
      <c r="K583" s="43">
        <v>0</v>
      </c>
      <c r="L583" s="43">
        <v>0</v>
      </c>
      <c r="M583" s="43">
        <f>+I583-SUM(J583:L583)</f>
        <v>594000</v>
      </c>
      <c r="N583" s="143">
        <v>483620</v>
      </c>
      <c r="O583" s="44">
        <v>0</v>
      </c>
      <c r="P583" s="44">
        <v>0</v>
      </c>
      <c r="Q583" s="44">
        <v>0</v>
      </c>
      <c r="R583" s="44">
        <f>+N583-SUM(O583:Q583)</f>
        <v>483620</v>
      </c>
      <c r="S583" s="53" t="s">
        <v>808</v>
      </c>
      <c r="T583" s="46" t="s">
        <v>809</v>
      </c>
      <c r="U583" s="47" t="s">
        <v>809</v>
      </c>
      <c r="V583" s="48"/>
    </row>
    <row r="584" spans="2:22" ht="14.25" customHeight="1">
      <c r="B584" s="60"/>
      <c r="C584" s="100"/>
      <c r="D584" s="101"/>
      <c r="E584" s="19"/>
      <c r="F584" s="51"/>
      <c r="G584" s="52"/>
      <c r="H584" s="41"/>
      <c r="I584" s="143"/>
      <c r="J584" s="43"/>
      <c r="K584" s="43"/>
      <c r="L584" s="43"/>
      <c r="M584" s="43"/>
      <c r="N584" s="143"/>
      <c r="O584" s="44"/>
      <c r="P584" s="44"/>
      <c r="Q584" s="44"/>
      <c r="R584" s="44"/>
      <c r="S584" s="53"/>
      <c r="T584" s="46"/>
      <c r="U584" s="47"/>
      <c r="V584" s="48"/>
    </row>
    <row r="585" spans="2:22" ht="14.25" customHeight="1">
      <c r="B585" s="60"/>
      <c r="C585" s="26"/>
      <c r="D585" s="26"/>
      <c r="E585" s="19"/>
      <c r="F585" s="51">
        <f>+F583+1</f>
        <v>6</v>
      </c>
      <c r="G585" s="52"/>
      <c r="H585" s="41" t="s">
        <v>111</v>
      </c>
      <c r="I585" s="94">
        <v>-1162000</v>
      </c>
      <c r="J585" s="92">
        <v>0</v>
      </c>
      <c r="K585" s="92">
        <v>0</v>
      </c>
      <c r="L585" s="92">
        <v>0</v>
      </c>
      <c r="M585" s="92">
        <f>+I585-SUM(J585:L585)</f>
        <v>-1162000</v>
      </c>
      <c r="N585" s="94">
        <v>0</v>
      </c>
      <c r="O585" s="93">
        <v>0</v>
      </c>
      <c r="P585" s="93">
        <v>0</v>
      </c>
      <c r="Q585" s="93">
        <v>0</v>
      </c>
      <c r="R585" s="44">
        <f>+N585-SUM(O585:Q585)</f>
        <v>0</v>
      </c>
      <c r="S585" s="58" t="s">
        <v>218</v>
      </c>
      <c r="T585" s="46"/>
      <c r="U585" s="47"/>
      <c r="V585" s="48"/>
    </row>
    <row r="586" spans="2:22" ht="14.25" customHeight="1" thickBot="1">
      <c r="B586" s="69"/>
      <c r="C586" s="120"/>
      <c r="D586" s="121"/>
      <c r="E586" s="24"/>
      <c r="F586" s="71"/>
      <c r="G586" s="72"/>
      <c r="H586" s="111"/>
      <c r="I586" s="74"/>
      <c r="J586" s="75"/>
      <c r="K586" s="75"/>
      <c r="L586" s="75"/>
      <c r="M586" s="75"/>
      <c r="N586" s="74"/>
      <c r="O586" s="76"/>
      <c r="P586" s="76"/>
      <c r="Q586" s="76"/>
      <c r="R586" s="76"/>
      <c r="S586" s="133"/>
      <c r="T586" s="78"/>
      <c r="U586" s="79"/>
      <c r="V586" s="48"/>
    </row>
    <row r="587" spans="2:22" ht="14.25" customHeight="1">
      <c r="B587" s="60"/>
      <c r="C587" s="100"/>
      <c r="D587" s="101"/>
      <c r="E587" s="19"/>
      <c r="F587" s="51"/>
      <c r="G587" s="52"/>
      <c r="H587" s="41"/>
      <c r="I587" s="94"/>
      <c r="J587" s="92"/>
      <c r="K587" s="92"/>
      <c r="L587" s="92"/>
      <c r="M587" s="92"/>
      <c r="N587" s="94"/>
      <c r="O587" s="93"/>
      <c r="P587" s="93"/>
      <c r="Q587" s="93"/>
      <c r="R587" s="93"/>
      <c r="S587" s="58"/>
      <c r="T587" s="46"/>
      <c r="U587" s="47"/>
      <c r="V587" s="48"/>
    </row>
    <row r="588" spans="2:22" ht="14.25" customHeight="1">
      <c r="B588" s="17" t="s">
        <v>408</v>
      </c>
      <c r="C588" s="26">
        <f>SUM(I588:I617)</f>
        <v>384935000</v>
      </c>
      <c r="D588" s="26">
        <f>SUM(N588:N617)</f>
        <v>367880409</v>
      </c>
      <c r="E588" s="19" t="s">
        <v>330</v>
      </c>
      <c r="F588" s="51">
        <v>1</v>
      </c>
      <c r="G588" s="52"/>
      <c r="H588" s="41" t="s">
        <v>409</v>
      </c>
      <c r="I588" s="94">
        <f>700000+1110000</f>
        <v>1810000</v>
      </c>
      <c r="J588" s="92">
        <v>0</v>
      </c>
      <c r="K588" s="92">
        <v>0</v>
      </c>
      <c r="L588" s="92">
        <v>700000</v>
      </c>
      <c r="M588" s="92">
        <f>+I588-SUM(J588:L588)</f>
        <v>1110000</v>
      </c>
      <c r="N588" s="94">
        <f>447797+884257</f>
        <v>1332054</v>
      </c>
      <c r="O588" s="93">
        <v>0</v>
      </c>
      <c r="P588" s="93">
        <v>0</v>
      </c>
      <c r="Q588" s="93">
        <v>447797</v>
      </c>
      <c r="R588" s="93">
        <f>+N588-SUM(O588:Q588)</f>
        <v>884257</v>
      </c>
      <c r="S588" s="53" t="s">
        <v>410</v>
      </c>
      <c r="T588" s="46" t="s">
        <v>411</v>
      </c>
      <c r="U588" s="47" t="s">
        <v>722</v>
      </c>
      <c r="V588" s="48"/>
    </row>
    <row r="589" spans="2:22" ht="14.25" customHeight="1">
      <c r="B589" s="17" t="s">
        <v>58</v>
      </c>
      <c r="C589" s="26"/>
      <c r="D589" s="26"/>
      <c r="E589" s="19" t="s">
        <v>273</v>
      </c>
      <c r="F589" s="51"/>
      <c r="G589" s="52"/>
      <c r="H589" s="41"/>
      <c r="I589" s="94"/>
      <c r="J589" s="92"/>
      <c r="K589" s="92"/>
      <c r="L589" s="92"/>
      <c r="M589" s="92"/>
      <c r="N589" s="94"/>
      <c r="O589" s="93"/>
      <c r="P589" s="93"/>
      <c r="Q589" s="93"/>
      <c r="R589" s="93"/>
      <c r="S589" s="53"/>
      <c r="T589" s="46"/>
      <c r="U589" s="47"/>
      <c r="V589" s="48"/>
    </row>
    <row r="590" spans="2:22" ht="14.25" customHeight="1">
      <c r="B590" s="17"/>
      <c r="C590" s="26" t="s">
        <v>7</v>
      </c>
      <c r="D590" s="26" t="s">
        <v>7</v>
      </c>
      <c r="E590" s="19"/>
      <c r="F590" s="51">
        <f>+F588+1</f>
        <v>2</v>
      </c>
      <c r="G590" s="52"/>
      <c r="H590" s="41" t="s">
        <v>412</v>
      </c>
      <c r="I590" s="94">
        <v>254899000</v>
      </c>
      <c r="J590" s="92">
        <v>19373000</v>
      </c>
      <c r="K590" s="92">
        <v>0</v>
      </c>
      <c r="L590" s="92">
        <v>0</v>
      </c>
      <c r="M590" s="92">
        <f>+I590-SUM(J590:L590)</f>
        <v>235526000</v>
      </c>
      <c r="N590" s="94">
        <v>237580575</v>
      </c>
      <c r="O590" s="93">
        <v>17960776</v>
      </c>
      <c r="P590" s="93">
        <v>0</v>
      </c>
      <c r="Q590" s="93">
        <v>0</v>
      </c>
      <c r="R590" s="93">
        <f>+N590-SUM(O590:Q590)</f>
        <v>219619799</v>
      </c>
      <c r="S590" s="53" t="s">
        <v>413</v>
      </c>
      <c r="T590" s="46" t="s">
        <v>414</v>
      </c>
      <c r="U590" s="47" t="s">
        <v>414</v>
      </c>
      <c r="V590" s="48"/>
    </row>
    <row r="591" spans="2:22" ht="14.25" customHeight="1">
      <c r="B591" s="17"/>
      <c r="C591" s="26">
        <f>SUM(J588:J617)</f>
        <v>98155000</v>
      </c>
      <c r="D591" s="26">
        <f>SUM(O588:O617)</f>
        <v>96741226</v>
      </c>
      <c r="E591" s="19"/>
      <c r="F591" s="51"/>
      <c r="G591" s="52"/>
      <c r="H591" s="41"/>
      <c r="I591" s="94"/>
      <c r="J591" s="92"/>
      <c r="K591" s="92"/>
      <c r="L591" s="92"/>
      <c r="M591" s="92"/>
      <c r="N591" s="94"/>
      <c r="O591" s="93"/>
      <c r="P591" s="93"/>
      <c r="Q591" s="93"/>
      <c r="R591" s="93"/>
      <c r="S591" s="53" t="s">
        <v>415</v>
      </c>
      <c r="T591" s="46"/>
      <c r="U591" s="47"/>
      <c r="V591" s="48"/>
    </row>
    <row r="592" spans="2:22" ht="14.25" customHeight="1">
      <c r="B592" s="17"/>
      <c r="C592" s="26" t="s">
        <v>8</v>
      </c>
      <c r="D592" s="26" t="s">
        <v>8</v>
      </c>
      <c r="E592" s="19"/>
      <c r="F592" s="51"/>
      <c r="G592" s="52"/>
      <c r="H592" s="41"/>
      <c r="I592" s="94"/>
      <c r="J592" s="92"/>
      <c r="K592" s="92"/>
      <c r="L592" s="92"/>
      <c r="M592" s="92"/>
      <c r="N592" s="94"/>
      <c r="O592" s="93"/>
      <c r="P592" s="93"/>
      <c r="Q592" s="93"/>
      <c r="R592" s="93"/>
      <c r="S592" s="53" t="s">
        <v>723</v>
      </c>
      <c r="T592" s="46"/>
      <c r="U592" s="47"/>
      <c r="V592" s="48"/>
    </row>
    <row r="593" spans="2:22" ht="14.25" customHeight="1">
      <c r="B593" s="17"/>
      <c r="C593" s="26">
        <f>SUM(L588:L617)</f>
        <v>700000</v>
      </c>
      <c r="D593" s="26">
        <f>SUM(Q588:Q617)</f>
        <v>447797</v>
      </c>
      <c r="E593" s="19"/>
      <c r="F593" s="51"/>
      <c r="G593" s="52"/>
      <c r="H593" s="41"/>
      <c r="I593" s="94"/>
      <c r="J593" s="92"/>
      <c r="K593" s="92"/>
      <c r="L593" s="92"/>
      <c r="M593" s="92"/>
      <c r="N593" s="94"/>
      <c r="O593" s="93"/>
      <c r="P593" s="93"/>
      <c r="Q593" s="93"/>
      <c r="R593" s="93"/>
      <c r="S593" s="53" t="s">
        <v>416</v>
      </c>
      <c r="T593" s="46"/>
      <c r="U593" s="47"/>
      <c r="V593" s="55"/>
    </row>
    <row r="594" spans="2:22" ht="14.25" customHeight="1">
      <c r="B594" s="17"/>
      <c r="C594" s="26" t="s">
        <v>9</v>
      </c>
      <c r="D594" s="26" t="s">
        <v>9</v>
      </c>
      <c r="E594" s="19"/>
      <c r="F594" s="51"/>
      <c r="G594" s="52"/>
      <c r="H594" s="41"/>
      <c r="I594" s="94"/>
      <c r="J594" s="92"/>
      <c r="K594" s="92"/>
      <c r="L594" s="92"/>
      <c r="M594" s="92"/>
      <c r="N594" s="94"/>
      <c r="O594" s="93"/>
      <c r="P594" s="93"/>
      <c r="Q594" s="93"/>
      <c r="R594" s="93"/>
      <c r="S594" s="53" t="s">
        <v>724</v>
      </c>
      <c r="T594" s="46"/>
      <c r="U594" s="47"/>
      <c r="V594" s="55"/>
    </row>
    <row r="595" spans="2:22" ht="14.25" customHeight="1">
      <c r="B595" s="17"/>
      <c r="C595" s="26">
        <f>C588-C591-C593</f>
        <v>286080000</v>
      </c>
      <c r="D595" s="26">
        <f>D588-D591-D593</f>
        <v>270691386</v>
      </c>
      <c r="E595" s="19"/>
      <c r="F595" s="51"/>
      <c r="G595" s="52"/>
      <c r="H595" s="41"/>
      <c r="I595" s="94"/>
      <c r="J595" s="92"/>
      <c r="K595" s="92"/>
      <c r="L595" s="92"/>
      <c r="M595" s="92"/>
      <c r="N595" s="94"/>
      <c r="O595" s="93"/>
      <c r="P595" s="93"/>
      <c r="Q595" s="93"/>
      <c r="R595" s="93"/>
      <c r="S595" s="53"/>
      <c r="T595" s="46"/>
      <c r="U595" s="47"/>
      <c r="V595" s="55"/>
    </row>
    <row r="596" spans="2:22" ht="14.25" customHeight="1">
      <c r="B596" s="17"/>
      <c r="C596" s="26"/>
      <c r="D596" s="26"/>
      <c r="E596" s="19"/>
      <c r="F596" s="51"/>
      <c r="G596" s="52"/>
      <c r="H596" s="41"/>
      <c r="I596" s="94"/>
      <c r="J596" s="92"/>
      <c r="K596" s="92"/>
      <c r="L596" s="92"/>
      <c r="M596" s="92"/>
      <c r="N596" s="94"/>
      <c r="O596" s="93"/>
      <c r="P596" s="93"/>
      <c r="Q596" s="93"/>
      <c r="R596" s="93"/>
      <c r="S596" s="53" t="s">
        <v>725</v>
      </c>
      <c r="T596" s="46"/>
      <c r="U596" s="47"/>
      <c r="V596" s="55"/>
    </row>
    <row r="597" spans="2:22" ht="14.25" customHeight="1">
      <c r="B597" s="17"/>
      <c r="C597" s="26"/>
      <c r="D597" s="26"/>
      <c r="E597" s="19"/>
      <c r="F597" s="51"/>
      <c r="G597" s="52"/>
      <c r="H597" s="41"/>
      <c r="I597" s="94"/>
      <c r="J597" s="92"/>
      <c r="K597" s="92"/>
      <c r="L597" s="92"/>
      <c r="M597" s="92"/>
      <c r="N597" s="94"/>
      <c r="O597" s="93"/>
      <c r="P597" s="93"/>
      <c r="Q597" s="93"/>
      <c r="R597" s="93"/>
      <c r="S597" s="53" t="s">
        <v>726</v>
      </c>
      <c r="T597" s="46" t="s">
        <v>727</v>
      </c>
      <c r="U597" s="47" t="s">
        <v>727</v>
      </c>
      <c r="V597" s="55"/>
    </row>
    <row r="598" spans="2:22" ht="14.25" customHeight="1">
      <c r="B598" s="17"/>
      <c r="C598" s="26"/>
      <c r="D598" s="26"/>
      <c r="E598" s="19"/>
      <c r="F598" s="51"/>
      <c r="G598" s="52"/>
      <c r="H598" s="41"/>
      <c r="I598" s="94"/>
      <c r="J598" s="92"/>
      <c r="K598" s="92"/>
      <c r="L598" s="92"/>
      <c r="M598" s="92"/>
      <c r="N598" s="94"/>
      <c r="O598" s="93"/>
      <c r="P598" s="93"/>
      <c r="Q598" s="93"/>
      <c r="R598" s="93"/>
      <c r="S598" s="53" t="s">
        <v>728</v>
      </c>
      <c r="T598" s="46" t="s">
        <v>729</v>
      </c>
      <c r="U598" s="47" t="s">
        <v>729</v>
      </c>
      <c r="V598" s="55"/>
    </row>
    <row r="599" spans="2:22" ht="14.25" customHeight="1">
      <c r="B599" s="17"/>
      <c r="C599" s="26"/>
      <c r="D599" s="26"/>
      <c r="E599" s="19"/>
      <c r="F599" s="51"/>
      <c r="G599" s="52"/>
      <c r="H599" s="41"/>
      <c r="I599" s="94"/>
      <c r="J599" s="92"/>
      <c r="K599" s="92"/>
      <c r="L599" s="92"/>
      <c r="M599" s="92"/>
      <c r="N599" s="94"/>
      <c r="O599" s="93"/>
      <c r="P599" s="93"/>
      <c r="Q599" s="93"/>
      <c r="R599" s="93"/>
      <c r="S599" s="53" t="s">
        <v>730</v>
      </c>
      <c r="T599" s="46" t="s">
        <v>731</v>
      </c>
      <c r="U599" s="47" t="s">
        <v>732</v>
      </c>
      <c r="V599" s="55"/>
    </row>
    <row r="600" spans="2:22" ht="14.25" customHeight="1">
      <c r="B600" s="17"/>
      <c r="C600" s="26"/>
      <c r="D600" s="26"/>
      <c r="E600" s="19"/>
      <c r="F600" s="51"/>
      <c r="G600" s="52"/>
      <c r="H600" s="41"/>
      <c r="I600" s="94"/>
      <c r="J600" s="92"/>
      <c r="K600" s="92"/>
      <c r="L600" s="92"/>
      <c r="M600" s="92"/>
      <c r="N600" s="94"/>
      <c r="O600" s="93"/>
      <c r="P600" s="93"/>
      <c r="Q600" s="93"/>
      <c r="R600" s="93"/>
      <c r="S600" s="53" t="s">
        <v>733</v>
      </c>
      <c r="T600" s="46"/>
      <c r="U600" s="47"/>
      <c r="V600" s="55"/>
    </row>
    <row r="601" spans="2:22" ht="14.25" customHeight="1">
      <c r="B601" s="17"/>
      <c r="C601" s="26"/>
      <c r="D601" s="26"/>
      <c r="E601" s="19"/>
      <c r="F601" s="51"/>
      <c r="G601" s="52"/>
      <c r="H601" s="41"/>
      <c r="I601" s="94"/>
      <c r="J601" s="92"/>
      <c r="K601" s="92"/>
      <c r="L601" s="92"/>
      <c r="M601" s="92"/>
      <c r="N601" s="94"/>
      <c r="O601" s="93"/>
      <c r="P601" s="93"/>
      <c r="Q601" s="93"/>
      <c r="R601" s="93"/>
      <c r="S601" s="53" t="s">
        <v>734</v>
      </c>
      <c r="T601" s="46"/>
      <c r="U601" s="47"/>
      <c r="V601" s="55"/>
    </row>
    <row r="602" spans="2:22" ht="14.25" customHeight="1">
      <c r="B602" s="17"/>
      <c r="C602" s="26"/>
      <c r="D602" s="26"/>
      <c r="E602" s="19"/>
      <c r="F602" s="51"/>
      <c r="G602" s="52"/>
      <c r="H602" s="41"/>
      <c r="I602" s="94"/>
      <c r="J602" s="92"/>
      <c r="K602" s="92"/>
      <c r="L602" s="92"/>
      <c r="M602" s="92"/>
      <c r="N602" s="94"/>
      <c r="O602" s="93"/>
      <c r="P602" s="93"/>
      <c r="Q602" s="93"/>
      <c r="R602" s="93"/>
      <c r="S602" s="53"/>
      <c r="T602" s="46"/>
      <c r="U602" s="47"/>
      <c r="V602" s="55"/>
    </row>
    <row r="603" spans="2:22" ht="14.25" customHeight="1">
      <c r="B603" s="17"/>
      <c r="C603" s="26"/>
      <c r="D603" s="26"/>
      <c r="E603" s="19"/>
      <c r="F603" s="51"/>
      <c r="G603" s="52"/>
      <c r="H603" s="41"/>
      <c r="I603" s="94"/>
      <c r="J603" s="92"/>
      <c r="K603" s="92"/>
      <c r="L603" s="92"/>
      <c r="M603" s="92"/>
      <c r="N603" s="94"/>
      <c r="O603" s="93"/>
      <c r="P603" s="93"/>
      <c r="Q603" s="93"/>
      <c r="R603" s="93"/>
      <c r="S603" s="53" t="s">
        <v>735</v>
      </c>
      <c r="T603" s="46" t="s">
        <v>736</v>
      </c>
      <c r="U603" s="47" t="s">
        <v>736</v>
      </c>
      <c r="V603" s="55"/>
    </row>
    <row r="604" spans="2:22" ht="14.25" customHeight="1">
      <c r="B604" s="17"/>
      <c r="C604" s="26"/>
      <c r="D604" s="26"/>
      <c r="E604" s="19"/>
      <c r="F604" s="51"/>
      <c r="G604" s="52"/>
      <c r="H604" s="41"/>
      <c r="I604" s="94"/>
      <c r="J604" s="92"/>
      <c r="K604" s="92"/>
      <c r="L604" s="92"/>
      <c r="M604" s="92"/>
      <c r="N604" s="94"/>
      <c r="O604" s="93"/>
      <c r="P604" s="93"/>
      <c r="Q604" s="93"/>
      <c r="R604" s="93"/>
      <c r="S604" s="53" t="s">
        <v>737</v>
      </c>
      <c r="T604" s="46"/>
      <c r="U604" s="47"/>
      <c r="V604" s="55"/>
    </row>
    <row r="605" spans="2:22" ht="14.25" customHeight="1">
      <c r="B605" s="17"/>
      <c r="C605" s="26"/>
      <c r="D605" s="26"/>
      <c r="E605" s="19"/>
      <c r="F605" s="51"/>
      <c r="G605" s="52"/>
      <c r="H605" s="41"/>
      <c r="I605" s="94"/>
      <c r="J605" s="92"/>
      <c r="K605" s="92"/>
      <c r="L605" s="92"/>
      <c r="M605" s="92"/>
      <c r="N605" s="94"/>
      <c r="O605" s="93"/>
      <c r="P605" s="93"/>
      <c r="Q605" s="93"/>
      <c r="R605" s="93"/>
      <c r="S605" s="53" t="s">
        <v>738</v>
      </c>
      <c r="T605" s="46"/>
      <c r="U605" s="47"/>
      <c r="V605" s="55"/>
    </row>
    <row r="606" spans="2:22" ht="14.25" customHeight="1">
      <c r="B606" s="17"/>
      <c r="C606" s="26"/>
      <c r="D606" s="26"/>
      <c r="E606" s="19"/>
      <c r="F606" s="51"/>
      <c r="G606" s="52"/>
      <c r="H606" s="41"/>
      <c r="I606" s="94"/>
      <c r="J606" s="92"/>
      <c r="K606" s="92"/>
      <c r="L606" s="92"/>
      <c r="M606" s="92"/>
      <c r="N606" s="94"/>
      <c r="O606" s="93"/>
      <c r="P606" s="93"/>
      <c r="Q606" s="93"/>
      <c r="R606" s="93"/>
      <c r="S606" s="53"/>
      <c r="T606" s="46"/>
      <c r="U606" s="47"/>
      <c r="V606" s="55"/>
    </row>
    <row r="607" spans="2:22" ht="14.25" customHeight="1">
      <c r="B607" s="17"/>
      <c r="C607" s="26"/>
      <c r="D607" s="26"/>
      <c r="E607" s="19"/>
      <c r="F607" s="51"/>
      <c r="G607" s="52"/>
      <c r="H607" s="41"/>
      <c r="I607" s="94"/>
      <c r="J607" s="92"/>
      <c r="K607" s="92"/>
      <c r="L607" s="92"/>
      <c r="M607" s="92"/>
      <c r="N607" s="94"/>
      <c r="O607" s="93"/>
      <c r="P607" s="93"/>
      <c r="Q607" s="93"/>
      <c r="R607" s="93"/>
      <c r="S607" s="53" t="s">
        <v>739</v>
      </c>
      <c r="T607" s="46" t="s">
        <v>740</v>
      </c>
      <c r="U607" s="47" t="s">
        <v>740</v>
      </c>
      <c r="V607" s="55"/>
    </row>
    <row r="608" spans="2:22" ht="14.25" customHeight="1">
      <c r="B608" s="17"/>
      <c r="C608" s="26"/>
      <c r="D608" s="26"/>
      <c r="E608" s="19"/>
      <c r="F608" s="51"/>
      <c r="G608" s="52"/>
      <c r="H608" s="41"/>
      <c r="I608" s="94"/>
      <c r="J608" s="92"/>
      <c r="K608" s="92"/>
      <c r="L608" s="92"/>
      <c r="M608" s="92"/>
      <c r="N608" s="94"/>
      <c r="O608" s="93"/>
      <c r="P608" s="93"/>
      <c r="Q608" s="93"/>
      <c r="R608" s="93"/>
      <c r="S608" s="53" t="s">
        <v>741</v>
      </c>
      <c r="T608" s="46"/>
      <c r="U608" s="47"/>
      <c r="V608" s="55"/>
    </row>
    <row r="609" spans="2:22" ht="14.25" customHeight="1">
      <c r="B609" s="17"/>
      <c r="C609" s="26"/>
      <c r="D609" s="26"/>
      <c r="E609" s="19"/>
      <c r="F609" s="51"/>
      <c r="G609" s="52"/>
      <c r="H609" s="41"/>
      <c r="I609" s="94"/>
      <c r="J609" s="92"/>
      <c r="K609" s="92"/>
      <c r="L609" s="92"/>
      <c r="M609" s="92"/>
      <c r="N609" s="94"/>
      <c r="O609" s="93"/>
      <c r="P609" s="93"/>
      <c r="Q609" s="93"/>
      <c r="R609" s="93"/>
      <c r="S609" s="53" t="s">
        <v>742</v>
      </c>
      <c r="T609" s="46"/>
      <c r="U609" s="47"/>
      <c r="V609" s="55"/>
    </row>
    <row r="610" spans="2:22" ht="14.25" customHeight="1">
      <c r="B610" s="60"/>
      <c r="C610" s="26"/>
      <c r="D610" s="26"/>
      <c r="E610" s="19"/>
      <c r="F610" s="51"/>
      <c r="G610" s="52"/>
      <c r="H610" s="41"/>
      <c r="I610" s="94"/>
      <c r="J610" s="92"/>
      <c r="K610" s="92"/>
      <c r="L610" s="92"/>
      <c r="M610" s="92"/>
      <c r="N610" s="94"/>
      <c r="O610" s="93"/>
      <c r="P610" s="93"/>
      <c r="Q610" s="93"/>
      <c r="R610" s="93"/>
      <c r="S610" s="53"/>
      <c r="T610" s="46"/>
      <c r="U610" s="47"/>
      <c r="V610" s="55"/>
    </row>
    <row r="611" spans="2:22" ht="14.25" customHeight="1">
      <c r="B611" s="60"/>
      <c r="C611" s="26"/>
      <c r="D611" s="26"/>
      <c r="E611" s="19"/>
      <c r="F611" s="51">
        <f>+F590+1</f>
        <v>3</v>
      </c>
      <c r="G611" s="52"/>
      <c r="H611" s="41" t="s">
        <v>417</v>
      </c>
      <c r="I611" s="42">
        <v>50611000</v>
      </c>
      <c r="J611" s="43">
        <v>0</v>
      </c>
      <c r="K611" s="43">
        <v>0</v>
      </c>
      <c r="L611" s="43">
        <v>0</v>
      </c>
      <c r="M611" s="43">
        <f>+I611-SUM(J611:L611)</f>
        <v>50611000</v>
      </c>
      <c r="N611" s="42">
        <v>50187330</v>
      </c>
      <c r="O611" s="44">
        <v>0</v>
      </c>
      <c r="P611" s="44">
        <v>0</v>
      </c>
      <c r="Q611" s="44">
        <v>0</v>
      </c>
      <c r="R611" s="44">
        <f>+N611-SUM(O611:Q611)</f>
        <v>50187330</v>
      </c>
      <c r="S611" s="126" t="s">
        <v>418</v>
      </c>
      <c r="T611" s="46" t="s">
        <v>419</v>
      </c>
      <c r="U611" s="47" t="s">
        <v>743</v>
      </c>
      <c r="V611" s="55"/>
    </row>
    <row r="612" spans="2:22" ht="14.25" customHeight="1">
      <c r="B612" s="60"/>
      <c r="C612" s="26"/>
      <c r="D612" s="26"/>
      <c r="E612" s="19"/>
      <c r="F612" s="51"/>
      <c r="G612" s="52"/>
      <c r="H612" s="41"/>
      <c r="I612" s="42"/>
      <c r="J612" s="43"/>
      <c r="K612" s="43"/>
      <c r="L612" s="43"/>
      <c r="M612" s="43"/>
      <c r="N612" s="42"/>
      <c r="O612" s="44"/>
      <c r="P612" s="44"/>
      <c r="Q612" s="44"/>
      <c r="R612" s="44"/>
      <c r="S612" s="126" t="s">
        <v>420</v>
      </c>
      <c r="T612" s="46"/>
      <c r="U612" s="47"/>
      <c r="V612" s="55"/>
    </row>
    <row r="613" spans="2:22" ht="14.25" customHeight="1">
      <c r="B613" s="60"/>
      <c r="C613" s="100"/>
      <c r="D613" s="101"/>
      <c r="E613" s="19"/>
      <c r="F613" s="51"/>
      <c r="G613" s="52"/>
      <c r="H613" s="41"/>
      <c r="I613" s="42"/>
      <c r="J613" s="43"/>
      <c r="K613" s="43"/>
      <c r="L613" s="43"/>
      <c r="M613" s="43"/>
      <c r="N613" s="42"/>
      <c r="O613" s="44"/>
      <c r="P613" s="44"/>
      <c r="Q613" s="44"/>
      <c r="R613" s="44"/>
      <c r="S613" s="126" t="s">
        <v>744</v>
      </c>
      <c r="T613" s="46"/>
      <c r="U613" s="47"/>
      <c r="V613" s="55"/>
    </row>
    <row r="614" spans="2:22" ht="14.25" customHeight="1" thickBot="1">
      <c r="B614" s="69"/>
      <c r="C614" s="120"/>
      <c r="D614" s="121"/>
      <c r="E614" s="24"/>
      <c r="F614" s="71"/>
      <c r="G614" s="72"/>
      <c r="H614" s="111"/>
      <c r="I614" s="112"/>
      <c r="J614" s="113"/>
      <c r="K614" s="113"/>
      <c r="L614" s="113"/>
      <c r="M614" s="113"/>
      <c r="N614" s="112"/>
      <c r="O614" s="114"/>
      <c r="P614" s="114"/>
      <c r="Q614" s="114"/>
      <c r="R614" s="114"/>
      <c r="S614" s="142"/>
      <c r="T614" s="78"/>
      <c r="U614" s="79"/>
      <c r="V614" s="55"/>
    </row>
    <row r="615" spans="2:22" ht="14.25" customHeight="1">
      <c r="B615" s="60"/>
      <c r="C615" s="100"/>
      <c r="D615" s="101"/>
      <c r="E615" s="19"/>
      <c r="F615" s="51">
        <f>+F611+1</f>
        <v>4</v>
      </c>
      <c r="G615" s="52"/>
      <c r="H615" s="64" t="s">
        <v>421</v>
      </c>
      <c r="I615" s="94">
        <v>78782000</v>
      </c>
      <c r="J615" s="92">
        <v>78782000</v>
      </c>
      <c r="K615" s="92">
        <v>0</v>
      </c>
      <c r="L615" s="92">
        <v>0</v>
      </c>
      <c r="M615" s="92">
        <f>+I615-SUM(J615:L615)</f>
        <v>0</v>
      </c>
      <c r="N615" s="94">
        <v>78780450</v>
      </c>
      <c r="O615" s="93">
        <v>78780450</v>
      </c>
      <c r="P615" s="93">
        <v>0</v>
      </c>
      <c r="Q615" s="93">
        <v>0</v>
      </c>
      <c r="R615" s="93">
        <f>+N615-SUM(O615:Q615)</f>
        <v>0</v>
      </c>
      <c r="S615" s="53" t="s">
        <v>745</v>
      </c>
      <c r="T615" s="46"/>
      <c r="U615" s="47"/>
      <c r="V615" s="55"/>
    </row>
    <row r="616" spans="2:22" ht="14.25" customHeight="1">
      <c r="B616" s="60"/>
      <c r="C616" s="100"/>
      <c r="D616" s="101"/>
      <c r="E616" s="19"/>
      <c r="F616" s="51"/>
      <c r="G616" s="52"/>
      <c r="H616" s="41"/>
      <c r="I616" s="94"/>
      <c r="J616" s="92"/>
      <c r="K616" s="92"/>
      <c r="L616" s="92"/>
      <c r="M616" s="92"/>
      <c r="N616" s="94"/>
      <c r="O616" s="93"/>
      <c r="P616" s="93"/>
      <c r="Q616" s="93"/>
      <c r="R616" s="93"/>
      <c r="S616" s="53"/>
      <c r="T616" s="46"/>
      <c r="U616" s="47"/>
      <c r="V616" s="55"/>
    </row>
    <row r="617" spans="2:22" ht="14.25" customHeight="1">
      <c r="B617" s="60"/>
      <c r="C617" s="26"/>
      <c r="D617" s="26"/>
      <c r="E617" s="19"/>
      <c r="F617" s="51">
        <f>+F615+1</f>
        <v>5</v>
      </c>
      <c r="G617" s="52"/>
      <c r="H617" s="64" t="s">
        <v>187</v>
      </c>
      <c r="I617" s="94">
        <v>-1167000</v>
      </c>
      <c r="J617" s="92">
        <v>0</v>
      </c>
      <c r="K617" s="92">
        <v>0</v>
      </c>
      <c r="L617" s="92">
        <v>0</v>
      </c>
      <c r="M617" s="92">
        <f>+I617-SUM(J617:L617)</f>
        <v>-1167000</v>
      </c>
      <c r="N617" s="94">
        <v>0</v>
      </c>
      <c r="O617" s="93">
        <v>0</v>
      </c>
      <c r="P617" s="44">
        <v>0</v>
      </c>
      <c r="Q617" s="44">
        <v>0</v>
      </c>
      <c r="R617" s="44">
        <f>+N617-SUM(O617:Q617)</f>
        <v>0</v>
      </c>
      <c r="S617" s="58" t="s">
        <v>218</v>
      </c>
      <c r="T617" s="46"/>
      <c r="U617" s="47"/>
      <c r="V617" s="55"/>
    </row>
    <row r="618" spans="2:22" ht="14.25" customHeight="1" thickBot="1">
      <c r="B618" s="69"/>
      <c r="C618" s="120"/>
      <c r="D618" s="121"/>
      <c r="E618" s="23"/>
      <c r="F618" s="71"/>
      <c r="G618" s="72"/>
      <c r="H618" s="111"/>
      <c r="I618" s="74"/>
      <c r="J618" s="75"/>
      <c r="K618" s="75"/>
      <c r="L618" s="75"/>
      <c r="M618" s="75"/>
      <c r="N618" s="74"/>
      <c r="O618" s="76"/>
      <c r="P618" s="76"/>
      <c r="Q618" s="76"/>
      <c r="R618" s="76"/>
      <c r="S618" s="115"/>
      <c r="T618" s="78"/>
      <c r="U618" s="79"/>
      <c r="V618" s="55"/>
    </row>
    <row r="619" spans="2:22" ht="14.25" customHeight="1">
      <c r="B619" s="60"/>
      <c r="C619" s="100"/>
      <c r="D619" s="101"/>
      <c r="E619" s="22"/>
      <c r="F619" s="51"/>
      <c r="G619" s="52"/>
      <c r="H619" s="41"/>
      <c r="I619" s="94"/>
      <c r="J619" s="92"/>
      <c r="K619" s="92"/>
      <c r="L619" s="92"/>
      <c r="M619" s="92"/>
      <c r="N619" s="94"/>
      <c r="O619" s="93"/>
      <c r="P619" s="93"/>
      <c r="Q619" s="93"/>
      <c r="R619" s="93"/>
      <c r="S619" s="53"/>
      <c r="T619" s="46"/>
      <c r="U619" s="47"/>
      <c r="V619" s="55"/>
    </row>
    <row r="620" spans="2:22" ht="14.25" customHeight="1">
      <c r="B620" s="17" t="s">
        <v>422</v>
      </c>
      <c r="C620" s="26">
        <f>SUM(I620:I647)</f>
        <v>814602400</v>
      </c>
      <c r="D620" s="26">
        <f>SUM(N620:N647)</f>
        <v>795026674</v>
      </c>
      <c r="E620" s="19" t="s">
        <v>423</v>
      </c>
      <c r="F620" s="51">
        <v>1</v>
      </c>
      <c r="G620" s="52"/>
      <c r="H620" s="64" t="s">
        <v>424</v>
      </c>
      <c r="I620" s="42">
        <f>2270600+535000</f>
        <v>2805600</v>
      </c>
      <c r="J620" s="43">
        <v>572000</v>
      </c>
      <c r="K620" s="43">
        <v>0</v>
      </c>
      <c r="L620" s="43">
        <v>210000</v>
      </c>
      <c r="M620" s="43">
        <f>+I620-SUM(J620:L620)</f>
        <v>2023600</v>
      </c>
      <c r="N620" s="42">
        <f>1748534+533925</f>
        <v>2282459</v>
      </c>
      <c r="O620" s="44">
        <v>372000</v>
      </c>
      <c r="P620" s="44">
        <v>0</v>
      </c>
      <c r="Q620" s="44">
        <v>160000</v>
      </c>
      <c r="R620" s="44">
        <f>+N620-SUM(O620:Q620)</f>
        <v>1750459</v>
      </c>
      <c r="S620" s="53" t="s">
        <v>425</v>
      </c>
      <c r="T620" s="167" t="s">
        <v>747</v>
      </c>
      <c r="U620" s="168" t="s">
        <v>748</v>
      </c>
      <c r="V620" s="55"/>
    </row>
    <row r="621" spans="2:22" ht="14.25" customHeight="1">
      <c r="B621" s="17" t="s">
        <v>66</v>
      </c>
      <c r="C621" s="26"/>
      <c r="D621" s="26"/>
      <c r="E621" s="19" t="s">
        <v>426</v>
      </c>
      <c r="F621" s="51"/>
      <c r="G621" s="52"/>
      <c r="H621" s="41"/>
      <c r="I621" s="42"/>
      <c r="J621" s="43"/>
      <c r="K621" s="43"/>
      <c r="L621" s="43"/>
      <c r="M621" s="43"/>
      <c r="N621" s="42"/>
      <c r="O621" s="44"/>
      <c r="P621" s="44"/>
      <c r="Q621" s="44"/>
      <c r="R621" s="44"/>
      <c r="S621" s="53" t="s">
        <v>1154</v>
      </c>
      <c r="T621" s="167"/>
      <c r="U621" s="168"/>
      <c r="V621" s="55"/>
    </row>
    <row r="622" spans="2:22" ht="14.25" customHeight="1">
      <c r="B622" s="17"/>
      <c r="C622" s="26" t="s">
        <v>7</v>
      </c>
      <c r="D622" s="26" t="s">
        <v>7</v>
      </c>
      <c r="E622" s="19"/>
      <c r="F622" s="51"/>
      <c r="G622" s="52"/>
      <c r="H622" s="41"/>
      <c r="I622" s="42"/>
      <c r="J622" s="43"/>
      <c r="K622" s="43"/>
      <c r="L622" s="43"/>
      <c r="M622" s="43"/>
      <c r="N622" s="42"/>
      <c r="O622" s="44"/>
      <c r="P622" s="44"/>
      <c r="Q622" s="44"/>
      <c r="R622" s="44"/>
      <c r="S622" s="53" t="s">
        <v>427</v>
      </c>
      <c r="T622" s="167"/>
      <c r="U622" s="168"/>
      <c r="V622" s="55"/>
    </row>
    <row r="623" spans="2:22" ht="14.25" customHeight="1">
      <c r="B623" s="17"/>
      <c r="C623" s="26">
        <f>SUM(J620:J647)</f>
        <v>722402000</v>
      </c>
      <c r="D623" s="26">
        <f>SUM(O620:O647)</f>
        <v>708562000</v>
      </c>
      <c r="E623" s="19"/>
      <c r="F623" s="51"/>
      <c r="G623" s="52"/>
      <c r="H623" s="41"/>
      <c r="I623" s="42"/>
      <c r="J623" s="43"/>
      <c r="K623" s="43"/>
      <c r="L623" s="43"/>
      <c r="M623" s="43"/>
      <c r="N623" s="42"/>
      <c r="O623" s="44"/>
      <c r="P623" s="44"/>
      <c r="Q623" s="44"/>
      <c r="R623" s="44"/>
      <c r="S623" s="53" t="s">
        <v>749</v>
      </c>
      <c r="T623" s="167"/>
      <c r="U623" s="168"/>
      <c r="V623" s="55"/>
    </row>
    <row r="624" spans="2:22" ht="14.25" customHeight="1">
      <c r="B624" s="17"/>
      <c r="C624" s="26" t="s">
        <v>8</v>
      </c>
      <c r="D624" s="26" t="s">
        <v>8</v>
      </c>
      <c r="E624" s="19"/>
      <c r="F624" s="51"/>
      <c r="G624" s="52"/>
      <c r="H624" s="41"/>
      <c r="I624" s="42"/>
      <c r="J624" s="43"/>
      <c r="K624" s="43"/>
      <c r="L624" s="43"/>
      <c r="M624" s="43"/>
      <c r="N624" s="42"/>
      <c r="O624" s="44"/>
      <c r="P624" s="44"/>
      <c r="Q624" s="44"/>
      <c r="R624" s="44"/>
      <c r="S624" s="53"/>
      <c r="T624" s="46"/>
      <c r="U624" s="47"/>
      <c r="V624" s="55"/>
    </row>
    <row r="625" spans="2:22" ht="14.25" customHeight="1">
      <c r="B625" s="17"/>
      <c r="C625" s="26">
        <f>SUM(L620:L647)</f>
        <v>81347000</v>
      </c>
      <c r="D625" s="26">
        <f>SUM(Q620:Q647)</f>
        <v>80739800</v>
      </c>
      <c r="E625" s="19"/>
      <c r="F625" s="51">
        <f>+F620+1</f>
        <v>2</v>
      </c>
      <c r="G625" s="52"/>
      <c r="H625" s="41" t="s">
        <v>428</v>
      </c>
      <c r="I625" s="42">
        <v>7168000</v>
      </c>
      <c r="J625" s="43">
        <v>0</v>
      </c>
      <c r="K625" s="43">
        <v>0</v>
      </c>
      <c r="L625" s="43">
        <v>800000</v>
      </c>
      <c r="M625" s="43">
        <f>+I625-SUM(J625:L625)</f>
        <v>6368000</v>
      </c>
      <c r="N625" s="42">
        <v>6428153</v>
      </c>
      <c r="O625" s="44">
        <v>0</v>
      </c>
      <c r="P625" s="44">
        <v>0</v>
      </c>
      <c r="Q625" s="44">
        <v>80000</v>
      </c>
      <c r="R625" s="44">
        <f>+N625-SUM(O625:Q625)</f>
        <v>6348153</v>
      </c>
      <c r="S625" s="53" t="s">
        <v>429</v>
      </c>
      <c r="T625" s="167" t="s">
        <v>430</v>
      </c>
      <c r="U625" s="286">
        <v>0.877</v>
      </c>
      <c r="V625" s="55"/>
    </row>
    <row r="626" spans="2:22" ht="14.25" customHeight="1">
      <c r="B626" s="17"/>
      <c r="C626" s="26" t="s">
        <v>9</v>
      </c>
      <c r="D626" s="26" t="s">
        <v>9</v>
      </c>
      <c r="E626" s="19"/>
      <c r="F626" s="51"/>
      <c r="G626" s="52"/>
      <c r="H626" s="41"/>
      <c r="I626" s="42"/>
      <c r="J626" s="43"/>
      <c r="K626" s="43"/>
      <c r="L626" s="43"/>
      <c r="M626" s="43"/>
      <c r="N626" s="42"/>
      <c r="O626" s="44"/>
      <c r="P626" s="44"/>
      <c r="Q626" s="44"/>
      <c r="R626" s="44"/>
      <c r="S626" s="53" t="s">
        <v>431</v>
      </c>
      <c r="T626" s="167"/>
      <c r="U626" s="168"/>
      <c r="V626" s="55"/>
    </row>
    <row r="627" spans="2:22" ht="14.25" customHeight="1">
      <c r="B627" s="60"/>
      <c r="C627" s="26">
        <f>C620-C623-C625</f>
        <v>10853400</v>
      </c>
      <c r="D627" s="26">
        <f>D620-D623-D625</f>
        <v>5724874</v>
      </c>
      <c r="E627" s="19"/>
      <c r="F627" s="51"/>
      <c r="G627" s="52"/>
      <c r="H627" s="41"/>
      <c r="I627" s="42"/>
      <c r="J627" s="43"/>
      <c r="K627" s="43"/>
      <c r="L627" s="43"/>
      <c r="M627" s="43"/>
      <c r="N627" s="42"/>
      <c r="O627" s="44"/>
      <c r="P627" s="44"/>
      <c r="Q627" s="44"/>
      <c r="R627" s="44"/>
      <c r="S627" s="53" t="s">
        <v>1155</v>
      </c>
      <c r="T627" s="167"/>
      <c r="U627" s="168"/>
      <c r="V627" s="55"/>
    </row>
    <row r="628" spans="2:22" ht="14.25" customHeight="1">
      <c r="B628" s="60"/>
      <c r="C628" s="26"/>
      <c r="D628" s="26"/>
      <c r="E628" s="19"/>
      <c r="F628" s="51"/>
      <c r="G628" s="52"/>
      <c r="H628" s="41"/>
      <c r="I628" s="94"/>
      <c r="J628" s="92"/>
      <c r="K628" s="92"/>
      <c r="L628" s="92"/>
      <c r="M628" s="92"/>
      <c r="N628" s="94"/>
      <c r="O628" s="93"/>
      <c r="P628" s="93"/>
      <c r="Q628" s="93"/>
      <c r="R628" s="93"/>
      <c r="S628" s="58"/>
      <c r="T628" s="46"/>
      <c r="U628" s="47"/>
      <c r="V628" s="55"/>
    </row>
    <row r="629" spans="2:22" ht="14.25" customHeight="1">
      <c r="B629" s="60"/>
      <c r="C629" s="26"/>
      <c r="D629" s="26"/>
      <c r="E629" s="19"/>
      <c r="F629" s="51">
        <f>+F625+1</f>
        <v>3</v>
      </c>
      <c r="G629" s="52"/>
      <c r="H629" s="41" t="s">
        <v>432</v>
      </c>
      <c r="I629" s="42">
        <v>1715000</v>
      </c>
      <c r="J629" s="43">
        <v>0</v>
      </c>
      <c r="K629" s="43">
        <v>0</v>
      </c>
      <c r="L629" s="43">
        <v>504000</v>
      </c>
      <c r="M629" s="43">
        <f>+I629-SUM(J629:L629)</f>
        <v>1211000</v>
      </c>
      <c r="N629" s="42">
        <v>1561900</v>
      </c>
      <c r="O629" s="44">
        <v>0</v>
      </c>
      <c r="P629" s="44">
        <v>0</v>
      </c>
      <c r="Q629" s="44">
        <v>666000</v>
      </c>
      <c r="R629" s="44">
        <f>+N629-SUM(O629:Q629)</f>
        <v>895900</v>
      </c>
      <c r="S629" s="53" t="s">
        <v>433</v>
      </c>
      <c r="T629" s="167" t="s">
        <v>750</v>
      </c>
      <c r="U629" s="168" t="s">
        <v>751</v>
      </c>
      <c r="V629" s="55"/>
    </row>
    <row r="630" spans="2:22" ht="14.25" customHeight="1">
      <c r="B630" s="60"/>
      <c r="C630" s="100"/>
      <c r="D630" s="101"/>
      <c r="E630" s="19"/>
      <c r="F630" s="51"/>
      <c r="G630" s="52"/>
      <c r="H630" s="41"/>
      <c r="I630" s="42"/>
      <c r="J630" s="43"/>
      <c r="K630" s="43"/>
      <c r="L630" s="43"/>
      <c r="M630" s="43"/>
      <c r="N630" s="42"/>
      <c r="O630" s="44"/>
      <c r="P630" s="44"/>
      <c r="Q630" s="44"/>
      <c r="R630" s="44"/>
      <c r="S630" s="53" t="s">
        <v>1156</v>
      </c>
      <c r="T630" s="167"/>
      <c r="U630" s="168"/>
      <c r="V630" s="55"/>
    </row>
    <row r="631" spans="2:22" ht="14.25" customHeight="1">
      <c r="B631" s="60"/>
      <c r="C631" s="100"/>
      <c r="D631" s="101"/>
      <c r="E631" s="19"/>
      <c r="F631" s="51"/>
      <c r="G631" s="52"/>
      <c r="H631" s="41"/>
      <c r="I631" s="42"/>
      <c r="J631" s="43"/>
      <c r="K631" s="43"/>
      <c r="L631" s="43"/>
      <c r="M631" s="43"/>
      <c r="N631" s="42"/>
      <c r="O631" s="44"/>
      <c r="P631" s="44"/>
      <c r="Q631" s="44"/>
      <c r="R631" s="44"/>
      <c r="S631" s="53" t="s">
        <v>1157</v>
      </c>
      <c r="T631" s="46"/>
      <c r="U631" s="47"/>
      <c r="V631" s="55"/>
    </row>
    <row r="632" spans="2:22" ht="14.25" customHeight="1">
      <c r="B632" s="60"/>
      <c r="C632" s="100"/>
      <c r="D632" s="101"/>
      <c r="E632" s="19"/>
      <c r="F632" s="51"/>
      <c r="G632" s="52"/>
      <c r="H632" s="41"/>
      <c r="I632" s="42"/>
      <c r="J632" s="43"/>
      <c r="K632" s="43"/>
      <c r="L632" s="43"/>
      <c r="M632" s="43"/>
      <c r="N632" s="42"/>
      <c r="O632" s="44"/>
      <c r="P632" s="44"/>
      <c r="Q632" s="44"/>
      <c r="R632" s="44"/>
      <c r="S632" s="53"/>
      <c r="T632" s="46"/>
      <c r="U632" s="47"/>
      <c r="V632" s="55"/>
    </row>
    <row r="633" spans="2:22" ht="14.25" customHeight="1">
      <c r="B633" s="60"/>
      <c r="C633" s="100"/>
      <c r="D633" s="101"/>
      <c r="E633" s="19"/>
      <c r="F633" s="51">
        <f>+F629+1</f>
        <v>4</v>
      </c>
      <c r="G633" s="52"/>
      <c r="H633" s="64" t="s">
        <v>434</v>
      </c>
      <c r="I633" s="42">
        <v>81474800</v>
      </c>
      <c r="J633" s="43">
        <v>0</v>
      </c>
      <c r="K633" s="43">
        <v>0</v>
      </c>
      <c r="L633" s="43">
        <v>79833000</v>
      </c>
      <c r="M633" s="43">
        <f>+I633-SUM(J633:L633)</f>
        <v>1641800</v>
      </c>
      <c r="N633" s="42">
        <v>76564162</v>
      </c>
      <c r="O633" s="44">
        <v>0</v>
      </c>
      <c r="P633" s="44">
        <v>0</v>
      </c>
      <c r="Q633" s="44">
        <v>79833800</v>
      </c>
      <c r="R633" s="44">
        <f>+N633-SUM(O633:Q633)</f>
        <v>-3269638</v>
      </c>
      <c r="S633" s="58" t="s">
        <v>752</v>
      </c>
      <c r="T633" s="67"/>
      <c r="U633" s="59"/>
      <c r="V633" s="55"/>
    </row>
    <row r="634" spans="2:22" ht="14.25" customHeight="1">
      <c r="B634" s="60"/>
      <c r="C634" s="100"/>
      <c r="D634" s="101"/>
      <c r="E634" s="19"/>
      <c r="F634" s="51"/>
      <c r="G634" s="52"/>
      <c r="H634" s="41"/>
      <c r="I634" s="42"/>
      <c r="J634" s="43"/>
      <c r="K634" s="43"/>
      <c r="L634" s="43"/>
      <c r="M634" s="43"/>
      <c r="N634" s="42"/>
      <c r="O634" s="44"/>
      <c r="P634" s="44"/>
      <c r="Q634" s="44"/>
      <c r="R634" s="44"/>
      <c r="S634" s="53" t="s">
        <v>435</v>
      </c>
      <c r="T634" s="46"/>
      <c r="U634" s="47"/>
      <c r="V634" s="55"/>
    </row>
    <row r="635" spans="2:22" ht="14.25" customHeight="1">
      <c r="B635" s="17"/>
      <c r="C635" s="26"/>
      <c r="D635" s="26"/>
      <c r="E635" s="19"/>
      <c r="F635" s="51"/>
      <c r="G635" s="52"/>
      <c r="H635" s="41"/>
      <c r="I635" s="42"/>
      <c r="J635" s="43"/>
      <c r="K635" s="43"/>
      <c r="L635" s="43"/>
      <c r="M635" s="43"/>
      <c r="N635" s="42"/>
      <c r="O635" s="44"/>
      <c r="P635" s="44"/>
      <c r="Q635" s="44"/>
      <c r="R635" s="44"/>
      <c r="S635" s="53" t="s">
        <v>1158</v>
      </c>
      <c r="T635" s="46"/>
      <c r="U635" s="47"/>
      <c r="V635" s="55"/>
    </row>
    <row r="636" spans="2:22" ht="14.25" customHeight="1">
      <c r="B636" s="17"/>
      <c r="C636" s="26"/>
      <c r="D636" s="26"/>
      <c r="E636" s="19"/>
      <c r="F636" s="51"/>
      <c r="G636" s="52"/>
      <c r="H636" s="41"/>
      <c r="I636" s="42"/>
      <c r="J636" s="43"/>
      <c r="K636" s="43"/>
      <c r="L636" s="43"/>
      <c r="M636" s="43"/>
      <c r="N636" s="42"/>
      <c r="O636" s="44"/>
      <c r="P636" s="44"/>
      <c r="Q636" s="44"/>
      <c r="R636" s="44"/>
      <c r="S636" s="53" t="s">
        <v>753</v>
      </c>
      <c r="T636" s="46"/>
      <c r="U636" s="47"/>
      <c r="V636" s="55"/>
    </row>
    <row r="637" spans="2:22" ht="14.25" customHeight="1">
      <c r="B637" s="17"/>
      <c r="C637" s="26"/>
      <c r="D637" s="26"/>
      <c r="E637" s="19"/>
      <c r="F637" s="51"/>
      <c r="G637" s="52"/>
      <c r="H637" s="41"/>
      <c r="I637" s="42"/>
      <c r="J637" s="43"/>
      <c r="K637" s="43"/>
      <c r="L637" s="43"/>
      <c r="M637" s="43"/>
      <c r="N637" s="42"/>
      <c r="O637" s="44"/>
      <c r="P637" s="44"/>
      <c r="Q637" s="44"/>
      <c r="R637" s="44"/>
      <c r="S637" s="53" t="s">
        <v>1159</v>
      </c>
      <c r="T637" s="46"/>
      <c r="U637" s="47"/>
      <c r="V637" s="55"/>
    </row>
    <row r="638" spans="2:22" ht="14.25" customHeight="1">
      <c r="B638" s="17"/>
      <c r="C638" s="100"/>
      <c r="D638" s="101"/>
      <c r="E638" s="19"/>
      <c r="F638" s="51"/>
      <c r="G638" s="52"/>
      <c r="H638" s="41"/>
      <c r="I638" s="42"/>
      <c r="J638" s="43"/>
      <c r="K638" s="43"/>
      <c r="L638" s="43"/>
      <c r="M638" s="43"/>
      <c r="N638" s="42"/>
      <c r="O638" s="44"/>
      <c r="P638" s="44"/>
      <c r="Q638" s="44"/>
      <c r="R638" s="44"/>
      <c r="S638" s="53" t="s">
        <v>754</v>
      </c>
      <c r="T638" s="46"/>
      <c r="U638" s="47"/>
      <c r="V638" s="55"/>
    </row>
    <row r="639" spans="2:22" ht="14.25" customHeight="1">
      <c r="B639" s="17"/>
      <c r="C639" s="100"/>
      <c r="D639" s="101"/>
      <c r="E639" s="19"/>
      <c r="F639" s="51"/>
      <c r="G639" s="52"/>
      <c r="H639" s="41"/>
      <c r="I639" s="42"/>
      <c r="J639" s="43"/>
      <c r="K639" s="43"/>
      <c r="L639" s="43"/>
      <c r="M639" s="43"/>
      <c r="N639" s="42"/>
      <c r="O639" s="44"/>
      <c r="P639" s="44"/>
      <c r="Q639" s="44"/>
      <c r="R639" s="44"/>
      <c r="S639" s="53"/>
      <c r="T639" s="46"/>
      <c r="U639" s="47"/>
      <c r="V639" s="55"/>
    </row>
    <row r="640" spans="2:22" ht="14.25" customHeight="1">
      <c r="B640" s="17"/>
      <c r="C640" s="26"/>
      <c r="D640" s="26"/>
      <c r="E640" s="19"/>
      <c r="F640" s="51">
        <f>+F633+1</f>
        <v>5</v>
      </c>
      <c r="G640" s="52"/>
      <c r="H640" s="64" t="s">
        <v>436</v>
      </c>
      <c r="I640" s="42">
        <v>711915000</v>
      </c>
      <c r="J640" s="43">
        <v>711915000</v>
      </c>
      <c r="K640" s="43">
        <v>0</v>
      </c>
      <c r="L640" s="43">
        <v>0</v>
      </c>
      <c r="M640" s="43">
        <f>+I640-SUM(J640:L640)</f>
        <v>0</v>
      </c>
      <c r="N640" s="42">
        <v>698275000</v>
      </c>
      <c r="O640" s="44">
        <v>698275000</v>
      </c>
      <c r="P640" s="44">
        <v>0</v>
      </c>
      <c r="Q640" s="44">
        <v>0</v>
      </c>
      <c r="R640" s="44">
        <f>+N640-SUM(O640:Q640)</f>
        <v>0</v>
      </c>
      <c r="S640" s="58" t="s">
        <v>15</v>
      </c>
      <c r="T640" s="67"/>
      <c r="U640" s="59"/>
      <c r="V640" s="55"/>
    </row>
    <row r="641" spans="2:22" ht="14.25" customHeight="1">
      <c r="B641" s="17"/>
      <c r="C641" s="26"/>
      <c r="D641" s="26"/>
      <c r="E641" s="144"/>
      <c r="F641" s="51"/>
      <c r="G641" s="52"/>
      <c r="H641" s="41"/>
      <c r="I641" s="42"/>
      <c r="J641" s="43"/>
      <c r="K641" s="43"/>
      <c r="L641" s="43"/>
      <c r="M641" s="43"/>
      <c r="N641" s="42"/>
      <c r="O641" s="44"/>
      <c r="P641" s="44"/>
      <c r="Q641" s="44"/>
      <c r="R641" s="44"/>
      <c r="S641" s="53" t="s">
        <v>755</v>
      </c>
      <c r="T641" s="46"/>
      <c r="U641" s="47"/>
      <c r="V641" s="55"/>
    </row>
    <row r="642" spans="2:22" ht="14.25" customHeight="1">
      <c r="B642" s="17"/>
      <c r="C642" s="26"/>
      <c r="D642" s="26"/>
      <c r="E642" s="19"/>
      <c r="F642" s="51"/>
      <c r="G642" s="52"/>
      <c r="H642" s="41"/>
      <c r="I642" s="42"/>
      <c r="J642" s="43"/>
      <c r="K642" s="43"/>
      <c r="L642" s="43"/>
      <c r="M642" s="43"/>
      <c r="N642" s="42"/>
      <c r="O642" s="44"/>
      <c r="P642" s="44"/>
      <c r="Q642" s="44"/>
      <c r="R642" s="44"/>
      <c r="S642" s="53" t="s">
        <v>756</v>
      </c>
      <c r="T642" s="46"/>
      <c r="U642" s="47"/>
      <c r="V642" s="55"/>
    </row>
    <row r="643" spans="2:22" ht="14.25" customHeight="1">
      <c r="B643" s="17"/>
      <c r="C643" s="26"/>
      <c r="D643" s="26"/>
      <c r="E643" s="19"/>
      <c r="F643" s="51"/>
      <c r="G643" s="52"/>
      <c r="H643" s="41"/>
      <c r="I643" s="42"/>
      <c r="J643" s="43"/>
      <c r="K643" s="43"/>
      <c r="L643" s="43"/>
      <c r="M643" s="43"/>
      <c r="N643" s="42"/>
      <c r="O643" s="44"/>
      <c r="P643" s="44"/>
      <c r="Q643" s="44"/>
      <c r="R643" s="44"/>
      <c r="S643" s="53" t="s">
        <v>1043</v>
      </c>
      <c r="T643" s="46"/>
      <c r="U643" s="47"/>
      <c r="V643" s="55"/>
    </row>
    <row r="644" spans="2:22" ht="14.25" customHeight="1">
      <c r="B644" s="17"/>
      <c r="C644" s="26"/>
      <c r="D644" s="26"/>
      <c r="E644" s="19"/>
      <c r="F644" s="51"/>
      <c r="G644" s="52"/>
      <c r="H644" s="41"/>
      <c r="I644" s="42"/>
      <c r="J644" s="43"/>
      <c r="K644" s="43"/>
      <c r="L644" s="43"/>
      <c r="M644" s="43"/>
      <c r="N644" s="42"/>
      <c r="O644" s="44"/>
      <c r="P644" s="44"/>
      <c r="Q644" s="44"/>
      <c r="R644" s="44"/>
      <c r="S644" s="53"/>
      <c r="T644" s="46"/>
      <c r="U644" s="47"/>
      <c r="V644" s="55"/>
    </row>
    <row r="645" spans="2:22" ht="14.25" customHeight="1">
      <c r="B645" s="60"/>
      <c r="C645" s="26"/>
      <c r="D645" s="26"/>
      <c r="E645" s="19"/>
      <c r="F645" s="51">
        <f>+F640+1</f>
        <v>6</v>
      </c>
      <c r="G645" s="52"/>
      <c r="H645" s="64" t="s">
        <v>187</v>
      </c>
      <c r="I645" s="94">
        <v>-391000</v>
      </c>
      <c r="J645" s="92">
        <v>0</v>
      </c>
      <c r="K645" s="92">
        <v>0</v>
      </c>
      <c r="L645" s="92">
        <v>0</v>
      </c>
      <c r="M645" s="92">
        <f>+I645-SUM(J645:L645)</f>
        <v>-391000</v>
      </c>
      <c r="N645" s="94">
        <v>0</v>
      </c>
      <c r="O645" s="93">
        <v>0</v>
      </c>
      <c r="P645" s="44">
        <v>0</v>
      </c>
      <c r="Q645" s="44">
        <v>0</v>
      </c>
      <c r="R645" s="44">
        <f>+N645-SUM(O645:Q645)</f>
        <v>0</v>
      </c>
      <c r="S645" s="58" t="s">
        <v>218</v>
      </c>
      <c r="T645" s="46"/>
      <c r="U645" s="47"/>
      <c r="V645" s="48"/>
    </row>
    <row r="646" spans="2:22" ht="14.25" customHeight="1">
      <c r="B646" s="60"/>
      <c r="C646" s="26"/>
      <c r="D646" s="26"/>
      <c r="E646" s="19"/>
      <c r="F646" s="51"/>
      <c r="G646" s="52"/>
      <c r="H646" s="41"/>
      <c r="I646" s="94"/>
      <c r="J646" s="92"/>
      <c r="K646" s="92"/>
      <c r="L646" s="92"/>
      <c r="M646" s="92"/>
      <c r="N646" s="94"/>
      <c r="O646" s="93"/>
      <c r="P646" s="44"/>
      <c r="Q646" s="44"/>
      <c r="R646" s="44"/>
      <c r="S646" s="58"/>
      <c r="T646" s="46"/>
      <c r="U646" s="47"/>
      <c r="V646" s="48"/>
    </row>
    <row r="647" spans="2:22" ht="14.25" customHeight="1">
      <c r="B647" s="60"/>
      <c r="C647" s="26"/>
      <c r="D647" s="26"/>
      <c r="E647" s="19" t="s">
        <v>1206</v>
      </c>
      <c r="F647" s="51">
        <f>+F645+1</f>
        <v>7</v>
      </c>
      <c r="G647" s="52"/>
      <c r="H647" s="64" t="s">
        <v>436</v>
      </c>
      <c r="I647" s="42">
        <v>9915000</v>
      </c>
      <c r="J647" s="43">
        <v>9915000</v>
      </c>
      <c r="K647" s="43">
        <v>0</v>
      </c>
      <c r="L647" s="43">
        <v>0</v>
      </c>
      <c r="M647" s="43">
        <f>+I647-SUM(J647:L647)</f>
        <v>0</v>
      </c>
      <c r="N647" s="42">
        <v>9915000</v>
      </c>
      <c r="O647" s="44">
        <v>9915000</v>
      </c>
      <c r="P647" s="44">
        <v>0</v>
      </c>
      <c r="Q647" s="44">
        <v>0</v>
      </c>
      <c r="R647" s="44">
        <f>+N647-SUM(O647:Q647)</f>
        <v>0</v>
      </c>
      <c r="S647" s="58" t="s">
        <v>218</v>
      </c>
      <c r="T647" s="67"/>
      <c r="U647" s="59"/>
      <c r="V647" s="95"/>
    </row>
    <row r="648" spans="2:22" ht="14.25" customHeight="1">
      <c r="B648" s="60"/>
      <c r="C648" s="101"/>
      <c r="D648" s="101"/>
      <c r="E648" s="19" t="s">
        <v>1207</v>
      </c>
      <c r="F648" s="51"/>
      <c r="G648" s="52"/>
      <c r="H648" s="41"/>
      <c r="I648" s="42"/>
      <c r="J648" s="43"/>
      <c r="K648" s="43"/>
      <c r="L648" s="43"/>
      <c r="M648" s="43"/>
      <c r="N648" s="42"/>
      <c r="O648" s="44"/>
      <c r="P648" s="44"/>
      <c r="Q648" s="44"/>
      <c r="R648" s="44"/>
      <c r="S648" s="53" t="s">
        <v>755</v>
      </c>
      <c r="T648" s="46"/>
      <c r="U648" s="47"/>
      <c r="V648" s="95"/>
    </row>
    <row r="649" spans="2:22" ht="14.25" customHeight="1">
      <c r="B649" s="60"/>
      <c r="C649" s="101"/>
      <c r="D649" s="101"/>
      <c r="E649" s="19" t="s">
        <v>1208</v>
      </c>
      <c r="F649" s="51"/>
      <c r="G649" s="40"/>
      <c r="H649" s="41"/>
      <c r="I649" s="94"/>
      <c r="J649" s="92"/>
      <c r="K649" s="92"/>
      <c r="L649" s="92"/>
      <c r="M649" s="92"/>
      <c r="N649" s="94"/>
      <c r="O649" s="93"/>
      <c r="P649" s="93"/>
      <c r="Q649" s="93"/>
      <c r="R649" s="93"/>
      <c r="S649" s="53" t="s">
        <v>1202</v>
      </c>
      <c r="T649" s="46"/>
      <c r="U649" s="47"/>
      <c r="V649" s="95"/>
    </row>
    <row r="650" spans="2:22" ht="14.25" customHeight="1" thickBot="1">
      <c r="B650" s="69"/>
      <c r="C650" s="121"/>
      <c r="D650" s="121"/>
      <c r="E650" s="24"/>
      <c r="F650" s="71"/>
      <c r="G650" s="72"/>
      <c r="H650" s="111"/>
      <c r="I650" s="112"/>
      <c r="J650" s="113"/>
      <c r="K650" s="113"/>
      <c r="L650" s="113"/>
      <c r="M650" s="113"/>
      <c r="N650" s="112"/>
      <c r="O650" s="114"/>
      <c r="P650" s="114"/>
      <c r="Q650" s="114"/>
      <c r="R650" s="114"/>
      <c r="S650" s="77"/>
      <c r="T650" s="78"/>
      <c r="U650" s="79"/>
      <c r="V650" s="95"/>
    </row>
    <row r="651" spans="2:22" ht="14.25" customHeight="1">
      <c r="B651" s="60"/>
      <c r="C651" s="101"/>
      <c r="D651" s="101"/>
      <c r="E651" s="19"/>
      <c r="F651" s="51"/>
      <c r="G651" s="52"/>
      <c r="H651" s="41"/>
      <c r="I651" s="42"/>
      <c r="J651" s="43"/>
      <c r="K651" s="43"/>
      <c r="L651" s="43"/>
      <c r="M651" s="43"/>
      <c r="N651" s="42"/>
      <c r="O651" s="44"/>
      <c r="P651" s="44"/>
      <c r="Q651" s="44"/>
      <c r="R651" s="44"/>
      <c r="S651" s="57"/>
      <c r="T651" s="46"/>
      <c r="U651" s="47"/>
      <c r="V651" s="95"/>
    </row>
    <row r="652" spans="2:22" ht="14.25" customHeight="1">
      <c r="B652" s="17" t="s">
        <v>437</v>
      </c>
      <c r="C652" s="26">
        <f>SUM(I652:I661)</f>
        <v>28587600</v>
      </c>
      <c r="D652" s="26">
        <f>SUM(N652:N661)</f>
        <v>25083751</v>
      </c>
      <c r="E652" s="19" t="s">
        <v>423</v>
      </c>
      <c r="F652" s="51">
        <f>+F650+1</f>
        <v>1</v>
      </c>
      <c r="G652" s="52"/>
      <c r="H652" s="41" t="s">
        <v>438</v>
      </c>
      <c r="I652" s="42">
        <v>27718600</v>
      </c>
      <c r="J652" s="43">
        <v>0</v>
      </c>
      <c r="K652" s="43">
        <v>0</v>
      </c>
      <c r="L652" s="43">
        <v>148492000</v>
      </c>
      <c r="M652" s="43">
        <f>+I652-SUM(J652:L652)</f>
        <v>-120773400</v>
      </c>
      <c r="N652" s="42">
        <v>24024187</v>
      </c>
      <c r="O652" s="44">
        <v>0</v>
      </c>
      <c r="P652" s="44">
        <v>0</v>
      </c>
      <c r="Q652" s="44">
        <v>173875000</v>
      </c>
      <c r="R652" s="44">
        <f>+N652-SUM(O652:Q652)</f>
        <v>-149850813</v>
      </c>
      <c r="S652" s="53" t="s">
        <v>439</v>
      </c>
      <c r="T652" s="167" t="s">
        <v>440</v>
      </c>
      <c r="U652" s="168" t="s">
        <v>757</v>
      </c>
      <c r="V652" s="95"/>
    </row>
    <row r="653" spans="2:22" ht="14.25" customHeight="1">
      <c r="B653" s="17" t="s">
        <v>68</v>
      </c>
      <c r="C653" s="26"/>
      <c r="D653" s="26"/>
      <c r="E653" s="19" t="s">
        <v>426</v>
      </c>
      <c r="F653" s="51"/>
      <c r="G653" s="52"/>
      <c r="H653" s="41"/>
      <c r="I653" s="42"/>
      <c r="J653" s="43"/>
      <c r="K653" s="43"/>
      <c r="L653" s="43"/>
      <c r="M653" s="43"/>
      <c r="N653" s="42"/>
      <c r="O653" s="44"/>
      <c r="P653" s="44"/>
      <c r="Q653" s="44"/>
      <c r="R653" s="44"/>
      <c r="S653" s="53" t="s">
        <v>760</v>
      </c>
      <c r="T653" s="169"/>
      <c r="U653" s="170"/>
      <c r="V653" s="95"/>
    </row>
    <row r="654" spans="2:22" ht="14.25" customHeight="1">
      <c r="B654" s="17"/>
      <c r="C654" s="26" t="s">
        <v>8</v>
      </c>
      <c r="D654" s="26" t="s">
        <v>8</v>
      </c>
      <c r="E654" s="19"/>
      <c r="F654" s="51"/>
      <c r="G654" s="52"/>
      <c r="H654" s="41"/>
      <c r="I654" s="42"/>
      <c r="J654" s="43"/>
      <c r="K654" s="43"/>
      <c r="L654" s="43"/>
      <c r="M654" s="43"/>
      <c r="N654" s="42"/>
      <c r="O654" s="44"/>
      <c r="P654" s="44"/>
      <c r="Q654" s="44"/>
      <c r="R654" s="44"/>
      <c r="S654" s="53" t="s">
        <v>761</v>
      </c>
      <c r="T654" s="67"/>
      <c r="U654" s="59"/>
      <c r="V654" s="95"/>
    </row>
    <row r="655" spans="2:22" ht="14.25" customHeight="1">
      <c r="B655" s="17"/>
      <c r="C655" s="26">
        <f>SUM(L652:L661)</f>
        <v>151207000</v>
      </c>
      <c r="D655" s="26">
        <f>SUM(Q652:Q661)</f>
        <v>177574400</v>
      </c>
      <c r="E655" s="19"/>
      <c r="F655" s="51"/>
      <c r="G655" s="52"/>
      <c r="H655" s="41"/>
      <c r="I655" s="42"/>
      <c r="J655" s="43"/>
      <c r="K655" s="43"/>
      <c r="L655" s="43"/>
      <c r="M655" s="43"/>
      <c r="N655" s="127"/>
      <c r="O655" s="44"/>
      <c r="P655" s="44"/>
      <c r="Q655" s="119"/>
      <c r="R655" s="44"/>
      <c r="S655" s="53" t="s">
        <v>441</v>
      </c>
      <c r="T655" s="46"/>
      <c r="U655" s="47"/>
      <c r="V655" s="48"/>
    </row>
    <row r="656" spans="2:22" ht="14.25" customHeight="1">
      <c r="B656" s="17"/>
      <c r="C656" s="26" t="s">
        <v>9</v>
      </c>
      <c r="D656" s="26" t="s">
        <v>9</v>
      </c>
      <c r="E656" s="19"/>
      <c r="F656" s="51"/>
      <c r="G656" s="52"/>
      <c r="H656" s="41"/>
      <c r="I656" s="42"/>
      <c r="J656" s="43"/>
      <c r="K656" s="43"/>
      <c r="L656" s="43"/>
      <c r="M656" s="43"/>
      <c r="N656" s="127"/>
      <c r="O656" s="44"/>
      <c r="P656" s="44"/>
      <c r="Q656" s="119"/>
      <c r="R656" s="44"/>
      <c r="S656" s="53" t="s">
        <v>442</v>
      </c>
      <c r="T656" s="46"/>
      <c r="U656" s="47"/>
      <c r="V656" s="48"/>
    </row>
    <row r="657" spans="2:22" ht="14.25" customHeight="1">
      <c r="B657" s="17"/>
      <c r="C657" s="337">
        <f>C652-C655</f>
        <v>-122619400</v>
      </c>
      <c r="D657" s="337">
        <f>D652-D655</f>
        <v>-152490649</v>
      </c>
      <c r="E657" s="19"/>
      <c r="F657" s="51"/>
      <c r="G657" s="52"/>
      <c r="H657" s="41"/>
      <c r="I657" s="42"/>
      <c r="J657" s="43"/>
      <c r="K657" s="43"/>
      <c r="L657" s="43"/>
      <c r="M657" s="43"/>
      <c r="N657" s="127"/>
      <c r="O657" s="44"/>
      <c r="P657" s="44"/>
      <c r="Q657" s="119"/>
      <c r="R657" s="44"/>
      <c r="S657" s="53" t="s">
        <v>1160</v>
      </c>
      <c r="T657" s="46"/>
      <c r="U657" s="47"/>
      <c r="V657" s="48"/>
    </row>
    <row r="658" spans="2:22" ht="14.25" customHeight="1">
      <c r="B658" s="17"/>
      <c r="C658" s="26"/>
      <c r="D658" s="26"/>
      <c r="E658" s="19"/>
      <c r="F658" s="51"/>
      <c r="G658" s="52"/>
      <c r="H658" s="41"/>
      <c r="I658" s="42"/>
      <c r="J658" s="43"/>
      <c r="K658" s="43"/>
      <c r="L658" s="43"/>
      <c r="M658" s="43"/>
      <c r="N658" s="127"/>
      <c r="O658" s="44"/>
      <c r="P658" s="44"/>
      <c r="Q658" s="119"/>
      <c r="R658" s="44"/>
      <c r="S658" s="53"/>
      <c r="T658" s="46"/>
      <c r="U658" s="47"/>
      <c r="V658" s="48"/>
    </row>
    <row r="659" spans="2:22" ht="14.25" customHeight="1">
      <c r="B659" s="60"/>
      <c r="C659" s="26"/>
      <c r="D659" s="26"/>
      <c r="E659" s="19"/>
      <c r="F659" s="51">
        <f>+F652+1</f>
        <v>2</v>
      </c>
      <c r="G659" s="52"/>
      <c r="H659" s="64" t="s">
        <v>443</v>
      </c>
      <c r="I659" s="42">
        <v>1398000</v>
      </c>
      <c r="J659" s="43">
        <v>0</v>
      </c>
      <c r="K659" s="43">
        <v>0</v>
      </c>
      <c r="L659" s="43">
        <v>2715000</v>
      </c>
      <c r="M659" s="43">
        <f>+I659-SUM(J659:L659)</f>
        <v>-1317000</v>
      </c>
      <c r="N659" s="42">
        <v>1059564</v>
      </c>
      <c r="O659" s="44">
        <v>0</v>
      </c>
      <c r="P659" s="44">
        <v>0</v>
      </c>
      <c r="Q659" s="44">
        <v>3699400</v>
      </c>
      <c r="R659" s="44">
        <f>+N659-SUM(O659:Q659)</f>
        <v>-2639836</v>
      </c>
      <c r="S659" s="53" t="s">
        <v>444</v>
      </c>
      <c r="T659" s="167" t="s">
        <v>758</v>
      </c>
      <c r="U659" s="168" t="s">
        <v>759</v>
      </c>
      <c r="V659" s="48"/>
    </row>
    <row r="660" spans="2:22" ht="14.25" customHeight="1" thickBot="1">
      <c r="B660" s="69"/>
      <c r="C660" s="27"/>
      <c r="D660" s="27"/>
      <c r="E660" s="24"/>
      <c r="F660" s="71"/>
      <c r="G660" s="72"/>
      <c r="H660" s="111"/>
      <c r="I660" s="112"/>
      <c r="J660" s="113"/>
      <c r="K660" s="113"/>
      <c r="L660" s="113"/>
      <c r="M660" s="113"/>
      <c r="N660" s="112"/>
      <c r="O660" s="114"/>
      <c r="P660" s="114"/>
      <c r="Q660" s="114"/>
      <c r="R660" s="114"/>
      <c r="S660" s="115"/>
      <c r="T660" s="78"/>
      <c r="U660" s="79"/>
      <c r="V660" s="48"/>
    </row>
    <row r="661" spans="2:22" ht="14.25" customHeight="1">
      <c r="B661" s="60"/>
      <c r="C661" s="26"/>
      <c r="D661" s="26"/>
      <c r="E661" s="19"/>
      <c r="F661" s="51">
        <f>+F659+1</f>
        <v>3</v>
      </c>
      <c r="G661" s="52"/>
      <c r="H661" s="64" t="s">
        <v>187</v>
      </c>
      <c r="I661" s="94">
        <v>-529000</v>
      </c>
      <c r="J661" s="92">
        <v>0</v>
      </c>
      <c r="K661" s="92">
        <v>0</v>
      </c>
      <c r="L661" s="92">
        <v>0</v>
      </c>
      <c r="M661" s="92">
        <f>+I661-SUM(J661:L661)</f>
        <v>-529000</v>
      </c>
      <c r="N661" s="94">
        <v>0</v>
      </c>
      <c r="O661" s="93">
        <v>0</v>
      </c>
      <c r="P661" s="44">
        <v>0</v>
      </c>
      <c r="Q661" s="44">
        <v>0</v>
      </c>
      <c r="R661" s="44">
        <f>+N661-SUM(O661:Q661)</f>
        <v>0</v>
      </c>
      <c r="S661" s="58" t="s">
        <v>218</v>
      </c>
      <c r="T661" s="46"/>
      <c r="U661" s="47"/>
      <c r="V661" s="48"/>
    </row>
    <row r="662" spans="2:22" ht="14.25" customHeight="1" thickBot="1">
      <c r="B662" s="69"/>
      <c r="C662" s="121"/>
      <c r="D662" s="121"/>
      <c r="E662" s="24"/>
      <c r="F662" s="71"/>
      <c r="G662" s="72"/>
      <c r="H662" s="111"/>
      <c r="I662" s="74"/>
      <c r="J662" s="75"/>
      <c r="K662" s="75"/>
      <c r="L662" s="75"/>
      <c r="M662" s="75"/>
      <c r="N662" s="74"/>
      <c r="O662" s="76"/>
      <c r="P662" s="76"/>
      <c r="Q662" s="76"/>
      <c r="R662" s="76"/>
      <c r="S662" s="145"/>
      <c r="T662" s="78"/>
      <c r="U662" s="79"/>
      <c r="V662" s="48"/>
    </row>
    <row r="663" spans="2:22" ht="14.25" customHeight="1">
      <c r="B663" s="60"/>
      <c r="C663" s="101"/>
      <c r="D663" s="101"/>
      <c r="E663" s="19"/>
      <c r="F663" s="51"/>
      <c r="G663" s="52"/>
      <c r="H663" s="41"/>
      <c r="I663" s="94"/>
      <c r="J663" s="92"/>
      <c r="K663" s="92"/>
      <c r="L663" s="92"/>
      <c r="M663" s="92"/>
      <c r="N663" s="94"/>
      <c r="O663" s="93"/>
      <c r="P663" s="93"/>
      <c r="Q663" s="93"/>
      <c r="R663" s="93"/>
      <c r="S663" s="53"/>
      <c r="T663" s="46"/>
      <c r="U663" s="47"/>
      <c r="V663" s="48"/>
    </row>
    <row r="664" spans="2:22" ht="14.25" customHeight="1">
      <c r="B664" s="17" t="s">
        <v>445</v>
      </c>
      <c r="C664" s="26">
        <f>SUM(I664:I676)</f>
        <v>14546000</v>
      </c>
      <c r="D664" s="26">
        <f>SUM(N664:N676)</f>
        <v>11936405</v>
      </c>
      <c r="E664" s="96" t="s">
        <v>446</v>
      </c>
      <c r="F664" s="52">
        <v>1</v>
      </c>
      <c r="G664" s="52"/>
      <c r="H664" s="64" t="s">
        <v>447</v>
      </c>
      <c r="I664" s="94">
        <f>4131000+6323000</f>
        <v>10454000</v>
      </c>
      <c r="J664" s="92">
        <v>156000</v>
      </c>
      <c r="K664" s="92">
        <v>0</v>
      </c>
      <c r="L664" s="92">
        <v>20895000</v>
      </c>
      <c r="M664" s="43">
        <f>+I664-SUM(J664:L664)</f>
        <v>-10597000</v>
      </c>
      <c r="N664" s="94">
        <f>2965001+6088104</f>
        <v>9053105</v>
      </c>
      <c r="O664" s="93">
        <v>158000</v>
      </c>
      <c r="P664" s="93">
        <v>0</v>
      </c>
      <c r="Q664" s="93">
        <v>20384350</v>
      </c>
      <c r="R664" s="44">
        <f>+N664-SUM(O664:Q664)</f>
        <v>-11489245</v>
      </c>
      <c r="S664" s="53" t="s">
        <v>655</v>
      </c>
      <c r="T664" s="46" t="s">
        <v>1163</v>
      </c>
      <c r="U664" s="47" t="s">
        <v>1164</v>
      </c>
      <c r="V664" s="48"/>
    </row>
    <row r="665" spans="2:22" ht="14.25" customHeight="1">
      <c r="B665" s="17" t="s">
        <v>121</v>
      </c>
      <c r="C665" s="26"/>
      <c r="D665" s="16"/>
      <c r="E665" s="96" t="s">
        <v>448</v>
      </c>
      <c r="F665" s="98"/>
      <c r="G665" s="52"/>
      <c r="H665" s="41"/>
      <c r="I665" s="94"/>
      <c r="J665" s="92"/>
      <c r="K665" s="92"/>
      <c r="L665" s="92"/>
      <c r="M665" s="43"/>
      <c r="N665" s="94"/>
      <c r="O665" s="93"/>
      <c r="P665" s="93"/>
      <c r="Q665" s="93"/>
      <c r="R665" s="44"/>
      <c r="S665" s="99" t="s">
        <v>1212</v>
      </c>
      <c r="T665" s="46"/>
      <c r="U665" s="47"/>
      <c r="V665" s="48"/>
    </row>
    <row r="666" spans="2:22" ht="14.25" customHeight="1">
      <c r="B666" s="17"/>
      <c r="C666" s="26" t="s">
        <v>7</v>
      </c>
      <c r="D666" s="26" t="s">
        <v>7</v>
      </c>
      <c r="E666" s="96"/>
      <c r="F666" s="98"/>
      <c r="G666" s="52"/>
      <c r="H666" s="41"/>
      <c r="I666" s="94"/>
      <c r="J666" s="92"/>
      <c r="K666" s="92"/>
      <c r="L666" s="92"/>
      <c r="M666" s="43"/>
      <c r="N666" s="94"/>
      <c r="O666" s="93"/>
      <c r="P666" s="93"/>
      <c r="Q666" s="93"/>
      <c r="R666" s="44"/>
      <c r="S666" s="53" t="s">
        <v>656</v>
      </c>
      <c r="T666" s="46"/>
      <c r="U666" s="47"/>
      <c r="V666" s="48"/>
    </row>
    <row r="667" spans="2:22" ht="14.25" customHeight="1">
      <c r="B667" s="60"/>
      <c r="C667" s="26">
        <f>SUM(J664:J676)</f>
        <v>156000</v>
      </c>
      <c r="D667" s="26">
        <f>SUM(O664:O676)</f>
        <v>158000</v>
      </c>
      <c r="E667" s="96"/>
      <c r="F667" s="98"/>
      <c r="G667" s="40"/>
      <c r="H667" s="41"/>
      <c r="I667" s="94"/>
      <c r="J667" s="92"/>
      <c r="K667" s="92"/>
      <c r="L667" s="92"/>
      <c r="M667" s="43"/>
      <c r="N667" s="94"/>
      <c r="O667" s="93"/>
      <c r="P667" s="93"/>
      <c r="Q667" s="93"/>
      <c r="R667" s="44"/>
      <c r="S667" s="338" t="s">
        <v>1214</v>
      </c>
      <c r="T667" s="46"/>
      <c r="U667" s="47"/>
      <c r="V667" s="48"/>
    </row>
    <row r="668" spans="2:22" ht="14.25" customHeight="1">
      <c r="B668" s="60"/>
      <c r="C668" s="26" t="s">
        <v>8</v>
      </c>
      <c r="D668" s="26" t="s">
        <v>8</v>
      </c>
      <c r="E668" s="96"/>
      <c r="F668" s="98"/>
      <c r="G668" s="52"/>
      <c r="H668" s="41"/>
      <c r="I668" s="94"/>
      <c r="J668" s="92"/>
      <c r="K668" s="92"/>
      <c r="L668" s="92"/>
      <c r="M668" s="43"/>
      <c r="N668" s="94"/>
      <c r="O668" s="93"/>
      <c r="P668" s="93"/>
      <c r="Q668" s="93"/>
      <c r="R668" s="44"/>
      <c r="S668" s="53" t="s">
        <v>657</v>
      </c>
      <c r="T668" s="46" t="s">
        <v>658</v>
      </c>
      <c r="U668" s="47" t="s">
        <v>659</v>
      </c>
      <c r="V668" s="95"/>
    </row>
    <row r="669" spans="2:22" ht="14.25" customHeight="1">
      <c r="B669" s="60"/>
      <c r="C669" s="26">
        <f>SUM(L664:L676)</f>
        <v>20895000</v>
      </c>
      <c r="D669" s="26">
        <f>SUM(Q664:Q676)</f>
        <v>20384350</v>
      </c>
      <c r="E669" s="19"/>
      <c r="F669" s="51"/>
      <c r="G669" s="40"/>
      <c r="H669" s="41"/>
      <c r="I669" s="94"/>
      <c r="J669" s="92"/>
      <c r="K669" s="92"/>
      <c r="L669" s="92"/>
      <c r="M669" s="43"/>
      <c r="N669" s="94"/>
      <c r="O669" s="93"/>
      <c r="P669" s="93"/>
      <c r="Q669" s="93"/>
      <c r="R669" s="44"/>
      <c r="S669" s="287" t="s">
        <v>1161</v>
      </c>
      <c r="T669" s="46"/>
      <c r="U669" s="47"/>
      <c r="V669" s="95"/>
    </row>
    <row r="670" spans="2:22" ht="14.25" customHeight="1">
      <c r="B670" s="60"/>
      <c r="C670" s="26" t="s">
        <v>9</v>
      </c>
      <c r="D670" s="26" t="s">
        <v>9</v>
      </c>
      <c r="E670" s="96"/>
      <c r="F670" s="52"/>
      <c r="G670" s="40"/>
      <c r="H670" s="41"/>
      <c r="I670" s="94"/>
      <c r="J670" s="92"/>
      <c r="K670" s="92"/>
      <c r="L670" s="92"/>
      <c r="M670" s="43"/>
      <c r="N670" s="94"/>
      <c r="O670" s="93"/>
      <c r="P670" s="93"/>
      <c r="Q670" s="93"/>
      <c r="R670" s="44"/>
      <c r="S670" s="53" t="s">
        <v>1162</v>
      </c>
      <c r="T670" s="46"/>
      <c r="U670" s="47"/>
      <c r="V670" s="95"/>
    </row>
    <row r="671" spans="2:22" ht="14.25" customHeight="1">
      <c r="B671" s="60"/>
      <c r="C671" s="337">
        <f>C664-C665-C667-C669</f>
        <v>-6505000</v>
      </c>
      <c r="D671" s="337">
        <f>D664-D665-D667-D669</f>
        <v>-8605945</v>
      </c>
      <c r="E671" s="96"/>
      <c r="F671" s="52"/>
      <c r="G671" s="40"/>
      <c r="H671" s="41"/>
      <c r="I671" s="94"/>
      <c r="J671" s="92"/>
      <c r="K671" s="92"/>
      <c r="L671" s="92"/>
      <c r="M671" s="43"/>
      <c r="N671" s="94"/>
      <c r="O671" s="93"/>
      <c r="P671" s="93"/>
      <c r="Q671" s="93"/>
      <c r="R671" s="44"/>
      <c r="S671" s="53"/>
      <c r="T671" s="46"/>
      <c r="U671" s="47"/>
      <c r="V671" s="95"/>
    </row>
    <row r="672" spans="2:22" ht="14.25" customHeight="1">
      <c r="B672" s="60"/>
      <c r="C672" s="26"/>
      <c r="D672" s="26"/>
      <c r="E672" s="96"/>
      <c r="F672" s="52">
        <f>+F664+1</f>
        <v>2</v>
      </c>
      <c r="G672" s="52"/>
      <c r="H672" s="64" t="s">
        <v>449</v>
      </c>
      <c r="I672" s="94">
        <v>4179000</v>
      </c>
      <c r="J672" s="92">
        <v>0</v>
      </c>
      <c r="K672" s="92">
        <v>0</v>
      </c>
      <c r="L672" s="92">
        <v>0</v>
      </c>
      <c r="M672" s="43">
        <f>+I672-SUM(J672:L672)</f>
        <v>4179000</v>
      </c>
      <c r="N672" s="94">
        <v>2883300</v>
      </c>
      <c r="O672" s="93">
        <v>0</v>
      </c>
      <c r="P672" s="93">
        <v>0</v>
      </c>
      <c r="Q672" s="93">
        <v>0</v>
      </c>
      <c r="R672" s="44">
        <f>+N672-SUM(O672:Q672)</f>
        <v>2883300</v>
      </c>
      <c r="S672" s="53" t="s">
        <v>660</v>
      </c>
      <c r="T672" s="46"/>
      <c r="U672" s="47"/>
      <c r="V672" s="48"/>
    </row>
    <row r="673" spans="2:22" ht="14.25" customHeight="1">
      <c r="B673" s="60"/>
      <c r="C673" s="26"/>
      <c r="D673" s="26"/>
      <c r="E673" s="96"/>
      <c r="F673" s="51"/>
      <c r="G673" s="52"/>
      <c r="H673" s="41"/>
      <c r="I673" s="94"/>
      <c r="J673" s="92"/>
      <c r="K673" s="92"/>
      <c r="L673" s="92"/>
      <c r="M673" s="43"/>
      <c r="N673" s="94"/>
      <c r="O673" s="93"/>
      <c r="P673" s="93"/>
      <c r="Q673" s="93"/>
      <c r="R673" s="44"/>
      <c r="S673" s="53" t="s">
        <v>661</v>
      </c>
      <c r="T673" s="46"/>
      <c r="U673" s="47"/>
      <c r="V673" s="48"/>
    </row>
    <row r="674" spans="2:22" ht="14.25" customHeight="1">
      <c r="B674" s="60"/>
      <c r="C674" s="26"/>
      <c r="D674" s="26"/>
      <c r="E674" s="96"/>
      <c r="F674" s="52"/>
      <c r="G674" s="52"/>
      <c r="H674" s="41"/>
      <c r="I674" s="94"/>
      <c r="J674" s="92"/>
      <c r="K674" s="92"/>
      <c r="L674" s="92"/>
      <c r="M674" s="43"/>
      <c r="N674" s="94"/>
      <c r="O674" s="93"/>
      <c r="P674" s="93"/>
      <c r="Q674" s="93"/>
      <c r="R674" s="44"/>
      <c r="S674" s="57" t="s">
        <v>662</v>
      </c>
      <c r="T674" s="46"/>
      <c r="U674" s="47"/>
      <c r="V674" s="48"/>
    </row>
    <row r="675" spans="2:22" ht="14.25" customHeight="1">
      <c r="B675" s="60"/>
      <c r="C675" s="26"/>
      <c r="D675" s="26"/>
      <c r="E675" s="96"/>
      <c r="F675" s="52"/>
      <c r="G675" s="52"/>
      <c r="H675" s="41"/>
      <c r="I675" s="94"/>
      <c r="J675" s="92"/>
      <c r="K675" s="92"/>
      <c r="L675" s="92"/>
      <c r="M675" s="43"/>
      <c r="N675" s="94"/>
      <c r="O675" s="93"/>
      <c r="P675" s="93"/>
      <c r="Q675" s="93"/>
      <c r="R675" s="44"/>
      <c r="S675" s="53"/>
      <c r="T675" s="46"/>
      <c r="U675" s="47"/>
      <c r="V675" s="48"/>
    </row>
    <row r="676" spans="2:22" ht="14.25" customHeight="1">
      <c r="B676" s="60"/>
      <c r="C676" s="26"/>
      <c r="D676" s="26"/>
      <c r="E676" s="96"/>
      <c r="F676" s="51">
        <f>+F672+1</f>
        <v>3</v>
      </c>
      <c r="G676" s="52"/>
      <c r="H676" s="64" t="s">
        <v>187</v>
      </c>
      <c r="I676" s="94">
        <v>-87000</v>
      </c>
      <c r="J676" s="92">
        <v>0</v>
      </c>
      <c r="K676" s="92">
        <v>0</v>
      </c>
      <c r="L676" s="92">
        <v>0</v>
      </c>
      <c r="M676" s="92">
        <f>+I676-SUM(J676:L676)</f>
        <v>-87000</v>
      </c>
      <c r="N676" s="94">
        <v>0</v>
      </c>
      <c r="O676" s="93">
        <v>0</v>
      </c>
      <c r="P676" s="44">
        <v>0</v>
      </c>
      <c r="Q676" s="44">
        <v>0</v>
      </c>
      <c r="R676" s="44">
        <f>+N676-SUM(O676:Q676)</f>
        <v>0</v>
      </c>
      <c r="S676" s="58" t="s">
        <v>218</v>
      </c>
      <c r="T676" s="46"/>
      <c r="U676" s="47"/>
      <c r="V676" s="48"/>
    </row>
    <row r="677" spans="2:22" ht="14.25" customHeight="1" thickBot="1">
      <c r="B677" s="69"/>
      <c r="C677" s="27"/>
      <c r="D677" s="27"/>
      <c r="E677" s="70"/>
      <c r="F677" s="72"/>
      <c r="G677" s="72"/>
      <c r="H677" s="111"/>
      <c r="I677" s="112"/>
      <c r="J677" s="113"/>
      <c r="K677" s="113"/>
      <c r="L677" s="113"/>
      <c r="M677" s="113"/>
      <c r="N677" s="112"/>
      <c r="O677" s="114"/>
      <c r="P677" s="114"/>
      <c r="Q677" s="114"/>
      <c r="R677" s="114"/>
      <c r="S677" s="115"/>
      <c r="T677" s="78"/>
      <c r="U677" s="79"/>
      <c r="V677" s="55"/>
    </row>
    <row r="678" spans="2:22" ht="14.25" customHeight="1">
      <c r="B678" s="60"/>
      <c r="C678" s="101"/>
      <c r="D678" s="101"/>
      <c r="E678" s="19"/>
      <c r="F678" s="51"/>
      <c r="G678" s="52"/>
      <c r="H678" s="41"/>
      <c r="I678" s="94"/>
      <c r="J678" s="92"/>
      <c r="K678" s="92"/>
      <c r="L678" s="92"/>
      <c r="M678" s="92"/>
      <c r="N678" s="94"/>
      <c r="O678" s="93"/>
      <c r="P678" s="93"/>
      <c r="Q678" s="93"/>
      <c r="R678" s="93"/>
      <c r="S678" s="53"/>
      <c r="T678" s="46"/>
      <c r="U678" s="47"/>
      <c r="V678" s="48"/>
    </row>
    <row r="679" spans="2:22" ht="14.25" customHeight="1">
      <c r="B679" s="17" t="s">
        <v>450</v>
      </c>
      <c r="C679" s="26">
        <f>SUM(I679)</f>
        <v>81121000</v>
      </c>
      <c r="D679" s="26">
        <f>SUM(N679)</f>
        <v>78933846</v>
      </c>
      <c r="E679" s="96" t="s">
        <v>446</v>
      </c>
      <c r="F679" s="51">
        <f>+F668+1</f>
        <v>1</v>
      </c>
      <c r="G679" s="52"/>
      <c r="H679" s="41" t="s">
        <v>451</v>
      </c>
      <c r="I679" s="94">
        <v>81121000</v>
      </c>
      <c r="J679" s="92">
        <v>0</v>
      </c>
      <c r="K679" s="92">
        <v>0</v>
      </c>
      <c r="L679" s="92">
        <v>6144000</v>
      </c>
      <c r="M679" s="43">
        <f>+I679-SUM(J679:L679)</f>
        <v>74977000</v>
      </c>
      <c r="N679" s="94">
        <v>78933846</v>
      </c>
      <c r="O679" s="93">
        <v>0</v>
      </c>
      <c r="P679" s="93">
        <v>0</v>
      </c>
      <c r="Q679" s="93">
        <v>8885264</v>
      </c>
      <c r="R679" s="44">
        <f>+N679-SUM(O679:Q679)</f>
        <v>70048582</v>
      </c>
      <c r="S679" s="107" t="s">
        <v>452</v>
      </c>
      <c r="T679" s="46" t="s">
        <v>453</v>
      </c>
      <c r="U679" s="47" t="s">
        <v>1165</v>
      </c>
      <c r="V679" s="48"/>
    </row>
    <row r="680" spans="2:22" ht="14.25" customHeight="1">
      <c r="B680" s="17" t="s">
        <v>454</v>
      </c>
      <c r="C680" s="26"/>
      <c r="D680" s="16"/>
      <c r="E680" s="96" t="s">
        <v>448</v>
      </c>
      <c r="F680" s="39"/>
      <c r="G680" s="52"/>
      <c r="H680" s="41"/>
      <c r="I680" s="94"/>
      <c r="J680" s="92"/>
      <c r="K680" s="92"/>
      <c r="L680" s="92"/>
      <c r="M680" s="43"/>
      <c r="N680" s="94"/>
      <c r="O680" s="93"/>
      <c r="P680" s="93"/>
      <c r="Q680" s="93"/>
      <c r="R680" s="44"/>
      <c r="S680" s="99" t="s">
        <v>1213</v>
      </c>
      <c r="T680" s="46"/>
      <c r="U680" s="47"/>
      <c r="V680" s="48"/>
    </row>
    <row r="681" spans="2:22" ht="14.25" customHeight="1">
      <c r="B681" s="17"/>
      <c r="C681" s="26" t="s">
        <v>8</v>
      </c>
      <c r="D681" s="26" t="s">
        <v>8</v>
      </c>
      <c r="E681" s="96"/>
      <c r="F681" s="39"/>
      <c r="G681" s="52"/>
      <c r="H681" s="41"/>
      <c r="I681" s="94"/>
      <c r="J681" s="92"/>
      <c r="K681" s="92"/>
      <c r="L681" s="92"/>
      <c r="M681" s="43"/>
      <c r="N681" s="94"/>
      <c r="O681" s="93"/>
      <c r="P681" s="93"/>
      <c r="Q681" s="93"/>
      <c r="R681" s="44"/>
      <c r="S681" s="53" t="s">
        <v>455</v>
      </c>
      <c r="T681" s="46"/>
      <c r="U681" s="47"/>
      <c r="V681" s="48"/>
    </row>
    <row r="682" spans="2:22" ht="14.25" customHeight="1">
      <c r="B682" s="60"/>
      <c r="C682" s="26">
        <f>SUM(L679)</f>
        <v>6144000</v>
      </c>
      <c r="D682" s="26">
        <f>SUM(Q679)</f>
        <v>8885264</v>
      </c>
      <c r="E682" s="96"/>
      <c r="F682" s="51"/>
      <c r="G682" s="52"/>
      <c r="H682" s="41"/>
      <c r="I682" s="94"/>
      <c r="J682" s="92"/>
      <c r="K682" s="92"/>
      <c r="L682" s="92"/>
      <c r="M682" s="92"/>
      <c r="N682" s="94"/>
      <c r="O682" s="93"/>
      <c r="P682" s="93"/>
      <c r="Q682" s="93"/>
      <c r="R682" s="93"/>
      <c r="S682" s="53"/>
      <c r="T682" s="46"/>
      <c r="U682" s="47"/>
      <c r="V682" s="48"/>
    </row>
    <row r="683" spans="2:22" ht="14.25" customHeight="1">
      <c r="B683" s="60"/>
      <c r="C683" s="26" t="s">
        <v>9</v>
      </c>
      <c r="D683" s="26" t="s">
        <v>9</v>
      </c>
      <c r="E683" s="96"/>
      <c r="F683" s="51"/>
      <c r="G683" s="52"/>
      <c r="H683" s="56"/>
      <c r="I683" s="94"/>
      <c r="J683" s="92"/>
      <c r="K683" s="92"/>
      <c r="L683" s="92"/>
      <c r="M683" s="92"/>
      <c r="N683" s="94"/>
      <c r="O683" s="93"/>
      <c r="P683" s="93"/>
      <c r="Q683" s="93"/>
      <c r="R683" s="93"/>
      <c r="S683" s="53"/>
      <c r="T683" s="46"/>
      <c r="U683" s="47"/>
      <c r="V683" s="48"/>
    </row>
    <row r="684" spans="2:22" ht="14.25" customHeight="1">
      <c r="B684" s="60"/>
      <c r="C684" s="26">
        <f>C679-C682</f>
        <v>74977000</v>
      </c>
      <c r="D684" s="26">
        <f>D679-D682</f>
        <v>70048582</v>
      </c>
      <c r="E684" s="19"/>
      <c r="F684" s="51"/>
      <c r="G684" s="52"/>
      <c r="H684" s="56"/>
      <c r="I684" s="42"/>
      <c r="J684" s="92"/>
      <c r="K684" s="92"/>
      <c r="L684" s="92"/>
      <c r="M684" s="92"/>
      <c r="N684" s="94"/>
      <c r="O684" s="93"/>
      <c r="P684" s="93"/>
      <c r="Q684" s="93"/>
      <c r="R684" s="93"/>
      <c r="S684" s="53"/>
      <c r="T684" s="46"/>
      <c r="U684" s="47"/>
      <c r="V684" s="48"/>
    </row>
    <row r="685" spans="2:22" ht="14.25" customHeight="1" thickBot="1">
      <c r="B685" s="69"/>
      <c r="C685" s="121"/>
      <c r="D685" s="121"/>
      <c r="E685" s="24"/>
      <c r="F685" s="71"/>
      <c r="G685" s="72"/>
      <c r="H685" s="111"/>
      <c r="I685" s="74"/>
      <c r="J685" s="75"/>
      <c r="K685" s="75"/>
      <c r="L685" s="75"/>
      <c r="M685" s="75"/>
      <c r="N685" s="74"/>
      <c r="O685" s="76"/>
      <c r="P685" s="76"/>
      <c r="Q685" s="76"/>
      <c r="R685" s="76"/>
      <c r="S685" s="115"/>
      <c r="T685" s="78"/>
      <c r="U685" s="79"/>
      <c r="V685" s="48"/>
    </row>
    <row r="686" spans="2:22" ht="14.25" customHeight="1">
      <c r="B686" s="60"/>
      <c r="C686" s="26"/>
      <c r="D686" s="26"/>
      <c r="E686" s="19"/>
      <c r="F686" s="51"/>
      <c r="G686" s="52"/>
      <c r="H686" s="41"/>
      <c r="I686" s="42"/>
      <c r="J686" s="43"/>
      <c r="K686" s="43"/>
      <c r="L686" s="43"/>
      <c r="M686" s="43"/>
      <c r="N686" s="42"/>
      <c r="O686" s="44"/>
      <c r="P686" s="44"/>
      <c r="Q686" s="44"/>
      <c r="R686" s="44"/>
      <c r="S686" s="57"/>
      <c r="T686" s="46"/>
      <c r="U686" s="47"/>
      <c r="V686" s="48"/>
    </row>
    <row r="687" spans="2:22" ht="14.25" customHeight="1">
      <c r="B687" s="17" t="s">
        <v>69</v>
      </c>
      <c r="C687" s="26">
        <f>SUM(I687:I696)</f>
        <v>27247000</v>
      </c>
      <c r="D687" s="26">
        <f>SUM(N687:N696)</f>
        <v>22827475</v>
      </c>
      <c r="E687" s="19" t="s">
        <v>446</v>
      </c>
      <c r="F687" s="51">
        <v>1</v>
      </c>
      <c r="G687" s="52"/>
      <c r="H687" s="64" t="s">
        <v>456</v>
      </c>
      <c r="I687" s="94">
        <v>27414000</v>
      </c>
      <c r="J687" s="92">
        <v>0</v>
      </c>
      <c r="K687" s="92">
        <v>0</v>
      </c>
      <c r="L687" s="92">
        <v>3277000</v>
      </c>
      <c r="M687" s="43">
        <f>+I687-SUM(J687:L687)</f>
        <v>24137000</v>
      </c>
      <c r="N687" s="94">
        <v>22827475</v>
      </c>
      <c r="O687" s="93">
        <v>0</v>
      </c>
      <c r="P687" s="93">
        <v>0</v>
      </c>
      <c r="Q687" s="93">
        <v>3670100</v>
      </c>
      <c r="R687" s="44">
        <f>+N687-SUM(O687:Q687)</f>
        <v>19157375</v>
      </c>
      <c r="S687" s="53" t="s">
        <v>457</v>
      </c>
      <c r="T687" s="46" t="s">
        <v>458</v>
      </c>
      <c r="U687" s="47" t="s">
        <v>1166</v>
      </c>
      <c r="V687" s="48"/>
    </row>
    <row r="688" spans="2:22" ht="14.25" customHeight="1">
      <c r="B688" s="17" t="s">
        <v>71</v>
      </c>
      <c r="C688" s="26"/>
      <c r="D688" s="16"/>
      <c r="E688" s="19" t="s">
        <v>448</v>
      </c>
      <c r="F688" s="51"/>
      <c r="G688" s="52"/>
      <c r="H688" s="41"/>
      <c r="I688" s="94"/>
      <c r="J688" s="92"/>
      <c r="K688" s="92"/>
      <c r="L688" s="92"/>
      <c r="M688" s="43"/>
      <c r="N688" s="94"/>
      <c r="O688" s="93"/>
      <c r="P688" s="93"/>
      <c r="Q688" s="93"/>
      <c r="R688" s="44"/>
      <c r="S688" s="57" t="s">
        <v>1167</v>
      </c>
      <c r="T688" s="46" t="s">
        <v>1168</v>
      </c>
      <c r="U688" s="47" t="s">
        <v>1169</v>
      </c>
      <c r="V688" s="48"/>
    </row>
    <row r="689" spans="2:22" ht="14.25" customHeight="1">
      <c r="B689" s="17"/>
      <c r="C689" s="26" t="s">
        <v>8</v>
      </c>
      <c r="D689" s="26" t="s">
        <v>8</v>
      </c>
      <c r="E689" s="19"/>
      <c r="F689" s="51"/>
      <c r="G689" s="52"/>
      <c r="H689" s="41"/>
      <c r="I689" s="94"/>
      <c r="J689" s="92"/>
      <c r="K689" s="92"/>
      <c r="L689" s="92"/>
      <c r="M689" s="43"/>
      <c r="N689" s="94"/>
      <c r="O689" s="93"/>
      <c r="P689" s="93"/>
      <c r="Q689" s="93"/>
      <c r="R689" s="44"/>
      <c r="S689" s="57" t="s">
        <v>459</v>
      </c>
      <c r="T689" s="46"/>
      <c r="U689" s="47"/>
      <c r="V689" s="48"/>
    </row>
    <row r="690" spans="2:22" ht="14.25" customHeight="1">
      <c r="B690" s="17"/>
      <c r="C690" s="26">
        <f>SUM(L687:L696)</f>
        <v>3277000</v>
      </c>
      <c r="D690" s="26">
        <f>SUM(Q687:Q696)</f>
        <v>3670100</v>
      </c>
      <c r="E690" s="19"/>
      <c r="F690" s="51"/>
      <c r="G690" s="52"/>
      <c r="H690" s="41"/>
      <c r="I690" s="42"/>
      <c r="J690" s="43"/>
      <c r="K690" s="43"/>
      <c r="L690" s="43"/>
      <c r="M690" s="43"/>
      <c r="N690" s="42"/>
      <c r="O690" s="44"/>
      <c r="P690" s="44"/>
      <c r="Q690" s="44"/>
      <c r="R690" s="44"/>
      <c r="S690" s="107" t="s">
        <v>460</v>
      </c>
      <c r="T690" s="46"/>
      <c r="U690" s="47"/>
      <c r="V690" s="48"/>
    </row>
    <row r="691" spans="2:22" ht="14.25" customHeight="1">
      <c r="B691" s="60"/>
      <c r="C691" s="26" t="s">
        <v>9</v>
      </c>
      <c r="D691" s="26" t="s">
        <v>9</v>
      </c>
      <c r="E691" s="19"/>
      <c r="F691" s="51"/>
      <c r="G691" s="52"/>
      <c r="H691" s="41"/>
      <c r="I691" s="94"/>
      <c r="J691" s="92"/>
      <c r="K691" s="92"/>
      <c r="L691" s="92"/>
      <c r="M691" s="43"/>
      <c r="N691" s="94"/>
      <c r="O691" s="93"/>
      <c r="P691" s="93"/>
      <c r="Q691" s="93"/>
      <c r="R691" s="44"/>
      <c r="S691" s="53" t="s">
        <v>1170</v>
      </c>
      <c r="T691" s="46" t="s">
        <v>1171</v>
      </c>
      <c r="U691" s="47" t="s">
        <v>1172</v>
      </c>
      <c r="V691" s="48"/>
    </row>
    <row r="692" spans="2:22" ht="14.25" customHeight="1">
      <c r="B692" s="60"/>
      <c r="C692" s="26">
        <f>C687-C690</f>
        <v>23970000</v>
      </c>
      <c r="D692" s="26">
        <f>D687-D690</f>
        <v>19157375</v>
      </c>
      <c r="E692" s="19"/>
      <c r="F692" s="39"/>
      <c r="G692" s="52"/>
      <c r="H692" s="41"/>
      <c r="I692" s="94"/>
      <c r="J692" s="92"/>
      <c r="K692" s="92"/>
      <c r="L692" s="92"/>
      <c r="M692" s="43"/>
      <c r="N692" s="94"/>
      <c r="O692" s="93"/>
      <c r="P692" s="93"/>
      <c r="Q692" s="93"/>
      <c r="R692" s="44"/>
      <c r="S692" s="53" t="s">
        <v>1173</v>
      </c>
      <c r="T692" s="46"/>
      <c r="U692" s="47"/>
      <c r="V692" s="48"/>
    </row>
    <row r="693" spans="2:22" ht="14.25" customHeight="1">
      <c r="B693" s="60"/>
      <c r="C693" s="26"/>
      <c r="D693" s="26"/>
      <c r="E693" s="19"/>
      <c r="F693" s="51"/>
      <c r="G693" s="52"/>
      <c r="H693" s="41"/>
      <c r="I693" s="94"/>
      <c r="J693" s="92"/>
      <c r="K693" s="92"/>
      <c r="L693" s="92"/>
      <c r="M693" s="43"/>
      <c r="N693" s="94"/>
      <c r="O693" s="93"/>
      <c r="P693" s="93"/>
      <c r="Q693" s="93"/>
      <c r="R693" s="44"/>
      <c r="S693" s="57" t="s">
        <v>1174</v>
      </c>
      <c r="T693" s="46"/>
      <c r="U693" s="47"/>
      <c r="V693" s="48"/>
    </row>
    <row r="694" spans="2:22" ht="14.25" customHeight="1">
      <c r="B694" s="60"/>
      <c r="C694" s="26"/>
      <c r="D694" s="26"/>
      <c r="E694" s="19"/>
      <c r="F694" s="39"/>
      <c r="G694" s="52"/>
      <c r="H694" s="41"/>
      <c r="I694" s="94"/>
      <c r="J694" s="92"/>
      <c r="K694" s="92"/>
      <c r="L694" s="92"/>
      <c r="M694" s="43"/>
      <c r="N694" s="94"/>
      <c r="O694" s="93"/>
      <c r="P694" s="93"/>
      <c r="Q694" s="93"/>
      <c r="R694" s="44"/>
      <c r="S694" s="57" t="s">
        <v>1175</v>
      </c>
      <c r="T694" s="46"/>
      <c r="U694" s="47"/>
      <c r="V694" s="48"/>
    </row>
    <row r="695" spans="2:22" ht="14.25" customHeight="1">
      <c r="B695" s="60"/>
      <c r="C695" s="26"/>
      <c r="D695" s="26"/>
      <c r="E695" s="19"/>
      <c r="F695" s="51"/>
      <c r="G695" s="52"/>
      <c r="H695" s="41"/>
      <c r="I695" s="94"/>
      <c r="J695" s="92"/>
      <c r="K695" s="92"/>
      <c r="L695" s="92"/>
      <c r="M695" s="43"/>
      <c r="N695" s="94"/>
      <c r="O695" s="93"/>
      <c r="P695" s="93"/>
      <c r="Q695" s="93"/>
      <c r="R695" s="44"/>
      <c r="S695" s="57"/>
      <c r="T695" s="46"/>
      <c r="U695" s="47"/>
      <c r="V695" s="48"/>
    </row>
    <row r="696" spans="2:22" ht="14.25" customHeight="1">
      <c r="B696" s="60"/>
      <c r="C696" s="26"/>
      <c r="D696" s="26"/>
      <c r="E696" s="19"/>
      <c r="F696" s="51">
        <f>+F687+1</f>
        <v>2</v>
      </c>
      <c r="G696" s="52"/>
      <c r="H696" s="64" t="s">
        <v>187</v>
      </c>
      <c r="I696" s="94">
        <v>-167000</v>
      </c>
      <c r="J696" s="92">
        <v>0</v>
      </c>
      <c r="K696" s="92">
        <v>0</v>
      </c>
      <c r="L696" s="92">
        <v>0</v>
      </c>
      <c r="M696" s="92">
        <f>+I696-SUM(J696:L696)</f>
        <v>-167000</v>
      </c>
      <c r="N696" s="94">
        <v>0</v>
      </c>
      <c r="O696" s="93">
        <v>0</v>
      </c>
      <c r="P696" s="44">
        <v>0</v>
      </c>
      <c r="Q696" s="44">
        <v>0</v>
      </c>
      <c r="R696" s="44">
        <f>+N696-SUM(O696:Q696)</f>
        <v>0</v>
      </c>
      <c r="S696" s="58" t="s">
        <v>218</v>
      </c>
      <c r="T696" s="46"/>
      <c r="U696" s="47"/>
      <c r="V696" s="48"/>
    </row>
    <row r="697" spans="2:22" ht="14.25" customHeight="1" thickBot="1">
      <c r="B697" s="69"/>
      <c r="C697" s="27"/>
      <c r="D697" s="27"/>
      <c r="E697" s="24"/>
      <c r="F697" s="71"/>
      <c r="G697" s="72"/>
      <c r="H697" s="111"/>
      <c r="I697" s="74"/>
      <c r="J697" s="75"/>
      <c r="K697" s="75"/>
      <c r="L697" s="75"/>
      <c r="M697" s="113"/>
      <c r="N697" s="74"/>
      <c r="O697" s="76"/>
      <c r="P697" s="76"/>
      <c r="Q697" s="76"/>
      <c r="R697" s="114"/>
      <c r="S697" s="145"/>
      <c r="T697" s="78"/>
      <c r="U697" s="79"/>
      <c r="V697" s="48"/>
    </row>
    <row r="698" spans="2:22" ht="14.25" customHeight="1">
      <c r="B698" s="60"/>
      <c r="C698" s="101"/>
      <c r="D698" s="101"/>
      <c r="E698" s="19"/>
      <c r="F698" s="51"/>
      <c r="G698" s="52"/>
      <c r="H698" s="41"/>
      <c r="I698" s="94"/>
      <c r="J698" s="92"/>
      <c r="K698" s="92"/>
      <c r="L698" s="92"/>
      <c r="M698" s="92"/>
      <c r="N698" s="94"/>
      <c r="O698" s="93"/>
      <c r="P698" s="93"/>
      <c r="Q698" s="93"/>
      <c r="R698" s="93"/>
      <c r="S698" s="53"/>
      <c r="T698" s="46"/>
      <c r="U698" s="47"/>
      <c r="V698" s="48"/>
    </row>
    <row r="699" spans="2:22" ht="14.25" customHeight="1">
      <c r="B699" s="17" t="s">
        <v>72</v>
      </c>
      <c r="C699" s="26">
        <f>SUM(I699:I707)</f>
        <v>35488000</v>
      </c>
      <c r="D699" s="26">
        <f>SUM(N699:N707)</f>
        <v>31707226</v>
      </c>
      <c r="E699" s="19" t="s">
        <v>446</v>
      </c>
      <c r="F699" s="51">
        <v>1</v>
      </c>
      <c r="G699" s="52"/>
      <c r="H699" s="41" t="s">
        <v>461</v>
      </c>
      <c r="I699" s="94">
        <v>34887000</v>
      </c>
      <c r="J699" s="92">
        <v>0</v>
      </c>
      <c r="K699" s="92">
        <v>0</v>
      </c>
      <c r="L699" s="92">
        <v>14847000</v>
      </c>
      <c r="M699" s="43">
        <f>+I699-SUM(J699:L699)</f>
        <v>20040000</v>
      </c>
      <c r="N699" s="94">
        <v>30741226</v>
      </c>
      <c r="O699" s="93">
        <v>0</v>
      </c>
      <c r="P699" s="93">
        <v>0</v>
      </c>
      <c r="Q699" s="93">
        <v>12801200</v>
      </c>
      <c r="R699" s="44">
        <f>+N699-SUM(O699:Q699)</f>
        <v>17940026</v>
      </c>
      <c r="S699" s="53" t="s">
        <v>462</v>
      </c>
      <c r="T699" s="46" t="s">
        <v>463</v>
      </c>
      <c r="U699" s="47" t="s">
        <v>663</v>
      </c>
      <c r="V699" s="55"/>
    </row>
    <row r="700" spans="2:22" ht="14.25" customHeight="1">
      <c r="B700" s="17" t="s">
        <v>121</v>
      </c>
      <c r="C700" s="26"/>
      <c r="D700" s="16"/>
      <c r="E700" s="19" t="s">
        <v>448</v>
      </c>
      <c r="F700" s="51"/>
      <c r="G700" s="52"/>
      <c r="H700" s="41"/>
      <c r="I700" s="94"/>
      <c r="J700" s="92"/>
      <c r="K700" s="92"/>
      <c r="L700" s="92"/>
      <c r="M700" s="43"/>
      <c r="N700" s="94"/>
      <c r="O700" s="93"/>
      <c r="P700" s="93"/>
      <c r="Q700" s="93"/>
      <c r="R700" s="44"/>
      <c r="S700" s="53" t="s">
        <v>464</v>
      </c>
      <c r="T700" s="46"/>
      <c r="U700" s="47"/>
      <c r="V700" s="48"/>
    </row>
    <row r="701" spans="2:22" ht="14.25" customHeight="1">
      <c r="B701" s="17"/>
      <c r="C701" s="26" t="s">
        <v>8</v>
      </c>
      <c r="D701" s="26" t="s">
        <v>8</v>
      </c>
      <c r="E701" s="96"/>
      <c r="F701" s="40"/>
      <c r="G701" s="52"/>
      <c r="H701" s="41"/>
      <c r="I701" s="94"/>
      <c r="J701" s="92"/>
      <c r="K701" s="92"/>
      <c r="L701" s="92"/>
      <c r="M701" s="43"/>
      <c r="N701" s="94"/>
      <c r="O701" s="93"/>
      <c r="P701" s="93"/>
      <c r="Q701" s="93"/>
      <c r="R701" s="44"/>
      <c r="S701" s="53" t="s">
        <v>465</v>
      </c>
      <c r="T701" s="46"/>
      <c r="U701" s="47"/>
      <c r="V701" s="55"/>
    </row>
    <row r="702" spans="2:22" ht="14.25" customHeight="1">
      <c r="B702" s="17"/>
      <c r="C702" s="26">
        <f>SUM(L699:L707)</f>
        <v>14847000</v>
      </c>
      <c r="D702" s="26">
        <f>SUM(Q699:Q707)</f>
        <v>12801200</v>
      </c>
      <c r="E702" s="19"/>
      <c r="F702" s="51"/>
      <c r="G702" s="52"/>
      <c r="H702" s="41"/>
      <c r="I702" s="94"/>
      <c r="J702" s="92"/>
      <c r="K702" s="92"/>
      <c r="L702" s="92"/>
      <c r="M702" s="43"/>
      <c r="N702" s="94"/>
      <c r="O702" s="93"/>
      <c r="P702" s="93"/>
      <c r="Q702" s="93"/>
      <c r="R702" s="44"/>
      <c r="S702" s="53" t="s">
        <v>1176</v>
      </c>
      <c r="T702" s="46"/>
      <c r="U702" s="47"/>
      <c r="V702" s="48"/>
    </row>
    <row r="703" spans="2:22" ht="14.25" customHeight="1">
      <c r="B703" s="60"/>
      <c r="C703" s="26" t="s">
        <v>9</v>
      </c>
      <c r="D703" s="26" t="s">
        <v>9</v>
      </c>
      <c r="E703" s="96"/>
      <c r="F703" s="98"/>
      <c r="G703" s="52"/>
      <c r="H703" s="41"/>
      <c r="I703" s="94"/>
      <c r="J703" s="92"/>
      <c r="K703" s="92"/>
      <c r="L703" s="92"/>
      <c r="M703" s="43"/>
      <c r="N703" s="94"/>
      <c r="O703" s="93"/>
      <c r="P703" s="93"/>
      <c r="Q703" s="93"/>
      <c r="R703" s="44"/>
      <c r="S703" s="57"/>
      <c r="T703" s="46"/>
      <c r="U703" s="47"/>
      <c r="V703" s="95"/>
    </row>
    <row r="704" spans="2:22" ht="14.25" customHeight="1">
      <c r="B704" s="60"/>
      <c r="C704" s="26">
        <f>C699-C702</f>
        <v>20641000</v>
      </c>
      <c r="D704" s="26">
        <f>D699-D702</f>
        <v>18906026</v>
      </c>
      <c r="E704" s="19"/>
      <c r="F704" s="51">
        <f>+F699+1</f>
        <v>2</v>
      </c>
      <c r="G704" s="52"/>
      <c r="H704" s="64" t="s">
        <v>466</v>
      </c>
      <c r="I704" s="94">
        <v>1000000</v>
      </c>
      <c r="J704" s="92">
        <v>0</v>
      </c>
      <c r="K704" s="92">
        <v>0</v>
      </c>
      <c r="L704" s="92">
        <v>0</v>
      </c>
      <c r="M704" s="43">
        <f>+I704-SUM(J704:L704)</f>
        <v>1000000</v>
      </c>
      <c r="N704" s="94">
        <v>966000</v>
      </c>
      <c r="O704" s="93">
        <v>0</v>
      </c>
      <c r="P704" s="93">
        <v>0</v>
      </c>
      <c r="Q704" s="93">
        <v>0</v>
      </c>
      <c r="R704" s="44">
        <f>+N704-SUM(O704:Q704)</f>
        <v>966000</v>
      </c>
      <c r="S704" s="99" t="s">
        <v>1177</v>
      </c>
      <c r="T704" s="46" t="s">
        <v>664</v>
      </c>
      <c r="U704" s="47" t="s">
        <v>665</v>
      </c>
      <c r="V704" s="48"/>
    </row>
    <row r="705" spans="2:22" ht="14.25" customHeight="1">
      <c r="B705" s="60"/>
      <c r="C705" s="26"/>
      <c r="D705" s="26"/>
      <c r="E705" s="19"/>
      <c r="F705" s="51"/>
      <c r="G705" s="52"/>
      <c r="H705" s="41"/>
      <c r="I705" s="94"/>
      <c r="J705" s="92"/>
      <c r="K705" s="92"/>
      <c r="L705" s="92"/>
      <c r="M705" s="43"/>
      <c r="N705" s="94"/>
      <c r="O705" s="93"/>
      <c r="P705" s="93"/>
      <c r="Q705" s="93"/>
      <c r="R705" s="44"/>
      <c r="S705" s="99" t="s">
        <v>1178</v>
      </c>
      <c r="T705" s="46"/>
      <c r="U705" s="47"/>
      <c r="V705" s="48"/>
    </row>
    <row r="706" spans="2:22" ht="14.25" customHeight="1" thickBot="1">
      <c r="B706" s="69"/>
      <c r="C706" s="27"/>
      <c r="D706" s="27"/>
      <c r="E706" s="24"/>
      <c r="F706" s="71"/>
      <c r="G706" s="72"/>
      <c r="H706" s="111"/>
      <c r="I706" s="74"/>
      <c r="J706" s="75"/>
      <c r="K706" s="75"/>
      <c r="L706" s="75"/>
      <c r="M706" s="113"/>
      <c r="N706" s="74"/>
      <c r="O706" s="76"/>
      <c r="P706" s="76"/>
      <c r="Q706" s="76"/>
      <c r="R706" s="114"/>
      <c r="S706" s="133"/>
      <c r="T706" s="78"/>
      <c r="U706" s="79"/>
      <c r="V706" s="48"/>
    </row>
    <row r="707" spans="2:22" ht="14.25" customHeight="1">
      <c r="B707" s="60"/>
      <c r="C707" s="26"/>
      <c r="D707" s="26"/>
      <c r="E707" s="19"/>
      <c r="F707" s="51">
        <f>+F704+1</f>
        <v>3</v>
      </c>
      <c r="G707" s="52"/>
      <c r="H707" s="64" t="s">
        <v>221</v>
      </c>
      <c r="I707" s="94">
        <v>-399000</v>
      </c>
      <c r="J707" s="92">
        <v>0</v>
      </c>
      <c r="K707" s="92">
        <v>0</v>
      </c>
      <c r="L707" s="92">
        <v>0</v>
      </c>
      <c r="M707" s="43">
        <f>+I707-SUM(J707:L707)</f>
        <v>-399000</v>
      </c>
      <c r="N707" s="94">
        <v>0</v>
      </c>
      <c r="O707" s="93">
        <v>0</v>
      </c>
      <c r="P707" s="93">
        <v>0</v>
      </c>
      <c r="Q707" s="93">
        <v>0</v>
      </c>
      <c r="R707" s="44">
        <f>+N707-SUM(O707:Q707)</f>
        <v>0</v>
      </c>
      <c r="S707" s="58" t="s">
        <v>218</v>
      </c>
      <c r="T707" s="46"/>
      <c r="U707" s="47"/>
      <c r="V707" s="48"/>
    </row>
    <row r="708" spans="2:22" ht="14.25" customHeight="1" thickBot="1">
      <c r="B708" s="69"/>
      <c r="C708" s="27"/>
      <c r="D708" s="27"/>
      <c r="E708" s="24"/>
      <c r="F708" s="71"/>
      <c r="G708" s="72"/>
      <c r="H708" s="111"/>
      <c r="I708" s="112"/>
      <c r="J708" s="113"/>
      <c r="K708" s="113"/>
      <c r="L708" s="113"/>
      <c r="M708" s="113"/>
      <c r="N708" s="112"/>
      <c r="O708" s="114"/>
      <c r="P708" s="114"/>
      <c r="Q708" s="114"/>
      <c r="R708" s="114"/>
      <c r="S708" s="77"/>
      <c r="T708" s="78"/>
      <c r="U708" s="79"/>
      <c r="V708" s="48"/>
    </row>
    <row r="709" spans="2:22" ht="14.25" customHeight="1">
      <c r="B709" s="60"/>
      <c r="C709" s="26"/>
      <c r="D709" s="26"/>
      <c r="E709" s="19"/>
      <c r="F709" s="51"/>
      <c r="G709" s="52"/>
      <c r="H709" s="41"/>
      <c r="I709" s="42"/>
      <c r="J709" s="43"/>
      <c r="K709" s="43"/>
      <c r="L709" s="43"/>
      <c r="M709" s="43"/>
      <c r="N709" s="42"/>
      <c r="O709" s="44"/>
      <c r="P709" s="44"/>
      <c r="Q709" s="44"/>
      <c r="R709" s="44"/>
      <c r="S709" s="57"/>
      <c r="T709" s="46"/>
      <c r="U709" s="47"/>
      <c r="V709" s="48"/>
    </row>
    <row r="710" spans="2:22" ht="14.25" customHeight="1">
      <c r="B710" s="17" t="s">
        <v>467</v>
      </c>
      <c r="C710" s="26">
        <f>SUM(I710:I719)</f>
        <v>44495000</v>
      </c>
      <c r="D710" s="26">
        <f>SUM(N710:N719)</f>
        <v>37958738</v>
      </c>
      <c r="E710" s="96" t="s">
        <v>468</v>
      </c>
      <c r="F710" s="52">
        <v>1</v>
      </c>
      <c r="G710" s="52"/>
      <c r="H710" s="41" t="s">
        <v>469</v>
      </c>
      <c r="I710" s="94">
        <f>16157000+6071000</f>
        <v>22228000</v>
      </c>
      <c r="J710" s="43">
        <v>850000</v>
      </c>
      <c r="K710" s="43">
        <v>0</v>
      </c>
      <c r="L710" s="43">
        <v>150000</v>
      </c>
      <c r="M710" s="43">
        <f>+I710-SUM(J710:L710)</f>
        <v>21228000</v>
      </c>
      <c r="N710" s="94">
        <f>14741109+4138434</f>
        <v>18879543</v>
      </c>
      <c r="O710" s="44">
        <v>801000</v>
      </c>
      <c r="P710" s="44">
        <v>0</v>
      </c>
      <c r="Q710" s="44">
        <v>3792160</v>
      </c>
      <c r="R710" s="44">
        <f>+N710-SUM(O710:Q710)</f>
        <v>14286383</v>
      </c>
      <c r="S710" s="53" t="s">
        <v>470</v>
      </c>
      <c r="T710" s="46" t="s">
        <v>471</v>
      </c>
      <c r="U710" s="47" t="s">
        <v>471</v>
      </c>
      <c r="V710" s="55"/>
    </row>
    <row r="711" spans="2:22" ht="14.25" customHeight="1">
      <c r="B711" s="17" t="s">
        <v>472</v>
      </c>
      <c r="C711" s="26"/>
      <c r="D711" s="16"/>
      <c r="E711" s="96" t="s">
        <v>473</v>
      </c>
      <c r="F711" s="98"/>
      <c r="G711" s="52"/>
      <c r="H711" s="41"/>
      <c r="I711" s="94"/>
      <c r="J711" s="92"/>
      <c r="K711" s="92"/>
      <c r="L711" s="92"/>
      <c r="M711" s="43"/>
      <c r="N711" s="94"/>
      <c r="O711" s="93"/>
      <c r="P711" s="93"/>
      <c r="Q711" s="93"/>
      <c r="R711" s="44"/>
      <c r="S711" s="53" t="s">
        <v>474</v>
      </c>
      <c r="T711" s="46"/>
      <c r="U711" s="47"/>
      <c r="V711" s="55"/>
    </row>
    <row r="712" spans="2:22" ht="14.25" customHeight="1">
      <c r="B712" s="17"/>
      <c r="C712" s="26" t="s">
        <v>8</v>
      </c>
      <c r="D712" s="26" t="s">
        <v>8</v>
      </c>
      <c r="E712" s="96"/>
      <c r="F712" s="98"/>
      <c r="G712" s="52"/>
      <c r="H712" s="41"/>
      <c r="I712" s="94"/>
      <c r="J712" s="92"/>
      <c r="K712" s="92"/>
      <c r="L712" s="92"/>
      <c r="M712" s="43"/>
      <c r="N712" s="94"/>
      <c r="O712" s="93"/>
      <c r="P712" s="93"/>
      <c r="Q712" s="93"/>
      <c r="R712" s="44"/>
      <c r="S712" s="53" t="s">
        <v>475</v>
      </c>
      <c r="T712" s="46"/>
      <c r="U712" s="47"/>
      <c r="V712" s="48"/>
    </row>
    <row r="713" spans="2:22" ht="14.25" customHeight="1">
      <c r="B713" s="17"/>
      <c r="C713" s="26">
        <f>SUM(L710:L719)</f>
        <v>7484000</v>
      </c>
      <c r="D713" s="26">
        <f>SUM(Q710:Q719)</f>
        <v>6439460</v>
      </c>
      <c r="E713" s="96"/>
      <c r="F713" s="52"/>
      <c r="G713" s="52"/>
      <c r="H713" s="41"/>
      <c r="I713" s="94"/>
      <c r="J713" s="92"/>
      <c r="K713" s="92"/>
      <c r="L713" s="92"/>
      <c r="M713" s="43"/>
      <c r="N713" s="94"/>
      <c r="O713" s="93"/>
      <c r="P713" s="93"/>
      <c r="Q713" s="93"/>
      <c r="R713" s="44"/>
      <c r="S713" s="53"/>
      <c r="T713" s="46"/>
      <c r="U713" s="47"/>
      <c r="V713" s="48"/>
    </row>
    <row r="714" spans="2:22" ht="14.25" customHeight="1">
      <c r="B714" s="60"/>
      <c r="C714" s="26" t="s">
        <v>9</v>
      </c>
      <c r="D714" s="26" t="s">
        <v>9</v>
      </c>
      <c r="E714" s="96"/>
      <c r="F714" s="52">
        <f>+F710+1</f>
        <v>2</v>
      </c>
      <c r="G714" s="52"/>
      <c r="H714" s="41" t="s">
        <v>476</v>
      </c>
      <c r="I714" s="42">
        <v>13225000</v>
      </c>
      <c r="J714" s="43">
        <v>7333000</v>
      </c>
      <c r="K714" s="43">
        <v>0</v>
      </c>
      <c r="L714" s="43">
        <v>4620000</v>
      </c>
      <c r="M714" s="43">
        <f>+I714-SUM(J714:L714)</f>
        <v>1272000</v>
      </c>
      <c r="N714" s="42">
        <v>11012021</v>
      </c>
      <c r="O714" s="44">
        <v>6427445</v>
      </c>
      <c r="P714" s="44">
        <v>0</v>
      </c>
      <c r="Q714" s="44">
        <v>0</v>
      </c>
      <c r="R714" s="44">
        <f>+N714-SUM(O714:Q714)</f>
        <v>4584576</v>
      </c>
      <c r="S714" s="53" t="s">
        <v>477</v>
      </c>
      <c r="T714" s="46" t="s">
        <v>478</v>
      </c>
      <c r="U714" s="47" t="s">
        <v>479</v>
      </c>
      <c r="V714" s="48"/>
    </row>
    <row r="715" spans="2:22" ht="14.25" customHeight="1">
      <c r="B715" s="60"/>
      <c r="C715" s="26">
        <f>C710-C713</f>
        <v>37011000</v>
      </c>
      <c r="D715" s="26">
        <f>D710-D713</f>
        <v>31519278</v>
      </c>
      <c r="E715" s="19"/>
      <c r="F715" s="51"/>
      <c r="G715" s="52"/>
      <c r="H715" s="41"/>
      <c r="I715" s="94"/>
      <c r="J715" s="92"/>
      <c r="K715" s="92"/>
      <c r="L715" s="92"/>
      <c r="M715" s="43"/>
      <c r="N715" s="94"/>
      <c r="O715" s="93"/>
      <c r="P715" s="93"/>
      <c r="Q715" s="93"/>
      <c r="R715" s="44"/>
      <c r="S715" s="107"/>
      <c r="T715" s="46"/>
      <c r="U715" s="47"/>
      <c r="V715" s="48"/>
    </row>
    <row r="716" spans="2:22" ht="14.25" customHeight="1">
      <c r="B716" s="60"/>
      <c r="C716" s="26"/>
      <c r="D716" s="26"/>
      <c r="E716" s="96"/>
      <c r="F716" s="52">
        <f>+F714+1</f>
        <v>3</v>
      </c>
      <c r="G716" s="52"/>
      <c r="H716" s="41" t="s">
        <v>480</v>
      </c>
      <c r="I716" s="42">
        <v>9292000</v>
      </c>
      <c r="J716" s="43">
        <v>4272000</v>
      </c>
      <c r="K716" s="43">
        <v>0</v>
      </c>
      <c r="L716" s="43">
        <v>2714000</v>
      </c>
      <c r="M716" s="43">
        <f>+I716-SUM(J716:L716)</f>
        <v>2306000</v>
      </c>
      <c r="N716" s="42">
        <v>8067174</v>
      </c>
      <c r="O716" s="44">
        <v>3795356</v>
      </c>
      <c r="P716" s="44">
        <v>0</v>
      </c>
      <c r="Q716" s="44">
        <v>2647300</v>
      </c>
      <c r="R716" s="44">
        <f>+N716-SUM(O716:Q716)</f>
        <v>1624518</v>
      </c>
      <c r="S716" s="53" t="s">
        <v>481</v>
      </c>
      <c r="T716" s="46" t="s">
        <v>482</v>
      </c>
      <c r="U716" s="47" t="s">
        <v>483</v>
      </c>
      <c r="V716" s="48"/>
    </row>
    <row r="717" spans="2:22" ht="14.25" customHeight="1">
      <c r="B717" s="60"/>
      <c r="C717" s="26"/>
      <c r="D717" s="26"/>
      <c r="E717" s="96"/>
      <c r="F717" s="98"/>
      <c r="G717" s="52"/>
      <c r="H717" s="41"/>
      <c r="I717" s="94"/>
      <c r="J717" s="92"/>
      <c r="K717" s="92"/>
      <c r="L717" s="92"/>
      <c r="M717" s="43"/>
      <c r="N717" s="94"/>
      <c r="O717" s="93"/>
      <c r="P717" s="93"/>
      <c r="Q717" s="93"/>
      <c r="R717" s="44"/>
      <c r="S717" s="53" t="s">
        <v>484</v>
      </c>
      <c r="T717" s="46"/>
      <c r="U717" s="47"/>
      <c r="V717" s="48"/>
    </row>
    <row r="718" spans="2:22" ht="14.25" customHeight="1">
      <c r="B718" s="60"/>
      <c r="C718" s="26"/>
      <c r="D718" s="26"/>
      <c r="E718" s="96"/>
      <c r="F718" s="98"/>
      <c r="G718" s="52"/>
      <c r="H718" s="41"/>
      <c r="I718" s="94"/>
      <c r="J718" s="92"/>
      <c r="K718" s="92"/>
      <c r="L718" s="92"/>
      <c r="M718" s="43"/>
      <c r="N718" s="94"/>
      <c r="O718" s="93"/>
      <c r="P718" s="93"/>
      <c r="Q718" s="93"/>
      <c r="R718" s="44"/>
      <c r="S718" s="53"/>
      <c r="T718" s="46"/>
      <c r="U718" s="47"/>
      <c r="V718" s="48"/>
    </row>
    <row r="719" spans="2:22" ht="14.25" customHeight="1">
      <c r="B719" s="60"/>
      <c r="C719" s="106"/>
      <c r="D719" s="26"/>
      <c r="E719" s="96"/>
      <c r="F719" s="51">
        <f>+F716+1</f>
        <v>4</v>
      </c>
      <c r="G719" s="52"/>
      <c r="H719" s="64" t="s">
        <v>221</v>
      </c>
      <c r="I719" s="94">
        <v>-250000</v>
      </c>
      <c r="J719" s="92">
        <v>0</v>
      </c>
      <c r="K719" s="92">
        <v>0</v>
      </c>
      <c r="L719" s="92">
        <v>0</v>
      </c>
      <c r="M719" s="43">
        <f>+I719-SUM(J719:L719)</f>
        <v>-250000</v>
      </c>
      <c r="N719" s="94">
        <v>0</v>
      </c>
      <c r="O719" s="93">
        <v>0</v>
      </c>
      <c r="P719" s="93">
        <v>0</v>
      </c>
      <c r="Q719" s="93">
        <v>0</v>
      </c>
      <c r="R719" s="44">
        <f>+N719-SUM(O719:Q719)</f>
        <v>0</v>
      </c>
      <c r="S719" s="58" t="s">
        <v>218</v>
      </c>
      <c r="T719" s="46"/>
      <c r="U719" s="47"/>
      <c r="V719" s="48"/>
    </row>
    <row r="720" spans="2:22" ht="14.25" customHeight="1" thickBot="1">
      <c r="B720" s="69"/>
      <c r="C720" s="27"/>
      <c r="D720" s="27"/>
      <c r="E720" s="24"/>
      <c r="F720" s="71"/>
      <c r="G720" s="72"/>
      <c r="H720" s="111"/>
      <c r="I720" s="112"/>
      <c r="J720" s="113"/>
      <c r="K720" s="113"/>
      <c r="L720" s="113"/>
      <c r="M720" s="113"/>
      <c r="N720" s="112"/>
      <c r="O720" s="114"/>
      <c r="P720" s="114"/>
      <c r="Q720" s="114"/>
      <c r="R720" s="114"/>
      <c r="S720" s="77"/>
      <c r="T720" s="78"/>
      <c r="U720" s="79"/>
      <c r="V720" s="48"/>
    </row>
    <row r="721" spans="2:22" ht="14.25" customHeight="1">
      <c r="B721" s="17"/>
      <c r="C721" s="106"/>
      <c r="D721" s="26"/>
      <c r="E721" s="19"/>
      <c r="F721" s="51"/>
      <c r="G721" s="52"/>
      <c r="H721" s="41"/>
      <c r="I721" s="94"/>
      <c r="J721" s="92"/>
      <c r="K721" s="92"/>
      <c r="L721" s="92"/>
      <c r="M721" s="92"/>
      <c r="N721" s="94"/>
      <c r="O721" s="93"/>
      <c r="P721" s="93"/>
      <c r="Q721" s="93"/>
      <c r="R721" s="93"/>
      <c r="S721" s="45"/>
      <c r="T721" s="46"/>
      <c r="U721" s="47"/>
      <c r="V721" s="55"/>
    </row>
    <row r="722" spans="2:22" ht="14.25" customHeight="1">
      <c r="B722" s="17" t="s">
        <v>485</v>
      </c>
      <c r="C722" s="26">
        <f>SUM(I722)</f>
        <v>100960000</v>
      </c>
      <c r="D722" s="26">
        <f>SUM(N722)</f>
        <v>92288242</v>
      </c>
      <c r="E722" s="19" t="s">
        <v>1209</v>
      </c>
      <c r="F722" s="51">
        <v>1</v>
      </c>
      <c r="G722" s="52"/>
      <c r="H722" s="64" t="s">
        <v>486</v>
      </c>
      <c r="I722" s="42">
        <v>100960000</v>
      </c>
      <c r="J722" s="43">
        <v>100833000</v>
      </c>
      <c r="K722" s="43">
        <v>0</v>
      </c>
      <c r="L722" s="43">
        <v>0</v>
      </c>
      <c r="M722" s="43">
        <f>+I722-SUM(J722:L722)</f>
        <v>127000</v>
      </c>
      <c r="N722" s="42">
        <v>92288242</v>
      </c>
      <c r="O722" s="44">
        <v>92288242</v>
      </c>
      <c r="P722" s="44">
        <v>0</v>
      </c>
      <c r="Q722" s="44">
        <v>0</v>
      </c>
      <c r="R722" s="44">
        <f>+N722-SUM(O722:Q722)</f>
        <v>0</v>
      </c>
      <c r="S722" s="53" t="s">
        <v>638</v>
      </c>
      <c r="T722" s="46" t="s">
        <v>639</v>
      </c>
      <c r="U722" s="47" t="s">
        <v>640</v>
      </c>
      <c r="V722" s="55"/>
    </row>
    <row r="723" spans="2:22" ht="14.25" customHeight="1">
      <c r="B723" s="17" t="s">
        <v>487</v>
      </c>
      <c r="C723" s="26"/>
      <c r="D723" s="16"/>
      <c r="E723" s="19" t="s">
        <v>1210</v>
      </c>
      <c r="F723" s="51"/>
      <c r="G723" s="52"/>
      <c r="H723" s="41"/>
      <c r="I723" s="94"/>
      <c r="J723" s="92"/>
      <c r="K723" s="92"/>
      <c r="L723" s="92"/>
      <c r="M723" s="92"/>
      <c r="N723" s="94"/>
      <c r="O723" s="93"/>
      <c r="P723" s="93"/>
      <c r="Q723" s="93"/>
      <c r="R723" s="93"/>
      <c r="S723" s="53" t="s">
        <v>641</v>
      </c>
      <c r="T723" s="117"/>
      <c r="U723" s="118"/>
      <c r="V723" s="55"/>
    </row>
    <row r="724" spans="2:22" ht="14.25" customHeight="1">
      <c r="B724" s="17"/>
      <c r="C724" s="26" t="s">
        <v>7</v>
      </c>
      <c r="D724" s="26" t="s">
        <v>7</v>
      </c>
      <c r="E724" s="19"/>
      <c r="F724" s="51"/>
      <c r="G724" s="52"/>
      <c r="H724" s="41"/>
      <c r="I724" s="94"/>
      <c r="J724" s="92"/>
      <c r="K724" s="92"/>
      <c r="L724" s="92"/>
      <c r="M724" s="92"/>
      <c r="N724" s="94"/>
      <c r="O724" s="93"/>
      <c r="P724" s="93"/>
      <c r="Q724" s="93"/>
      <c r="R724" s="93"/>
      <c r="S724" s="53" t="s">
        <v>642</v>
      </c>
      <c r="T724" s="117"/>
      <c r="U724" s="118"/>
      <c r="V724" s="55"/>
    </row>
    <row r="725" spans="2:22" ht="14.25" customHeight="1">
      <c r="B725" s="60"/>
      <c r="C725" s="26">
        <f>SUM(J722)</f>
        <v>100833000</v>
      </c>
      <c r="D725" s="26">
        <f>SUM(O722)</f>
        <v>92288242</v>
      </c>
      <c r="E725" s="19"/>
      <c r="F725" s="51"/>
      <c r="G725" s="40"/>
      <c r="H725" s="41"/>
      <c r="I725" s="94"/>
      <c r="J725" s="92"/>
      <c r="K725" s="92"/>
      <c r="L725" s="92"/>
      <c r="M725" s="92"/>
      <c r="N725" s="94"/>
      <c r="O725" s="93"/>
      <c r="P725" s="93"/>
      <c r="Q725" s="93"/>
      <c r="R725" s="93"/>
      <c r="S725" s="53"/>
      <c r="T725" s="46"/>
      <c r="U725" s="47"/>
      <c r="V725" s="55"/>
    </row>
    <row r="726" spans="2:22" ht="14.25" customHeight="1">
      <c r="B726" s="60"/>
      <c r="C726" s="26" t="s">
        <v>9</v>
      </c>
      <c r="D726" s="26" t="s">
        <v>9</v>
      </c>
      <c r="E726" s="19"/>
      <c r="F726" s="51"/>
      <c r="G726" s="40"/>
      <c r="H726" s="41"/>
      <c r="I726" s="94"/>
      <c r="J726" s="92"/>
      <c r="K726" s="92"/>
      <c r="L726" s="92"/>
      <c r="M726" s="92"/>
      <c r="N726" s="94"/>
      <c r="O726" s="93"/>
      <c r="P726" s="93"/>
      <c r="Q726" s="93"/>
      <c r="R726" s="93"/>
      <c r="S726" s="53"/>
      <c r="T726" s="46"/>
      <c r="U726" s="47"/>
      <c r="V726" s="55"/>
    </row>
    <row r="727" spans="2:22" ht="14.25" customHeight="1">
      <c r="B727" s="60"/>
      <c r="C727" s="26">
        <f>C722-C725</f>
        <v>127000</v>
      </c>
      <c r="D727" s="26">
        <f>D722-D725</f>
        <v>0</v>
      </c>
      <c r="E727" s="19"/>
      <c r="F727" s="51"/>
      <c r="G727" s="40"/>
      <c r="H727" s="41"/>
      <c r="I727" s="94"/>
      <c r="J727" s="92"/>
      <c r="K727" s="92"/>
      <c r="L727" s="92"/>
      <c r="M727" s="92"/>
      <c r="N727" s="94"/>
      <c r="O727" s="93"/>
      <c r="P727" s="93"/>
      <c r="Q727" s="93"/>
      <c r="R727" s="93"/>
      <c r="S727" s="53"/>
      <c r="T727" s="46"/>
      <c r="U727" s="47"/>
      <c r="V727" s="55"/>
    </row>
    <row r="728" spans="2:22" ht="14.25" customHeight="1" thickBot="1">
      <c r="B728" s="69"/>
      <c r="C728" s="110"/>
      <c r="D728" s="27"/>
      <c r="E728" s="70"/>
      <c r="F728" s="72"/>
      <c r="G728" s="72"/>
      <c r="H728" s="111"/>
      <c r="I728" s="74"/>
      <c r="J728" s="75"/>
      <c r="K728" s="75"/>
      <c r="L728" s="75"/>
      <c r="M728" s="113"/>
      <c r="N728" s="74"/>
      <c r="O728" s="76"/>
      <c r="P728" s="76"/>
      <c r="Q728" s="76"/>
      <c r="R728" s="114"/>
      <c r="S728" s="133"/>
      <c r="T728" s="78"/>
      <c r="U728" s="79"/>
      <c r="V728" s="48"/>
    </row>
    <row r="729" spans="2:22" s="15" customFormat="1" ht="14.25" customHeight="1">
      <c r="B729" s="60"/>
      <c r="C729" s="106"/>
      <c r="D729" s="26"/>
      <c r="E729" s="19"/>
      <c r="F729" s="83"/>
      <c r="G729" s="52"/>
      <c r="H729" s="41"/>
      <c r="I729" s="94"/>
      <c r="J729" s="92"/>
      <c r="K729" s="92"/>
      <c r="L729" s="92"/>
      <c r="M729" s="43"/>
      <c r="N729" s="94"/>
      <c r="O729" s="93"/>
      <c r="P729" s="93"/>
      <c r="Q729" s="93"/>
      <c r="R729" s="44"/>
      <c r="S729" s="58"/>
      <c r="T729" s="46"/>
      <c r="U729" s="47"/>
      <c r="V729" s="55"/>
    </row>
    <row r="730" spans="2:22" s="15" customFormat="1" ht="14.25" customHeight="1">
      <c r="B730" s="49" t="s">
        <v>488</v>
      </c>
      <c r="C730" s="18">
        <f>SUM(I730:I744)</f>
        <v>46788000</v>
      </c>
      <c r="D730" s="18">
        <f>SUM(N730:N744)</f>
        <v>19488802</v>
      </c>
      <c r="E730" s="19"/>
      <c r="F730" s="146" t="s">
        <v>489</v>
      </c>
      <c r="G730" s="52"/>
      <c r="H730" s="41"/>
      <c r="I730" s="94"/>
      <c r="J730" s="92"/>
      <c r="K730" s="92"/>
      <c r="L730" s="92"/>
      <c r="M730" s="92"/>
      <c r="N730" s="94"/>
      <c r="O730" s="93"/>
      <c r="P730" s="93"/>
      <c r="Q730" s="93"/>
      <c r="R730" s="93"/>
      <c r="S730" s="53"/>
      <c r="T730" s="46"/>
      <c r="U730" s="47"/>
      <c r="V730" s="55"/>
    </row>
    <row r="731" spans="2:22" s="15" customFormat="1" ht="14.25" customHeight="1">
      <c r="B731" s="49" t="s">
        <v>490</v>
      </c>
      <c r="C731" s="18"/>
      <c r="D731" s="18"/>
      <c r="E731" s="19" t="s">
        <v>491</v>
      </c>
      <c r="F731" s="51">
        <f>+F728+1</f>
        <v>1</v>
      </c>
      <c r="G731" s="52"/>
      <c r="H731" s="41" t="s">
        <v>492</v>
      </c>
      <c r="I731" s="94">
        <v>24000000</v>
      </c>
      <c r="J731" s="92">
        <v>12124000</v>
      </c>
      <c r="K731" s="92">
        <v>4400000</v>
      </c>
      <c r="L731" s="92">
        <v>5276000</v>
      </c>
      <c r="M731" s="43">
        <v>2200000</v>
      </c>
      <c r="N731" s="94">
        <v>8380000</v>
      </c>
      <c r="O731" s="93">
        <v>320390500</v>
      </c>
      <c r="P731" s="93">
        <v>1320000</v>
      </c>
      <c r="Q731" s="93">
        <v>19243000</v>
      </c>
      <c r="R731" s="44">
        <v>660000</v>
      </c>
      <c r="S731" s="53" t="s">
        <v>493</v>
      </c>
      <c r="T731" s="67" t="s">
        <v>563</v>
      </c>
      <c r="U731" s="123" t="s">
        <v>380</v>
      </c>
      <c r="V731" s="55"/>
    </row>
    <row r="732" spans="2:22" s="15" customFormat="1" ht="14.25" customHeight="1">
      <c r="B732" s="49" t="s">
        <v>58</v>
      </c>
      <c r="C732" s="18" t="s">
        <v>80</v>
      </c>
      <c r="D732" s="18" t="s">
        <v>80</v>
      </c>
      <c r="E732" s="19" t="s">
        <v>494</v>
      </c>
      <c r="F732" s="51"/>
      <c r="G732" s="52"/>
      <c r="H732" s="147"/>
      <c r="I732" s="94"/>
      <c r="J732" s="92"/>
      <c r="K732" s="92"/>
      <c r="L732" s="92"/>
      <c r="M732" s="43"/>
      <c r="N732" s="94"/>
      <c r="O732" s="93"/>
      <c r="P732" s="93"/>
      <c r="Q732" s="93"/>
      <c r="R732" s="44"/>
      <c r="S732" s="53" t="s">
        <v>643</v>
      </c>
      <c r="T732" s="46"/>
      <c r="U732" s="47"/>
      <c r="V732" s="55"/>
    </row>
    <row r="733" spans="2:22" s="15" customFormat="1" ht="14.25" customHeight="1">
      <c r="B733" s="49"/>
      <c r="C733" s="18">
        <f>SUM(M730:M743)</f>
        <v>2703000</v>
      </c>
      <c r="D733" s="18">
        <f>SUM(R730:R743)</f>
        <v>1163000</v>
      </c>
      <c r="E733" s="19"/>
      <c r="F733" s="51"/>
      <c r="G733" s="52"/>
      <c r="H733" s="41"/>
      <c r="I733" s="94"/>
      <c r="J733" s="92"/>
      <c r="K733" s="92"/>
      <c r="L733" s="92"/>
      <c r="M733" s="92"/>
      <c r="N733" s="94"/>
      <c r="O733" s="93"/>
      <c r="P733" s="93"/>
      <c r="Q733" s="93"/>
      <c r="R733" s="93"/>
      <c r="S733" s="53"/>
      <c r="T733" s="46"/>
      <c r="U733" s="47"/>
      <c r="V733" s="55"/>
    </row>
    <row r="734" spans="2:22" s="15" customFormat="1" ht="14.25" customHeight="1">
      <c r="B734" s="49"/>
      <c r="C734" s="18" t="s">
        <v>81</v>
      </c>
      <c r="D734" s="18" t="s">
        <v>81</v>
      </c>
      <c r="E734" s="19" t="s">
        <v>495</v>
      </c>
      <c r="F734" s="51">
        <f>+F731+1</f>
        <v>2</v>
      </c>
      <c r="G734" s="52"/>
      <c r="H734" s="41" t="s">
        <v>496</v>
      </c>
      <c r="I734" s="94">
        <v>1171000</v>
      </c>
      <c r="J734" s="92">
        <v>1106000</v>
      </c>
      <c r="K734" s="92">
        <v>0</v>
      </c>
      <c r="L734" s="92">
        <v>3000</v>
      </c>
      <c r="M734" s="43">
        <v>62000</v>
      </c>
      <c r="N734" s="94">
        <v>245531</v>
      </c>
      <c r="O734" s="93">
        <v>3360106</v>
      </c>
      <c r="P734" s="93">
        <v>0</v>
      </c>
      <c r="Q734" s="93">
        <v>30527</v>
      </c>
      <c r="R734" s="44">
        <v>62000</v>
      </c>
      <c r="S734" s="58" t="s">
        <v>497</v>
      </c>
      <c r="T734" s="46"/>
      <c r="U734" s="47"/>
      <c r="V734" s="95"/>
    </row>
    <row r="735" spans="2:22" s="15" customFormat="1" ht="14.25" customHeight="1">
      <c r="B735" s="148"/>
      <c r="C735" s="18">
        <f>SUM(J730:J743)</f>
        <v>34406000</v>
      </c>
      <c r="D735" s="18">
        <f>SUM(O730:O743)</f>
        <v>334510606</v>
      </c>
      <c r="E735" s="19"/>
      <c r="F735" s="51"/>
      <c r="G735" s="40"/>
      <c r="H735" s="41"/>
      <c r="I735" s="94"/>
      <c r="J735" s="92"/>
      <c r="K735" s="92"/>
      <c r="L735" s="92"/>
      <c r="M735" s="43"/>
      <c r="N735" s="94"/>
      <c r="O735" s="93"/>
      <c r="P735" s="93"/>
      <c r="Q735" s="93"/>
      <c r="R735" s="44"/>
      <c r="S735" s="53" t="s">
        <v>1003</v>
      </c>
      <c r="T735" s="46"/>
      <c r="U735" s="47"/>
      <c r="V735" s="95"/>
    </row>
    <row r="736" spans="2:22" s="15" customFormat="1" ht="14.25" customHeight="1">
      <c r="B736" s="148"/>
      <c r="C736" s="18" t="s">
        <v>10</v>
      </c>
      <c r="D736" s="18" t="s">
        <v>10</v>
      </c>
      <c r="E736" s="19"/>
      <c r="F736" s="51"/>
      <c r="G736" s="52"/>
      <c r="H736" s="147"/>
      <c r="I736" s="94"/>
      <c r="J736" s="92"/>
      <c r="K736" s="92"/>
      <c r="L736" s="92"/>
      <c r="M736" s="43"/>
      <c r="N736" s="94"/>
      <c r="O736" s="93"/>
      <c r="P736" s="93"/>
      <c r="Q736" s="93"/>
      <c r="R736" s="44"/>
      <c r="S736" s="53"/>
      <c r="T736" s="46"/>
      <c r="U736" s="47"/>
      <c r="V736" s="95"/>
    </row>
    <row r="737" spans="2:22" s="15" customFormat="1" ht="14.25" customHeight="1">
      <c r="B737" s="148"/>
      <c r="C737" s="18">
        <f>SUM(K730:K743)</f>
        <v>4400000</v>
      </c>
      <c r="D737" s="18">
        <f>SUM(P730:P743)</f>
        <v>1320000</v>
      </c>
      <c r="E737" s="19"/>
      <c r="F737" s="51">
        <f>+F734+1</f>
        <v>3</v>
      </c>
      <c r="G737" s="52"/>
      <c r="H737" s="64" t="s">
        <v>498</v>
      </c>
      <c r="I737" s="94">
        <v>441000</v>
      </c>
      <c r="J737" s="92">
        <v>0</v>
      </c>
      <c r="K737" s="92">
        <v>0</v>
      </c>
      <c r="L737" s="92">
        <v>0</v>
      </c>
      <c r="M737" s="43">
        <v>441000</v>
      </c>
      <c r="N737" s="94">
        <v>103271</v>
      </c>
      <c r="O737" s="93">
        <v>0</v>
      </c>
      <c r="P737" s="93">
        <v>0</v>
      </c>
      <c r="Q737" s="93">
        <v>0</v>
      </c>
      <c r="R737" s="44">
        <v>441000</v>
      </c>
      <c r="S737" s="58" t="s">
        <v>497</v>
      </c>
      <c r="T737" s="46"/>
      <c r="U737" s="47"/>
      <c r="V737" s="55"/>
    </row>
    <row r="738" spans="2:22" s="15" customFormat="1" ht="14.25" customHeight="1">
      <c r="B738" s="148"/>
      <c r="C738" s="18" t="s">
        <v>8</v>
      </c>
      <c r="D738" s="18" t="s">
        <v>8</v>
      </c>
      <c r="E738" s="19"/>
      <c r="F738" s="51"/>
      <c r="G738" s="40"/>
      <c r="H738" s="41"/>
      <c r="I738" s="94"/>
      <c r="J738" s="92"/>
      <c r="K738" s="92"/>
      <c r="L738" s="92"/>
      <c r="M738" s="43"/>
      <c r="N738" s="94"/>
      <c r="O738" s="93"/>
      <c r="P738" s="93"/>
      <c r="Q738" s="93"/>
      <c r="R738" s="44"/>
      <c r="S738" s="53" t="s">
        <v>644</v>
      </c>
      <c r="T738" s="46"/>
      <c r="U738" s="47"/>
      <c r="V738" s="55"/>
    </row>
    <row r="739" spans="2:22" s="15" customFormat="1" ht="14.25" customHeight="1">
      <c r="B739" s="148"/>
      <c r="C739" s="18">
        <f>SUM(L730:L743)</f>
        <v>5279000</v>
      </c>
      <c r="D739" s="18">
        <f>SUM(Q730:Q743)</f>
        <v>19273527</v>
      </c>
      <c r="E739" s="19"/>
      <c r="F739" s="51"/>
      <c r="G739" s="40"/>
      <c r="H739" s="41"/>
      <c r="I739" s="94"/>
      <c r="J739" s="92"/>
      <c r="K739" s="92"/>
      <c r="L739" s="92"/>
      <c r="M739" s="43"/>
      <c r="N739" s="94"/>
      <c r="O739" s="93"/>
      <c r="P739" s="93"/>
      <c r="Q739" s="93"/>
      <c r="R739" s="44"/>
      <c r="S739" s="53"/>
      <c r="T739" s="46"/>
      <c r="U739" s="47"/>
      <c r="V739" s="55"/>
    </row>
    <row r="740" spans="2:22" s="15" customFormat="1" ht="14.25" customHeight="1">
      <c r="B740" s="148"/>
      <c r="C740" s="18"/>
      <c r="D740" s="18"/>
      <c r="E740" s="19"/>
      <c r="F740" s="51"/>
      <c r="G740" s="40"/>
      <c r="H740" s="41"/>
      <c r="I740" s="94"/>
      <c r="J740" s="92"/>
      <c r="K740" s="92"/>
      <c r="L740" s="92"/>
      <c r="M740" s="92"/>
      <c r="N740" s="94"/>
      <c r="O740" s="93"/>
      <c r="P740" s="93"/>
      <c r="Q740" s="93"/>
      <c r="R740" s="93"/>
      <c r="S740" s="53"/>
      <c r="T740" s="46"/>
      <c r="U740" s="47"/>
      <c r="V740" s="55"/>
    </row>
    <row r="741" spans="2:22" s="15" customFormat="1" ht="14.25" customHeight="1">
      <c r="B741" s="148"/>
      <c r="C741" s="18"/>
      <c r="D741" s="149" t="s">
        <v>499</v>
      </c>
      <c r="E741" s="19" t="s">
        <v>500</v>
      </c>
      <c r="F741" s="51">
        <f>+F737+1</f>
        <v>4</v>
      </c>
      <c r="G741" s="40"/>
      <c r="H741" s="64" t="s">
        <v>501</v>
      </c>
      <c r="I741" s="94">
        <f>2076000+1038000</f>
        <v>3114000</v>
      </c>
      <c r="J741" s="92">
        <v>3114000</v>
      </c>
      <c r="K741" s="92">
        <v>0</v>
      </c>
      <c r="L741" s="92">
        <v>0</v>
      </c>
      <c r="M741" s="43">
        <v>0</v>
      </c>
      <c r="N741" s="94">
        <f>2076000+1038000</f>
        <v>3114000</v>
      </c>
      <c r="O741" s="93">
        <v>3114000</v>
      </c>
      <c r="P741" s="93">
        <v>0</v>
      </c>
      <c r="Q741" s="93">
        <v>0</v>
      </c>
      <c r="R741" s="44">
        <v>0</v>
      </c>
      <c r="S741" s="58" t="s">
        <v>218</v>
      </c>
      <c r="T741" s="46"/>
      <c r="U741" s="47"/>
      <c r="V741" s="55"/>
    </row>
    <row r="742" spans="2:22" s="15" customFormat="1" ht="14.25" customHeight="1">
      <c r="B742" s="148"/>
      <c r="C742" s="18"/>
      <c r="D742" s="149" t="s">
        <v>502</v>
      </c>
      <c r="E742" s="19"/>
      <c r="F742" s="51"/>
      <c r="G742" s="40"/>
      <c r="H742" s="41"/>
      <c r="I742" s="94"/>
      <c r="J742" s="92"/>
      <c r="K742" s="92"/>
      <c r="L742" s="92"/>
      <c r="M742" s="92"/>
      <c r="N742" s="94"/>
      <c r="O742" s="93"/>
      <c r="P742" s="93"/>
      <c r="Q742" s="93"/>
      <c r="R742" s="93"/>
      <c r="S742" s="53"/>
      <c r="T742" s="46"/>
      <c r="U742" s="47"/>
      <c r="V742" s="55"/>
    </row>
    <row r="743" spans="2:22" s="15" customFormat="1" ht="14.25" customHeight="1">
      <c r="B743" s="148"/>
      <c r="C743" s="18"/>
      <c r="D743" s="18">
        <v>336778331</v>
      </c>
      <c r="E743" s="19"/>
      <c r="F743" s="51">
        <f>+F741+1</f>
        <v>5</v>
      </c>
      <c r="G743" s="52"/>
      <c r="H743" s="64" t="s">
        <v>503</v>
      </c>
      <c r="I743" s="42">
        <v>18062000</v>
      </c>
      <c r="J743" s="92">
        <v>18062000</v>
      </c>
      <c r="K743" s="92">
        <v>0</v>
      </c>
      <c r="L743" s="92">
        <v>0</v>
      </c>
      <c r="M743" s="43">
        <v>0</v>
      </c>
      <c r="N743" s="94">
        <v>7646000</v>
      </c>
      <c r="O743" s="93">
        <v>7646000</v>
      </c>
      <c r="P743" s="93">
        <v>0</v>
      </c>
      <c r="Q743" s="93">
        <v>0</v>
      </c>
      <c r="R743" s="44">
        <v>0</v>
      </c>
      <c r="S743" s="58" t="s">
        <v>218</v>
      </c>
      <c r="T743" s="46"/>
      <c r="U743" s="47"/>
      <c r="V743" s="55"/>
    </row>
    <row r="744" spans="2:22" s="15" customFormat="1" ht="14.25" customHeight="1" thickBot="1">
      <c r="B744" s="328"/>
      <c r="C744" s="329"/>
      <c r="D744" s="329"/>
      <c r="E744" s="24"/>
      <c r="F744" s="71"/>
      <c r="G744" s="72"/>
      <c r="H744" s="111"/>
      <c r="I744" s="112"/>
      <c r="J744" s="113"/>
      <c r="K744" s="113"/>
      <c r="L744" s="113"/>
      <c r="M744" s="75"/>
      <c r="N744" s="112"/>
      <c r="O744" s="114"/>
      <c r="P744" s="114"/>
      <c r="Q744" s="114"/>
      <c r="R744" s="76"/>
      <c r="S744" s="77"/>
      <c r="T744" s="78"/>
      <c r="U744" s="79"/>
      <c r="V744" s="55"/>
    </row>
    <row r="745" spans="2:22" s="15" customFormat="1" ht="14.25" customHeight="1">
      <c r="B745" s="49"/>
      <c r="C745" s="28"/>
      <c r="D745" s="18"/>
      <c r="E745" s="19"/>
      <c r="F745" s="51"/>
      <c r="G745" s="52"/>
      <c r="H745" s="41"/>
      <c r="I745" s="94"/>
      <c r="J745" s="92"/>
      <c r="K745" s="92"/>
      <c r="L745" s="92"/>
      <c r="M745" s="92"/>
      <c r="N745" s="94"/>
      <c r="O745" s="93"/>
      <c r="P745" s="93"/>
      <c r="Q745" s="93"/>
      <c r="R745" s="93"/>
      <c r="S745" s="53"/>
      <c r="T745" s="46"/>
      <c r="U745" s="47"/>
      <c r="V745" s="55"/>
    </row>
    <row r="746" spans="2:22" s="15" customFormat="1" ht="14.25" customHeight="1">
      <c r="B746" s="49" t="s">
        <v>504</v>
      </c>
      <c r="C746" s="18">
        <f>SUM(I746:I758)</f>
        <v>39557000</v>
      </c>
      <c r="D746" s="18">
        <f>SUM(N746:N758)</f>
        <v>13656456</v>
      </c>
      <c r="E746" s="19"/>
      <c r="F746" s="51" t="s">
        <v>505</v>
      </c>
      <c r="G746" s="52"/>
      <c r="H746" s="41"/>
      <c r="I746" s="94"/>
      <c r="J746" s="92"/>
      <c r="K746" s="92"/>
      <c r="L746" s="92"/>
      <c r="M746" s="92"/>
      <c r="N746" s="94"/>
      <c r="O746" s="93"/>
      <c r="P746" s="93"/>
      <c r="Q746" s="93"/>
      <c r="R746" s="93"/>
      <c r="S746" s="53"/>
      <c r="T746" s="46"/>
      <c r="U746" s="47"/>
      <c r="V746" s="55"/>
    </row>
    <row r="747" spans="2:22" s="15" customFormat="1" ht="14.25" customHeight="1">
      <c r="B747" s="49" t="s">
        <v>506</v>
      </c>
      <c r="C747" s="18"/>
      <c r="D747" s="16"/>
      <c r="E747" s="19"/>
      <c r="F747" s="51"/>
      <c r="G747" s="52"/>
      <c r="H747" s="41"/>
      <c r="I747" s="42"/>
      <c r="J747" s="43"/>
      <c r="K747" s="43"/>
      <c r="L747" s="43"/>
      <c r="M747" s="43"/>
      <c r="N747" s="42"/>
      <c r="O747" s="44"/>
      <c r="P747" s="44"/>
      <c r="Q747" s="44"/>
      <c r="R747" s="44"/>
      <c r="S747" s="57"/>
      <c r="T747" s="46"/>
      <c r="U747" s="47"/>
      <c r="V747" s="55"/>
    </row>
    <row r="748" spans="2:22" s="15" customFormat="1" ht="14.25" customHeight="1">
      <c r="B748" s="49"/>
      <c r="C748" s="18" t="s">
        <v>80</v>
      </c>
      <c r="D748" s="18" t="s">
        <v>80</v>
      </c>
      <c r="E748" s="19" t="s">
        <v>507</v>
      </c>
      <c r="F748" s="51">
        <v>1</v>
      </c>
      <c r="G748" s="52"/>
      <c r="H748" s="41" t="s">
        <v>508</v>
      </c>
      <c r="I748" s="94">
        <v>38880000</v>
      </c>
      <c r="J748" s="92">
        <v>19109000</v>
      </c>
      <c r="K748" s="92">
        <v>0</v>
      </c>
      <c r="L748" s="92">
        <v>19771000</v>
      </c>
      <c r="M748" s="43">
        <v>0</v>
      </c>
      <c r="N748" s="94">
        <v>13300000</v>
      </c>
      <c r="O748" s="93">
        <v>104626000</v>
      </c>
      <c r="P748" s="93">
        <v>0</v>
      </c>
      <c r="Q748" s="93">
        <v>20868000</v>
      </c>
      <c r="R748" s="44">
        <v>0</v>
      </c>
      <c r="S748" s="53" t="s">
        <v>509</v>
      </c>
      <c r="T748" s="46" t="s">
        <v>510</v>
      </c>
      <c r="U748" s="47" t="s">
        <v>648</v>
      </c>
      <c r="V748" s="95"/>
    </row>
    <row r="749" spans="2:22" s="15" customFormat="1" ht="14.25" customHeight="1">
      <c r="B749" s="148"/>
      <c r="C749" s="18">
        <f>SUM(M746:M757)</f>
        <v>302000</v>
      </c>
      <c r="D749" s="18">
        <f>SUM(R746:R757)</f>
        <v>302000</v>
      </c>
      <c r="E749" s="19" t="s">
        <v>511</v>
      </c>
      <c r="F749" s="51"/>
      <c r="G749" s="52"/>
      <c r="H749" s="41"/>
      <c r="I749" s="94"/>
      <c r="J749" s="92"/>
      <c r="K749" s="92"/>
      <c r="L749" s="92"/>
      <c r="M749" s="43"/>
      <c r="N749" s="94"/>
      <c r="O749" s="93"/>
      <c r="P749" s="93"/>
      <c r="Q749" s="93"/>
      <c r="R749" s="44"/>
      <c r="S749" s="53" t="s">
        <v>649</v>
      </c>
      <c r="T749" s="46"/>
      <c r="U749" s="47"/>
      <c r="V749" s="95"/>
    </row>
    <row r="750" spans="2:22" s="15" customFormat="1" ht="14.25" customHeight="1">
      <c r="B750" s="148"/>
      <c r="C750" s="18" t="s">
        <v>81</v>
      </c>
      <c r="D750" s="18" t="s">
        <v>81</v>
      </c>
      <c r="E750" s="19" t="s">
        <v>512</v>
      </c>
      <c r="F750" s="51"/>
      <c r="G750" s="52"/>
      <c r="H750" s="41"/>
      <c r="I750" s="94"/>
      <c r="J750" s="92"/>
      <c r="K750" s="92"/>
      <c r="L750" s="92"/>
      <c r="M750" s="92"/>
      <c r="N750" s="94"/>
      <c r="O750" s="93"/>
      <c r="P750" s="93"/>
      <c r="Q750" s="93"/>
      <c r="R750" s="93"/>
      <c r="S750" s="53"/>
      <c r="T750" s="46"/>
      <c r="U750" s="47"/>
      <c r="V750" s="95"/>
    </row>
    <row r="751" spans="2:22" s="15" customFormat="1" ht="14.25" customHeight="1">
      <c r="B751" s="148"/>
      <c r="C751" s="18">
        <f>SUM(J746:J757)</f>
        <v>19481000</v>
      </c>
      <c r="D751" s="18">
        <f>SUM(O746:O757)</f>
        <v>105485624</v>
      </c>
      <c r="E751" s="19"/>
      <c r="F751" s="51"/>
      <c r="G751" s="52"/>
      <c r="H751" s="41"/>
      <c r="I751" s="94"/>
      <c r="J751" s="92"/>
      <c r="K751" s="92"/>
      <c r="L751" s="92"/>
      <c r="M751" s="92"/>
      <c r="N751" s="94"/>
      <c r="O751" s="93"/>
      <c r="P751" s="93"/>
      <c r="Q751" s="93"/>
      <c r="R751" s="93"/>
      <c r="S751" s="53"/>
      <c r="T751" s="46"/>
      <c r="U751" s="47"/>
      <c r="V751" s="55"/>
    </row>
    <row r="752" spans="2:22" s="15" customFormat="1" ht="14.25" customHeight="1">
      <c r="B752" s="148"/>
      <c r="C752" s="18" t="s">
        <v>8</v>
      </c>
      <c r="D752" s="18" t="s">
        <v>8</v>
      </c>
      <c r="E752" s="19" t="s">
        <v>495</v>
      </c>
      <c r="F752" s="51">
        <f>F748+1</f>
        <v>2</v>
      </c>
      <c r="G752" s="52"/>
      <c r="H752" s="41" t="s">
        <v>513</v>
      </c>
      <c r="I752" s="94">
        <v>677000</v>
      </c>
      <c r="J752" s="92">
        <v>372000</v>
      </c>
      <c r="K752" s="92">
        <v>0</v>
      </c>
      <c r="L752" s="92">
        <v>3000</v>
      </c>
      <c r="M752" s="43">
        <v>302000</v>
      </c>
      <c r="N752" s="94">
        <v>356456</v>
      </c>
      <c r="O752" s="93">
        <v>859624</v>
      </c>
      <c r="P752" s="93">
        <v>0</v>
      </c>
      <c r="Q752" s="93">
        <v>12726</v>
      </c>
      <c r="R752" s="44">
        <v>302000</v>
      </c>
      <c r="S752" s="58" t="s">
        <v>218</v>
      </c>
      <c r="T752" s="46"/>
      <c r="U752" s="47"/>
      <c r="V752" s="55"/>
    </row>
    <row r="753" spans="2:22" s="15" customFormat="1" ht="14.25" customHeight="1">
      <c r="B753" s="150"/>
      <c r="C753" s="18">
        <f>SUM(L744:L757)</f>
        <v>19774000</v>
      </c>
      <c r="D753" s="18">
        <f>SUM(Q744:Q757)</f>
        <v>20880726</v>
      </c>
      <c r="E753" s="19"/>
      <c r="F753" s="51"/>
      <c r="G753" s="52"/>
      <c r="H753" s="41"/>
      <c r="I753" s="42"/>
      <c r="J753" s="43"/>
      <c r="K753" s="43"/>
      <c r="L753" s="43"/>
      <c r="M753" s="43"/>
      <c r="N753" s="42"/>
      <c r="O753" s="44"/>
      <c r="P753" s="44"/>
      <c r="Q753" s="44"/>
      <c r="R753" s="44"/>
      <c r="S753" s="57" t="s">
        <v>1181</v>
      </c>
      <c r="T753" s="46"/>
      <c r="U753" s="47"/>
      <c r="V753" s="55"/>
    </row>
    <row r="754" spans="2:22" s="15" customFormat="1" ht="14.25" customHeight="1">
      <c r="B754" s="148"/>
      <c r="C754" s="18"/>
      <c r="D754" s="18"/>
      <c r="E754" s="19"/>
      <c r="F754" s="51"/>
      <c r="G754" s="52"/>
      <c r="H754" s="41"/>
      <c r="I754" s="94"/>
      <c r="J754" s="92"/>
      <c r="K754" s="92"/>
      <c r="L754" s="92"/>
      <c r="M754" s="92">
        <f>+I754-SUM(J754:L754)</f>
        <v>0</v>
      </c>
      <c r="N754" s="94"/>
      <c r="O754" s="93"/>
      <c r="P754" s="93"/>
      <c r="Q754" s="93"/>
      <c r="R754" s="93"/>
      <c r="S754" s="53"/>
      <c r="T754" s="46"/>
      <c r="U754" s="47"/>
      <c r="V754" s="55"/>
    </row>
    <row r="755" spans="2:22" s="15" customFormat="1" ht="14.25" customHeight="1">
      <c r="B755" s="148"/>
      <c r="C755" s="18"/>
      <c r="D755" s="149" t="s">
        <v>499</v>
      </c>
      <c r="E755" s="19"/>
      <c r="F755" s="51"/>
      <c r="G755" s="52"/>
      <c r="H755" s="41"/>
      <c r="I755" s="94"/>
      <c r="J755" s="92"/>
      <c r="K755" s="92"/>
      <c r="L755" s="92"/>
      <c r="M755" s="92"/>
      <c r="N755" s="94"/>
      <c r="O755" s="93"/>
      <c r="P755" s="93"/>
      <c r="Q755" s="93"/>
      <c r="R755" s="93"/>
      <c r="S755" s="53"/>
      <c r="T755" s="46"/>
      <c r="U755" s="47"/>
      <c r="V755" s="55"/>
    </row>
    <row r="756" spans="2:22" s="15" customFormat="1" ht="14.25" customHeight="1">
      <c r="B756" s="148"/>
      <c r="C756" s="18"/>
      <c r="D756" s="149" t="s">
        <v>502</v>
      </c>
      <c r="E756" s="19"/>
      <c r="F756" s="51"/>
      <c r="G756" s="52"/>
      <c r="H756" s="41"/>
      <c r="I756" s="94"/>
      <c r="J756" s="92"/>
      <c r="K756" s="92"/>
      <c r="L756" s="92"/>
      <c r="M756" s="92"/>
      <c r="N756" s="94"/>
      <c r="O756" s="93"/>
      <c r="P756" s="93"/>
      <c r="Q756" s="93"/>
      <c r="R756" s="93"/>
      <c r="S756" s="53"/>
      <c r="T756" s="46"/>
      <c r="U756" s="47"/>
      <c r="V756" s="55"/>
    </row>
    <row r="757" spans="2:22" s="15" customFormat="1" ht="14.25" customHeight="1">
      <c r="B757" s="148"/>
      <c r="C757" s="18"/>
      <c r="D757" s="18">
        <v>113011894</v>
      </c>
      <c r="E757" s="19"/>
      <c r="F757" s="51"/>
      <c r="G757" s="52"/>
      <c r="H757" s="41"/>
      <c r="I757" s="94"/>
      <c r="J757" s="92"/>
      <c r="K757" s="92"/>
      <c r="L757" s="92"/>
      <c r="M757" s="92"/>
      <c r="N757" s="94"/>
      <c r="O757" s="93"/>
      <c r="P757" s="93"/>
      <c r="Q757" s="93"/>
      <c r="R757" s="93"/>
      <c r="S757" s="53"/>
      <c r="T757" s="46"/>
      <c r="U757" s="47"/>
      <c r="V757" s="55"/>
    </row>
    <row r="758" spans="2:22" s="15" customFormat="1" ht="14.25" customHeight="1" thickBot="1">
      <c r="B758" s="328"/>
      <c r="C758" s="329"/>
      <c r="D758" s="329"/>
      <c r="E758" s="24"/>
      <c r="F758" s="71"/>
      <c r="G758" s="72"/>
      <c r="H758" s="111"/>
      <c r="I758" s="74"/>
      <c r="J758" s="75"/>
      <c r="K758" s="75"/>
      <c r="L758" s="75"/>
      <c r="M758" s="75"/>
      <c r="N758" s="74"/>
      <c r="O758" s="76"/>
      <c r="P758" s="76"/>
      <c r="Q758" s="76"/>
      <c r="R758" s="76"/>
      <c r="S758" s="115"/>
      <c r="T758" s="78"/>
      <c r="U758" s="79"/>
      <c r="V758" s="55"/>
    </row>
    <row r="759" spans="2:22" s="15" customFormat="1" ht="14.25" customHeight="1">
      <c r="B759" s="148"/>
      <c r="C759" s="18"/>
      <c r="D759" s="18"/>
      <c r="E759" s="19"/>
      <c r="F759" s="51"/>
      <c r="G759" s="52"/>
      <c r="H759" s="41"/>
      <c r="I759" s="94"/>
      <c r="J759" s="92"/>
      <c r="K759" s="92"/>
      <c r="L759" s="92"/>
      <c r="M759" s="92"/>
      <c r="N759" s="94"/>
      <c r="O759" s="93"/>
      <c r="P759" s="93"/>
      <c r="Q759" s="93"/>
      <c r="R759" s="93"/>
      <c r="S759" s="53"/>
      <c r="T759" s="46"/>
      <c r="U759" s="47"/>
      <c r="V759" s="55"/>
    </row>
    <row r="760" spans="2:22" s="15" customFormat="1" ht="14.25" customHeight="1">
      <c r="B760" s="49" t="s">
        <v>514</v>
      </c>
      <c r="C760" s="18">
        <f>SUM(I760:I772)</f>
        <v>16595000</v>
      </c>
      <c r="D760" s="18">
        <f>SUM(N760:N772)</f>
        <v>318444</v>
      </c>
      <c r="E760" s="19"/>
      <c r="F760" s="146" t="s">
        <v>515</v>
      </c>
      <c r="G760" s="52"/>
      <c r="H760" s="41"/>
      <c r="I760" s="94"/>
      <c r="J760" s="92"/>
      <c r="K760" s="92"/>
      <c r="L760" s="92"/>
      <c r="M760" s="92"/>
      <c r="N760" s="94"/>
      <c r="O760" s="93"/>
      <c r="P760" s="93"/>
      <c r="Q760" s="93"/>
      <c r="R760" s="93"/>
      <c r="S760" s="57"/>
      <c r="T760" s="46"/>
      <c r="U760" s="47"/>
      <c r="V760" s="151"/>
    </row>
    <row r="761" spans="2:22" s="15" customFormat="1" ht="14.25" customHeight="1">
      <c r="B761" s="49" t="s">
        <v>516</v>
      </c>
      <c r="C761" s="18"/>
      <c r="D761" s="16"/>
      <c r="E761" s="19"/>
      <c r="F761" s="51"/>
      <c r="G761" s="52"/>
      <c r="H761" s="41"/>
      <c r="I761" s="94"/>
      <c r="J761" s="92"/>
      <c r="K761" s="92"/>
      <c r="L761" s="92"/>
      <c r="M761" s="92"/>
      <c r="N761" s="94"/>
      <c r="O761" s="93"/>
      <c r="P761" s="93"/>
      <c r="Q761" s="93"/>
      <c r="R761" s="93"/>
      <c r="S761" s="53"/>
      <c r="T761" s="46"/>
      <c r="U761" s="47"/>
      <c r="V761" s="151"/>
    </row>
    <row r="762" spans="2:22" s="15" customFormat="1" ht="14.25" customHeight="1">
      <c r="B762" s="49"/>
      <c r="C762" s="18" t="s">
        <v>80</v>
      </c>
      <c r="D762" s="18" t="s">
        <v>80</v>
      </c>
      <c r="E762" s="19" t="s">
        <v>517</v>
      </c>
      <c r="F762" s="51">
        <f>+F761+1</f>
        <v>1</v>
      </c>
      <c r="G762" s="52"/>
      <c r="H762" s="41" t="s">
        <v>518</v>
      </c>
      <c r="I762" s="94">
        <v>16000000</v>
      </c>
      <c r="J762" s="92">
        <v>15236000</v>
      </c>
      <c r="K762" s="92">
        <v>0</v>
      </c>
      <c r="L762" s="92">
        <v>764000</v>
      </c>
      <c r="M762" s="43">
        <v>0</v>
      </c>
      <c r="N762" s="94">
        <v>0</v>
      </c>
      <c r="O762" s="93">
        <v>85227000</v>
      </c>
      <c r="P762" s="93">
        <v>0</v>
      </c>
      <c r="Q762" s="93">
        <v>1209000</v>
      </c>
      <c r="R762" s="44">
        <v>0</v>
      </c>
      <c r="S762" s="53" t="s">
        <v>519</v>
      </c>
      <c r="T762" s="46" t="s">
        <v>520</v>
      </c>
      <c r="U762" s="47" t="s">
        <v>650</v>
      </c>
      <c r="V762" s="151"/>
    </row>
    <row r="763" spans="2:22" s="15" customFormat="1" ht="14.25" customHeight="1">
      <c r="B763" s="148"/>
      <c r="C763" s="18">
        <f>SUM(M760:M771)</f>
        <v>19000</v>
      </c>
      <c r="D763" s="18">
        <f>SUM(R760:R771)</f>
        <v>19000</v>
      </c>
      <c r="E763" s="19" t="s">
        <v>494</v>
      </c>
      <c r="F763" s="51"/>
      <c r="G763" s="52"/>
      <c r="H763" s="41"/>
      <c r="I763" s="94"/>
      <c r="J763" s="92"/>
      <c r="K763" s="92"/>
      <c r="L763" s="92"/>
      <c r="M763" s="43"/>
      <c r="N763" s="94"/>
      <c r="O763" s="93"/>
      <c r="P763" s="93"/>
      <c r="Q763" s="93"/>
      <c r="R763" s="44"/>
      <c r="S763" s="53" t="s">
        <v>521</v>
      </c>
      <c r="T763" s="46"/>
      <c r="U763" s="47"/>
      <c r="V763" s="151"/>
    </row>
    <row r="764" spans="2:22" s="15" customFormat="1" ht="14.25" customHeight="1">
      <c r="B764" s="148"/>
      <c r="C764" s="18" t="s">
        <v>81</v>
      </c>
      <c r="D764" s="18" t="s">
        <v>81</v>
      </c>
      <c r="E764" s="19"/>
      <c r="F764" s="51"/>
      <c r="G764" s="52"/>
      <c r="H764" s="41"/>
      <c r="I764" s="94"/>
      <c r="J764" s="92"/>
      <c r="K764" s="92"/>
      <c r="L764" s="92"/>
      <c r="M764" s="92"/>
      <c r="N764" s="94"/>
      <c r="O764" s="93"/>
      <c r="P764" s="93"/>
      <c r="Q764" s="93"/>
      <c r="R764" s="93"/>
      <c r="S764" s="57"/>
      <c r="T764" s="46"/>
      <c r="U764" s="47"/>
      <c r="V764" s="151"/>
    </row>
    <row r="765" spans="2:22" s="15" customFormat="1" ht="14.25" customHeight="1">
      <c r="B765" s="148"/>
      <c r="C765" s="18">
        <f>SUM(J760:J771)</f>
        <v>15809000</v>
      </c>
      <c r="D765" s="18">
        <f>SUM(O760:O771)</f>
        <v>86284768</v>
      </c>
      <c r="E765" s="19" t="s">
        <v>495</v>
      </c>
      <c r="F765" s="51">
        <f>F762+1</f>
        <v>2</v>
      </c>
      <c r="G765" s="52"/>
      <c r="H765" s="41" t="s">
        <v>522</v>
      </c>
      <c r="I765" s="94">
        <v>595000</v>
      </c>
      <c r="J765" s="92">
        <v>573000</v>
      </c>
      <c r="K765" s="92">
        <v>0</v>
      </c>
      <c r="L765" s="92">
        <v>3000</v>
      </c>
      <c r="M765" s="43">
        <v>19000</v>
      </c>
      <c r="N765" s="94">
        <v>318444</v>
      </c>
      <c r="O765" s="93">
        <v>1057768</v>
      </c>
      <c r="P765" s="93">
        <v>0</v>
      </c>
      <c r="Q765" s="93">
        <v>7841</v>
      </c>
      <c r="R765" s="44">
        <v>19000</v>
      </c>
      <c r="S765" s="58" t="s">
        <v>218</v>
      </c>
      <c r="T765" s="46"/>
      <c r="U765" s="47"/>
      <c r="V765" s="151"/>
    </row>
    <row r="766" spans="2:22" s="15" customFormat="1" ht="14.25" customHeight="1">
      <c r="B766" s="148"/>
      <c r="C766" s="18" t="s">
        <v>8</v>
      </c>
      <c r="D766" s="18" t="s">
        <v>8</v>
      </c>
      <c r="E766" s="19"/>
      <c r="F766" s="51"/>
      <c r="G766" s="52"/>
      <c r="H766" s="41"/>
      <c r="I766" s="94"/>
      <c r="J766" s="92"/>
      <c r="K766" s="92"/>
      <c r="L766" s="92"/>
      <c r="M766" s="92"/>
      <c r="N766" s="94"/>
      <c r="O766" s="93"/>
      <c r="P766" s="93"/>
      <c r="Q766" s="93"/>
      <c r="R766" s="93"/>
      <c r="S766" s="53"/>
      <c r="T766" s="46"/>
      <c r="U766" s="47"/>
      <c r="V766" s="151"/>
    </row>
    <row r="767" spans="2:22" s="15" customFormat="1" ht="14.25" customHeight="1">
      <c r="B767" s="148"/>
      <c r="C767" s="18">
        <f>SUM(L759:L771)</f>
        <v>767000</v>
      </c>
      <c r="D767" s="18">
        <f>SUM(Q759:Q771)</f>
        <v>1216841</v>
      </c>
      <c r="E767" s="19"/>
      <c r="F767" s="51"/>
      <c r="G767" s="40"/>
      <c r="H767" s="41"/>
      <c r="I767" s="94"/>
      <c r="J767" s="92"/>
      <c r="K767" s="92"/>
      <c r="L767" s="92"/>
      <c r="M767" s="92"/>
      <c r="N767" s="94"/>
      <c r="O767" s="93"/>
      <c r="P767" s="93"/>
      <c r="Q767" s="93"/>
      <c r="R767" s="93"/>
      <c r="S767" s="53"/>
      <c r="T767" s="46"/>
      <c r="U767" s="47"/>
      <c r="V767" s="151"/>
    </row>
    <row r="768" spans="2:22" s="15" customFormat="1" ht="14.25" customHeight="1">
      <c r="B768" s="148"/>
      <c r="C768" s="18"/>
      <c r="D768" s="18"/>
      <c r="E768" s="19"/>
      <c r="F768" s="51"/>
      <c r="G768" s="52"/>
      <c r="H768" s="41"/>
      <c r="I768" s="42"/>
      <c r="J768" s="43"/>
      <c r="K768" s="43"/>
      <c r="L768" s="43"/>
      <c r="M768" s="43"/>
      <c r="N768" s="42"/>
      <c r="O768" s="44"/>
      <c r="P768" s="44"/>
      <c r="Q768" s="44"/>
      <c r="R768" s="44"/>
      <c r="S768" s="57"/>
      <c r="T768" s="46"/>
      <c r="U768" s="47"/>
      <c r="V768" s="151"/>
    </row>
    <row r="769" spans="2:22" s="15" customFormat="1" ht="14.25" customHeight="1">
      <c r="B769" s="148"/>
      <c r="C769" s="18"/>
      <c r="D769" s="149" t="s">
        <v>499</v>
      </c>
      <c r="E769" s="19"/>
      <c r="F769" s="51"/>
      <c r="G769" s="52"/>
      <c r="H769" s="41"/>
      <c r="I769" s="94"/>
      <c r="J769" s="92"/>
      <c r="K769" s="92"/>
      <c r="L769" s="92"/>
      <c r="M769" s="92"/>
      <c r="N769" s="94"/>
      <c r="O769" s="93"/>
      <c r="P769" s="93"/>
      <c r="Q769" s="93"/>
      <c r="R769" s="93"/>
      <c r="S769" s="53"/>
      <c r="T769" s="46"/>
      <c r="U769" s="47"/>
      <c r="V769" s="151"/>
    </row>
    <row r="770" spans="2:22" s="15" customFormat="1" ht="14.25" customHeight="1">
      <c r="B770" s="148"/>
      <c r="C770" s="18"/>
      <c r="D770" s="149" t="s">
        <v>502</v>
      </c>
      <c r="E770" s="19"/>
      <c r="F770" s="51"/>
      <c r="G770" s="52"/>
      <c r="H770" s="41"/>
      <c r="I770" s="94"/>
      <c r="J770" s="92"/>
      <c r="K770" s="92"/>
      <c r="L770" s="92"/>
      <c r="M770" s="92"/>
      <c r="N770" s="94"/>
      <c r="O770" s="93"/>
      <c r="P770" s="93"/>
      <c r="Q770" s="93"/>
      <c r="R770" s="93"/>
      <c r="S770" s="53"/>
      <c r="T770" s="46"/>
      <c r="U770" s="47"/>
      <c r="V770" s="151"/>
    </row>
    <row r="771" spans="2:22" s="15" customFormat="1" ht="14.25" customHeight="1">
      <c r="B771" s="148"/>
      <c r="C771" s="18"/>
      <c r="D771" s="18">
        <v>87202165</v>
      </c>
      <c r="E771" s="19"/>
      <c r="F771" s="51"/>
      <c r="G771" s="52"/>
      <c r="H771" s="41"/>
      <c r="I771" s="94"/>
      <c r="J771" s="92"/>
      <c r="K771" s="92"/>
      <c r="L771" s="92"/>
      <c r="M771" s="92"/>
      <c r="N771" s="94"/>
      <c r="O771" s="93"/>
      <c r="P771" s="93"/>
      <c r="Q771" s="93"/>
      <c r="R771" s="93"/>
      <c r="S771" s="53"/>
      <c r="T771" s="46"/>
      <c r="U771" s="47"/>
      <c r="V771" s="151"/>
    </row>
    <row r="772" spans="2:22" s="15" customFormat="1" ht="14.25" customHeight="1" thickBot="1">
      <c r="B772" s="328"/>
      <c r="C772" s="329"/>
      <c r="D772" s="330"/>
      <c r="E772" s="24"/>
      <c r="F772" s="71"/>
      <c r="G772" s="72"/>
      <c r="H772" s="111"/>
      <c r="I772" s="74"/>
      <c r="J772" s="75"/>
      <c r="K772" s="75"/>
      <c r="L772" s="75"/>
      <c r="M772" s="75"/>
      <c r="N772" s="74"/>
      <c r="O772" s="76"/>
      <c r="P772" s="76"/>
      <c r="Q772" s="76"/>
      <c r="R772" s="76"/>
      <c r="S772" s="115"/>
      <c r="T772" s="78"/>
      <c r="U772" s="79"/>
      <c r="V772" s="151"/>
    </row>
    <row r="773" spans="2:21" ht="14.25" customHeight="1">
      <c r="B773" s="60"/>
      <c r="C773" s="26"/>
      <c r="D773" s="26"/>
      <c r="E773" s="152"/>
      <c r="F773" s="51"/>
      <c r="G773" s="52"/>
      <c r="H773" s="56"/>
      <c r="I773" s="94"/>
      <c r="J773" s="92"/>
      <c r="K773" s="92"/>
      <c r="L773" s="92"/>
      <c r="M773" s="43"/>
      <c r="N773" s="94"/>
      <c r="O773" s="93"/>
      <c r="P773" s="93"/>
      <c r="Q773" s="93"/>
      <c r="R773" s="44"/>
      <c r="S773" s="57"/>
      <c r="T773" s="46"/>
      <c r="U773" s="47"/>
    </row>
    <row r="774" spans="2:21" ht="14.25" customHeight="1">
      <c r="B774" s="60" t="s">
        <v>6</v>
      </c>
      <c r="C774" s="26">
        <f>#VALUE!</f>
        <v>19337697590</v>
      </c>
      <c r="D774" s="26">
        <f>#VALUE!</f>
        <v>17884498124</v>
      </c>
      <c r="E774" s="152"/>
      <c r="F774" s="51"/>
      <c r="G774" s="52"/>
      <c r="H774" s="56"/>
      <c r="I774" s="94">
        <f>SUM(I7:I772)</f>
        <v>19337697590</v>
      </c>
      <c r="J774" s="92">
        <f>SUM(J7:J772)</f>
        <v>5177504000</v>
      </c>
      <c r="K774" s="92">
        <f>SUM(K7:K772)</f>
        <v>1121600000</v>
      </c>
      <c r="L774" s="92">
        <f>SUM(L7:L772)</f>
        <v>3198928500</v>
      </c>
      <c r="M774" s="43">
        <f>+I774-SUM(J774:L774)</f>
        <v>9839665090</v>
      </c>
      <c r="N774" s="94">
        <f>SUM(N7:N772)</f>
        <v>17884498124</v>
      </c>
      <c r="O774" s="93">
        <f>SUM(O7:O772)</f>
        <v>5163563699</v>
      </c>
      <c r="P774" s="93">
        <f>SUM(P7:P772)</f>
        <v>963320000</v>
      </c>
      <c r="Q774" s="93">
        <f>SUM(Q7:Q772)</f>
        <v>3008307136</v>
      </c>
      <c r="R774" s="44">
        <f>+N774-SUM(O774:Q774)</f>
        <v>8749307289</v>
      </c>
      <c r="S774" s="57"/>
      <c r="T774" s="46"/>
      <c r="U774" s="47"/>
    </row>
    <row r="775" spans="2:22" ht="14.25" customHeight="1" thickBot="1">
      <c r="B775" s="153"/>
      <c r="C775" s="27"/>
      <c r="D775" s="27"/>
      <c r="E775" s="154"/>
      <c r="F775" s="155"/>
      <c r="G775" s="156"/>
      <c r="H775" s="73"/>
      <c r="I775" s="157"/>
      <c r="J775" s="76"/>
      <c r="K775" s="76"/>
      <c r="L775" s="76"/>
      <c r="M775" s="114"/>
      <c r="N775" s="157"/>
      <c r="O775" s="76"/>
      <c r="P775" s="76"/>
      <c r="Q775" s="76"/>
      <c r="R775" s="76"/>
      <c r="S775" s="77"/>
      <c r="T775" s="78"/>
      <c r="U775" s="79"/>
      <c r="V775" s="158"/>
    </row>
    <row r="776" spans="8:18" ht="13.5">
      <c r="H776" s="159"/>
      <c r="I776" s="160"/>
      <c r="J776" s="160"/>
      <c r="K776" s="160"/>
      <c r="L776" s="160"/>
      <c r="M776" s="160"/>
      <c r="N776" s="161"/>
      <c r="O776" s="161"/>
      <c r="P776" s="161"/>
      <c r="Q776" s="161"/>
      <c r="R776" s="161"/>
    </row>
    <row r="777" spans="3:18" ht="13.5">
      <c r="C777" s="163"/>
      <c r="D777" s="163"/>
      <c r="H777" s="159"/>
      <c r="I777" s="160"/>
      <c r="J777" s="160"/>
      <c r="K777" s="160"/>
      <c r="L777" s="160"/>
      <c r="M777" s="160"/>
      <c r="N777" s="161"/>
      <c r="O777" s="161"/>
      <c r="P777" s="161"/>
      <c r="Q777" s="161"/>
      <c r="R777" s="161"/>
    </row>
    <row r="778" spans="8:18" ht="13.5">
      <c r="H778" s="159"/>
      <c r="I778" s="160"/>
      <c r="J778" s="160"/>
      <c r="K778" s="160"/>
      <c r="L778" s="160"/>
      <c r="M778" s="160"/>
      <c r="N778" s="164"/>
      <c r="O778" s="161"/>
      <c r="P778" s="161"/>
      <c r="Q778" s="161"/>
      <c r="R778" s="161"/>
    </row>
    <row r="779" spans="3:18" ht="13.5">
      <c r="C779" s="163"/>
      <c r="D779" s="163"/>
      <c r="H779" s="159"/>
      <c r="I779" s="160"/>
      <c r="J779" s="160"/>
      <c r="K779" s="160"/>
      <c r="L779" s="160"/>
      <c r="M779" s="160"/>
      <c r="N779" s="164"/>
      <c r="O779" s="161"/>
      <c r="P779" s="161"/>
      <c r="Q779" s="161"/>
      <c r="R779" s="161"/>
    </row>
    <row r="780" spans="8:18" ht="13.5">
      <c r="H780" s="159"/>
      <c r="I780" s="160"/>
      <c r="J780" s="160"/>
      <c r="K780" s="160"/>
      <c r="L780" s="160"/>
      <c r="M780" s="160"/>
      <c r="N780" s="161"/>
      <c r="O780" s="161"/>
      <c r="P780" s="161"/>
      <c r="Q780" s="161"/>
      <c r="R780" s="161"/>
    </row>
    <row r="781" spans="3:18" ht="13.5">
      <c r="C781" s="163"/>
      <c r="D781" s="163"/>
      <c r="H781" s="159"/>
      <c r="I781" s="160"/>
      <c r="J781" s="160"/>
      <c r="K781" s="160"/>
      <c r="L781" s="160"/>
      <c r="M781" s="160"/>
      <c r="N781" s="161"/>
      <c r="O781" s="161"/>
      <c r="P781" s="161"/>
      <c r="Q781" s="161"/>
      <c r="R781" s="161"/>
    </row>
    <row r="782" spans="9:18" ht="13.5">
      <c r="I782" s="160"/>
      <c r="J782" s="160"/>
      <c r="K782" s="160"/>
      <c r="L782" s="160"/>
      <c r="M782" s="160"/>
      <c r="O782" s="160"/>
      <c r="P782" s="160"/>
      <c r="Q782" s="160"/>
      <c r="R782" s="160"/>
    </row>
    <row r="783" spans="3:18" ht="13.5">
      <c r="C783" s="165"/>
      <c r="D783" s="165"/>
      <c r="I783" s="160"/>
      <c r="J783" s="160"/>
      <c r="K783" s="160"/>
      <c r="L783" s="160"/>
      <c r="M783" s="160"/>
      <c r="O783" s="160"/>
      <c r="P783" s="160"/>
      <c r="Q783" s="160"/>
      <c r="R783" s="160"/>
    </row>
    <row r="784" spans="3:18" ht="13.5">
      <c r="C784" s="288"/>
      <c r="D784" s="288"/>
      <c r="I784" s="160"/>
      <c r="J784" s="160"/>
      <c r="K784" s="160"/>
      <c r="L784" s="160"/>
      <c r="M784" s="160"/>
      <c r="O784" s="160"/>
      <c r="P784" s="160"/>
      <c r="Q784" s="160"/>
      <c r="R784" s="160"/>
    </row>
    <row r="785" spans="3:4" ht="13.5">
      <c r="C785" s="288"/>
      <c r="D785" s="288"/>
    </row>
    <row r="786" spans="3:4" ht="13.5">
      <c r="C786" s="289"/>
      <c r="D786" s="289"/>
    </row>
    <row r="787" spans="3:4" ht="13.5">
      <c r="C787" s="288"/>
      <c r="D787" s="288"/>
    </row>
    <row r="788" spans="3:4" ht="13.5">
      <c r="C788" s="289"/>
      <c r="D788" s="289"/>
    </row>
    <row r="789" spans="3:4" ht="13.5">
      <c r="C789" s="289"/>
      <c r="D789" s="289"/>
    </row>
    <row r="790" spans="3:4" ht="13.5">
      <c r="C790" s="289"/>
      <c r="D790" s="289"/>
    </row>
    <row r="791" spans="3:18" ht="13.5">
      <c r="C791" s="4"/>
      <c r="D791" s="4"/>
      <c r="I791" s="160"/>
      <c r="J791" s="160"/>
      <c r="K791" s="160"/>
      <c r="L791" s="160"/>
      <c r="M791" s="160"/>
      <c r="O791" s="160"/>
      <c r="P791" s="160"/>
      <c r="Q791" s="160"/>
      <c r="R791" s="160"/>
    </row>
    <row r="792" spans="3:4" ht="13.5">
      <c r="C792" s="289"/>
      <c r="D792" s="289"/>
    </row>
  </sheetData>
  <sheetProtection/>
  <mergeCells count="9">
    <mergeCell ref="B1:D2"/>
    <mergeCell ref="H1:I2"/>
    <mergeCell ref="N1:U2"/>
    <mergeCell ref="T3:U3"/>
    <mergeCell ref="B4:B5"/>
    <mergeCell ref="C4:C5"/>
    <mergeCell ref="D4:D5"/>
    <mergeCell ref="E4:U4"/>
    <mergeCell ref="F5:H5"/>
  </mergeCells>
  <printOptions/>
  <pageMargins left="0.1968503937007874" right="0.1968503937007874" top="0.984251968503937" bottom="0.5905511811023623" header="0.31496062992125984" footer="0.31496062992125984"/>
  <pageSetup firstPageNumber="10" useFirstPageNumber="1" fitToHeight="0" fitToWidth="0" horizontalDpi="600" verticalDpi="600" orientation="landscape" paperSize="9" scale="73" r:id="rId4"/>
  <headerFooter>
    <oddHeader>&amp;C&amp;14&amp;P</oddHeader>
    <oddFooter>&amp;C&amp;14&amp;P</oddFooter>
  </headerFooter>
  <rowBreaks count="16" manualBreakCount="16">
    <brk id="93" min="1" max="20" man="1"/>
    <brk id="132" min="1" max="20" man="1"/>
    <brk id="178" min="1" max="20" man="1"/>
    <brk id="222" min="1" max="20" man="1"/>
    <brk id="257" min="1" max="20" man="1"/>
    <brk id="299" min="1" max="20" man="1"/>
    <brk id="343" min="1" max="20" man="1"/>
    <brk id="390" min="1" max="20" man="1"/>
    <brk id="428" min="1" max="20" man="1"/>
    <brk id="474" min="1" max="20" man="1"/>
    <brk id="521" min="1" max="20" man="1"/>
    <brk id="567" min="1" max="20" man="1"/>
    <brk id="614" min="1" max="20" man="1"/>
    <brk id="660" min="1" max="20" man="1"/>
    <brk id="706" min="1" max="20" man="1"/>
    <brk id="744" min="1" max="2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babama</dc:creator>
  <cp:keywords/>
  <dc:description/>
  <cp:lastModifiedBy>大阪府</cp:lastModifiedBy>
  <cp:lastPrinted>2012-10-19T12:59:04Z</cp:lastPrinted>
  <dcterms:created xsi:type="dcterms:W3CDTF">2006-08-09T04:20:34Z</dcterms:created>
  <dcterms:modified xsi:type="dcterms:W3CDTF">2012-10-22T14:09:52Z</dcterms:modified>
  <cp:category/>
  <cp:version/>
  <cp:contentType/>
  <cp:contentStatus/>
</cp:coreProperties>
</file>