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4955" windowHeight="8670" tabRatio="723" activeTab="0"/>
  </bookViews>
  <sheets>
    <sheet name="表紙" sheetId="1" r:id="rId1"/>
    <sheet name="様式１" sheetId="2" r:id="rId2"/>
    <sheet name="様式２" sheetId="3" r:id="rId3"/>
  </sheets>
  <definedNames>
    <definedName name="_xlnm.Print_Area" localSheetId="0">'表紙'!$A$1:$O$36</definedName>
    <definedName name="_xlnm.Print_Area" localSheetId="1">'様式１'!$A$1:$K$224</definedName>
    <definedName name="_xlnm.Print_Area" localSheetId="2">'様式２'!$B$1:$U$886</definedName>
    <definedName name="_xlnm.Print_Titles" localSheetId="1">'様式１'!$4:$5</definedName>
    <definedName name="_xlnm.Print_Titles" localSheetId="2">'様式２'!$4:$6</definedName>
  </definedNames>
  <calcPr fullCalcOnLoad="1"/>
</workbook>
</file>

<file path=xl/sharedStrings.xml><?xml version="1.0" encoding="utf-8"?>
<sst xmlns="http://schemas.openxmlformats.org/spreadsheetml/2006/main" count="1768" uniqueCount="1293">
  <si>
    <t>環境農林水産部</t>
  </si>
  <si>
    <t>環境農林水産部</t>
  </si>
  <si>
    <t>（H22年度決算）</t>
  </si>
  <si>
    <t>施策事業名</t>
  </si>
  <si>
    <t>予算現額</t>
  </si>
  <si>
    <t>決算額</t>
  </si>
  <si>
    <t>施　　策　　成　　果</t>
  </si>
  <si>
    <t>参　考（部局長マニフェスト等で掲載した目標等）</t>
  </si>
  <si>
    <t>頁</t>
  </si>
  <si>
    <t>（財源内訳）</t>
  </si>
  <si>
    <t>円</t>
  </si>
  <si>
    <t>検査指導事業</t>
  </si>
  <si>
    <t>■農業協同組合等関係団体の活性化及び融資等による農林業経営の支援</t>
  </si>
  <si>
    <t>　（１） 農協への常例検査実施　７組合</t>
  </si>
  <si>
    <t>　（１）農協への常例検査実施　（計画　７組合）</t>
  </si>
  <si>
    <t>（附帯歳入）</t>
  </si>
  <si>
    <t>　（２） 農協等利子補給実績　　２２組合</t>
  </si>
  <si>
    <t>　（２）農協等利子補給　（計画　２２組合）</t>
  </si>
  <si>
    <t>（一般歳入）</t>
  </si>
  <si>
    <t>環境農林水産</t>
  </si>
  <si>
    <t>■「重点研究」、「基礎研究」、「調査・モニタリング」各分野の試験研究</t>
  </si>
  <si>
    <t>■試験研究の推進</t>
  </si>
  <si>
    <t>総合研究所</t>
  </si>
  <si>
    <t>　（１）実施課題数（漁場環境調査研究など）　実績：114課題　</t>
  </si>
  <si>
    <t>　（１）実施課題数（漁場環境調査研究など）　計画：110課題　</t>
  </si>
  <si>
    <t>運営事業</t>
  </si>
  <si>
    <t>（国庫支出金）</t>
  </si>
  <si>
    <t>■大気汚染状況等の監視・分析</t>
  </si>
  <si>
    <t>　（１）観測地点　28箇所、　</t>
  </si>
  <si>
    <t>　（１）府域の大気汚染状況の常時監視や分析を行い、府民の健康被害等</t>
  </si>
  <si>
    <t>　　　　光化学スモッグ予報等発令回数　予報17回　注意報12回</t>
  </si>
  <si>
    <t>　　　　の未然防止を図る。</t>
  </si>
  <si>
    <t>環境保全事業</t>
  </si>
  <si>
    <t>■温室効果ガスの削減</t>
  </si>
  <si>
    <t>■低炭素社会を目指したまちづくりの推進</t>
  </si>
  <si>
    <t>　（１）導入した省CO2設備を活用してCO2削減効果を把握し、業務部門</t>
  </si>
  <si>
    <t>　（１）2010年度における府域の温室効果ガス総排出量を基準年度（1990年度、</t>
  </si>
  <si>
    <t>　　　　の効果的な対策オプションを整理して温室効果ガス25％削減に</t>
  </si>
  <si>
    <t>　　　代替フロン等は1995年度）から9％削減する。</t>
  </si>
  <si>
    <t>　　　向けたシナリオを検討した。</t>
  </si>
  <si>
    <t>　　　（2020年度までに温室効果ガスを、1990年比で25％削減）</t>
  </si>
  <si>
    <t>（起　　債）</t>
  </si>
  <si>
    <t xml:space="preserve">　　　　＜府域における2009年度の温室効果ガス排出量が基準年度 </t>
  </si>
  <si>
    <t xml:space="preserve"> 　　　　（1990年度、代替フロン等は1995年度）から13.5％削減＞</t>
  </si>
  <si>
    <t>　（２）中小事業者の省エネ対策によるオフセットクレジットの創出を支援</t>
  </si>
  <si>
    <t>　（２）大阪版カーボン・オフセット制度への参加事業所数（目標：３０事業所）</t>
  </si>
  <si>
    <t>　　　する『大阪版カーボン・オフセット制度』に、クレジットの創出を目指す</t>
  </si>
  <si>
    <t>　　　３３事業所が参加</t>
  </si>
  <si>
    <t>　（３）エコカー普及促進（運輸部門対策）のため、｢大阪エコカー協働</t>
  </si>
  <si>
    <t>　（３）Ｈ21昨年度策定したエコカー普及戦略を着実に進めるため、初期段階に</t>
  </si>
  <si>
    <t>　　　普及サポートネット」を設立し、関係機関と協働でエコカーの導入</t>
  </si>
  <si>
    <t>　　　必要なインフラ（充電設備等）の整備を中心に、エコカーの普及等を官民</t>
  </si>
  <si>
    <t>　　　やインフラの整備、啓発活動など多様な取組みを推進。また、</t>
  </si>
  <si>
    <t>　　　一体で推進するための協働普及体制を構築するとともに、国事業への参画</t>
  </si>
  <si>
    <t>　　　「おおさかエコカー普及環境整備基金」を創設し、充電インフラの</t>
  </si>
  <si>
    <t>　　　により普及モデルの確立を図るなど、多様なエコカーの普及を加速させる。</t>
  </si>
  <si>
    <t>　　　整備を促進した。さらに、経済産業省が実施する｢ＥＶ･ＰＨＶタウン</t>
  </si>
  <si>
    <t>　　　構想」の２次地域として１２月に指定を受けた。</t>
  </si>
  <si>
    <t>自然保護</t>
  </si>
  <si>
    <t>■校庭の芝生化等の推進
■H22 里山の自然学校「紀泉わいわい村」の年間利用者数　3.2万人</t>
  </si>
  <si>
    <t xml:space="preserve">■校庭の芝生化等の推進
</t>
  </si>
  <si>
    <t>対策事業</t>
  </si>
  <si>
    <t>　（１）H21に引き続き、目標校数を達成。</t>
  </si>
  <si>
    <t>　（１）地域住民や学校関係者が取り組む、校庭の芝生化を実施する。</t>
  </si>
  <si>
    <t xml:space="preserve">   （芝生化を63校で実施　H21～22末118校（同一校追加実施除く））</t>
  </si>
  <si>
    <t>　　　（芝生化を50校で実施　H22年度当初59校→H22年度末109校）</t>
  </si>
  <si>
    <t>　（２）H22 里山の自然学校「紀泉わいわい村」の年間利用者数</t>
  </si>
  <si>
    <t>　（２）里山の自然学校「紀泉わいわい村」の利用者数（年間2万人以上）</t>
  </si>
  <si>
    <t>　　　　（年間3.2万人）</t>
  </si>
  <si>
    <t>森林整備・</t>
  </si>
  <si>
    <t>■人工林における間伐の推進</t>
  </si>
  <si>
    <t>■人工林における間伐の推進</t>
  </si>
  <si>
    <t>保全事業</t>
  </si>
  <si>
    <t xml:space="preserve">   スギ・ヒノキ人工林の単年度の間伐必要面積1,067haに対し、</t>
  </si>
  <si>
    <t>　（１）人工林における間伐の実施率　概ね90％</t>
  </si>
  <si>
    <t xml:space="preserve">   1,218haの間伐を実施し、森林機能の向上が図られた。</t>
  </si>
  <si>
    <t xml:space="preserve">　（１）人工林における間伐の実施率　114％
</t>
  </si>
  <si>
    <t>林業振興事業</t>
  </si>
  <si>
    <t>■地域ぐるみでの森づくりの推進</t>
  </si>
  <si>
    <t xml:space="preserve">■みどりづくりを通じた地域力再生
</t>
  </si>
  <si>
    <t>　府民の森林への理解を深めることを目的として、「山に親しむ推進</t>
  </si>
  <si>
    <t xml:space="preserve">  　「みんなで育む豊かな森プロジェクト」（森林所有者・地域住民・企業・NPO</t>
  </si>
  <si>
    <t>　月間」「大阪山の日」を制定し、森林活動を通じて府民の協働による</t>
  </si>
  <si>
    <t xml:space="preserve"> 　団体 による連携活動）の展開により、森林所有者と地域ぐるみで森づくり</t>
  </si>
  <si>
    <t>　森づくりを推進した。また、企業参加による森づくりを支援するアドプト</t>
  </si>
  <si>
    <t xml:space="preserve"> 　を進める。</t>
  </si>
  <si>
    <t>　フォレスト制度・生駒山系花屏風活動を推進し、府民ぐるみで森林を</t>
  </si>
  <si>
    <t>　（１）森づくり活動にかかわった人数現状：90，000人→Ｈ22：100，000人</t>
  </si>
  <si>
    <t>　保全していくための普及啓発を行うとともに、森づくりに参加しようと</t>
  </si>
  <si>
    <t>　する企業等と森林とのマッチングを行うなど、活動への参加を促した。</t>
  </si>
  <si>
    <t>　（１）平成22年度　山に親しむ推進月間参加者数　97,416人</t>
  </si>
  <si>
    <t>林業施設</t>
  </si>
  <si>
    <t>■H21年台風18号により被災した林道の復旧工事に対し補助を行い、</t>
  </si>
  <si>
    <t>■豪雨などにより被災した林業施設の早期復旧を図ることにより、</t>
  </si>
  <si>
    <t>災害復旧事業</t>
  </si>
  <si>
    <t>　機能を回復</t>
  </si>
  <si>
    <t xml:space="preserve">   農林水産業の維持と経営の安定に寄与</t>
  </si>
  <si>
    <t>　（１）事業実施箇所　H21 ３箇所　→　H22 ４箇所</t>
  </si>
  <si>
    <t>農業振興事業</t>
  </si>
  <si>
    <t>■大阪農業を支える担い手の育成</t>
  </si>
  <si>
    <t>　（１）大阪版認定農業者数　353件(累計1,853件)</t>
  </si>
  <si>
    <t>小規模な農業者の生産拡大を図り、地産地消を推進する。</t>
  </si>
  <si>
    <t>　　　　大阪版認定農業者の農業経営計画実現に向けた支援</t>
  </si>
  <si>
    <t>　（１）大阪版認定農業者数　400件</t>
  </si>
  <si>
    <t>　　　　大阪府担い手育成総合支援協議会による大阪版認定農業者</t>
  </si>
  <si>
    <t xml:space="preserve">      　 への経営指導等：約70回</t>
  </si>
  <si>
    <t>■大阪版就農促進システム構築による新規就農支援</t>
  </si>
  <si>
    <t>■大阪版就農促進システムの構築</t>
  </si>
  <si>
    <t>　就農希望者情報の一元化、農地とのマッチングなど、新規就農に</t>
  </si>
  <si>
    <t>　　（非農業者や企業などからの新規参入の確保）</t>
  </si>
  <si>
    <t>　向け、関係機関が連携し支援した。</t>
  </si>
  <si>
    <t>　（１）新規就農者８名</t>
  </si>
  <si>
    <t>農空間</t>
  </si>
  <si>
    <t>■都市農業・農空間条例に基づき、農空間の持つ多様な公益的機能</t>
  </si>
  <si>
    <t>■遊休農地の解消や農空間保全活動の推進</t>
  </si>
  <si>
    <t>整備事業</t>
  </si>
  <si>
    <t>　　を確保</t>
  </si>
  <si>
    <t>　（１）農空間の再生活動に関わった府民の人数　42,000人</t>
  </si>
  <si>
    <t>　（１）ため池や水路の清掃や小学生等による農業体験など農空間保全活動</t>
  </si>
  <si>
    <t>　　　に取り組む。</t>
  </si>
  <si>
    <t>　　　・農空間の再生活動にかかわった人数</t>
  </si>
  <si>
    <t>　　　　Ｈ21年：34,000人→Ｈ22年：37,000人→Ｈ23年：40,000人</t>
  </si>
  <si>
    <t>　（２）公的機関等の仲介による農地の貸借等で遊休農地の解消　</t>
  </si>
  <si>
    <t>　（２）公的機関等の仲介による農地の貸借等で遊休農地の解消。</t>
  </si>
  <si>
    <t>　　農空間保全地域制度推進事業</t>
  </si>
  <si>
    <t>　　　・遊休農地５０haを解消　</t>
  </si>
  <si>
    <t>　　・遊休農地解消面積　</t>
  </si>
  <si>
    <t>　　　　Ｈ21年：73.9ha→Ｈ22年：123.9ha　⇒　Ｈ29年までに５００ha解消</t>
  </si>
  <si>
    <t>　　　H21　50.0ha(累計73.9ha)　→　H22　57.3ha（累計131.2ha）</t>
  </si>
  <si>
    <t>農業施設災害</t>
  </si>
  <si>
    <t>■農地農業用施設の早期復旧</t>
  </si>
  <si>
    <t>■豪雨などにより被災した農地農業用施設の早期復旧を図ることにより、</t>
  </si>
  <si>
    <t>復旧事業</t>
  </si>
  <si>
    <t>　（１）現年災害復旧事業</t>
  </si>
  <si>
    <t xml:space="preserve">   農林水産業の維持と経営の安定に寄与</t>
  </si>
  <si>
    <t>　　　・事業実施地区数　H21 ２４地区　→　H22 ６１地区</t>
  </si>
  <si>
    <t>　（２）過年災害復旧事業</t>
  </si>
  <si>
    <t>　　　・事業実施地区数　H21 　０地区　→　H22 ２０地区</t>
  </si>
  <si>
    <t>流通対策事業</t>
  </si>
  <si>
    <t>■安全・安心な府民の食の提供</t>
  </si>
  <si>
    <t>　（１）生鮮食料品等の安定供給の推進</t>
  </si>
  <si>
    <t>　　・地方卸売市場検査・指導（全２９市場）　　</t>
  </si>
  <si>
    <t>　　・卸売市場の指導・監督</t>
  </si>
  <si>
    <t>　　　　Ｈ21年度　12市場実施　→　Ｈ22年度　13市場実施</t>
  </si>
  <si>
    <t>　（２）食品産業振興の推進</t>
  </si>
  <si>
    <t>　（２）食品産業への総合的支援</t>
  </si>
  <si>
    <t>　　・大阪の加工食品のブランド化を推進するとともに、大阪の食の</t>
  </si>
  <si>
    <t>　　・府内食品産業の振興</t>
  </si>
  <si>
    <t>　　　魅力づくりを図る</t>
  </si>
  <si>
    <t>　　・大阪産（もん）名品（第1回）・Eマーク商品の認定　合計227品目</t>
  </si>
  <si>
    <t>　（３）食の安全安心確保対策</t>
  </si>
  <si>
    <t>　（３）食品表示の点検・指導</t>
  </si>
  <si>
    <t>　　・JAS法に基づく生鮮等巡回点検・指導</t>
  </si>
  <si>
    <t>　　　　21年度4,129店舗実施　→　22年度4,333店舗実施</t>
  </si>
  <si>
    <t>水産業</t>
  </si>
  <si>
    <t>■藻場・干潟の再生</t>
  </si>
  <si>
    <t>■美しく豊かな魚庭の海の実現</t>
  </si>
  <si>
    <t>振興事業</t>
  </si>
  <si>
    <t>　　沿岸漁場整備開発事業の実施により、藻場面積の増加</t>
  </si>
  <si>
    <t>　　藻場・干潟の再生を進め、多様な生物が生息する環境、</t>
  </si>
  <si>
    <t>　　魚にとって快適な海を実現する</t>
  </si>
  <si>
    <t>　　（１）Ｈ21末　約352ha　→　Ｈ22末　約356ha　　　　</t>
  </si>
  <si>
    <t>　（１）大阪府の藻場面積を400haに（Ｈ26年末）</t>
  </si>
  <si>
    <t>動物愛護事業</t>
  </si>
  <si>
    <t>■人と動物が共生できる社会の実現</t>
  </si>
  <si>
    <t>■人と動物が共生できる社会の実現</t>
  </si>
  <si>
    <t>　　(１)動物一時保護センターの管理運営</t>
  </si>
  <si>
    <t>　　動物取扱業の適正化、動物の愛護及び適正飼養を推進し、</t>
  </si>
  <si>
    <t>　　　　・収容数（H21：496頭・匹→H22：592頭・匹）</t>
  </si>
  <si>
    <t>　　人と動物が共生できる社会の実現を図る</t>
  </si>
  <si>
    <t>　　(２)ねこの返還譲渡（H21：70匹→H22：46匹）</t>
  </si>
  <si>
    <t>野生動物</t>
  </si>
  <si>
    <t>■野生鳥獣の保護と農林業被害の軽減</t>
  </si>
  <si>
    <t>対策事業</t>
  </si>
  <si>
    <t>　　（１）アライグマの捕獲の推進（H21：770頭→H22：1,062頭）</t>
  </si>
  <si>
    <t>　　人と野生鳥獣との適切な関係の構築及び生物多様性の保全</t>
  </si>
  <si>
    <t>　　（２）狩猟免許取得の推進</t>
  </si>
  <si>
    <t>　　を基本として、野生鳥獣の保護　と農林業被害の軽減、狩猟の</t>
  </si>
  <si>
    <t>　　　　（狩猟免許合格者数　H21：196人→H22：242人）</t>
  </si>
  <si>
    <t>　　適正化等を図る</t>
  </si>
  <si>
    <t>　　（３）イノシシ・ニホンジカの捕獲の推進</t>
  </si>
  <si>
    <t>　　　　（H21：2,984頭→H22：4,436頭）</t>
  </si>
  <si>
    <t>畜産振興事業</t>
  </si>
  <si>
    <t>■畜産物の計画的生産や価格安定対策及び家畜増殖対策等</t>
  </si>
  <si>
    <t>　による畜産業の振興</t>
  </si>
  <si>
    <t>　（１）畜産経営技術高度化業務委託を実施</t>
  </si>
  <si>
    <t>　（１）畜産経営の安定を図るため、畜産物の計画的生産や価格安定対策及び</t>
  </si>
  <si>
    <t>　　　家畜増殖対策等を推進する。また、飼料安全安全性確保や牛トレサビリ</t>
  </si>
  <si>
    <t>　　　ティー等を行い、府民に安全で良質な畜産物の安定供給を図る</t>
  </si>
  <si>
    <t xml:space="preserve"> 　</t>
  </si>
  <si>
    <t>　（２）入場者数（H21：162千人→H22：135千人）</t>
  </si>
  <si>
    <t>　（２）みどり豊かな自然の中で、家畜とのふれあい等を通じて府民に潤いを</t>
  </si>
  <si>
    <t>　　　乳用子牛育成頭数（H21：75頭→H22：65頭）</t>
  </si>
  <si>
    <t>　　　提供する府民牧場の管理運営及び府内酪農家の乳用子牛の育成を</t>
  </si>
  <si>
    <t>　　　実施し酪農振興を図る</t>
  </si>
  <si>
    <t>　</t>
  </si>
  <si>
    <t>　（３）家畜伝染病等の検査・注射の実施</t>
  </si>
  <si>
    <t>　（３）府民へ安心できる農産物を安定的に供給するため、家畜保健衛生所</t>
  </si>
  <si>
    <t>　　　　（H21：約68万検体→H22：約132万検体）</t>
  </si>
  <si>
    <t>　　　を設置・運営し、動物由来感染症等の発生予防やまん延防止を図る</t>
  </si>
  <si>
    <t>農業改良資金</t>
  </si>
  <si>
    <t>■農林漁業制度融資の貸付制度の普及と事業の適正かつ</t>
  </si>
  <si>
    <t>貸付金</t>
  </si>
  <si>
    <t>　円滑な推進</t>
  </si>
  <si>
    <t>（繰入金）</t>
  </si>
  <si>
    <t>　（１） 農業改良資金貸付</t>
  </si>
  <si>
    <t>実績　　０件</t>
  </si>
  <si>
    <t>（計画　　1件）</t>
  </si>
  <si>
    <t>（繰越金）</t>
  </si>
  <si>
    <t>　（２） 就農支援資金貸付</t>
  </si>
  <si>
    <t>実績　　２件</t>
  </si>
  <si>
    <t>（計画　　―）</t>
  </si>
  <si>
    <t>（貸付額　14,610,000円）</t>
  </si>
  <si>
    <t>歳入歳出</t>
  </si>
  <si>
    <t>差引残額</t>
  </si>
  <si>
    <t>翌年度へ繰越</t>
  </si>
  <si>
    <t>沿岸漁業改善</t>
  </si>
  <si>
    <t>資金貸付金</t>
  </si>
  <si>
    <t>　（１）沿岸漁業改善資金貸付</t>
  </si>
  <si>
    <t>実績　　４件</t>
  </si>
  <si>
    <t>　（１） 沿岸漁業改善資金貸付</t>
  </si>
  <si>
    <t>（計画　1３件）</t>
  </si>
  <si>
    <t>（貸付額　21,600,000円）</t>
  </si>
  <si>
    <t>林業・木材</t>
  </si>
  <si>
    <t>産業改善資金</t>
  </si>
  <si>
    <t>　（１）林業・木材産業改善資金貸付</t>
  </si>
  <si>
    <t>実績　　１件</t>
  </si>
  <si>
    <t>　（１） 林業・木材産業改善資金貸付</t>
  </si>
  <si>
    <t>（計画　　２件）</t>
  </si>
  <si>
    <t>　（貸付額　　6,448,000円）</t>
  </si>
  <si>
    <t>環境農林水産部</t>
  </si>
  <si>
    <t>施策事業名</t>
  </si>
  <si>
    <t>予算現額
（財源内訳）</t>
  </si>
  <si>
    <t>決 算 額
（財源内訳）</t>
  </si>
  <si>
    <t>成　　　　　　　　　果</t>
  </si>
  <si>
    <t>目</t>
  </si>
  <si>
    <t>予算事業</t>
  </si>
  <si>
    <t>予算現額</t>
  </si>
  <si>
    <t>国庫支出金</t>
  </si>
  <si>
    <t>起債</t>
  </si>
  <si>
    <t>附帯歳入</t>
  </si>
  <si>
    <t>一般歳入</t>
  </si>
  <si>
    <t>決算額</t>
  </si>
  <si>
    <t>成果指標</t>
  </si>
  <si>
    <t>計画</t>
  </si>
  <si>
    <t>実績</t>
  </si>
  <si>
    <t>円</t>
  </si>
  <si>
    <t>環境農林水産</t>
  </si>
  <si>
    <t>農業総務費</t>
  </si>
  <si>
    <t>農業総務職員費</t>
  </si>
  <si>
    <t>給料　　　　　3,119,752,407円</t>
  </si>
  <si>
    <t>846人</t>
  </si>
  <si>
    <t>824人</t>
  </si>
  <si>
    <t>総務事業</t>
  </si>
  <si>
    <t>(※海区漁業調整委員会分を含む)</t>
  </si>
  <si>
    <t>職員手当等　　2,344,519,526円</t>
  </si>
  <si>
    <t>農政諸費</t>
  </si>
  <si>
    <t>－</t>
  </si>
  <si>
    <t>　特別管理産業廃棄物（ＰＣＢ廃棄物）処理業務</t>
  </si>
  <si>
    <t>審議会費</t>
  </si>
  <si>
    <t>環境審議会、農林水産審議会ほか</t>
  </si>
  <si>
    <t>119回</t>
  </si>
  <si>
    <t>61回</t>
  </si>
  <si>
    <t>環境農林水産総合研究所独立行政法人化</t>
  </si>
  <si>
    <t>推進事業</t>
  </si>
  <si>
    <t>　大阪府環境農林水産総合研究所地方独立</t>
  </si>
  <si>
    <t>　行政法人化コンサルティング業務委託料　</t>
  </si>
  <si>
    <t>　2,625,000円</t>
  </si>
  <si>
    <t>環境農林水産総合研究所評価制度運営費</t>
  </si>
  <si>
    <t>環境農林水産総合研究所マネジメント会議</t>
  </si>
  <si>
    <t>1回</t>
  </si>
  <si>
    <t>事務事業の節減額</t>
  </si>
  <si>
    <t>－</t>
  </si>
  <si>
    <t>一般管理費</t>
  </si>
  <si>
    <t>非常勤職員雇用費等</t>
  </si>
  <si>
    <t>検査指導</t>
  </si>
  <si>
    <t>農業協同</t>
  </si>
  <si>
    <t>農業協同組合指導監督費</t>
  </si>
  <si>
    <t>農協への常例検査実施</t>
  </si>
  <si>
    <t>7組合</t>
  </si>
  <si>
    <t>事業</t>
  </si>
  <si>
    <t>組合</t>
  </si>
  <si>
    <t>　監査法人への業務委託　5,250,000円ほか</t>
  </si>
  <si>
    <t>指導費</t>
  </si>
  <si>
    <t>事務事業の節削減（農業協同組合指導費）</t>
  </si>
  <si>
    <t>－</t>
  </si>
  <si>
    <t>農林漁業</t>
  </si>
  <si>
    <t>農林漁業制度資金融通促進事業費</t>
  </si>
  <si>
    <t>農協等利子補給実績</t>
  </si>
  <si>
    <t>22組合</t>
  </si>
  <si>
    <t>金融</t>
  </si>
  <si>
    <t>対策費</t>
  </si>
  <si>
    <t>農林漁業制度融資資金特別会計繰出金</t>
  </si>
  <si>
    <t>環境農林水産</t>
  </si>
  <si>
    <t>環境農林</t>
  </si>
  <si>
    <t>食とみどり技術センター運営管理費</t>
  </si>
  <si>
    <t>総合研究所</t>
  </si>
  <si>
    <t>水産総合</t>
  </si>
  <si>
    <t>　庁舎清掃業務委託料　9,065,095円ほか</t>
  </si>
  <si>
    <t>運営事業</t>
  </si>
  <si>
    <t>研究所費</t>
  </si>
  <si>
    <t>　全国林業試験研究機関協議会負担金　</t>
  </si>
  <si>
    <t>　32,000円　ほか</t>
  </si>
  <si>
    <r>
      <t xml:space="preserve"> </t>
    </r>
    <r>
      <rPr>
        <sz val="11"/>
        <rFont val="ＭＳ Ｐゴシック"/>
        <family val="3"/>
      </rPr>
      <t xml:space="preserve"> ※予算不足分は、試験研究費及び環境科学</t>
    </r>
  </si>
  <si>
    <t>　　センター管理運営費から充当</t>
  </si>
  <si>
    <t>試験研究費</t>
  </si>
  <si>
    <t>実施課題数</t>
  </si>
  <si>
    <t>110課題</t>
  </si>
  <si>
    <t>114課題</t>
  </si>
  <si>
    <t>　農水省実用技術開発事業に係る再委託</t>
  </si>
  <si>
    <t>　2,010,000円ほか</t>
  </si>
  <si>
    <t>環境科学センター管理運営費</t>
  </si>
  <si>
    <r>
      <t>　庁舎有人警備業務委託料 3,456,045</t>
    </r>
    <r>
      <rPr>
        <sz val="11"/>
        <rFont val="ＭＳ Ｐゴシック"/>
        <family val="3"/>
      </rPr>
      <t>円ほか</t>
    </r>
  </si>
  <si>
    <t>　全国環境研協議会負担金　46,000円ほか</t>
  </si>
  <si>
    <t>大気・水質環境調査分析等業務費</t>
  </si>
  <si>
    <t>行政検体・調査研究等分析検体数(大気)</t>
  </si>
  <si>
    <t>10,449検体</t>
  </si>
  <si>
    <t>10,452検体</t>
  </si>
  <si>
    <t>行政検体・調査研究等分析検体数(水質)</t>
  </si>
  <si>
    <t>2,066検体</t>
  </si>
  <si>
    <t>2,297検体</t>
  </si>
  <si>
    <t>　GC/MSシステム及び周辺装置他保守委託</t>
  </si>
  <si>
    <t>　2,118,900円ほか</t>
  </si>
  <si>
    <t>環境技術コーディネート事業費</t>
  </si>
  <si>
    <t>おおさかエコテック評価件数</t>
  </si>
  <si>
    <t>17件</t>
  </si>
  <si>
    <t>5件</t>
  </si>
  <si>
    <t>調査船費</t>
  </si>
  <si>
    <t>調査船出航回数</t>
  </si>
  <si>
    <t>64回</t>
  </si>
  <si>
    <t>58回</t>
  </si>
  <si>
    <t>　調査船保守点検委託料　1,575,000円ほか</t>
  </si>
  <si>
    <t>　船舶無線電波利用料　400円</t>
  </si>
  <si>
    <t>水生生物センター運営管理費</t>
  </si>
  <si>
    <t>－</t>
  </si>
  <si>
    <t>　庁舎警備業務委託料　3,456,045円ほか</t>
  </si>
  <si>
    <t>　実験池排水設備改修工事　676,200円</t>
  </si>
  <si>
    <t>　全国湖沼河川養殖研究会負担金　</t>
  </si>
  <si>
    <t>　40,000円ほか</t>
  </si>
  <si>
    <t>　※予算不足分は、環境科学センター管理</t>
  </si>
  <si>
    <t>　　運営費から充当</t>
  </si>
  <si>
    <t>農業大学校事業費</t>
  </si>
  <si>
    <t>農業担い手育成人数(農業大学校学生数)</t>
  </si>
  <si>
    <t>50人</t>
  </si>
  <si>
    <t>47人</t>
  </si>
  <si>
    <t>水産技術センター運営管理費</t>
  </si>
  <si>
    <t>　庁舎清掃業務委託料　2,133,821円ほか</t>
  </si>
  <si>
    <t>　調査船係船場補修工事　960,000円</t>
  </si>
  <si>
    <t>　瀬戸内海ブロック水産試験場長会負担金</t>
  </si>
  <si>
    <t>　10,000円ほか</t>
  </si>
  <si>
    <t>事務事業の節減額（環境農林水産総合研究</t>
  </si>
  <si>
    <t>所費）</t>
  </si>
  <si>
    <t>環境農林水産総合研究所施設等整備事業</t>
  </si>
  <si>
    <t>翌年度繰越額　298,040,000円</t>
  </si>
  <si>
    <t>環境保全</t>
  </si>
  <si>
    <t>公共用水域及び地下水の水質常時監視等</t>
  </si>
  <si>
    <t>監視地点数 （河川)</t>
  </si>
  <si>
    <t>57地点</t>
  </si>
  <si>
    <t>対策費</t>
  </si>
  <si>
    <t>事業費</t>
  </si>
  <si>
    <t>監視地点数 （海域)</t>
  </si>
  <si>
    <t>15地点</t>
  </si>
  <si>
    <t>監視地点数 （地下水)</t>
  </si>
  <si>
    <t>91地点</t>
  </si>
  <si>
    <t>85地点</t>
  </si>
  <si>
    <t>　公共用水域常時監視流量観測業務委託</t>
  </si>
  <si>
    <t>　13,618,500円ほか</t>
  </si>
  <si>
    <t>有害大気汚染物質モニタリング事業</t>
  </si>
  <si>
    <t>モニタリング地点数</t>
  </si>
  <si>
    <t>9地点</t>
  </si>
  <si>
    <t>　有害大気汚染物質モニタリング業務委託</t>
  </si>
  <si>
    <t>　13,093,500円</t>
  </si>
  <si>
    <t>環境教育推進事業費</t>
  </si>
  <si>
    <t>環境情報プラザ利用者数</t>
  </si>
  <si>
    <t>19,000人</t>
  </si>
  <si>
    <t>15,220人</t>
  </si>
  <si>
    <t>環境常時監視費</t>
  </si>
  <si>
    <t>大気汚染常時監視局数</t>
  </si>
  <si>
    <t>28局</t>
  </si>
  <si>
    <t>　大気汚染測定局保守管理業務委託</t>
  </si>
  <si>
    <t>　46,830,000円ほか</t>
  </si>
  <si>
    <t>　大気汚染測定局維持管理負担金</t>
  </si>
  <si>
    <t>　2,096,000円</t>
  </si>
  <si>
    <t>環境常時監視機器整備事業</t>
  </si>
  <si>
    <t>－</t>
  </si>
  <si>
    <t>翌年度繰越額　78,782,000円</t>
  </si>
  <si>
    <t>環境情報管理費</t>
  </si>
  <si>
    <t>おおさかの環境ホームページアクセス件数</t>
  </si>
  <si>
    <t>1,398万件</t>
  </si>
  <si>
    <t>1,320万件</t>
  </si>
  <si>
    <t>　環境情報システム保守管理業務委託</t>
  </si>
  <si>
    <t>　4,560,444円ほか</t>
  </si>
  <si>
    <t>ダイオキシン類等常時監視費</t>
  </si>
  <si>
    <t>ダイオキシン類監視地点数</t>
  </si>
  <si>
    <t>108地点</t>
  </si>
  <si>
    <t>107地点</t>
  </si>
  <si>
    <t>　ダイオキシン類常時監視試料採取分析業務</t>
  </si>
  <si>
    <t>　委託　7,791,000円ほか</t>
  </si>
  <si>
    <t>事務事業の節減額（環境保全対策費）</t>
  </si>
  <si>
    <t>環境保全</t>
  </si>
  <si>
    <t>自動車公害対策費</t>
  </si>
  <si>
    <t>大阪自動車環境対策推進会議の開催</t>
  </si>
  <si>
    <t>１回</t>
  </si>
  <si>
    <t>対策費</t>
  </si>
  <si>
    <t>　大阪自動車環境対策推進会議負担金</t>
  </si>
  <si>
    <t>　500,000円　</t>
  </si>
  <si>
    <t>騒音振動規制指導費</t>
  </si>
  <si>
    <t>規制権限事務、市町村支援事業など</t>
  </si>
  <si>
    <t>22市町</t>
  </si>
  <si>
    <t>　権限移譲事務交付金　7,982,000円</t>
  </si>
  <si>
    <t>大気汚染防止計画推進事業費</t>
  </si>
  <si>
    <t>全国大気汚染防止連絡協議会への参画</t>
  </si>
  <si>
    <t>2回</t>
  </si>
  <si>
    <t>水質汚濁防止計画推進事業費</t>
  </si>
  <si>
    <t>瀬戸内海栄養塩類等削減対策調査</t>
  </si>
  <si>
    <t>100検体</t>
  </si>
  <si>
    <t>　瀬戸内海栄養塩類等削減対策基礎資料作成</t>
  </si>
  <si>
    <t>　業務委託　777,000円ほか</t>
  </si>
  <si>
    <t>　（社）瀬戸内海環境保全協会負担金</t>
  </si>
  <si>
    <t>　1,080,000円ほか</t>
  </si>
  <si>
    <t>自然海浜保全地区管理費</t>
  </si>
  <si>
    <t>自然海浜保全地区整備費（清掃費）補助対象</t>
  </si>
  <si>
    <t>1町</t>
  </si>
  <si>
    <t>市町村数</t>
  </si>
  <si>
    <t>　自然海浜保全地区整備費（清掃費）補助金</t>
  </si>
  <si>
    <t>　1,191,000円</t>
  </si>
  <si>
    <t>　落石注意看板作成等委託　58,800円</t>
  </si>
  <si>
    <t>大気汚染・水質汚濁関係苦情相談処理費</t>
  </si>
  <si>
    <t xml:space="preserve">苦情事案への対応　受付件数　 </t>
  </si>
  <si>
    <t>－</t>
  </si>
  <si>
    <t>96件</t>
  </si>
  <si>
    <t>大阪府公害防止事務費交付金</t>
  </si>
  <si>
    <t>交付先市町村</t>
  </si>
  <si>
    <t>43市町村</t>
  </si>
  <si>
    <t>　公害防止事務費交付金　73,265,000円</t>
  </si>
  <si>
    <t>地盤沈下規制指導費</t>
  </si>
  <si>
    <t>工業用水法に基づく届出等件数</t>
  </si>
  <si>
    <t xml:space="preserve">  4件</t>
  </si>
  <si>
    <t>　地下水位等観測委託　2,499,000円</t>
  </si>
  <si>
    <t>航空機公害実態調査費</t>
  </si>
  <si>
    <t>航空機騒音測定・分析箇所数</t>
  </si>
  <si>
    <t>2箇所</t>
  </si>
  <si>
    <t xml:space="preserve"> 関西国際空港周辺航空機騒音実態調査委託</t>
  </si>
  <si>
    <t>　2,310,000円</t>
  </si>
  <si>
    <t>自動車排出ガス総量削減計画推進費</t>
  </si>
  <si>
    <t>総量削減計画対策地域数</t>
  </si>
  <si>
    <t>37市町</t>
  </si>
  <si>
    <t>　総量削減計画進行管理調査委託</t>
  </si>
  <si>
    <t>　2,593,500円　</t>
  </si>
  <si>
    <t>中小企業低公害車等購入資金特別融資促進</t>
  </si>
  <si>
    <t>中小企業低公害車等購入資金特別融資</t>
  </si>
  <si>
    <t>事業</t>
  </si>
  <si>
    <t>利子補給件数</t>
  </si>
  <si>
    <t>114件</t>
  </si>
  <si>
    <t>　中小企業低公害車等購入資金特別融資</t>
  </si>
  <si>
    <t>　利子補給　1,476,515円</t>
  </si>
  <si>
    <t>　貸付金　1,000,000円</t>
  </si>
  <si>
    <t>　損失補償　2,217,160円</t>
  </si>
  <si>
    <t>環境影響評価制度運営費</t>
  </si>
  <si>
    <t>大阪府環境影響評価審査会開催</t>
  </si>
  <si>
    <t>2回</t>
  </si>
  <si>
    <t>中小企業公害防止資金特別融資促進費</t>
  </si>
  <si>
    <t>中小企業公害防止資金特別融資</t>
  </si>
  <si>
    <t>11件</t>
  </si>
  <si>
    <t>10件</t>
  </si>
  <si>
    <t>　利子補給金　165,118円</t>
  </si>
  <si>
    <t>　貸付（預託）金　6,000,000円</t>
  </si>
  <si>
    <t>　損失保証　2,844,022円</t>
  </si>
  <si>
    <t>環境保全基金運営費</t>
  </si>
  <si>
    <t>補助件数　</t>
  </si>
  <si>
    <t>9件</t>
  </si>
  <si>
    <t>　民間団体環境保全活動補助金</t>
  </si>
  <si>
    <t>　(Ｒびんプロジェクト)　171,952円　ほか</t>
  </si>
  <si>
    <t>　基金積立金　7,445,465円</t>
  </si>
  <si>
    <t>ダイオキシン類発生源対策費</t>
  </si>
  <si>
    <t>ダイオキシン類排出ガスの採取等件数</t>
  </si>
  <si>
    <t>4件</t>
  </si>
  <si>
    <t>3件</t>
  </si>
  <si>
    <t>　ダイオキシン類排出ガスの採取等委託業務</t>
  </si>
  <si>
    <t xml:space="preserve">  544,950円</t>
  </si>
  <si>
    <t>自動車ＮＯｘ・ＰＭ法等に基づく事業者指導</t>
  </si>
  <si>
    <t>特定事業者数</t>
  </si>
  <si>
    <t>628社</t>
  </si>
  <si>
    <t>623社</t>
  </si>
  <si>
    <t xml:space="preserve"> 事業者指導用資料デザイン委託　</t>
  </si>
  <si>
    <t>　　73,500円</t>
  </si>
  <si>
    <t>大気汚染防止規制指導費</t>
  </si>
  <si>
    <t>法・条例に基づく届出件数</t>
  </si>
  <si>
    <t>1,394件</t>
  </si>
  <si>
    <t>　大規模排出事業所Nox測定委託業務</t>
  </si>
  <si>
    <t>　166,950円ほか</t>
  </si>
  <si>
    <t>水質汚濁防止規制指導費</t>
  </si>
  <si>
    <t>法・条例に基づく許可・届出件数</t>
  </si>
  <si>
    <t>414件</t>
  </si>
  <si>
    <t>　工場排水等分析業務委託　4,007,220円</t>
  </si>
  <si>
    <t>騒音振動モニタリング業務費</t>
  </si>
  <si>
    <t>交通騒音の常時監視などの調査・分析対象戸数</t>
  </si>
  <si>
    <t>642,848箇所</t>
  </si>
  <si>
    <t>642,848箇所</t>
  </si>
  <si>
    <t>　騒音評価地理情報システムに係るデータ入力</t>
  </si>
  <si>
    <t>　・変更業務委託</t>
  </si>
  <si>
    <t>　3,150,000円ほか</t>
  </si>
  <si>
    <t>土壌・地下水汚染対策推進費</t>
  </si>
  <si>
    <t>土壌汚染対策法・条例に基づく報告件数</t>
  </si>
  <si>
    <t>170件</t>
  </si>
  <si>
    <t>環境行政指導業務支援情報システム整備</t>
  </si>
  <si>
    <t>　システム改修業務委託　15,750,000円ほか</t>
  </si>
  <si>
    <t>事業所指導費</t>
  </si>
  <si>
    <t>公害パトロール車運行（回数）実績</t>
  </si>
  <si>
    <t>292回</t>
  </si>
  <si>
    <t>低公害車普及促進事業</t>
  </si>
  <si>
    <t xml:space="preserve"> 森之宮天然ガススタンド運営委託</t>
  </si>
  <si>
    <t>　4,126,485円ほか</t>
  </si>
  <si>
    <t>化学物質対策推進費</t>
  </si>
  <si>
    <t>PRTR法・条例に基づく届出件数</t>
  </si>
  <si>
    <t>3,453件</t>
  </si>
  <si>
    <t>　委譲事務交付金　 5,276,000円</t>
  </si>
  <si>
    <t>大阪湾圏域広域処理場環境保全推進費</t>
  </si>
  <si>
    <t>大阪湾圏域広域処理場整備事業に係る</t>
  </si>
  <si>
    <t>大阪府域環境保全協議会開催回数</t>
  </si>
  <si>
    <t>大阪府域環境保全協議会業務資料公開回数</t>
  </si>
  <si>
    <t>環境保全推進費</t>
  </si>
  <si>
    <t>公害審査会（全体会議）開催回数</t>
  </si>
  <si>
    <t>調停委員会（調停期日）開催回数</t>
  </si>
  <si>
    <t>26回</t>
  </si>
  <si>
    <t>24回</t>
  </si>
  <si>
    <t>温暖化対策推進費</t>
  </si>
  <si>
    <t>温暖化防止条例に基づく事業者指導件数</t>
  </si>
  <si>
    <t>750事業者</t>
  </si>
  <si>
    <t>　地球環境関西フォーラム負担金</t>
  </si>
  <si>
    <t>　300,000円ほか</t>
  </si>
  <si>
    <t>エコ燃料実用化地域システム実証事業</t>
  </si>
  <si>
    <t>Ｅ３利用車両台数</t>
  </si>
  <si>
    <t>20,000台/月</t>
  </si>
  <si>
    <t>61,000台/月</t>
  </si>
  <si>
    <t>　Ｅ３の製造及び品質管理業務委託</t>
  </si>
  <si>
    <t>　383,430,000円ほか</t>
  </si>
  <si>
    <t>エコカー普及促進事業</t>
  </si>
  <si>
    <t>サポートネット総会、運営委員会、補助審査部会</t>
  </si>
  <si>
    <t>6回</t>
  </si>
  <si>
    <t>開催数</t>
  </si>
  <si>
    <t>　おおさかエコカー普及環境整備基金</t>
  </si>
  <si>
    <t>　13,000,000円</t>
  </si>
  <si>
    <t>　ＥＶ・ＰＨＶのまち推進マスタープラン策定</t>
  </si>
  <si>
    <t>　のための調査及びプラン策定支援業務委託</t>
  </si>
  <si>
    <t>　3,970,575円</t>
  </si>
  <si>
    <t>石綿健康被害救済促進事業</t>
  </si>
  <si>
    <t>　石綿被害救済基金への拠出金</t>
  </si>
  <si>
    <t>　47,000,000円</t>
  </si>
  <si>
    <t>流入車対策推進事業</t>
  </si>
  <si>
    <t>適合車等標章交付件数</t>
  </si>
  <si>
    <t>132,000枚</t>
  </si>
  <si>
    <t>97,728枚</t>
  </si>
  <si>
    <t>　適合車等標章交付業務委託</t>
  </si>
  <si>
    <t>　21,386,972円ほか</t>
  </si>
  <si>
    <t>大阪版カーボン・オフセット制度推進事業</t>
  </si>
  <si>
    <t>参加事業者数</t>
  </si>
  <si>
    <t>30件</t>
  </si>
  <si>
    <t>33件</t>
  </si>
  <si>
    <t>　大阪版カーボン・オフセット制度における</t>
  </si>
  <si>
    <t>　オフセット・クレジット仲介機関設置</t>
  </si>
  <si>
    <t>　・運営業務委託</t>
  </si>
  <si>
    <t>　3,448,200円ほか</t>
  </si>
  <si>
    <t>第一種フロン類引取等業者登録認定業務</t>
  </si>
  <si>
    <t>第１種フロン類回収量</t>
  </si>
  <si>
    <t>293トン</t>
  </si>
  <si>
    <t>294トン</t>
  </si>
  <si>
    <t>グリーンニューディール基金運営費</t>
  </si>
  <si>
    <t>　積立金　1,378,265円</t>
  </si>
  <si>
    <t>グリーンニューディール基金市町村補助事業</t>
  </si>
  <si>
    <t>補助件数(池田市他１７市町)</t>
  </si>
  <si>
    <t>１８市町</t>
  </si>
  <si>
    <t>　市町村補助金（池田市）49,791,000円ほか</t>
  </si>
  <si>
    <t>民間事業者省ＣＯ２設備導入支援事業</t>
  </si>
  <si>
    <t>補助件数</t>
  </si>
  <si>
    <t>36件</t>
  </si>
  <si>
    <t>38件</t>
  </si>
  <si>
    <t>　民間事業者省CO2設備導入支援事業</t>
  </si>
  <si>
    <t>　補助金　45,137,000円</t>
  </si>
  <si>
    <t>低炭素まちづくり推進事業【２次補正】</t>
  </si>
  <si>
    <t>共同実施者</t>
  </si>
  <si>
    <t>４社</t>
  </si>
  <si>
    <t>　チャレンジ25地域づくり事業委託</t>
  </si>
  <si>
    <t>　685,519,183円</t>
  </si>
  <si>
    <t>事務事業の節削減</t>
  </si>
  <si>
    <t>生活環境</t>
  </si>
  <si>
    <t>産業廃棄物処理指導監督費</t>
  </si>
  <si>
    <t>産業廃棄物許可業者等に対する立入指導</t>
  </si>
  <si>
    <t>500回</t>
  </si>
  <si>
    <t>593回</t>
  </si>
  <si>
    <t>施設整備</t>
  </si>
  <si>
    <t>　廃棄物等の検査分析業務委託</t>
  </si>
  <si>
    <t>促進費</t>
  </si>
  <si>
    <t>　1,264,935円ほか</t>
  </si>
  <si>
    <t>　近畿ブロック産業廃棄物処理対策推進協議会</t>
  </si>
  <si>
    <t>　負担金　80,000円</t>
  </si>
  <si>
    <t>　原状回復支援事業出えん金返還　48,000円</t>
  </si>
  <si>
    <t>産業廃棄物処理指導費</t>
  </si>
  <si>
    <t>産業廃棄物排出事業者等への立入検査等</t>
  </si>
  <si>
    <t>332件</t>
  </si>
  <si>
    <t>廃棄物等の検査分析項目</t>
  </si>
  <si>
    <t>627項目</t>
  </si>
  <si>
    <t>332項目</t>
  </si>
  <si>
    <t>　マニフェスト交付等状況報告書等電子化業務</t>
  </si>
  <si>
    <r>
      <t xml:space="preserve">　委託 </t>
    </r>
    <r>
      <rPr>
        <sz val="11"/>
        <rFont val="ＭＳ Ｐゴシック"/>
        <family val="3"/>
      </rPr>
      <t xml:space="preserve"> </t>
    </r>
    <r>
      <rPr>
        <sz val="11"/>
        <rFont val="ＭＳ Ｐゴシック"/>
        <family val="3"/>
      </rPr>
      <t>707,137円ほか</t>
    </r>
  </si>
  <si>
    <t>広域廃棄物受入監視事業費</t>
  </si>
  <si>
    <t>廃棄物等の検査分析項目</t>
  </si>
  <si>
    <t>　廃棄物等の検査分析業務委託　377,455円</t>
  </si>
  <si>
    <t>廃棄物処理指導監督費</t>
  </si>
  <si>
    <t>一般廃棄物処理施設の立入検査</t>
  </si>
  <si>
    <t>50件</t>
  </si>
  <si>
    <t>58件</t>
  </si>
  <si>
    <t>　ばいじん等の検査分析業務委託　487,830円</t>
  </si>
  <si>
    <t>　全国環境衛生・廃棄物課長会負担金</t>
  </si>
  <si>
    <t>　6,300円ほか</t>
  </si>
  <si>
    <t>魚腸骨処理対策事業費</t>
  </si>
  <si>
    <t>魚あら処理量</t>
  </si>
  <si>
    <t>28,000トン</t>
  </si>
  <si>
    <t>27,384トン</t>
  </si>
  <si>
    <t>　大阪府魚腸骨処理対策協議会負担金</t>
  </si>
  <si>
    <t>　225,000円</t>
  </si>
  <si>
    <t>リサイクル社会推進事業費</t>
  </si>
  <si>
    <t>分別収集促進計画達成率</t>
  </si>
  <si>
    <t>100%</t>
  </si>
  <si>
    <t>　大阪府リサイクル社会推進会議負担金</t>
  </si>
  <si>
    <t>　1,200,000円</t>
  </si>
  <si>
    <t>家電リサイクル大阪方式の回収台数</t>
  </si>
  <si>
    <t>-</t>
  </si>
  <si>
    <t>87,258台</t>
  </si>
  <si>
    <t>　家電リサイクルに関する実証調査委託　</t>
  </si>
  <si>
    <t>　413,117円</t>
  </si>
  <si>
    <t>再生資源循環対策促進事業</t>
  </si>
  <si>
    <t>新規再生事業者登録</t>
  </si>
  <si>
    <t>22件</t>
  </si>
  <si>
    <t>18件</t>
  </si>
  <si>
    <t>　大阪府再生資源事業推進協議会負担金</t>
  </si>
  <si>
    <t>　4,560,000円</t>
  </si>
  <si>
    <t>再生品普及促進事業費</t>
  </si>
  <si>
    <t>リサイクル製品認定</t>
  </si>
  <si>
    <t>152製品</t>
  </si>
  <si>
    <t>117製品</t>
  </si>
  <si>
    <t>　リサイクル製品認定審査業務、HP更新作業</t>
  </si>
  <si>
    <t>　委託　2,348,220円ほか</t>
  </si>
  <si>
    <t>自動車解体業許可・指導監督事業</t>
  </si>
  <si>
    <t>登録・許可業者立入検査</t>
  </si>
  <si>
    <t>349件</t>
  </si>
  <si>
    <t>230件</t>
  </si>
  <si>
    <t>生活環境影響評価事業</t>
  </si>
  <si>
    <t>大阪府廃棄物処理施設の設置に係る</t>
  </si>
  <si>
    <t>生活環境影響評価委員会開催</t>
  </si>
  <si>
    <t>堺第７－３区管理事業</t>
  </si>
  <si>
    <t>　堺第7-3区管理事務所排水処理施設等運転</t>
  </si>
  <si>
    <t>　管理等業務委託　21,316,050円ほか</t>
  </si>
  <si>
    <t>　堺第7-3区航路側フェンス改修工事</t>
  </si>
  <si>
    <t>　1,470,000円ほか</t>
  </si>
  <si>
    <t>微量ＰＣＢ汚染廃電気機器等把握支援事業</t>
  </si>
  <si>
    <t>民間が保有するＰＣＢ濃度不明機器の分析調査　</t>
  </si>
  <si>
    <t>1,080台</t>
  </si>
  <si>
    <t>300台</t>
  </si>
  <si>
    <t>への補助台数</t>
  </si>
  <si>
    <t>　微量PCB汚染廃電気機器等把握支援事業</t>
  </si>
  <si>
    <t>　補助金　3,343,577円</t>
  </si>
  <si>
    <t>バイオマス利活用推進事業</t>
  </si>
  <si>
    <t>翌年度繰越額　9,915,000円</t>
  </si>
  <si>
    <t>環境保全</t>
  </si>
  <si>
    <t>緑の分権改革推進事業費【２次補正】</t>
  </si>
  <si>
    <t>対策費</t>
  </si>
  <si>
    <t>環境緑化推進事業費</t>
  </si>
  <si>
    <t>緑化樹配付本数</t>
  </si>
  <si>
    <t>400本</t>
  </si>
  <si>
    <t>436本</t>
  </si>
  <si>
    <t>　緑化樹養成配付事業委託　15,225,000円</t>
  </si>
  <si>
    <t xml:space="preserve"> （うち公共緑化　1,300,000円）</t>
  </si>
  <si>
    <t>環境緑化対策費</t>
  </si>
  <si>
    <t>市町村への届出件数（計画、変更、完了）</t>
  </si>
  <si>
    <t>1,015件</t>
  </si>
  <si>
    <t>808件</t>
  </si>
  <si>
    <t>　建築物緑化促進市町村事務移譲交付金</t>
  </si>
  <si>
    <t>　15,733,000円</t>
  </si>
  <si>
    <t>大阪府みどりの基金設置運営費</t>
  </si>
  <si>
    <t>2,500本</t>
  </si>
  <si>
    <t>2,581本</t>
  </si>
  <si>
    <t>　緑化樹養成配付事業委託　15,225,000円</t>
  </si>
  <si>
    <t>　（うち地域緑化　13,925,000円）ほか</t>
  </si>
  <si>
    <t>　みどりの基金積立金　102,945,142円</t>
  </si>
  <si>
    <t>　みどりづくり推進事業補助金　3,000,000円ほか</t>
  </si>
  <si>
    <t>自然公園施設安全対策事業</t>
  </si>
  <si>
    <t>翌年度繰越額   8,000,000円</t>
  </si>
  <si>
    <t>自然公園施設安全対策事業【２次補正】</t>
  </si>
  <si>
    <t>自然公園施設安全対策実施箇所数</t>
  </si>
  <si>
    <t>3地区</t>
  </si>
  <si>
    <t xml:space="preserve"> 梵天山登山道改修測量設計委託　840,000円</t>
  </si>
  <si>
    <t xml:space="preserve"> ほか</t>
  </si>
  <si>
    <t xml:space="preserve"> 政の茶屋園地落石対策ほか工事　</t>
  </si>
  <si>
    <t xml:space="preserve"> 25,939,200円ほか</t>
  </si>
  <si>
    <t>自然公園管理費</t>
  </si>
  <si>
    <t>府内自然公園年間利用者数</t>
  </si>
  <si>
    <t>1790万人</t>
  </si>
  <si>
    <t>集計中</t>
  </si>
  <si>
    <t>自然公園整備事業費</t>
  </si>
  <si>
    <t>自然公園整備箇所数</t>
  </si>
  <si>
    <t>5地区</t>
  </si>
  <si>
    <t>　箕面自然研究路落石対策測量設計委託</t>
  </si>
  <si>
    <t>　1,449,000円　ほか</t>
  </si>
  <si>
    <t>　塔原地区整理伐工事　1,155,000円　ほか</t>
  </si>
  <si>
    <t>府民の森管理運営費</t>
  </si>
  <si>
    <t>府民の森年間利用者数</t>
  </si>
  <si>
    <t>155万人</t>
  </si>
  <si>
    <t>154万人</t>
  </si>
  <si>
    <t>府民の森施設安全対策事業【２次補正】</t>
  </si>
  <si>
    <t>府民の森施設安全対策実施箇所数</t>
  </si>
  <si>
    <t>6地区</t>
  </si>
  <si>
    <t>　ちはや園地ミュージアム防止対策設計委託　</t>
  </si>
  <si>
    <t>　945,000円　ほか</t>
  </si>
  <si>
    <t>　らくらく登山道木製デッキ改修工事　</t>
  </si>
  <si>
    <t>　48,918,450円　ほか</t>
  </si>
  <si>
    <t>府民の森保全整備事業費</t>
  </si>
  <si>
    <t>府民の森整備箇所数</t>
  </si>
  <si>
    <t>2地区</t>
  </si>
  <si>
    <t>　金剛登山道駐車場トイレ設計業務委託　</t>
  </si>
  <si>
    <t>　2,205,000円　ほか</t>
  </si>
  <si>
    <t>　くろんど園地遊歩道等改修工事　</t>
  </si>
  <si>
    <t>　11,497,500円　ほか</t>
  </si>
  <si>
    <t>明治の森箕面国定公園保護管理運営協議会</t>
  </si>
  <si>
    <t>運営協議会数</t>
  </si>
  <si>
    <t>1団体</t>
  </si>
  <si>
    <t>　明治の森箕面国定公園保護管理運営協議会</t>
  </si>
  <si>
    <t>　負担金　160,000円</t>
  </si>
  <si>
    <t>自然環境保全推進事業費</t>
  </si>
  <si>
    <t>ブナ林保全事業面積</t>
  </si>
  <si>
    <t>56ha</t>
  </si>
  <si>
    <t>　（財）大阪みどりのトラスト協会補助金</t>
  </si>
  <si>
    <t>　　24,765,000円</t>
  </si>
  <si>
    <t>　都市緑地保全事業市町村交付金　1,200,000円</t>
  </si>
  <si>
    <t>みどりの風を感じる街づくり事業</t>
  </si>
  <si>
    <t>公立小学校の芝生化実施校数</t>
  </si>
  <si>
    <t>53校</t>
  </si>
  <si>
    <t>58校</t>
  </si>
  <si>
    <t>　街かどシンボルツリー植栽事業委託　</t>
  </si>
  <si>
    <t xml:space="preserve">  833,700円</t>
  </si>
  <si>
    <t>　公立小学校の芝生化推進事業補助金</t>
  </si>
  <si>
    <t>　5,300,000円ほか</t>
  </si>
  <si>
    <t>　大規模芝生化実施校助成事業補助金　</t>
  </si>
  <si>
    <t>　14,973,000円ほか</t>
  </si>
  <si>
    <t>みどりの風を感じる街づくり事業【２次補正】</t>
  </si>
  <si>
    <t>4校</t>
  </si>
  <si>
    <t>5校</t>
  </si>
  <si>
    <t xml:space="preserve">　大規模芝生化実施校助成事業補助金 </t>
  </si>
  <si>
    <t xml:space="preserve">  15,000,000円ほか</t>
  </si>
  <si>
    <t>　街なみストリート助成事業補助金 20,000,000円ほか　</t>
  </si>
  <si>
    <t xml:space="preserve">　地域のみどりの拠点づくり事業補助金 </t>
  </si>
  <si>
    <t xml:space="preserve">  10,000,000円ほか </t>
  </si>
  <si>
    <t>造林費</t>
  </si>
  <si>
    <t>府営林整備事業費</t>
  </si>
  <si>
    <t>森林整備面積</t>
  </si>
  <si>
    <t>75ha</t>
  </si>
  <si>
    <t>　間伐等工事（高槻市内）</t>
  </si>
  <si>
    <t xml:space="preserve">  8,820,000円ほか</t>
  </si>
  <si>
    <t>　交付金（土地所有者分収金　島本町）</t>
  </si>
  <si>
    <t>　78,880円ほか</t>
  </si>
  <si>
    <t>森林育成事業費</t>
  </si>
  <si>
    <t>被害木の材積</t>
  </si>
  <si>
    <t>2,500㎥</t>
  </si>
  <si>
    <t>2,200㎥</t>
  </si>
  <si>
    <t>　松くい虫防除事業補助金（豊能町）</t>
  </si>
  <si>
    <t>　125,475円ほか</t>
  </si>
  <si>
    <t>　松くい虫防除事業補償金（能勢町）</t>
  </si>
  <si>
    <t>　2,833,740円ほか</t>
  </si>
  <si>
    <t>　林業用種子採取等事業（委託料）　320,250円</t>
  </si>
  <si>
    <t>森林造成事業費</t>
  </si>
  <si>
    <t>整備面積</t>
  </si>
  <si>
    <t>337ha</t>
  </si>
  <si>
    <t>301ha</t>
  </si>
  <si>
    <t xml:space="preserve">  流域森林総合整備事業補助金（能勢町）</t>
  </si>
  <si>
    <t>　10,278,009円ほか</t>
  </si>
  <si>
    <t>森林整備加速化・林業再生事業（公共分）</t>
  </si>
  <si>
    <t>除間伐の実施面積</t>
  </si>
  <si>
    <t>678ha</t>
  </si>
  <si>
    <t>729ha</t>
  </si>
  <si>
    <t>路網整備</t>
  </si>
  <si>
    <t>20,000ｍ</t>
  </si>
  <si>
    <t>10,603ｍ</t>
  </si>
  <si>
    <r>
      <t xml:space="preserve">  間伐事業補助金（豊能町）</t>
    </r>
    <r>
      <rPr>
        <sz val="11"/>
        <rFont val="ＭＳ Ｐゴシック"/>
        <family val="3"/>
      </rPr>
      <t xml:space="preserve"> </t>
    </r>
    <r>
      <rPr>
        <sz val="11"/>
        <rFont val="ＭＳ Ｐゴシック"/>
        <family val="3"/>
      </rPr>
      <t>12,327,500円ほか</t>
    </r>
  </si>
  <si>
    <t>治山費</t>
  </si>
  <si>
    <t>治山事業</t>
  </si>
  <si>
    <t>事業実施面積</t>
  </si>
  <si>
    <t>384ha</t>
  </si>
  <si>
    <t>299ha</t>
  </si>
  <si>
    <t>　予防治山工事（島本町内）測量設計委託　</t>
  </si>
  <si>
    <t>　2,628,150円ほか</t>
  </si>
  <si>
    <t>　予防治山工事(島本町内)</t>
  </si>
  <si>
    <t>　24,759,000円ほか</t>
  </si>
  <si>
    <r>
      <t>　立木補償(島本町内)</t>
    </r>
    <r>
      <rPr>
        <sz val="11"/>
        <rFont val="ＭＳ Ｐゴシック"/>
        <family val="3"/>
      </rPr>
      <t xml:space="preserve"> </t>
    </r>
    <r>
      <rPr>
        <sz val="11"/>
        <rFont val="ＭＳ Ｐゴシック"/>
        <family val="3"/>
      </rPr>
      <t>127,900円ほか</t>
    </r>
  </si>
  <si>
    <t xml:space="preserve">  治山研究会発表会参加費（負担金）</t>
  </si>
  <si>
    <t>　15,000円ほか</t>
  </si>
  <si>
    <t>翌年度繰越額　46,901,300円</t>
  </si>
  <si>
    <t>治山事業《国の補正第１号》</t>
  </si>
  <si>
    <t>翌年度繰越額　105,000,000円</t>
  </si>
  <si>
    <t>保安林管理道等安全対策事業</t>
  </si>
  <si>
    <t>翌年度繰越額　66,700,000円</t>
  </si>
  <si>
    <t>保安林管理道安全対策事業【２次補正】</t>
  </si>
  <si>
    <t>実施延長</t>
  </si>
  <si>
    <t>758m</t>
  </si>
  <si>
    <t>保安林整備推進事業費</t>
  </si>
  <si>
    <t>50ha</t>
  </si>
  <si>
    <t>66ha</t>
  </si>
  <si>
    <t>　間伐等工事（河内長野市内）</t>
  </si>
  <si>
    <t>　9,807,000円ほか</t>
  </si>
  <si>
    <t>森林保全管理事業費</t>
  </si>
  <si>
    <t>森林巡視による指導件数</t>
  </si>
  <si>
    <t>900件</t>
  </si>
  <si>
    <t>450件</t>
  </si>
  <si>
    <t>国営保険契約面積</t>
  </si>
  <si>
    <t>1,550ha</t>
  </si>
  <si>
    <t>1,413ha</t>
  </si>
  <si>
    <t>　保安林台帳整備事業委託　5,040,000円ほか</t>
  </si>
  <si>
    <t>　自然公園区域内行為許可事務費交付金　</t>
  </si>
  <si>
    <t>　58,500円ほか</t>
  </si>
  <si>
    <t>　神峰山都市近郊林管理運営協議会負担金</t>
  </si>
  <si>
    <t>　800,000円ほか</t>
  </si>
  <si>
    <t>林業振興</t>
  </si>
  <si>
    <t>林業振興費</t>
  </si>
  <si>
    <t>林業振興指導費</t>
  </si>
  <si>
    <t>労働安全衛生指導事業所数</t>
  </si>
  <si>
    <t>15事業所</t>
  </si>
  <si>
    <t>　空中写真解析等業務委託　2,835,000円</t>
  </si>
  <si>
    <t>　（うち林業振興費2,734,000円）ほか</t>
  </si>
  <si>
    <t>　労働安全力安全衛生管理改善対策事業費</t>
  </si>
  <si>
    <t>　補助金　285,000円ほか</t>
  </si>
  <si>
    <t>林業・木材産業構造改革事業費</t>
  </si>
  <si>
    <t>高性能林業機械</t>
  </si>
  <si>
    <t>2台</t>
  </si>
  <si>
    <t xml:space="preserve">  機械化林産事業補助金　10,630,000円</t>
  </si>
  <si>
    <t>森林整備加速化・林業再生事業</t>
  </si>
  <si>
    <t>地域材利用開発　</t>
  </si>
  <si>
    <t>8件</t>
  </si>
  <si>
    <t>　森林整備加速化・林業再生事業補助金</t>
  </si>
  <si>
    <t>　158,018,000円</t>
  </si>
  <si>
    <t>ー</t>
  </si>
  <si>
    <t>林道施設災害復旧事業費</t>
  </si>
  <si>
    <t>事業実施箇所</t>
  </si>
  <si>
    <t>5箇所</t>
  </si>
  <si>
    <t>4箇所</t>
  </si>
  <si>
    <t>災害復旧費</t>
  </si>
  <si>
    <t>林道延長</t>
  </si>
  <si>
    <t>43ｍ</t>
  </si>
  <si>
    <t xml:space="preserve"> 林道施設災害復旧国庫補助事業補助金</t>
  </si>
  <si>
    <t>（河内長野市）　6,201,000円ほか</t>
  </si>
  <si>
    <t>農業振興</t>
  </si>
  <si>
    <t>農業振興費</t>
  </si>
  <si>
    <t>大阪府立花の文化園管理運営費</t>
  </si>
  <si>
    <t>大阪府立花の文化園　年間入園者数</t>
  </si>
  <si>
    <t>170,000人</t>
  </si>
  <si>
    <t>168,621人</t>
  </si>
  <si>
    <t>　花の文化園管理運営委託等</t>
  </si>
  <si>
    <t>　154,833,300円　ほか</t>
  </si>
  <si>
    <t>園芸振興総合対策費</t>
  </si>
  <si>
    <t>野菜及び果樹産地の指導　（計画策定数）</t>
  </si>
  <si>
    <t>13産地</t>
  </si>
  <si>
    <t>　農林水産祭参加品評会等補助金　</t>
  </si>
  <si>
    <t xml:space="preserve">  90,000円ほか</t>
  </si>
  <si>
    <t>大阪エコ農業総合推進対策事業費</t>
  </si>
  <si>
    <t>大阪エコ農産物認証面積</t>
  </si>
  <si>
    <t>400ha</t>
  </si>
  <si>
    <t>481ha</t>
  </si>
  <si>
    <t>　病害虫発生予察調査業務委託（堺市分）</t>
  </si>
  <si>
    <t xml:space="preserve">  96,600円ほか</t>
  </si>
  <si>
    <t>農業共済・農業者年金等指導費</t>
  </si>
  <si>
    <t>農業共済組合常例検査実施数</t>
  </si>
  <si>
    <t>2組合</t>
  </si>
  <si>
    <t>農業者年金監査指導実施数（農協分）</t>
  </si>
  <si>
    <t>6組合</t>
  </si>
  <si>
    <t>農業者年金監査指導実施数（農業委員会分）</t>
  </si>
  <si>
    <t>12委員会</t>
  </si>
  <si>
    <t>認定農業者支援総合対策費</t>
  </si>
  <si>
    <t>直売所等に出荷する農業者数(H27末現在)</t>
  </si>
  <si>
    <t>6,000人</t>
  </si>
  <si>
    <t>6,569人</t>
  </si>
  <si>
    <t>エコ農産物を生産する農業者数(H27末現在)</t>
  </si>
  <si>
    <t>1,200人</t>
  </si>
  <si>
    <t>1,042人</t>
  </si>
  <si>
    <t>　委譲事務（農業経営計画の受理）交付金</t>
  </si>
  <si>
    <t>　1,991,000円ほか</t>
  </si>
  <si>
    <t>青果物価格安定対策事業</t>
  </si>
  <si>
    <t>価格安定対策事業実施品目数(延べ)</t>
  </si>
  <si>
    <t>16品目</t>
  </si>
  <si>
    <t>　こまわり産地野菜価格安定事業補助金</t>
  </si>
  <si>
    <t xml:space="preserve">  839,929円ほか</t>
  </si>
  <si>
    <t>経営構造対策事業費</t>
  </si>
  <si>
    <t>経営構造対策事業実施地区数</t>
  </si>
  <si>
    <t>1地区</t>
  </si>
  <si>
    <t>　経営構造対策推進事業補助金　1,815,000円</t>
  </si>
  <si>
    <t>農作物鳥獣被害防止対策事業</t>
  </si>
  <si>
    <t>農作物鳥獣被害防止対策事業実施地区数</t>
  </si>
  <si>
    <t>14地区</t>
  </si>
  <si>
    <t>　鳥獣被害防止対策事業（熊取町高田地区）</t>
  </si>
  <si>
    <t>　補助金　800,000円ほか</t>
  </si>
  <si>
    <t>　鳥獣被害防止総合対策交付金事業</t>
  </si>
  <si>
    <t>　（南丹・北摂地域鳥獣被害防止対策連絡</t>
  </si>
  <si>
    <r>
      <t xml:space="preserve"> </t>
    </r>
    <r>
      <rPr>
        <sz val="11"/>
        <rFont val="ＭＳ Ｐゴシック"/>
        <family val="3"/>
      </rPr>
      <t xml:space="preserve"> </t>
    </r>
    <r>
      <rPr>
        <sz val="11"/>
        <rFont val="ＭＳ Ｐゴシック"/>
        <family val="3"/>
      </rPr>
      <t>協議会）</t>
    </r>
  </si>
  <si>
    <t>　補助金　29,950,493円ほか</t>
  </si>
  <si>
    <t>戸別所得補償対策費</t>
  </si>
  <si>
    <t>水稲作付面積</t>
  </si>
  <si>
    <t>5,680ha</t>
  </si>
  <si>
    <t>5,820ha</t>
  </si>
  <si>
    <t>　水田農業構造改革対策推進交付金</t>
  </si>
  <si>
    <t>　1,026,000円</t>
  </si>
  <si>
    <t>事務事業の節減額（農業振興費）</t>
  </si>
  <si>
    <t>農業改良</t>
  </si>
  <si>
    <t>協同農業普及事業推進費</t>
  </si>
  <si>
    <t>大阪版認定農業者の育成確保数(H24末現在)</t>
  </si>
  <si>
    <t>4,000件</t>
  </si>
  <si>
    <t>3,018件</t>
  </si>
  <si>
    <t>普及費</t>
  </si>
  <si>
    <t>農業担い手対策総合推進事業費</t>
  </si>
  <si>
    <t>就農相談者数及び研修受講者数</t>
  </si>
  <si>
    <t>509人</t>
  </si>
  <si>
    <t>431人</t>
  </si>
  <si>
    <t>　短期プロ農家養成コース展示ほ設置委託</t>
  </si>
  <si>
    <t>　100,000円</t>
  </si>
  <si>
    <t>　就農就業啓発相談活動事業費補助金</t>
  </si>
  <si>
    <t>　594,000円ほか</t>
  </si>
  <si>
    <t>事務事業の節減額（農業改良普及費）</t>
  </si>
  <si>
    <t>農林漁業</t>
  </si>
  <si>
    <t>事務事業の節減額（農林漁業金融対策費）</t>
  </si>
  <si>
    <t>金融対策費</t>
  </si>
  <si>
    <t>農空間</t>
  </si>
  <si>
    <t>農業総務費</t>
  </si>
  <si>
    <t>農業委員会等助成費</t>
  </si>
  <si>
    <t>助成農業委員会等数(農業会議含む)</t>
  </si>
  <si>
    <t>44委員会</t>
  </si>
  <si>
    <t>整備事業</t>
  </si>
  <si>
    <t>　大阪府農業会議補助金　59,342,000円ほか</t>
  </si>
  <si>
    <t xml:space="preserve">　　　　　　　　　 </t>
  </si>
  <si>
    <t>土地改良費</t>
  </si>
  <si>
    <t>農空間整備事業費</t>
  </si>
  <si>
    <t>農道整備等事業(泉南地区他12地区)</t>
  </si>
  <si>
    <t>12地区</t>
  </si>
  <si>
    <t>　泉南農道実施設計(22)業務</t>
  </si>
  <si>
    <t>　7,821,450円ほか</t>
  </si>
  <si>
    <t>　広域農道岩湧地区22-3工区道路舗装工事</t>
  </si>
  <si>
    <t>　36,855,000円ほか</t>
  </si>
  <si>
    <t>　広域農道用地買収費　82,479,557円ほか</t>
  </si>
  <si>
    <t>　農村総合整備事業補助金（茨木北部地区）</t>
  </si>
  <si>
    <t>　28,221,375円　ほか</t>
  </si>
  <si>
    <t>　広域農道用地補償費　28,150,176円ほか</t>
  </si>
  <si>
    <t>翌年度繰越額　69,748,000円</t>
  </si>
  <si>
    <t>農空間整備事業費《国の補正（第１号）》</t>
  </si>
  <si>
    <t>農道整備等事業(泉南地区他3地区)</t>
  </si>
  <si>
    <t>4地区</t>
  </si>
  <si>
    <t>0地区</t>
  </si>
  <si>
    <t>翌年度繰越額　582,820,000円</t>
  </si>
  <si>
    <t>国土調査費</t>
  </si>
  <si>
    <t>地籍調査事業実施地区・面積</t>
  </si>
  <si>
    <t>10地区</t>
  </si>
  <si>
    <t xml:space="preserve">10地区 </t>
  </si>
  <si>
    <t xml:space="preserve"> 2.42K㎡</t>
  </si>
  <si>
    <t>2.63K㎡</t>
  </si>
  <si>
    <t>　地籍調査推進手引書及びﾊﾟﾝﾌﾚｯﾄ編集、</t>
  </si>
  <si>
    <t>　ﾃﾞｻﾞｲﾝ印刷に関する業務委託　</t>
  </si>
  <si>
    <r>
      <t xml:space="preserve"> </t>
    </r>
    <r>
      <rPr>
        <sz val="11"/>
        <rFont val="ＭＳ Ｐゴシック"/>
        <family val="3"/>
      </rPr>
      <t xml:space="preserve"> </t>
    </r>
    <r>
      <rPr>
        <sz val="11"/>
        <rFont val="ＭＳ Ｐゴシック"/>
        <family val="3"/>
      </rPr>
      <t>904,050円 ほか</t>
    </r>
  </si>
  <si>
    <t>　国土調査事業（地籍調査事業）補助金</t>
  </si>
  <si>
    <t>　（豊中市）5,100,000円 ほか</t>
  </si>
  <si>
    <t>農空間保全管理費</t>
  </si>
  <si>
    <t>換地清算地区数</t>
  </si>
  <si>
    <t xml:space="preserve">　広域農道22境界杭設置測量業務委託  </t>
  </si>
  <si>
    <t>　399,000円ほか</t>
  </si>
  <si>
    <t>　泉州東部区域農用地総合整備事業償還</t>
  </si>
  <si>
    <t>　負担金(平成21年度分)　833,454,341円</t>
  </si>
  <si>
    <t>土地改良事業指導費</t>
  </si>
  <si>
    <t>土地改良施設診断、適正化事業実施件数</t>
  </si>
  <si>
    <t>100箇所、6件</t>
  </si>
  <si>
    <t>110箇所、6件</t>
  </si>
  <si>
    <t>　土地改良施設維持管理適正化資金</t>
  </si>
  <si>
    <t>　拠出事業補助金　8,103,000円ほか</t>
  </si>
  <si>
    <t>農空間保全地域制度推進事業費</t>
  </si>
  <si>
    <t>遊休農地解消目標面積</t>
  </si>
  <si>
    <t>57.3ha</t>
  </si>
  <si>
    <t>　大阪府農空間推進条例に基づく事務移譲</t>
  </si>
  <si>
    <t>　交付金(H22実績）　4,535,000円　ほか</t>
  </si>
  <si>
    <t>農道橋等安全対策事業</t>
  </si>
  <si>
    <t>農道橋安全対策事業</t>
  </si>
  <si>
    <t>　広域農道耐震補強補修設計業務　</t>
  </si>
  <si>
    <r>
      <t xml:space="preserve"> </t>
    </r>
    <r>
      <rPr>
        <sz val="11"/>
        <rFont val="ＭＳ Ｐゴシック"/>
        <family val="3"/>
      </rPr>
      <t xml:space="preserve"> </t>
    </r>
    <r>
      <rPr>
        <sz val="11"/>
        <rFont val="ＭＳ Ｐゴシック"/>
        <family val="3"/>
      </rPr>
      <t>12,831,000円</t>
    </r>
  </si>
  <si>
    <t>　広域農道太子工区２２橋梁耐震補強工事</t>
  </si>
  <si>
    <r>
      <t xml:space="preserve"> </t>
    </r>
    <r>
      <rPr>
        <sz val="11"/>
        <rFont val="ＭＳ Ｐゴシック"/>
        <family val="3"/>
      </rPr>
      <t xml:space="preserve"> </t>
    </r>
    <r>
      <rPr>
        <sz val="11"/>
        <rFont val="ＭＳ Ｐゴシック"/>
        <family val="3"/>
      </rPr>
      <t xml:space="preserve"> 81,123,000円など</t>
    </r>
  </si>
  <si>
    <t>事務事業の節減額（土地改良費）</t>
  </si>
  <si>
    <t>農地調整費</t>
  </si>
  <si>
    <t>国有農地管理費</t>
  </si>
  <si>
    <t>国有農地管理（年度末残筆数）</t>
  </si>
  <si>
    <t>411筆12.37ha</t>
  </si>
  <si>
    <t>415筆12.84ha</t>
  </si>
  <si>
    <t>国有農地売払等</t>
  </si>
  <si>
    <t>4,893㎡</t>
  </si>
  <si>
    <t>146㎡</t>
  </si>
  <si>
    <t>　国有財産登記測量(22測-5)業務委託</t>
  </si>
  <si>
    <t>　987,000円ほか</t>
  </si>
  <si>
    <t>　国有農地等木杭柵設置（22工-1)工事</t>
  </si>
  <si>
    <t>　1,365,000円ほか</t>
  </si>
  <si>
    <t>　大阪府農業経営基盤強化事業事務取扱</t>
  </si>
  <si>
    <r>
      <t xml:space="preserve"> </t>
    </r>
    <r>
      <rPr>
        <sz val="11"/>
        <rFont val="ＭＳ Ｐゴシック"/>
        <family val="3"/>
      </rPr>
      <t xml:space="preserve"> </t>
    </r>
    <r>
      <rPr>
        <sz val="11"/>
        <rFont val="ＭＳ Ｐゴシック"/>
        <family val="3"/>
      </rPr>
      <t>交付金</t>
    </r>
  </si>
  <si>
    <t>　1,824,000円</t>
  </si>
  <si>
    <t>農地関係処理費</t>
  </si>
  <si>
    <t>農地利用調整処理件数</t>
  </si>
  <si>
    <t>398件</t>
  </si>
  <si>
    <t>403件</t>
  </si>
  <si>
    <t>事務事業の節減額（農地調整費）</t>
  </si>
  <si>
    <t>農地防災</t>
  </si>
  <si>
    <t>滝畑ダム事業費</t>
  </si>
  <si>
    <t>事業費</t>
  </si>
  <si>
    <t>　滝畑ダム自家用電気工作物保安管理設備</t>
  </si>
  <si>
    <t>　点検(20-23)業務　196,560円ほか</t>
  </si>
  <si>
    <t>　滝畑ダム関連水道事業債元利補給</t>
  </si>
  <si>
    <t>　5,5836,204円ほか</t>
  </si>
  <si>
    <t>ため池防災テレメータ管理費</t>
  </si>
  <si>
    <t>ため池防災テレメータ保守局数</t>
  </si>
  <si>
    <t>76局</t>
  </si>
  <si>
    <t>　大阪府ため池防災テレメータシステム21保守</t>
  </si>
  <si>
    <t>　点検業務委託　9,481,500円</t>
  </si>
  <si>
    <t>ため池防災事業費</t>
  </si>
  <si>
    <t>ため池防災事業（光明池他22地区）</t>
  </si>
  <si>
    <t>23地区</t>
  </si>
  <si>
    <t>　中ノ池実施設計（22）業務</t>
  </si>
  <si>
    <t>　5,428,500円ほか</t>
  </si>
  <si>
    <t>　上牧新川地区管更正（22）工事　</t>
  </si>
  <si>
    <t>　53,056,500円ほか</t>
  </si>
  <si>
    <t>　ため池整備事業補助金（青池）</t>
  </si>
  <si>
    <t>　14,249,412円ほか</t>
  </si>
  <si>
    <t>翌年度繰越額　10,587,000円</t>
  </si>
  <si>
    <t>ため池防災事業費《国の補正（第１号）》</t>
  </si>
  <si>
    <t>翌年度繰越額　172,966,000円</t>
  </si>
  <si>
    <t>水質保全対策事業費</t>
  </si>
  <si>
    <t>水質保全対策事業（内ケ池地区）</t>
  </si>
  <si>
    <t>　内ケ池整備(22)工事　16,485,000円</t>
  </si>
  <si>
    <t>オアシス構想推進事業費</t>
  </si>
  <si>
    <t>オアシス整備事業等（中山池他1地区）</t>
  </si>
  <si>
    <t>　中山池地区測量（22）業務　630,000円ほか</t>
  </si>
  <si>
    <t>　中山池地区整備（22）工事　46,935,000円ほか</t>
  </si>
  <si>
    <t xml:space="preserve">　オアシス整備事業補助金（大原池） </t>
  </si>
  <si>
    <t>　16,136,122円</t>
  </si>
  <si>
    <t>いきいき水路モデル事業費</t>
  </si>
  <si>
    <t>いきいき水路整備事業等(長瀬川五箇水路4期他7地区)</t>
  </si>
  <si>
    <t>8地区</t>
  </si>
  <si>
    <t>　東部排水路実施設計（22）業務　</t>
  </si>
  <si>
    <t xml:space="preserve">  5,491,500円ほか</t>
  </si>
  <si>
    <t>　番田排水路水位監視施設整備（22）工事</t>
  </si>
  <si>
    <t>　52,773,000円ほか</t>
  </si>
  <si>
    <t>　まちづくり水路整備事業補助金（高瀬川水路）</t>
  </si>
  <si>
    <t>　32,996,250円ほか</t>
  </si>
  <si>
    <t>翌年度繰越額　16,175,000円</t>
  </si>
  <si>
    <t>農地災害</t>
  </si>
  <si>
    <t>現年災害復旧費</t>
  </si>
  <si>
    <t>災害復旧事業(能勢町倉垣他60地区)</t>
  </si>
  <si>
    <t>61地区</t>
  </si>
  <si>
    <t>復旧費</t>
  </si>
  <si>
    <t>　滝畑ダム境界測量（22）業務　525,000円</t>
  </si>
  <si>
    <t>　滝畑ダム右岸道路災害復旧（22）工事</t>
  </si>
  <si>
    <t>　5,827,500円ほか</t>
  </si>
  <si>
    <t>　災害復旧費補助金（茨木市）</t>
  </si>
  <si>
    <t>　30,420,170円ほか</t>
  </si>
  <si>
    <t>過年災害復旧費</t>
  </si>
  <si>
    <t>災害復旧事業(河南町白木他19地区)</t>
  </si>
  <si>
    <t>20地区</t>
  </si>
  <si>
    <t>　災害復旧費補助金（河内長野市）</t>
  </si>
  <si>
    <t>　8,470,786円ほか</t>
  </si>
  <si>
    <t>流通対策</t>
  </si>
  <si>
    <t>流通対策費</t>
  </si>
  <si>
    <t>中央卸売市場事業会計繰出金</t>
  </si>
  <si>
    <t>　企業債償還金利息等対策事業補助金</t>
  </si>
  <si>
    <t>　102,300,000円</t>
  </si>
  <si>
    <t>　企業債償還金等出資金　12,700,000円</t>
  </si>
  <si>
    <t>卸売市場整備推進費</t>
  </si>
  <si>
    <t>地方卸売市場検査</t>
  </si>
  <si>
    <t>13市場</t>
  </si>
  <si>
    <t>卸売市場施設整備事業費</t>
  </si>
  <si>
    <t>　卸売市場施設整備事業費補助金　</t>
  </si>
  <si>
    <r>
      <t xml:space="preserve"> </t>
    </r>
    <r>
      <rPr>
        <sz val="11"/>
        <rFont val="ＭＳ Ｐゴシック"/>
        <family val="3"/>
      </rPr>
      <t xml:space="preserve"> </t>
    </r>
    <r>
      <rPr>
        <sz val="11"/>
        <rFont val="ＭＳ Ｐゴシック"/>
        <family val="3"/>
      </rPr>
      <t>570,371,000円</t>
    </r>
  </si>
  <si>
    <t>食品産業育成事業費</t>
  </si>
  <si>
    <t xml:space="preserve"> 大阪産（もん）名品（第1回）・Eマーク商品の</t>
  </si>
  <si>
    <t>227件</t>
  </si>
  <si>
    <t>認定</t>
  </si>
  <si>
    <t>災害救助用食料備蓄事業費</t>
  </si>
  <si>
    <t>災害救助用精米流通在庫備蓄量</t>
  </si>
  <si>
    <t>984トン</t>
  </si>
  <si>
    <t>　災害救助用精米保管負担金　2,485,879円</t>
  </si>
  <si>
    <t>学校給食用牛乳供給促進費</t>
  </si>
  <si>
    <t>学校給食用牛乳供給事業による学乳供給本数</t>
  </si>
  <si>
    <t>延106,121</t>
  </si>
  <si>
    <t>延100,245</t>
  </si>
  <si>
    <t>千本</t>
  </si>
  <si>
    <t>食肉流通施設整備推進事業費</t>
  </si>
  <si>
    <t>食品表示適正化推進事業「食の安全・</t>
  </si>
  <si>
    <t>ＪＡＳ法に基づく生鮮食品等巡回点検・指導</t>
  </si>
  <si>
    <t>4,000店舗</t>
  </si>
  <si>
    <t>4,333店舗</t>
  </si>
  <si>
    <t>安心関連」</t>
  </si>
  <si>
    <t>　米のDNA分析品種判別検査委託　388,000円</t>
  </si>
  <si>
    <t>食育推進事業</t>
  </si>
  <si>
    <t>食育推進ボランティア登録者数　</t>
  </si>
  <si>
    <t>720人</t>
  </si>
  <si>
    <t>681人</t>
  </si>
  <si>
    <t>水産業</t>
  </si>
  <si>
    <t>水産業振興指導費</t>
  </si>
  <si>
    <t>栽培漁業推進対策　種苗生産量</t>
  </si>
  <si>
    <t>50万尾生産</t>
  </si>
  <si>
    <t>38.4万尾生産</t>
  </si>
  <si>
    <t>振興費</t>
  </si>
  <si>
    <t>栽培漁業推進対策　放流量</t>
  </si>
  <si>
    <t>85万尾放流</t>
  </si>
  <si>
    <t>51.8万尾放流</t>
  </si>
  <si>
    <t>　採捕禁止区域灯標の維持管理委託</t>
  </si>
  <si>
    <t>　4,920,000円ほか</t>
  </si>
  <si>
    <t>　資源回復計画推進事業補助金</t>
  </si>
  <si>
    <t>　1,200,000円ほか</t>
  </si>
  <si>
    <t>沿岸漁場整備開発事業費</t>
  </si>
  <si>
    <t>広域型増殖場（藻場＋餌料培養礁）の設置</t>
  </si>
  <si>
    <t>400ha</t>
  </si>
  <si>
    <t>約356ha</t>
  </si>
  <si>
    <t>面積等（H26末現在）</t>
  </si>
  <si>
    <t>　広域型増殖場造成工事　52,741,500円　</t>
  </si>
  <si>
    <t>　増殖場効果調査委託　2,415,000円ほか　</t>
  </si>
  <si>
    <t>漁場保全対策費</t>
  </si>
  <si>
    <t>海中浮遊ゴミ除去海域面積</t>
  </si>
  <si>
    <t>23k㎡</t>
  </si>
  <si>
    <t>　漁場環境美化推進事業委託　1,512,000円ほか</t>
  </si>
  <si>
    <t>　大阪府海域美化安全協会負担金　2,000,000円</t>
  </si>
  <si>
    <t>　ほか</t>
  </si>
  <si>
    <t>漁業調整費</t>
  </si>
  <si>
    <t>漁業監理費</t>
  </si>
  <si>
    <t>漁業取締船「はやなみ」保守点検</t>
  </si>
  <si>
    <t>　漁業取締船「はやなみ」保守点検業務委託</t>
  </si>
  <si>
    <t>　5,785,500円ほか</t>
  </si>
  <si>
    <t>海区漁業調整委員会費</t>
  </si>
  <si>
    <t>委員会・委員協議会</t>
  </si>
  <si>
    <t>12回</t>
  </si>
  <si>
    <t>　全国海区漁業調整委員会連合会負担金</t>
  </si>
  <si>
    <t>　160,000円</t>
  </si>
  <si>
    <t>内水面漁場管理委員会費</t>
  </si>
  <si>
    <t>10回</t>
  </si>
  <si>
    <t>　全国内水面漁場管理委員会連合会負担金</t>
  </si>
  <si>
    <t>　140,000円</t>
  </si>
  <si>
    <t>漁港管理費</t>
  </si>
  <si>
    <t>浚渫工事（岸和田漁港）</t>
  </si>
  <si>
    <t>1漁港</t>
  </si>
  <si>
    <t>　遠隔監視制御設備点検業務　4,416,923円ほか</t>
  </si>
  <si>
    <t>　維持浚渫工事　7,483,550円ほか</t>
  </si>
  <si>
    <t>　大阪府漁港漁場協会負担金　378,000円ほか</t>
  </si>
  <si>
    <t>佐野漁港施設整備事業費</t>
  </si>
  <si>
    <t>電気防食等補修工事（佐野漁港）</t>
  </si>
  <si>
    <t>　電気防食等補修工事　4,900,000円ほか</t>
  </si>
  <si>
    <t>漁港移管整備事業</t>
  </si>
  <si>
    <t>物揚場整備工事（高石漁港ほか1漁港）</t>
  </si>
  <si>
    <t>2漁港</t>
  </si>
  <si>
    <t>　物揚場整備工事　46,272,450円ほか</t>
  </si>
  <si>
    <t>漁港建設費</t>
  </si>
  <si>
    <t>漁港漁場機能高度化事業費</t>
  </si>
  <si>
    <t>防波堤改良工事（深日漁港ほか６漁港）</t>
  </si>
  <si>
    <t>7漁港</t>
  </si>
  <si>
    <t>　機能保全計画作成委託　7,179,150円ほか</t>
  </si>
  <si>
    <t>　防波堤改良工事　56,770,350円ほか</t>
  </si>
  <si>
    <t>　漁村再生交付金事業補助金　730,800円</t>
  </si>
  <si>
    <t>翌年度繰越額　1,407,350円</t>
  </si>
  <si>
    <t>漁港建設費（海岸）</t>
  </si>
  <si>
    <t>水門等遠隔監視施設設備工事（佐野漁港ほか</t>
  </si>
  <si>
    <t>6漁港</t>
  </si>
  <si>
    <t>５漁港）</t>
  </si>
  <si>
    <t>　護岸耐震設計委託　7,814,000円</t>
  </si>
  <si>
    <t>　陸閘基礎改良工事　51,226,730円</t>
  </si>
  <si>
    <t>翌年度繰越額　10,000,000円</t>
  </si>
  <si>
    <t>動物愛護</t>
  </si>
  <si>
    <t>動物愛護</t>
  </si>
  <si>
    <t>動物愛護管理事業費</t>
  </si>
  <si>
    <t>ねこの返還・譲渡数</t>
  </si>
  <si>
    <t>100匹</t>
  </si>
  <si>
    <t>46匹</t>
  </si>
  <si>
    <t>畜産振興費</t>
  </si>
  <si>
    <t>　動物一時保護センター管理運営業務委託</t>
  </si>
  <si>
    <t>　16,000,000円ほか</t>
  </si>
  <si>
    <t>　犬猫死体処理費市町村交付金　6,263,700円</t>
  </si>
  <si>
    <t>事務事業の節減額（動物愛護畜産振興費）</t>
  </si>
  <si>
    <t>外来生物対策事業費</t>
  </si>
  <si>
    <t>アライグマ捕獲頭数</t>
  </si>
  <si>
    <t>800頭</t>
  </si>
  <si>
    <t>1,062頭</t>
  </si>
  <si>
    <t>狩猟の適正化事業費</t>
  </si>
  <si>
    <t>狩猟免許合格者数</t>
  </si>
  <si>
    <t>190人</t>
  </si>
  <si>
    <t>242人</t>
  </si>
  <si>
    <t>　狩猟免許試験及び狩猟者登録事務委託</t>
  </si>
  <si>
    <t>　1,081,500円</t>
  </si>
  <si>
    <t>鳥獣保護管理事業費</t>
  </si>
  <si>
    <t>イノシシ・ニホンジカ捕獲頭数</t>
  </si>
  <si>
    <t>2,600頭</t>
  </si>
  <si>
    <t>4,436頭</t>
  </si>
  <si>
    <t>　野生鹿生息状況調査委託　895,635円ほか</t>
  </si>
  <si>
    <t>　森林整備工事費　871,500円</t>
  </si>
  <si>
    <t>　野生鹿被害防止事業補助金　1,408,000円ほか</t>
  </si>
  <si>
    <t>畜産振興</t>
  </si>
  <si>
    <t>畜産振興総合対策事業費</t>
  </si>
  <si>
    <t>畜産経営支援指導戸数</t>
  </si>
  <si>
    <t>100戸</t>
  </si>
  <si>
    <t>93戸</t>
  </si>
  <si>
    <t>　畜産経営技術高度化推進業務委託</t>
  </si>
  <si>
    <t>　　6,124,000円ほか</t>
  </si>
  <si>
    <t>　畜産経営体支援指導事業費補助金</t>
  </si>
  <si>
    <t>　  575,000円ほか</t>
  </si>
  <si>
    <t>畜舎環境整備対策費</t>
  </si>
  <si>
    <t>環境巡回指導延べ戸数</t>
  </si>
  <si>
    <t>150戸</t>
  </si>
  <si>
    <t>155戸</t>
  </si>
  <si>
    <t>　畜産環境保全推進委託　260,000円</t>
  </si>
  <si>
    <t>府民牧場管理運営費</t>
  </si>
  <si>
    <t>入場者数</t>
  </si>
  <si>
    <t>140千人</t>
  </si>
  <si>
    <t>135千人</t>
  </si>
  <si>
    <t>　管理運営委託　71,426,000円　ほか</t>
  </si>
  <si>
    <t>　下水道整備負担金　480,000円</t>
  </si>
  <si>
    <t>肉用子牛価格安定対策費</t>
  </si>
  <si>
    <t>肉用子牛基金契約農家調査指導件数</t>
  </si>
  <si>
    <t>家畜保健</t>
  </si>
  <si>
    <t>家畜保健衛生所費</t>
  </si>
  <si>
    <t>家畜保健衛生所の維持管理</t>
  </si>
  <si>
    <t>1ヶ所</t>
  </si>
  <si>
    <t>衛生費</t>
  </si>
  <si>
    <t>　庁舎清掃作業委託　412,000円ほか</t>
  </si>
  <si>
    <t>　講習会受講負担金　 26,700円ほか</t>
  </si>
  <si>
    <t>家畜伝染病予防費</t>
  </si>
  <si>
    <t>家畜伝染病等の検査・注射の実施検体数</t>
  </si>
  <si>
    <t>615,000検体</t>
  </si>
  <si>
    <t>1,324,143検体</t>
  </si>
  <si>
    <t>家畜衛生対策事業費</t>
  </si>
  <si>
    <t>動物由来感染症等の検査等の実施検体数</t>
  </si>
  <si>
    <t>7,500検体</t>
  </si>
  <si>
    <t>14,940検体</t>
  </si>
  <si>
    <t>　ダイオキシン測定委託　422,100円ほか</t>
  </si>
  <si>
    <t>家畜保健衛生所施設整備事業費</t>
  </si>
  <si>
    <t>パラフィン包埋ブロック作製装置</t>
  </si>
  <si>
    <t>1台</t>
  </si>
  <si>
    <t>家畜保健衛生所再編整備事業</t>
  </si>
  <si>
    <t>旧家畜保健衛生所の処分</t>
  </si>
  <si>
    <t>3ヶ所</t>
  </si>
  <si>
    <t>　産業廃棄物収集運搬処分業務委託　</t>
  </si>
  <si>
    <t>　2,205,000円ほか</t>
  </si>
  <si>
    <t>事務事業の節減額（家畜保健衛生費）</t>
  </si>
  <si>
    <t>農業改良資金</t>
  </si>
  <si>
    <t>【農業改良資金特別会計】</t>
  </si>
  <si>
    <t>貸付金</t>
  </si>
  <si>
    <t>農業改良</t>
  </si>
  <si>
    <t>農業改良資金貸付金</t>
  </si>
  <si>
    <t>農業改良資金貸付実績</t>
  </si>
  <si>
    <t>1件</t>
  </si>
  <si>
    <t>0件</t>
  </si>
  <si>
    <t>資金貸付金</t>
  </si>
  <si>
    <t>　貸付額　0円</t>
  </si>
  <si>
    <t>就農支援</t>
  </si>
  <si>
    <t>就農支援資金貸付金</t>
  </si>
  <si>
    <t>就農支援資金貸付実績</t>
  </si>
  <si>
    <t>2件</t>
  </si>
  <si>
    <t>　貸付額　14,610,000円</t>
  </si>
  <si>
    <t>取扱事務費</t>
  </si>
  <si>
    <t>農業改良資金取扱事務費</t>
  </si>
  <si>
    <t>　農業改良資金事務委託　76,804円</t>
  </si>
  <si>
    <t>歳入歳出差引残額</t>
  </si>
  <si>
    <t>諸費</t>
  </si>
  <si>
    <t>就農支援資金国庫借入金償還金</t>
  </si>
  <si>
    <t>翌  年  度 へ 繰 越</t>
  </si>
  <si>
    <t>就農支援資金一般会計繰入金償還金</t>
  </si>
  <si>
    <t>沿岸漁業改善</t>
  </si>
  <si>
    <t>【沿岸漁業改善資金特別会計】</t>
  </si>
  <si>
    <t>沿岸漁業</t>
  </si>
  <si>
    <t>沿岸漁業改善資金貸付金</t>
  </si>
  <si>
    <t>沿岸漁業改善資金の貸付実績</t>
  </si>
  <si>
    <t>13件</t>
  </si>
  <si>
    <t>改善資金</t>
  </si>
  <si>
    <t>　貸付額　21,600,000円</t>
  </si>
  <si>
    <t>沿岸漁業改善資金取扱事務費</t>
  </si>
  <si>
    <t>　沿岸漁業改善資金事務委託　360,176円</t>
  </si>
  <si>
    <t>林業・木材</t>
  </si>
  <si>
    <t>【林業改善資金資金特別会計】</t>
  </si>
  <si>
    <t>産業改善資金</t>
  </si>
  <si>
    <t>林業改善</t>
  </si>
  <si>
    <t>林業・木材産業改善資金貸付金</t>
  </si>
  <si>
    <t>林業・木材産業改善資金の貸付実績</t>
  </si>
  <si>
    <t>　貸付額　6,448,000円</t>
  </si>
  <si>
    <t>林業・木材産業改善資金取扱事務費</t>
  </si>
  <si>
    <t>計</t>
  </si>
  <si>
    <t>【表中検算】うち一般会計</t>
  </si>
  <si>
    <t>【表中検算】うち特別会計</t>
  </si>
  <si>
    <t>【理論値】　うち一般会計</t>
  </si>
  <si>
    <t>【理論値】　うち特別会計</t>
  </si>
  <si>
    <t>【エラーチェック】一般会計</t>
  </si>
  <si>
    <t>【エラーチェック】特別会計</t>
  </si>
  <si>
    <t>【エラーチェック】</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</si>
</sst>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0%"/>
  </numFmts>
  <fonts count="78">
    <font>
      <sz val="11"/>
      <name val="ＭＳ Ｐゴシック"/>
      <family val="3"/>
    </font>
    <font>
      <sz val="11"/>
      <color indexed="8"/>
      <name val="ＭＳ Ｐゴシック"/>
      <family val="3"/>
    </font>
    <font>
      <sz val="6"/>
      <name val="ＭＳ Ｐゴシック"/>
      <family val="3"/>
    </font>
    <font>
      <sz val="28"/>
      <name val="ＭＳ Ｐゴシック"/>
      <family val="3"/>
    </font>
    <font>
      <b/>
      <sz val="28"/>
      <name val="ＭＳ Ｐゴシック"/>
      <family val="3"/>
    </font>
    <font>
      <b/>
      <sz val="18"/>
      <color indexed="8"/>
      <name val="ＭＳ Ｐゴシック"/>
      <family val="3"/>
    </font>
    <font>
      <sz val="11"/>
      <name val="ＭＳ 明朝"/>
      <family val="1"/>
    </font>
    <font>
      <sz val="12"/>
      <name val="ＭＳ 明朝"/>
      <family val="1"/>
    </font>
    <font>
      <sz val="6"/>
      <name val="ＭＳ 明朝"/>
      <family val="1"/>
    </font>
    <font>
      <sz val="16"/>
      <name val="ＭＳ 明朝"/>
      <family val="1"/>
    </font>
    <font>
      <b/>
      <sz val="13"/>
      <color indexed="8"/>
      <name val="ＭＳ Ｐゴシック"/>
      <family val="3"/>
    </font>
    <font>
      <sz val="13"/>
      <name val="ＭＳ Ｐゴシック"/>
      <family val="3"/>
    </font>
    <font>
      <sz val="13"/>
      <color indexed="8"/>
      <name val="ＭＳ Ｐゴシック"/>
      <family val="3"/>
    </font>
    <font>
      <sz val="12"/>
      <color indexed="8"/>
      <name val="ＭＳ Ｐゴシック"/>
      <family val="3"/>
    </font>
    <font>
      <b/>
      <sz val="16"/>
      <name val="ＭＳ ゴシック"/>
      <family val="3"/>
    </font>
    <font>
      <b/>
      <sz val="11"/>
      <name val="ＭＳ ゴシック"/>
      <family val="3"/>
    </font>
    <font>
      <sz val="14"/>
      <name val="ＭＳ 明朝"/>
      <family val="1"/>
    </font>
    <font>
      <b/>
      <i/>
      <sz val="16"/>
      <name val="ＭＳ 明朝"/>
      <family val="1"/>
    </font>
    <font>
      <b/>
      <i/>
      <sz val="11"/>
      <name val="ＭＳ 明朝"/>
      <family val="1"/>
    </font>
    <font>
      <b/>
      <i/>
      <sz val="9"/>
      <color indexed="10"/>
      <name val="ＭＳ 明朝"/>
      <family val="1"/>
    </font>
    <font>
      <sz val="12"/>
      <name val="ＭＳ Ｐゴシック"/>
      <family val="3"/>
    </font>
    <font>
      <sz val="16"/>
      <name val="ＭＳ Ｐゴシック"/>
      <family val="3"/>
    </font>
    <font>
      <sz val="10"/>
      <name val="ＭＳ Ｐゴシック"/>
      <family val="3"/>
    </font>
    <font>
      <sz val="11"/>
      <color indexed="12"/>
      <name val="ＭＳ Ｐゴシック"/>
      <family val="3"/>
    </font>
    <font>
      <sz val="11"/>
      <color indexed="10"/>
      <name val="ＭＳ Ｐゴシック"/>
      <family val="3"/>
    </font>
    <font>
      <u val="single"/>
      <sz val="11"/>
      <color indexed="10"/>
      <name val="ＭＳ Ｐゴシック"/>
      <family val="3"/>
    </font>
    <font>
      <u val="single"/>
      <sz val="10"/>
      <color indexed="10"/>
      <name val="ＭＳ Ｐゴシック"/>
      <family val="3"/>
    </font>
    <font>
      <strike/>
      <sz val="11"/>
      <color indexed="10"/>
      <name val="ＭＳ Ｐゴシック"/>
      <family val="3"/>
    </font>
    <font>
      <sz val="9"/>
      <name val="ＭＳ Ｐ明朝"/>
      <family val="1"/>
    </font>
    <font>
      <sz val="10"/>
      <color indexed="10"/>
      <name val="ＭＳ Ｐゴシック"/>
      <family val="3"/>
    </font>
    <font>
      <sz val="11"/>
      <color indexed="10"/>
      <name val="ＭＳ 明朝"/>
      <family val="1"/>
    </font>
    <font>
      <sz val="11"/>
      <color indexed="43"/>
      <name val="ＭＳ Ｐゴシック"/>
      <family val="3"/>
    </font>
    <font>
      <sz val="9"/>
      <name val="ＭＳ 明朝"/>
      <family val="1"/>
    </font>
    <font>
      <sz val="10"/>
      <name val="ＭＳ 明朝"/>
      <family val="1"/>
    </font>
    <font>
      <sz val="8"/>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Ｐゴシック"/>
      <family val="3"/>
    </font>
    <font>
      <b/>
      <sz val="36"/>
      <color indexed="8"/>
      <name val="ＭＳ Ｐゴシック"/>
      <family val="3"/>
    </font>
    <font>
      <sz val="23"/>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8"/>
      <color theme="1"/>
      <name val="Calibri"/>
      <family val="3"/>
    </font>
    <font>
      <b/>
      <sz val="13"/>
      <color theme="1"/>
      <name val="Calibri"/>
      <family val="3"/>
    </font>
    <font>
      <sz val="13"/>
      <color theme="1"/>
      <name val="Calibri"/>
      <family val="3"/>
    </font>
    <font>
      <sz val="13"/>
      <name val="Calibri"/>
      <family val="3"/>
    </font>
    <font>
      <sz val="12"/>
      <color theme="1"/>
      <name val="Calibri"/>
      <family val="3"/>
    </font>
    <font>
      <b/>
      <i/>
      <sz val="9"/>
      <color rgb="FFFF0000"/>
      <name val="ＭＳ 明朝"/>
      <family val="1"/>
    </font>
    <font>
      <sz val="11"/>
      <color rgb="FFFF0000"/>
      <name val="ＭＳ Ｐゴシック"/>
      <family val="3"/>
    </font>
    <font>
      <strike/>
      <sz val="11"/>
      <color rgb="FFFF00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border>
    <border>
      <left style="thin"/>
      <right style="thin"/>
      <top/>
      <bottom style="medium"/>
    </border>
    <border>
      <left style="medium"/>
      <right style="thin"/>
      <top style="medium"/>
      <bottom/>
    </border>
    <border>
      <left style="thin"/>
      <right/>
      <top style="medium"/>
      <bottom/>
    </border>
    <border>
      <left/>
      <right/>
      <top style="medium"/>
      <bottom/>
    </border>
    <border>
      <left/>
      <right style="medium"/>
      <top style="medium"/>
      <bottom/>
    </border>
    <border>
      <left style="medium"/>
      <right/>
      <top style="medium"/>
      <bottom/>
    </border>
    <border>
      <left style="medium"/>
      <right style="medium"/>
      <top style="medium"/>
      <bottom/>
    </border>
    <border>
      <left style="medium"/>
      <right style="thin"/>
      <top/>
      <bottom/>
    </border>
    <border>
      <left style="thin"/>
      <right style="thin"/>
      <top/>
      <bottom/>
    </border>
    <border>
      <left/>
      <right style="medium"/>
      <top/>
      <bottom/>
    </border>
    <border>
      <left style="medium"/>
      <right/>
      <top/>
      <bottom/>
    </border>
    <border>
      <left style="medium"/>
      <right style="medium"/>
      <top/>
      <bottom/>
    </border>
    <border>
      <left style="thin"/>
      <right/>
      <top/>
      <bottom/>
    </border>
    <border>
      <left style="medium"/>
      <right style="thin"/>
      <top/>
      <bottom style="medium"/>
    </border>
    <border>
      <left style="thin"/>
      <right/>
      <top/>
      <bottom style="medium"/>
    </border>
    <border>
      <left/>
      <right/>
      <top/>
      <bottom style="medium"/>
    </border>
    <border>
      <left/>
      <right style="medium"/>
      <top/>
      <bottom style="medium"/>
    </border>
    <border>
      <left style="medium"/>
      <right/>
      <top/>
      <bottom style="medium"/>
    </border>
    <border>
      <left style="medium"/>
      <right style="medium"/>
      <top/>
      <bottom style="medium"/>
    </border>
    <border>
      <left/>
      <right style="thin"/>
      <top style="medium"/>
      <bottom/>
    </border>
    <border>
      <left/>
      <right style="thin"/>
      <top/>
      <bottom/>
    </border>
    <border>
      <left/>
      <right style="thin"/>
      <top/>
      <bottom style="medium"/>
    </border>
    <border>
      <left style="thin"/>
      <right style="thin"/>
      <top style="thin"/>
      <bottom style="medium"/>
    </border>
    <border>
      <left style="thin"/>
      <right/>
      <top style="thin"/>
      <bottom style="medium"/>
    </border>
    <border>
      <left style="thin"/>
      <right style="medium"/>
      <top style="thin"/>
      <bottom style="medium"/>
    </border>
    <border>
      <left style="thin"/>
      <right style="medium"/>
      <top/>
      <bottom/>
    </border>
    <border>
      <left style="thin"/>
      <right style="medium"/>
      <top/>
      <bottom style="medium"/>
    </border>
    <border>
      <left style="thin"/>
      <right style="medium"/>
      <top style="medium"/>
      <bottom/>
    </border>
    <border>
      <left style="thin"/>
      <right style="thick"/>
      <top/>
      <bottom/>
    </border>
    <border>
      <left style="thin"/>
      <right style="thin"/>
      <top style="medium"/>
      <bottom style="thin"/>
    </border>
    <border>
      <left style="thin"/>
      <right style="medium"/>
      <top style="medium"/>
      <bottom style="thin"/>
    </border>
    <border>
      <left style="thin"/>
      <right/>
      <top style="medium"/>
      <bottom style="thin"/>
    </border>
    <border>
      <left/>
      <right/>
      <top style="medium"/>
      <bottom style="thin"/>
    </border>
    <border>
      <left/>
      <right style="medium"/>
      <top style="medium"/>
      <bottom style="thin"/>
    </border>
    <border>
      <left/>
      <right/>
      <top style="thin"/>
      <bottom style="medium"/>
    </border>
    <border>
      <left/>
      <right style="thin"/>
      <top style="thin"/>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0" borderId="0" applyNumberFormat="0" applyFill="0" applyBorder="0" applyAlignment="0" applyProtection="0"/>
    <xf numFmtId="0" fontId="56" fillId="26" borderId="1" applyNumberFormat="0" applyAlignment="0" applyProtection="0"/>
    <xf numFmtId="0" fontId="5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6" fillId="0" borderId="0">
      <alignment/>
      <protection/>
    </xf>
    <xf numFmtId="0" fontId="69" fillId="32" borderId="0" applyNumberFormat="0" applyBorder="0" applyAlignment="0" applyProtection="0"/>
  </cellStyleXfs>
  <cellXfs count="368">
    <xf numFmtId="0" fontId="0" fillId="0" borderId="0" xfId="0" applyAlignment="1">
      <alignment vertical="center"/>
    </xf>
    <xf numFmtId="0" fontId="70" fillId="0" borderId="0" xfId="0" applyFont="1" applyAlignment="1">
      <alignment/>
    </xf>
    <xf numFmtId="0" fontId="71" fillId="0" borderId="10" xfId="0" applyFont="1" applyBorder="1" applyAlignment="1">
      <alignment horizontal="center" vertical="center"/>
    </xf>
    <xf numFmtId="0" fontId="0" fillId="0" borderId="0" xfId="0" applyAlignment="1">
      <alignment horizontal="center" vertical="center"/>
    </xf>
    <xf numFmtId="0" fontId="71" fillId="0" borderId="11" xfId="0" applyFont="1" applyBorder="1" applyAlignment="1">
      <alignment horizontal="center" vertical="center"/>
    </xf>
    <xf numFmtId="0" fontId="11" fillId="0" borderId="12" xfId="0" applyFont="1" applyBorder="1" applyAlignment="1">
      <alignment horizontal="center" vertical="center"/>
    </xf>
    <xf numFmtId="0" fontId="72" fillId="0" borderId="10" xfId="0" applyFont="1" applyBorder="1" applyAlignment="1">
      <alignment horizontal="right" vertical="center"/>
    </xf>
    <xf numFmtId="0" fontId="11" fillId="0" borderId="13" xfId="0" applyFont="1" applyBorder="1" applyAlignment="1">
      <alignment vertical="center" wrapText="1"/>
    </xf>
    <xf numFmtId="0" fontId="11" fillId="0" borderId="14" xfId="0" applyFont="1" applyBorder="1" applyAlignment="1">
      <alignment vertical="center"/>
    </xf>
    <xf numFmtId="0" fontId="11" fillId="0" borderId="15" xfId="0" applyFont="1" applyBorder="1" applyAlignment="1">
      <alignment vertical="center"/>
    </xf>
    <xf numFmtId="0" fontId="11" fillId="0" borderId="16" xfId="0" applyFont="1" applyBorder="1" applyAlignment="1">
      <alignment vertical="center" wrapText="1"/>
    </xf>
    <xf numFmtId="0" fontId="11" fillId="0" borderId="17" xfId="0" applyFont="1" applyBorder="1" applyAlignment="1">
      <alignment horizontal="center" vertical="center"/>
    </xf>
    <xf numFmtId="0" fontId="11" fillId="0" borderId="18" xfId="0" applyFont="1" applyBorder="1" applyAlignment="1">
      <alignment horizontal="distributed" shrinkToFit="1"/>
    </xf>
    <xf numFmtId="38" fontId="11" fillId="0" borderId="19" xfId="48" applyFont="1" applyBorder="1" applyAlignment="1">
      <alignment horizontal="right" vertical="center"/>
    </xf>
    <xf numFmtId="0" fontId="11" fillId="0" borderId="0" xfId="0" applyFont="1" applyBorder="1" applyAlignment="1">
      <alignment vertical="center"/>
    </xf>
    <xf numFmtId="0" fontId="11" fillId="0" borderId="20" xfId="0" applyFont="1" applyBorder="1" applyAlignment="1">
      <alignment vertical="center"/>
    </xf>
    <xf numFmtId="0" fontId="11" fillId="0" borderId="21" xfId="0" applyFont="1" applyBorder="1" applyAlignment="1">
      <alignment vertical="center"/>
    </xf>
    <xf numFmtId="0" fontId="11" fillId="0" borderId="22" xfId="0" applyFont="1" applyBorder="1" applyAlignment="1">
      <alignment horizontal="center" vertical="center"/>
    </xf>
    <xf numFmtId="0" fontId="11" fillId="0" borderId="18" xfId="0" applyFont="1" applyBorder="1" applyAlignment="1">
      <alignment horizontal="center" vertical="center" shrinkToFit="1"/>
    </xf>
    <xf numFmtId="38" fontId="11" fillId="0" borderId="19" xfId="48" applyFont="1" applyBorder="1" applyAlignment="1">
      <alignment horizontal="center" vertical="center"/>
    </xf>
    <xf numFmtId="0" fontId="11" fillId="0" borderId="23" xfId="0" applyFont="1" applyBorder="1" applyAlignment="1">
      <alignment vertical="center"/>
    </xf>
    <xf numFmtId="0" fontId="11" fillId="0" borderId="0" xfId="0" applyFont="1" applyBorder="1" applyAlignment="1">
      <alignment horizontal="right" vertical="center"/>
    </xf>
    <xf numFmtId="0" fontId="11" fillId="0" borderId="0" xfId="0" applyFont="1" applyAlignment="1">
      <alignment vertical="center"/>
    </xf>
    <xf numFmtId="38" fontId="11" fillId="0" borderId="19" xfId="48" applyFont="1" applyBorder="1" applyAlignment="1">
      <alignment horizontal="left" vertical="center"/>
    </xf>
    <xf numFmtId="0" fontId="11" fillId="0" borderId="0" xfId="0" applyFont="1" applyFill="1" applyBorder="1" applyAlignment="1">
      <alignment vertical="center"/>
    </xf>
    <xf numFmtId="0" fontId="11" fillId="33" borderId="22" xfId="0" applyFont="1" applyFill="1" applyBorder="1" applyAlignment="1">
      <alignment horizontal="center" vertical="center"/>
    </xf>
    <xf numFmtId="0" fontId="11" fillId="0" borderId="0" xfId="0" applyFont="1" applyBorder="1" applyAlignment="1">
      <alignment vertical="center" wrapText="1"/>
    </xf>
    <xf numFmtId="0" fontId="11" fillId="0" borderId="24" xfId="0" applyFont="1" applyBorder="1" applyAlignment="1">
      <alignment horizontal="center" vertical="center" shrinkToFit="1"/>
    </xf>
    <xf numFmtId="38" fontId="11" fillId="0" borderId="11" xfId="48" applyFont="1" applyBorder="1" applyAlignment="1">
      <alignment horizontal="right" vertical="center"/>
    </xf>
    <xf numFmtId="0" fontId="11" fillId="0" borderId="25" xfId="0" applyFont="1" applyBorder="1" applyAlignment="1">
      <alignment vertical="center"/>
    </xf>
    <xf numFmtId="0" fontId="11" fillId="0" borderId="26" xfId="0" applyFont="1" applyBorder="1" applyAlignment="1">
      <alignment vertical="center"/>
    </xf>
    <xf numFmtId="0" fontId="11" fillId="0" borderId="27" xfId="0" applyFont="1" applyBorder="1" applyAlignment="1">
      <alignment vertical="center"/>
    </xf>
    <xf numFmtId="0" fontId="11" fillId="0" borderId="28" xfId="0" applyFont="1" applyBorder="1" applyAlignment="1">
      <alignment vertical="center"/>
    </xf>
    <xf numFmtId="0" fontId="11" fillId="0" borderId="29" xfId="0" applyFont="1" applyBorder="1" applyAlignment="1">
      <alignment horizontal="center" vertical="center"/>
    </xf>
    <xf numFmtId="0" fontId="11" fillId="0" borderId="18" xfId="60" applyFont="1" applyBorder="1" applyAlignment="1">
      <alignment horizontal="distributed"/>
      <protection/>
    </xf>
    <xf numFmtId="0" fontId="11" fillId="0" borderId="0" xfId="0" applyFont="1" applyAlignment="1">
      <alignment vertical="center"/>
    </xf>
    <xf numFmtId="0" fontId="11" fillId="0" borderId="12" xfId="0" applyFont="1" applyBorder="1" applyAlignment="1">
      <alignment vertical="center"/>
    </xf>
    <xf numFmtId="0" fontId="11" fillId="0" borderId="13" xfId="0" applyFont="1" applyFill="1" applyBorder="1" applyAlignment="1">
      <alignment vertical="top" wrapText="1"/>
    </xf>
    <xf numFmtId="0" fontId="11" fillId="0" borderId="14" xfId="0" applyFont="1" applyFill="1" applyBorder="1" applyAlignment="1">
      <alignment vertical="top"/>
    </xf>
    <xf numFmtId="0" fontId="11" fillId="0" borderId="15" xfId="0" applyFont="1" applyFill="1" applyBorder="1" applyAlignment="1">
      <alignment vertical="top"/>
    </xf>
    <xf numFmtId="0" fontId="11" fillId="0" borderId="16" xfId="0" applyFont="1" applyFill="1" applyBorder="1" applyAlignment="1">
      <alignment vertical="top" wrapText="1"/>
    </xf>
    <xf numFmtId="0" fontId="11" fillId="0" borderId="18" xfId="0" applyFont="1" applyBorder="1" applyAlignment="1">
      <alignment vertical="center"/>
    </xf>
    <xf numFmtId="0" fontId="11" fillId="0" borderId="23" xfId="0" applyFont="1" applyFill="1" applyBorder="1" applyAlignment="1">
      <alignment vertical="top"/>
    </xf>
    <xf numFmtId="0" fontId="11" fillId="0" borderId="0" xfId="0" applyFont="1" applyFill="1" applyAlignment="1">
      <alignment vertical="top"/>
    </xf>
    <xf numFmtId="0" fontId="11" fillId="0" borderId="20" xfId="0" applyFont="1" applyFill="1" applyBorder="1" applyAlignment="1">
      <alignment vertical="top"/>
    </xf>
    <xf numFmtId="0" fontId="11" fillId="0" borderId="21" xfId="0" applyFont="1" applyFill="1" applyBorder="1" applyAlignment="1">
      <alignment vertical="top"/>
    </xf>
    <xf numFmtId="0" fontId="11" fillId="0" borderId="0" xfId="0" applyFont="1" applyAlignment="1">
      <alignment vertical="top"/>
    </xf>
    <xf numFmtId="0" fontId="11" fillId="0" borderId="20" xfId="0" applyFont="1" applyBorder="1" applyAlignment="1">
      <alignment vertical="top"/>
    </xf>
    <xf numFmtId="0" fontId="11" fillId="0" borderId="21" xfId="0" applyFont="1" applyFill="1" applyBorder="1" applyAlignment="1">
      <alignment vertical="top" wrapText="1"/>
    </xf>
    <xf numFmtId="0" fontId="11" fillId="0" borderId="23" xfId="0" applyFont="1" applyFill="1" applyBorder="1" applyAlignment="1">
      <alignment vertical="top" wrapText="1"/>
    </xf>
    <xf numFmtId="0" fontId="11" fillId="0" borderId="24" xfId="0" applyFont="1" applyBorder="1" applyAlignment="1">
      <alignment vertical="center"/>
    </xf>
    <xf numFmtId="0" fontId="11" fillId="0" borderId="25" xfId="0" applyFont="1" applyFill="1" applyBorder="1" applyAlignment="1">
      <alignment vertical="top"/>
    </xf>
    <xf numFmtId="0" fontId="11" fillId="0" borderId="26" xfId="0" applyFont="1" applyFill="1" applyBorder="1" applyAlignment="1">
      <alignment vertical="top"/>
    </xf>
    <xf numFmtId="0" fontId="11" fillId="0" borderId="27" xfId="0" applyFont="1" applyFill="1" applyBorder="1" applyAlignment="1">
      <alignment vertical="top"/>
    </xf>
    <xf numFmtId="0" fontId="11" fillId="0" borderId="28" xfId="0" applyFont="1" applyFill="1" applyBorder="1" applyAlignment="1">
      <alignment vertical="top"/>
    </xf>
    <xf numFmtId="0" fontId="11" fillId="0" borderId="14" xfId="0" applyFont="1" applyFill="1" applyBorder="1" applyAlignment="1">
      <alignment vertical="top" wrapText="1"/>
    </xf>
    <xf numFmtId="0" fontId="11" fillId="0" borderId="15" xfId="0" applyFont="1" applyFill="1" applyBorder="1" applyAlignment="1">
      <alignment vertical="top" wrapText="1"/>
    </xf>
    <xf numFmtId="0" fontId="11" fillId="0" borderId="17" xfId="0" applyFont="1" applyBorder="1" applyAlignment="1">
      <alignment vertical="center"/>
    </xf>
    <xf numFmtId="0" fontId="11" fillId="0" borderId="22" xfId="0" applyFont="1" applyBorder="1" applyAlignment="1">
      <alignment vertical="center"/>
    </xf>
    <xf numFmtId="0" fontId="11" fillId="0" borderId="21" xfId="0" applyFont="1" applyBorder="1" applyAlignment="1">
      <alignment vertical="center"/>
    </xf>
    <xf numFmtId="0" fontId="11" fillId="0" borderId="0" xfId="0" applyFont="1" applyFill="1" applyAlignment="1">
      <alignment vertical="top" wrapText="1"/>
    </xf>
    <xf numFmtId="0" fontId="11" fillId="0" borderId="20" xfId="0" applyFont="1" applyFill="1" applyBorder="1" applyAlignment="1">
      <alignment vertical="top" wrapText="1"/>
    </xf>
    <xf numFmtId="0" fontId="11" fillId="0" borderId="25" xfId="0" applyFont="1" applyFill="1" applyBorder="1" applyAlignment="1">
      <alignment vertical="top" wrapText="1"/>
    </xf>
    <xf numFmtId="0" fontId="11" fillId="0" borderId="26" xfId="0" applyFont="1" applyFill="1" applyBorder="1" applyAlignment="1">
      <alignment vertical="top" wrapText="1"/>
    </xf>
    <xf numFmtId="0" fontId="11" fillId="0" borderId="27" xfId="0" applyFont="1" applyFill="1" applyBorder="1" applyAlignment="1">
      <alignment vertical="top" wrapText="1"/>
    </xf>
    <xf numFmtId="0" fontId="11" fillId="0" borderId="28" xfId="0" applyFont="1" applyFill="1" applyBorder="1" applyAlignment="1">
      <alignment vertical="top" wrapText="1"/>
    </xf>
    <xf numFmtId="0" fontId="11" fillId="0" borderId="29" xfId="0" applyFont="1" applyBorder="1" applyAlignment="1">
      <alignment vertical="center"/>
    </xf>
    <xf numFmtId="0" fontId="11" fillId="0" borderId="0" xfId="0" applyFont="1" applyBorder="1" applyAlignment="1">
      <alignment horizontal="left" vertical="top" wrapText="1"/>
    </xf>
    <xf numFmtId="0" fontId="11" fillId="0" borderId="20" xfId="0" applyFont="1" applyBorder="1" applyAlignment="1">
      <alignment horizontal="left" vertical="top" wrapText="1"/>
    </xf>
    <xf numFmtId="0" fontId="11" fillId="0" borderId="18" xfId="0" applyFont="1" applyBorder="1" applyAlignment="1">
      <alignment horizontal="center" vertical="center"/>
    </xf>
    <xf numFmtId="0" fontId="11" fillId="0" borderId="24" xfId="0" applyFont="1" applyBorder="1" applyAlignment="1">
      <alignment horizontal="center" vertical="center"/>
    </xf>
    <xf numFmtId="0" fontId="11" fillId="0" borderId="13" xfId="0" applyFont="1" applyBorder="1" applyAlignment="1">
      <alignment vertical="center"/>
    </xf>
    <xf numFmtId="0" fontId="11" fillId="0" borderId="30" xfId="0" applyFont="1" applyBorder="1" applyAlignment="1">
      <alignment vertical="center"/>
    </xf>
    <xf numFmtId="0" fontId="11" fillId="0" borderId="31" xfId="0" applyFont="1" applyBorder="1" applyAlignment="1">
      <alignment vertical="center"/>
    </xf>
    <xf numFmtId="0" fontId="11" fillId="0" borderId="32" xfId="0" applyFont="1" applyBorder="1" applyAlignment="1">
      <alignment vertical="center"/>
    </xf>
    <xf numFmtId="0" fontId="11" fillId="0" borderId="21" xfId="0" applyFont="1" applyBorder="1" applyAlignment="1">
      <alignment horizontal="left" vertical="top" wrapText="1"/>
    </xf>
    <xf numFmtId="0" fontId="11" fillId="0" borderId="23" xfId="0" applyFont="1" applyFill="1" applyBorder="1" applyAlignment="1">
      <alignment vertical="center"/>
    </xf>
    <xf numFmtId="0" fontId="73" fillId="0" borderId="23" xfId="0" applyFont="1" applyBorder="1" applyAlignment="1">
      <alignment horizontal="left" vertical="top" wrapText="1"/>
    </xf>
    <xf numFmtId="0" fontId="73" fillId="0" borderId="0" xfId="0" applyFont="1" applyBorder="1" applyAlignment="1">
      <alignment horizontal="left" vertical="top" wrapText="1"/>
    </xf>
    <xf numFmtId="0" fontId="73" fillId="0" borderId="20" xfId="0" applyFont="1" applyBorder="1" applyAlignment="1">
      <alignment horizontal="left" vertical="top" wrapText="1"/>
    </xf>
    <xf numFmtId="0" fontId="73" fillId="0" borderId="23" xfId="0" applyFont="1" applyBorder="1" applyAlignment="1">
      <alignment vertical="top" wrapText="1"/>
    </xf>
    <xf numFmtId="0" fontId="11" fillId="0" borderId="23" xfId="0" applyFont="1" applyBorder="1" applyAlignment="1">
      <alignment horizontal="left" vertical="center"/>
    </xf>
    <xf numFmtId="0" fontId="73" fillId="0" borderId="0" xfId="0" applyFont="1" applyBorder="1" applyAlignment="1">
      <alignment horizontal="left" vertical="center" wrapText="1"/>
    </xf>
    <xf numFmtId="0" fontId="73" fillId="0" borderId="20" xfId="0" applyFont="1" applyBorder="1" applyAlignment="1">
      <alignment horizontal="left" vertical="center" wrapText="1"/>
    </xf>
    <xf numFmtId="0" fontId="11" fillId="0" borderId="0" xfId="0" applyFont="1" applyAlignment="1">
      <alignment horizontal="left" vertical="center"/>
    </xf>
    <xf numFmtId="0" fontId="11" fillId="0" borderId="0" xfId="0" applyFont="1" applyBorder="1" applyAlignment="1">
      <alignment vertical="top"/>
    </xf>
    <xf numFmtId="0" fontId="11" fillId="0" borderId="23" xfId="0" applyFont="1" applyBorder="1" applyAlignment="1">
      <alignment horizontal="left" vertical="top" wrapText="1"/>
    </xf>
    <xf numFmtId="0" fontId="11" fillId="0" borderId="0" xfId="0" applyFont="1" applyAlignment="1">
      <alignment horizontal="left" vertical="top" wrapText="1"/>
    </xf>
    <xf numFmtId="0" fontId="11" fillId="0" borderId="18" xfId="60" applyFont="1" applyFill="1" applyBorder="1" applyAlignment="1">
      <alignment horizontal="distributed" shrinkToFit="1"/>
      <protection/>
    </xf>
    <xf numFmtId="0" fontId="11" fillId="0" borderId="21" xfId="0" applyFont="1" applyBorder="1" applyAlignment="1">
      <alignment vertical="top"/>
    </xf>
    <xf numFmtId="0" fontId="11" fillId="0" borderId="0" xfId="0" applyFont="1" applyBorder="1" applyAlignment="1">
      <alignment horizontal="right" vertical="top"/>
    </xf>
    <xf numFmtId="0" fontId="11" fillId="0" borderId="23" xfId="0" applyFont="1" applyBorder="1" applyAlignment="1">
      <alignment horizontal="right" vertical="center"/>
    </xf>
    <xf numFmtId="0" fontId="11" fillId="0" borderId="0" xfId="0" applyFont="1" applyBorder="1" applyAlignment="1">
      <alignment horizontal="left" vertical="center"/>
    </xf>
    <xf numFmtId="176" fontId="11" fillId="0" borderId="19" xfId="60" applyNumberFormat="1" applyFont="1" applyFill="1" applyBorder="1" applyAlignment="1">
      <alignment horizontal="distributed"/>
      <protection/>
    </xf>
    <xf numFmtId="38" fontId="11" fillId="0" borderId="19" xfId="48" applyFont="1" applyBorder="1" applyAlignment="1">
      <alignment horizontal="right"/>
    </xf>
    <xf numFmtId="38" fontId="11" fillId="0" borderId="19" xfId="48" applyFont="1" applyBorder="1" applyAlignment="1">
      <alignment vertical="center"/>
    </xf>
    <xf numFmtId="0" fontId="74" fillId="0" borderId="0" xfId="0" applyFont="1" applyAlignment="1">
      <alignment vertical="center"/>
    </xf>
    <xf numFmtId="0" fontId="16" fillId="0" borderId="0" xfId="0" applyFont="1" applyAlignment="1">
      <alignment horizontal="right" vertical="center"/>
    </xf>
    <xf numFmtId="0" fontId="6" fillId="0" borderId="0" xfId="60" applyFont="1">
      <alignment/>
      <protection/>
    </xf>
    <xf numFmtId="0" fontId="18" fillId="0" borderId="0" xfId="0" applyFont="1" applyFill="1" applyBorder="1" applyAlignment="1">
      <alignment horizontal="center" vertical="center"/>
    </xf>
    <xf numFmtId="0" fontId="9" fillId="0" borderId="0" xfId="60" applyFont="1" applyAlignment="1">
      <alignment horizontal="left" vertical="center"/>
      <protection/>
    </xf>
    <xf numFmtId="0" fontId="9" fillId="0" borderId="0" xfId="60" applyFont="1" applyBorder="1" applyAlignment="1">
      <alignment horizontal="left" vertical="center"/>
      <protection/>
    </xf>
    <xf numFmtId="0" fontId="75" fillId="0" borderId="0" xfId="60" applyFont="1" applyFill="1" applyBorder="1" applyAlignment="1">
      <alignment vertical="center"/>
      <protection/>
    </xf>
    <xf numFmtId="0" fontId="9" fillId="0" borderId="0" xfId="60" applyFont="1" applyBorder="1" applyAlignment="1">
      <alignment horizontal="left" vertical="center" indent="3"/>
      <protection/>
    </xf>
    <xf numFmtId="0" fontId="6" fillId="0" borderId="0" xfId="60" applyFont="1" applyBorder="1">
      <alignment/>
      <protection/>
    </xf>
    <xf numFmtId="177" fontId="6" fillId="0" borderId="0" xfId="60" applyNumberFormat="1" applyFont="1" applyBorder="1">
      <alignment/>
      <protection/>
    </xf>
    <xf numFmtId="177" fontId="9" fillId="0" borderId="0" xfId="60" applyNumberFormat="1" applyFont="1" applyBorder="1" applyAlignment="1">
      <alignment horizontal="right" vertical="center"/>
      <protection/>
    </xf>
    <xf numFmtId="0" fontId="6" fillId="0" borderId="0" xfId="0" applyFont="1" applyBorder="1" applyAlignment="1">
      <alignment horizontal="left" vertical="center"/>
    </xf>
    <xf numFmtId="0" fontId="20" fillId="0" borderId="26" xfId="60" applyFont="1" applyFill="1" applyBorder="1" applyAlignment="1">
      <alignment horizontal="center"/>
      <protection/>
    </xf>
    <xf numFmtId="177" fontId="20" fillId="0" borderId="33" xfId="60" applyNumberFormat="1" applyFont="1" applyFill="1" applyBorder="1" applyAlignment="1">
      <alignment horizontal="center" vertical="center"/>
      <protection/>
    </xf>
    <xf numFmtId="177" fontId="20" fillId="34" borderId="33" xfId="60" applyNumberFormat="1" applyFont="1" applyFill="1" applyBorder="1" applyAlignment="1">
      <alignment horizontal="center" vertical="center"/>
      <protection/>
    </xf>
    <xf numFmtId="177" fontId="20" fillId="0" borderId="33" xfId="60" applyNumberFormat="1" applyFont="1" applyBorder="1" applyAlignment="1">
      <alignment horizontal="center" vertical="center"/>
      <protection/>
    </xf>
    <xf numFmtId="177" fontId="20" fillId="0" borderId="34" xfId="60" applyNumberFormat="1" applyFont="1" applyBorder="1" applyAlignment="1">
      <alignment horizontal="center" vertical="center"/>
      <protection/>
    </xf>
    <xf numFmtId="177" fontId="20" fillId="0" borderId="35" xfId="60" applyNumberFormat="1" applyFont="1" applyBorder="1" applyAlignment="1">
      <alignment horizontal="center" vertical="center"/>
      <protection/>
    </xf>
    <xf numFmtId="0" fontId="6" fillId="0" borderId="0" xfId="60" applyFont="1" applyBorder="1" applyAlignment="1">
      <alignment horizontal="left" vertical="center"/>
      <protection/>
    </xf>
    <xf numFmtId="0" fontId="20" fillId="0" borderId="18" xfId="60" applyFont="1" applyBorder="1" applyAlignment="1">
      <alignment horizontal="distributed"/>
      <protection/>
    </xf>
    <xf numFmtId="176" fontId="22" fillId="0" borderId="19" xfId="60" applyNumberFormat="1" applyFont="1" applyFill="1" applyBorder="1" applyAlignment="1">
      <alignment horizontal="right"/>
      <protection/>
    </xf>
    <xf numFmtId="176" fontId="22" fillId="0" borderId="0" xfId="60" applyNumberFormat="1" applyFont="1" applyFill="1" applyBorder="1" applyAlignment="1">
      <alignment horizontal="distributed"/>
      <protection/>
    </xf>
    <xf numFmtId="0" fontId="0" fillId="0" borderId="23" xfId="60" applyFont="1" applyFill="1" applyBorder="1">
      <alignment/>
      <protection/>
    </xf>
    <xf numFmtId="0" fontId="0" fillId="0" borderId="0" xfId="60" applyFont="1" applyFill="1" applyBorder="1">
      <alignment/>
      <protection/>
    </xf>
    <xf numFmtId="0" fontId="0" fillId="0" borderId="31" xfId="60" applyFont="1" applyFill="1" applyBorder="1">
      <alignment/>
      <protection/>
    </xf>
    <xf numFmtId="177" fontId="22" fillId="0" borderId="19" xfId="60" applyNumberFormat="1" applyFont="1" applyFill="1" applyBorder="1" applyAlignment="1">
      <alignment horizontal="right"/>
      <protection/>
    </xf>
    <xf numFmtId="177" fontId="22" fillId="34" borderId="19" xfId="60" applyNumberFormat="1" applyFont="1" applyFill="1" applyBorder="1" applyAlignment="1">
      <alignment horizontal="right"/>
      <protection/>
    </xf>
    <xf numFmtId="177" fontId="0" fillId="34" borderId="19" xfId="60" applyNumberFormat="1" applyFont="1" applyFill="1" applyBorder="1" applyAlignment="1">
      <alignment horizontal="right"/>
      <protection/>
    </xf>
    <xf numFmtId="177" fontId="0" fillId="0" borderId="19" xfId="60" applyNumberFormat="1" applyFont="1" applyFill="1" applyBorder="1">
      <alignment/>
      <protection/>
    </xf>
    <xf numFmtId="177" fontId="0" fillId="0" borderId="23" xfId="60" applyNumberFormat="1" applyFont="1" applyFill="1" applyBorder="1" applyAlignment="1">
      <alignment horizontal="right"/>
      <protection/>
    </xf>
    <xf numFmtId="177" fontId="0" fillId="0" borderId="36" xfId="60" applyNumberFormat="1" applyFont="1" applyFill="1" applyBorder="1" applyAlignment="1">
      <alignment horizontal="right"/>
      <protection/>
    </xf>
    <xf numFmtId="0" fontId="6" fillId="0" borderId="0" xfId="60" applyFont="1" applyBorder="1" applyAlignment="1">
      <alignment horizontal="left"/>
      <protection/>
    </xf>
    <xf numFmtId="0" fontId="20" fillId="0" borderId="18" xfId="60" applyFont="1" applyFill="1" applyBorder="1" applyAlignment="1">
      <alignment horizontal="distributed"/>
      <protection/>
    </xf>
    <xf numFmtId="176" fontId="22" fillId="0" borderId="19" xfId="60" applyNumberFormat="1" applyFont="1" applyBorder="1">
      <alignment/>
      <protection/>
    </xf>
    <xf numFmtId="176" fontId="22" fillId="0" borderId="0" xfId="60" applyNumberFormat="1" applyFont="1" applyFill="1" applyBorder="1" applyAlignment="1">
      <alignment horizontal="distributed" vertical="center"/>
      <protection/>
    </xf>
    <xf numFmtId="0" fontId="0" fillId="0" borderId="23" xfId="60" applyFont="1" applyFill="1" applyBorder="1" applyAlignment="1">
      <alignment/>
      <protection/>
    </xf>
    <xf numFmtId="0" fontId="0" fillId="0" borderId="0" xfId="60" applyFont="1" applyFill="1" applyBorder="1" applyAlignment="1">
      <alignment/>
      <protection/>
    </xf>
    <xf numFmtId="177" fontId="0" fillId="0" borderId="19" xfId="60" applyNumberFormat="1" applyFont="1" applyFill="1" applyBorder="1" applyAlignment="1">
      <alignment horizontal="left"/>
      <protection/>
    </xf>
    <xf numFmtId="177" fontId="0" fillId="0" borderId="19" xfId="60" applyNumberFormat="1" applyFont="1" applyFill="1" applyBorder="1" applyAlignment="1">
      <alignment horizontal="right"/>
      <protection/>
    </xf>
    <xf numFmtId="0" fontId="6" fillId="0" borderId="0" xfId="60" applyFont="1" applyFill="1" applyBorder="1" applyAlignment="1">
      <alignment horizontal="left"/>
      <protection/>
    </xf>
    <xf numFmtId="0" fontId="0" fillId="0" borderId="31" xfId="60" applyFont="1" applyFill="1" applyBorder="1" applyAlignment="1">
      <alignment/>
      <protection/>
    </xf>
    <xf numFmtId="177" fontId="0" fillId="0" borderId="19" xfId="60" applyNumberFormat="1" applyFont="1" applyFill="1" applyBorder="1" applyAlignment="1">
      <alignment/>
      <protection/>
    </xf>
    <xf numFmtId="177" fontId="0" fillId="0" borderId="19" xfId="60" applyNumberFormat="1" applyFont="1" applyFill="1" applyBorder="1" applyAlignment="1">
      <alignment horizontal="center"/>
      <protection/>
    </xf>
    <xf numFmtId="177" fontId="0" fillId="0" borderId="36" xfId="60" applyNumberFormat="1" applyFont="1" applyFill="1" applyBorder="1" applyAlignment="1">
      <alignment horizontal="center"/>
      <protection/>
    </xf>
    <xf numFmtId="0" fontId="20" fillId="0" borderId="18" xfId="60" applyFont="1" applyBorder="1" applyAlignment="1">
      <alignment horizontal="center"/>
      <protection/>
    </xf>
    <xf numFmtId="0" fontId="0" fillId="0" borderId="19" xfId="60" applyFont="1" applyFill="1" applyBorder="1" applyAlignment="1">
      <alignment/>
      <protection/>
    </xf>
    <xf numFmtId="0" fontId="0" fillId="0" borderId="31" xfId="0" applyFill="1" applyBorder="1" applyAlignment="1">
      <alignment vertical="center"/>
    </xf>
    <xf numFmtId="177" fontId="22" fillId="0" borderId="31" xfId="60" applyNumberFormat="1" applyFont="1" applyFill="1" applyBorder="1" applyAlignment="1">
      <alignment horizontal="right"/>
      <protection/>
    </xf>
    <xf numFmtId="0" fontId="0" fillId="0" borderId="31" xfId="60" applyFont="1" applyFill="1" applyBorder="1">
      <alignment/>
      <protection/>
    </xf>
    <xf numFmtId="0" fontId="0" fillId="0" borderId="19" xfId="60" applyFont="1" applyFill="1" applyBorder="1" applyAlignment="1">
      <alignment/>
      <protection/>
    </xf>
    <xf numFmtId="177" fontId="23" fillId="0" borderId="19" xfId="60" applyNumberFormat="1" applyFont="1" applyFill="1" applyBorder="1" applyAlignment="1">
      <alignment/>
      <protection/>
    </xf>
    <xf numFmtId="0" fontId="20" fillId="0" borderId="24" xfId="60" applyFont="1" applyBorder="1" applyAlignment="1">
      <alignment horizontal="center"/>
      <protection/>
    </xf>
    <xf numFmtId="176" fontId="22" fillId="0" borderId="11" xfId="60" applyNumberFormat="1" applyFont="1" applyBorder="1">
      <alignment/>
      <protection/>
    </xf>
    <xf numFmtId="176" fontId="22" fillId="0" borderId="11" xfId="60" applyNumberFormat="1" applyFont="1" applyFill="1" applyBorder="1" applyAlignment="1">
      <alignment horizontal="distributed"/>
      <protection/>
    </xf>
    <xf numFmtId="0" fontId="0" fillId="0" borderId="25" xfId="60" applyFont="1" applyFill="1" applyBorder="1" applyAlignment="1">
      <alignment/>
      <protection/>
    </xf>
    <xf numFmtId="0" fontId="0" fillId="0" borderId="26" xfId="60" applyFont="1" applyFill="1" applyBorder="1" applyAlignment="1">
      <alignment/>
      <protection/>
    </xf>
    <xf numFmtId="0" fontId="0" fillId="0" borderId="32" xfId="60" applyFont="1" applyFill="1" applyBorder="1" applyAlignment="1">
      <alignment/>
      <protection/>
    </xf>
    <xf numFmtId="177" fontId="22" fillId="0" borderId="11" xfId="48" applyNumberFormat="1" applyFont="1" applyFill="1" applyBorder="1" applyAlignment="1">
      <alignment horizontal="right"/>
    </xf>
    <xf numFmtId="177" fontId="22" fillId="34" borderId="11" xfId="48" applyNumberFormat="1" applyFont="1" applyFill="1" applyBorder="1" applyAlignment="1">
      <alignment horizontal="right"/>
    </xf>
    <xf numFmtId="177" fontId="0" fillId="34" borderId="11" xfId="48" applyNumberFormat="1" applyFont="1" applyFill="1" applyBorder="1" applyAlignment="1">
      <alignment horizontal="right"/>
    </xf>
    <xf numFmtId="177" fontId="0" fillId="0" borderId="11" xfId="60" applyNumberFormat="1" applyFont="1" applyFill="1" applyBorder="1" applyAlignment="1">
      <alignment/>
      <protection/>
    </xf>
    <xf numFmtId="177" fontId="0" fillId="0" borderId="25" xfId="60" applyNumberFormat="1" applyFont="1" applyFill="1" applyBorder="1" applyAlignment="1">
      <alignment horizontal="right"/>
      <protection/>
    </xf>
    <xf numFmtId="177" fontId="0" fillId="0" borderId="37" xfId="60" applyNumberFormat="1" applyFont="1" applyFill="1" applyBorder="1" applyAlignment="1">
      <alignment horizontal="right"/>
      <protection/>
    </xf>
    <xf numFmtId="176" fontId="22" fillId="0" borderId="23" xfId="60" applyNumberFormat="1" applyFont="1" applyBorder="1">
      <alignment/>
      <protection/>
    </xf>
    <xf numFmtId="177" fontId="22" fillId="0" borderId="19" xfId="48" applyNumberFormat="1" applyFont="1" applyFill="1" applyBorder="1" applyAlignment="1">
      <alignment horizontal="right"/>
    </xf>
    <xf numFmtId="177" fontId="22" fillId="34" borderId="19" xfId="48" applyNumberFormat="1" applyFont="1" applyFill="1" applyBorder="1" applyAlignment="1">
      <alignment horizontal="right"/>
    </xf>
    <xf numFmtId="177" fontId="0" fillId="34" borderId="19" xfId="48" applyNumberFormat="1" applyFont="1" applyFill="1" applyBorder="1" applyAlignment="1">
      <alignment horizontal="right"/>
    </xf>
    <xf numFmtId="177" fontId="0" fillId="34" borderId="10" xfId="60" applyNumberFormat="1" applyFont="1" applyFill="1" applyBorder="1" applyAlignment="1">
      <alignment horizontal="right"/>
      <protection/>
    </xf>
    <xf numFmtId="0" fontId="20" fillId="0" borderId="18" xfId="60" applyFont="1" applyFill="1" applyBorder="1" applyAlignment="1">
      <alignment horizontal="distributed" vertical="center"/>
      <protection/>
    </xf>
    <xf numFmtId="177" fontId="76" fillId="0" borderId="23" xfId="60" applyNumberFormat="1" applyFont="1" applyFill="1" applyBorder="1" applyAlignment="1">
      <alignment horizontal="right"/>
      <protection/>
    </xf>
    <xf numFmtId="177" fontId="76" fillId="0" borderId="36" xfId="60" applyNumberFormat="1" applyFont="1" applyFill="1" applyBorder="1" applyAlignment="1">
      <alignment horizontal="right"/>
      <protection/>
    </xf>
    <xf numFmtId="0" fontId="0" fillId="0" borderId="19" xfId="60" applyFont="1" applyFill="1" applyBorder="1" applyAlignment="1">
      <alignment horizontal="center"/>
      <protection/>
    </xf>
    <xf numFmtId="0" fontId="20" fillId="0" borderId="12" xfId="60" applyFont="1" applyBorder="1" applyAlignment="1">
      <alignment horizontal="distributed"/>
      <protection/>
    </xf>
    <xf numFmtId="176" fontId="22" fillId="0" borderId="13" xfId="60" applyNumberFormat="1" applyFont="1" applyBorder="1">
      <alignment/>
      <protection/>
    </xf>
    <xf numFmtId="176" fontId="22" fillId="0" borderId="10" xfId="60" applyNumberFormat="1" applyFont="1" applyBorder="1">
      <alignment/>
      <protection/>
    </xf>
    <xf numFmtId="176" fontId="22" fillId="0" borderId="14" xfId="60" applyNumberFormat="1" applyFont="1" applyFill="1" applyBorder="1" applyAlignment="1">
      <alignment horizontal="distributed"/>
      <protection/>
    </xf>
    <xf numFmtId="0" fontId="0" fillId="0" borderId="13" xfId="60" applyFont="1" applyFill="1" applyBorder="1" applyAlignment="1">
      <alignment/>
      <protection/>
    </xf>
    <xf numFmtId="0" fontId="0" fillId="0" borderId="14" xfId="60" applyFont="1" applyFill="1" applyBorder="1" applyAlignment="1">
      <alignment/>
      <protection/>
    </xf>
    <xf numFmtId="0" fontId="0" fillId="0" borderId="30" xfId="60" applyFont="1" applyFill="1" applyBorder="1">
      <alignment/>
      <protection/>
    </xf>
    <xf numFmtId="177" fontId="22" fillId="0" borderId="10" xfId="48" applyNumberFormat="1" applyFont="1" applyFill="1" applyBorder="1" applyAlignment="1">
      <alignment horizontal="right"/>
    </xf>
    <xf numFmtId="177" fontId="22" fillId="34" borderId="10" xfId="48" applyNumberFormat="1" applyFont="1" applyFill="1" applyBorder="1" applyAlignment="1">
      <alignment horizontal="right"/>
    </xf>
    <xf numFmtId="177" fontId="0" fillId="34" borderId="10" xfId="48" applyNumberFormat="1" applyFont="1" applyFill="1" applyBorder="1" applyAlignment="1">
      <alignment horizontal="right"/>
    </xf>
    <xf numFmtId="177" fontId="0" fillId="0" borderId="10" xfId="60" applyNumberFormat="1" applyFont="1" applyFill="1" applyBorder="1" applyAlignment="1">
      <alignment horizontal="left"/>
      <protection/>
    </xf>
    <xf numFmtId="177" fontId="0" fillId="0" borderId="13" xfId="60" applyNumberFormat="1" applyFont="1" applyFill="1" applyBorder="1" applyAlignment="1">
      <alignment horizontal="center"/>
      <protection/>
    </xf>
    <xf numFmtId="177" fontId="0" fillId="0" borderId="38" xfId="60" applyNumberFormat="1" applyFont="1" applyFill="1" applyBorder="1" applyAlignment="1">
      <alignment horizontal="right"/>
      <protection/>
    </xf>
    <xf numFmtId="177" fontId="0" fillId="0" borderId="19" xfId="60" applyNumberFormat="1" applyFont="1" applyFill="1" applyBorder="1" applyAlignment="1">
      <alignment horizontal="left"/>
      <protection/>
    </xf>
    <xf numFmtId="176" fontId="6" fillId="0" borderId="0" xfId="60" applyNumberFormat="1" applyFont="1" applyFill="1" applyBorder="1" applyAlignment="1">
      <alignment horizontal="left"/>
      <protection/>
    </xf>
    <xf numFmtId="0" fontId="22" fillId="0" borderId="0" xfId="60" applyFont="1" applyFill="1">
      <alignment/>
      <protection/>
    </xf>
    <xf numFmtId="177" fontId="0" fillId="0" borderId="23" xfId="60" applyNumberFormat="1" applyFont="1" applyFill="1" applyBorder="1" applyAlignment="1">
      <alignment horizontal="center"/>
      <protection/>
    </xf>
    <xf numFmtId="0" fontId="22" fillId="0" borderId="0" xfId="60" applyFont="1" applyBorder="1">
      <alignment/>
      <protection/>
    </xf>
    <xf numFmtId="0" fontId="22" fillId="0" borderId="19" xfId="60" applyFont="1" applyBorder="1">
      <alignment/>
      <protection/>
    </xf>
    <xf numFmtId="177" fontId="24" fillId="34" borderId="19" xfId="60" applyNumberFormat="1" applyFont="1" applyFill="1" applyBorder="1" applyAlignment="1">
      <alignment horizontal="right"/>
      <protection/>
    </xf>
    <xf numFmtId="0" fontId="22" fillId="0" borderId="26" xfId="60" applyFont="1" applyBorder="1">
      <alignment/>
      <protection/>
    </xf>
    <xf numFmtId="0" fontId="22" fillId="0" borderId="11" xfId="60" applyFont="1" applyBorder="1">
      <alignment/>
      <protection/>
    </xf>
    <xf numFmtId="176" fontId="22" fillId="0" borderId="26" xfId="60" applyNumberFormat="1" applyFont="1" applyFill="1" applyBorder="1" applyAlignment="1">
      <alignment horizontal="distributed"/>
      <protection/>
    </xf>
    <xf numFmtId="0" fontId="0" fillId="0" borderId="32" xfId="60" applyFont="1" applyFill="1" applyBorder="1">
      <alignment/>
      <protection/>
    </xf>
    <xf numFmtId="177" fontId="22" fillId="0" borderId="11" xfId="60" applyNumberFormat="1" applyFont="1" applyFill="1" applyBorder="1" applyAlignment="1">
      <alignment horizontal="right"/>
      <protection/>
    </xf>
    <xf numFmtId="177" fontId="22" fillId="34" borderId="11" xfId="60" applyNumberFormat="1" applyFont="1" applyFill="1" applyBorder="1" applyAlignment="1">
      <alignment horizontal="right"/>
      <protection/>
    </xf>
    <xf numFmtId="177" fontId="0" fillId="34" borderId="11" xfId="60" applyNumberFormat="1" applyFont="1" applyFill="1" applyBorder="1" applyAlignment="1">
      <alignment horizontal="right"/>
      <protection/>
    </xf>
    <xf numFmtId="177" fontId="0" fillId="0" borderId="11" xfId="60" applyNumberFormat="1" applyFont="1" applyFill="1" applyBorder="1" applyAlignment="1">
      <alignment horizontal="left"/>
      <protection/>
    </xf>
    <xf numFmtId="177" fontId="0" fillId="0" borderId="19" xfId="60" applyNumberFormat="1" applyFont="1" applyFill="1" applyBorder="1" applyAlignment="1">
      <alignment/>
      <protection/>
    </xf>
    <xf numFmtId="177" fontId="0" fillId="0" borderId="19" xfId="60" applyNumberFormat="1" applyFont="1" applyFill="1" applyBorder="1" applyAlignment="1">
      <alignment wrapText="1"/>
      <protection/>
    </xf>
    <xf numFmtId="0" fontId="25" fillId="0" borderId="31" xfId="60" applyFont="1" applyFill="1" applyBorder="1">
      <alignment/>
      <protection/>
    </xf>
    <xf numFmtId="177" fontId="26" fillId="0" borderId="19" xfId="60" applyNumberFormat="1" applyFont="1" applyFill="1" applyBorder="1" applyAlignment="1">
      <alignment horizontal="right"/>
      <protection/>
    </xf>
    <xf numFmtId="0" fontId="22" fillId="0" borderId="26" xfId="60" applyFont="1" applyFill="1" applyBorder="1">
      <alignment/>
      <protection/>
    </xf>
    <xf numFmtId="0" fontId="22" fillId="0" borderId="0" xfId="60" applyFont="1" applyFill="1" applyBorder="1">
      <alignment/>
      <protection/>
    </xf>
    <xf numFmtId="177" fontId="0" fillId="0" borderId="19" xfId="60" applyNumberFormat="1" applyFont="1" applyFill="1" applyBorder="1" applyAlignment="1">
      <alignment horizontal="left" shrinkToFit="1"/>
      <protection/>
    </xf>
    <xf numFmtId="177" fontId="0" fillId="0" borderId="11" xfId="60" applyNumberFormat="1" applyFont="1" applyFill="1" applyBorder="1" applyAlignment="1">
      <alignment horizontal="center"/>
      <protection/>
    </xf>
    <xf numFmtId="177" fontId="24" fillId="0" borderId="23" xfId="60" applyNumberFormat="1" applyFont="1" applyFill="1" applyBorder="1" applyAlignment="1">
      <alignment horizontal="right"/>
      <protection/>
    </xf>
    <xf numFmtId="177" fontId="24" fillId="0" borderId="36" xfId="60" applyNumberFormat="1" applyFont="1" applyFill="1" applyBorder="1" applyAlignment="1">
      <alignment horizontal="right"/>
      <protection/>
    </xf>
    <xf numFmtId="177" fontId="24" fillId="0" borderId="19" xfId="60" applyNumberFormat="1" applyFont="1" applyFill="1" applyBorder="1" applyAlignment="1">
      <alignment horizontal="left"/>
      <protection/>
    </xf>
    <xf numFmtId="177" fontId="0" fillId="0" borderId="11" xfId="60" applyNumberFormat="1" applyFont="1" applyFill="1" applyBorder="1" applyAlignment="1">
      <alignment wrapText="1"/>
      <protection/>
    </xf>
    <xf numFmtId="38" fontId="6" fillId="0" borderId="0" xfId="48" applyFont="1" applyBorder="1" applyAlignment="1">
      <alignment horizontal="left"/>
    </xf>
    <xf numFmtId="177" fontId="0" fillId="0" borderId="20" xfId="60" applyNumberFormat="1" applyFont="1" applyFill="1" applyBorder="1" applyAlignment="1">
      <alignment horizontal="right"/>
      <protection/>
    </xf>
    <xf numFmtId="177" fontId="0" fillId="0" borderId="23" xfId="48" applyNumberFormat="1" applyFont="1" applyFill="1" applyBorder="1" applyAlignment="1">
      <alignment horizontal="right"/>
    </xf>
    <xf numFmtId="177" fontId="0" fillId="0" borderId="36" xfId="48" applyNumberFormat="1" applyFont="1" applyFill="1" applyBorder="1" applyAlignment="1">
      <alignment horizontal="right"/>
    </xf>
    <xf numFmtId="177" fontId="0" fillId="34" borderId="19" xfId="60" applyNumberFormat="1" applyFont="1" applyFill="1" applyBorder="1" applyAlignment="1" quotePrefix="1">
      <alignment horizontal="right"/>
      <protection/>
    </xf>
    <xf numFmtId="176" fontId="22" fillId="0" borderId="25" xfId="60" applyNumberFormat="1" applyFont="1" applyBorder="1">
      <alignment/>
      <protection/>
    </xf>
    <xf numFmtId="177" fontId="0" fillId="0" borderId="25" xfId="60" applyNumberFormat="1" applyFont="1" applyFill="1" applyBorder="1" applyAlignment="1">
      <alignment horizontal="center"/>
      <protection/>
    </xf>
    <xf numFmtId="177" fontId="77" fillId="0" borderId="23" xfId="60" applyNumberFormat="1" applyFont="1" applyFill="1" applyBorder="1" applyAlignment="1">
      <alignment horizontal="right"/>
      <protection/>
    </xf>
    <xf numFmtId="177" fontId="77" fillId="0" borderId="36" xfId="60" applyNumberFormat="1" applyFont="1" applyFill="1" applyBorder="1" applyAlignment="1">
      <alignment horizontal="right"/>
      <protection/>
    </xf>
    <xf numFmtId="3" fontId="22" fillId="0" borderId="19" xfId="0" applyNumberFormat="1" applyFont="1" applyFill="1" applyBorder="1" applyAlignment="1">
      <alignment vertical="center"/>
    </xf>
    <xf numFmtId="177" fontId="29" fillId="0" borderId="19" xfId="60" applyNumberFormat="1" applyFont="1" applyFill="1" applyBorder="1" applyAlignment="1">
      <alignment horizontal="right"/>
      <protection/>
    </xf>
    <xf numFmtId="176" fontId="30" fillId="0" borderId="0" xfId="60" applyNumberFormat="1" applyFont="1" applyFill="1" applyBorder="1" applyAlignment="1">
      <alignment horizontal="left"/>
      <protection/>
    </xf>
    <xf numFmtId="178" fontId="0" fillId="0" borderId="36" xfId="60" applyNumberFormat="1" applyFont="1" applyFill="1" applyBorder="1" applyAlignment="1">
      <alignment horizontal="right"/>
      <protection/>
    </xf>
    <xf numFmtId="177" fontId="0" fillId="0" borderId="11" xfId="60" applyNumberFormat="1" applyFont="1" applyFill="1" applyBorder="1">
      <alignment/>
      <protection/>
    </xf>
    <xf numFmtId="177" fontId="0" fillId="0" borderId="13" xfId="60" applyNumberFormat="1" applyFont="1" applyFill="1" applyBorder="1" applyAlignment="1">
      <alignment horizontal="right"/>
      <protection/>
    </xf>
    <xf numFmtId="176" fontId="22" fillId="0" borderId="31" xfId="60" applyNumberFormat="1" applyFont="1" applyFill="1" applyBorder="1" applyAlignment="1">
      <alignment horizontal="distributed"/>
      <protection/>
    </xf>
    <xf numFmtId="0" fontId="6" fillId="0" borderId="0" xfId="60" applyFont="1" applyAlignment="1">
      <alignment horizontal="left"/>
      <protection/>
    </xf>
    <xf numFmtId="177" fontId="77" fillId="0" borderId="11" xfId="60" applyNumberFormat="1" applyFont="1" applyFill="1" applyBorder="1" applyAlignment="1">
      <alignment horizontal="left"/>
      <protection/>
    </xf>
    <xf numFmtId="177" fontId="0" fillId="0" borderId="19" xfId="60" applyNumberFormat="1" applyFont="1" applyFill="1" applyBorder="1" applyAlignment="1">
      <alignment horizontal="left" shrinkToFit="1"/>
      <protection/>
    </xf>
    <xf numFmtId="176" fontId="22" fillId="0" borderId="0" xfId="60" applyNumberFormat="1" applyFont="1" applyBorder="1">
      <alignment/>
      <protection/>
    </xf>
    <xf numFmtId="177" fontId="76" fillId="0" borderId="19" xfId="60" applyNumberFormat="1" applyFont="1" applyFill="1" applyBorder="1" applyAlignment="1">
      <alignment horizontal="left" shrinkToFit="1"/>
      <protection/>
    </xf>
    <xf numFmtId="177" fontId="0" fillId="0" borderId="11" xfId="60" applyNumberFormat="1" applyFont="1" applyFill="1" applyBorder="1" applyAlignment="1">
      <alignment horizontal="left"/>
      <protection/>
    </xf>
    <xf numFmtId="177" fontId="0" fillId="0" borderId="37" xfId="60" applyNumberFormat="1" applyFont="1" applyFill="1" applyBorder="1" applyAlignment="1">
      <alignment horizontal="center"/>
      <protection/>
    </xf>
    <xf numFmtId="176" fontId="22" fillId="0" borderId="19" xfId="60" applyNumberFormat="1" applyFont="1" applyFill="1" applyBorder="1">
      <alignment/>
      <protection/>
    </xf>
    <xf numFmtId="177" fontId="0" fillId="0" borderId="0" xfId="60" applyNumberFormat="1" applyFont="1" applyFill="1">
      <alignment/>
      <protection/>
    </xf>
    <xf numFmtId="0" fontId="0" fillId="0" borderId="0" xfId="60" applyFont="1" applyFill="1">
      <alignment/>
      <protection/>
    </xf>
    <xf numFmtId="177" fontId="22" fillId="0" borderId="19" xfId="60" applyNumberFormat="1" applyFont="1" applyFill="1" applyBorder="1">
      <alignment/>
      <protection/>
    </xf>
    <xf numFmtId="176" fontId="22" fillId="0" borderId="19" xfId="60" applyNumberFormat="1" applyFont="1" applyFill="1" applyBorder="1" applyAlignment="1">
      <alignment horizontal="distributed"/>
      <protection/>
    </xf>
    <xf numFmtId="177" fontId="0" fillId="0" borderId="19" xfId="60" applyNumberFormat="1" applyFont="1" applyFill="1" applyBorder="1" applyAlignment="1">
      <alignment horizontal="center" vertical="center"/>
      <protection/>
    </xf>
    <xf numFmtId="177" fontId="27" fillId="0" borderId="19" xfId="60" applyNumberFormat="1" applyFont="1" applyFill="1" applyBorder="1" applyAlignment="1">
      <alignment horizontal="left"/>
      <protection/>
    </xf>
    <xf numFmtId="177" fontId="27" fillId="0" borderId="23" xfId="48" applyNumberFormat="1" applyFont="1" applyFill="1" applyBorder="1" applyAlignment="1">
      <alignment horizontal="right"/>
    </xf>
    <xf numFmtId="177" fontId="27" fillId="0" borderId="36" xfId="48" applyNumberFormat="1" applyFont="1" applyFill="1" applyBorder="1" applyAlignment="1">
      <alignment horizontal="right"/>
    </xf>
    <xf numFmtId="177" fontId="0" fillId="0" borderId="19" xfId="60" applyNumberFormat="1" applyFont="1" applyFill="1" applyBorder="1" applyAlignment="1">
      <alignment horizontal="left" wrapText="1"/>
      <protection/>
    </xf>
    <xf numFmtId="177" fontId="0" fillId="0" borderId="23" xfId="60" applyNumberFormat="1" applyFont="1" applyFill="1" applyBorder="1" applyAlignment="1">
      <alignment horizontal="right"/>
      <protection/>
    </xf>
    <xf numFmtId="177" fontId="0" fillId="0" borderId="36" xfId="60" applyNumberFormat="1" applyFont="1" applyFill="1" applyBorder="1" applyAlignment="1">
      <alignment horizontal="right"/>
      <protection/>
    </xf>
    <xf numFmtId="177" fontId="29" fillId="0" borderId="19" xfId="48" applyNumberFormat="1" applyFont="1" applyFill="1" applyBorder="1" applyAlignment="1">
      <alignment horizontal="right"/>
    </xf>
    <xf numFmtId="0" fontId="76" fillId="0" borderId="31" xfId="60" applyFont="1" applyFill="1" applyBorder="1">
      <alignment/>
      <protection/>
    </xf>
    <xf numFmtId="177" fontId="0" fillId="0" borderId="19" xfId="60" applyNumberFormat="1" applyFont="1" applyFill="1" applyBorder="1">
      <alignment/>
      <protection/>
    </xf>
    <xf numFmtId="177" fontId="0" fillId="0" borderId="19" xfId="60" applyNumberFormat="1" applyFont="1" applyFill="1" applyBorder="1" applyAlignment="1">
      <alignment horizontal="center" wrapText="1"/>
      <protection/>
    </xf>
    <xf numFmtId="177" fontId="0" fillId="0" borderId="23" xfId="60" applyNumberFormat="1" applyFont="1" applyFill="1" applyBorder="1" applyAlignment="1">
      <alignment horizontal="right" shrinkToFit="1"/>
      <protection/>
    </xf>
    <xf numFmtId="177" fontId="0" fillId="0" borderId="36" xfId="60" applyNumberFormat="1" applyFont="1" applyFill="1" applyBorder="1" applyAlignment="1">
      <alignment horizontal="right" shrinkToFit="1"/>
      <protection/>
    </xf>
    <xf numFmtId="177" fontId="0" fillId="0" borderId="19" xfId="60" applyNumberFormat="1" applyFont="1" applyFill="1" applyBorder="1" applyAlignment="1">
      <alignment horizontal="center"/>
      <protection/>
    </xf>
    <xf numFmtId="0" fontId="20" fillId="0" borderId="24" xfId="60" applyFont="1" applyBorder="1" applyAlignment="1">
      <alignment horizontal="distributed"/>
      <protection/>
    </xf>
    <xf numFmtId="177" fontId="0" fillId="0" borderId="39" xfId="60" applyNumberFormat="1" applyFont="1" applyFill="1" applyBorder="1" applyAlignment="1">
      <alignment horizontal="right"/>
      <protection/>
    </xf>
    <xf numFmtId="177" fontId="76" fillId="0" borderId="19" xfId="60" applyNumberFormat="1" applyFont="1" applyFill="1" applyBorder="1" applyAlignment="1">
      <alignment/>
      <protection/>
    </xf>
    <xf numFmtId="176" fontId="22" fillId="0" borderId="10" xfId="60" applyNumberFormat="1" applyFont="1" applyFill="1" applyBorder="1" applyAlignment="1">
      <alignment horizontal="distributed"/>
      <protection/>
    </xf>
    <xf numFmtId="0" fontId="6" fillId="0" borderId="0" xfId="60" applyFont="1" applyFill="1">
      <alignment/>
      <protection/>
    </xf>
    <xf numFmtId="177" fontId="31" fillId="34" borderId="19" xfId="48" applyNumberFormat="1" applyFont="1" applyFill="1" applyBorder="1" applyAlignment="1">
      <alignment horizontal="right"/>
    </xf>
    <xf numFmtId="177" fontId="24" fillId="0" borderId="23" xfId="60" applyNumberFormat="1" applyFont="1" applyFill="1" applyBorder="1" applyAlignment="1">
      <alignment horizontal="center"/>
      <protection/>
    </xf>
    <xf numFmtId="0" fontId="20" fillId="0" borderId="18" xfId="60" applyFont="1" applyFill="1" applyBorder="1" applyAlignment="1">
      <alignment horizontal="center"/>
      <protection/>
    </xf>
    <xf numFmtId="176" fontId="0" fillId="0" borderId="0" xfId="60" applyNumberFormat="1" applyFont="1" applyFill="1" applyBorder="1" applyAlignment="1">
      <alignment horizontal="distributed"/>
      <protection/>
    </xf>
    <xf numFmtId="176" fontId="22" fillId="0" borderId="19" xfId="60" applyNumberFormat="1" applyFont="1" applyFill="1" applyBorder="1" applyAlignment="1">
      <alignment horizontal="center"/>
      <protection/>
    </xf>
    <xf numFmtId="0" fontId="20" fillId="0" borderId="12" xfId="60" applyFont="1" applyFill="1" applyBorder="1" applyAlignment="1">
      <alignment horizontal="distributed"/>
      <protection/>
    </xf>
    <xf numFmtId="176" fontId="22" fillId="0" borderId="13" xfId="60" applyNumberFormat="1" applyFont="1" applyFill="1" applyBorder="1">
      <alignment/>
      <protection/>
    </xf>
    <xf numFmtId="176" fontId="22" fillId="0" borderId="10" xfId="60" applyNumberFormat="1" applyFont="1" applyFill="1" applyBorder="1">
      <alignment/>
      <protection/>
    </xf>
    <xf numFmtId="0" fontId="20" fillId="0" borderId="18" xfId="60" applyFont="1" applyFill="1" applyBorder="1">
      <alignment/>
      <protection/>
    </xf>
    <xf numFmtId="0" fontId="20" fillId="0" borderId="24" xfId="60" applyFont="1" applyFill="1" applyBorder="1" applyAlignment="1">
      <alignment horizontal="center"/>
      <protection/>
    </xf>
    <xf numFmtId="176" fontId="22" fillId="0" borderId="11" xfId="60" applyNumberFormat="1" applyFont="1" applyFill="1" applyBorder="1">
      <alignment/>
      <protection/>
    </xf>
    <xf numFmtId="0" fontId="6" fillId="0" borderId="0" xfId="60" applyFont="1" applyFill="1" applyAlignment="1">
      <alignment horizontal="left"/>
      <protection/>
    </xf>
    <xf numFmtId="38" fontId="22" fillId="0" borderId="19" xfId="48" applyFont="1" applyBorder="1" applyAlignment="1">
      <alignment vertical="center"/>
    </xf>
    <xf numFmtId="176" fontId="22" fillId="0" borderId="0" xfId="60" applyNumberFormat="1" applyFont="1" applyFill="1" applyBorder="1">
      <alignment/>
      <protection/>
    </xf>
    <xf numFmtId="0" fontId="20" fillId="0" borderId="24" xfId="60" applyFont="1" applyBorder="1">
      <alignment/>
      <protection/>
    </xf>
    <xf numFmtId="176" fontId="22" fillId="0" borderId="26" xfId="60" applyNumberFormat="1" applyFont="1" applyFill="1" applyBorder="1">
      <alignment/>
      <protection/>
    </xf>
    <xf numFmtId="0" fontId="0" fillId="0" borderId="25" xfId="60" applyFont="1" applyFill="1" applyBorder="1" applyAlignment="1">
      <alignment horizontal="center"/>
      <protection/>
    </xf>
    <xf numFmtId="0" fontId="0" fillId="0" borderId="26" xfId="60" applyFont="1" applyFill="1" applyBorder="1" applyAlignment="1">
      <alignment horizontal="center"/>
      <protection/>
    </xf>
    <xf numFmtId="177" fontId="0" fillId="0" borderId="11" xfId="48" applyNumberFormat="1" applyFont="1" applyFill="1" applyBorder="1" applyAlignment="1">
      <alignment horizontal="right"/>
    </xf>
    <xf numFmtId="0" fontId="32" fillId="0" borderId="0" xfId="60" applyFont="1" applyBorder="1" applyAlignment="1">
      <alignment horizontal="left"/>
      <protection/>
    </xf>
    <xf numFmtId="0" fontId="33" fillId="0" borderId="24" xfId="60" applyFont="1" applyBorder="1" applyAlignment="1">
      <alignment horizontal="center"/>
      <protection/>
    </xf>
    <xf numFmtId="176" fontId="32" fillId="0" borderId="11" xfId="60" applyNumberFormat="1" applyFont="1" applyBorder="1">
      <alignment/>
      <protection/>
    </xf>
    <xf numFmtId="176" fontId="34" fillId="0" borderId="26" xfId="60" applyNumberFormat="1" applyFont="1" applyFill="1" applyBorder="1" applyAlignment="1">
      <alignment horizontal="distributed"/>
      <protection/>
    </xf>
    <xf numFmtId="0" fontId="32" fillId="0" borderId="25" xfId="60" applyFont="1" applyFill="1" applyBorder="1" applyAlignment="1">
      <alignment/>
      <protection/>
    </xf>
    <xf numFmtId="0" fontId="32" fillId="0" borderId="26" xfId="60" applyFont="1" applyFill="1" applyBorder="1" applyAlignment="1">
      <alignment/>
      <protection/>
    </xf>
    <xf numFmtId="0" fontId="32" fillId="0" borderId="32" xfId="60" applyFont="1" applyFill="1" applyBorder="1">
      <alignment/>
      <protection/>
    </xf>
    <xf numFmtId="177" fontId="32" fillId="0" borderId="11" xfId="60" applyNumberFormat="1" applyFont="1" applyFill="1" applyBorder="1" applyAlignment="1">
      <alignment horizontal="right"/>
      <protection/>
    </xf>
    <xf numFmtId="177" fontId="32" fillId="34" borderId="11" xfId="60" applyNumberFormat="1" applyFont="1" applyFill="1" applyBorder="1" applyAlignment="1">
      <alignment horizontal="right"/>
      <protection/>
    </xf>
    <xf numFmtId="177" fontId="32" fillId="0" borderId="11" xfId="60" applyNumberFormat="1" applyFont="1" applyFill="1" applyBorder="1">
      <alignment/>
      <protection/>
    </xf>
    <xf numFmtId="177" fontId="32" fillId="0" borderId="25" xfId="60" applyNumberFormat="1" applyFont="1" applyFill="1" applyBorder="1" applyAlignment="1">
      <alignment horizontal="right"/>
      <protection/>
    </xf>
    <xf numFmtId="177" fontId="32" fillId="0" borderId="37" xfId="60" applyNumberFormat="1" applyFont="1" applyFill="1" applyBorder="1" applyAlignment="1">
      <alignment horizontal="right"/>
      <protection/>
    </xf>
    <xf numFmtId="0" fontId="6" fillId="0" borderId="0" xfId="60" applyFont="1" applyAlignment="1">
      <alignment horizontal="right"/>
      <protection/>
    </xf>
    <xf numFmtId="177" fontId="33" fillId="0" borderId="0" xfId="60" applyNumberFormat="1" applyFont="1">
      <alignment/>
      <protection/>
    </xf>
    <xf numFmtId="177" fontId="33" fillId="0" borderId="0" xfId="60" applyNumberFormat="1" applyFont="1" applyAlignment="1">
      <alignment shrinkToFit="1"/>
      <protection/>
    </xf>
    <xf numFmtId="177" fontId="6" fillId="0" borderId="0" xfId="60" applyNumberFormat="1" applyFont="1">
      <alignment/>
      <protection/>
    </xf>
    <xf numFmtId="176" fontId="6" fillId="0" borderId="0" xfId="60" applyNumberFormat="1" applyFont="1">
      <alignment/>
      <protection/>
    </xf>
    <xf numFmtId="177" fontId="6" fillId="0" borderId="0" xfId="60" applyNumberFormat="1" applyFont="1" applyAlignment="1">
      <alignment shrinkToFit="1"/>
      <protection/>
    </xf>
    <xf numFmtId="176" fontId="6" fillId="0" borderId="0" xfId="60" applyNumberFormat="1" applyFont="1" applyAlignment="1">
      <alignment shrinkToFit="1"/>
      <protection/>
    </xf>
    <xf numFmtId="0" fontId="6" fillId="0" borderId="16" xfId="60" applyFont="1" applyBorder="1" applyAlignment="1">
      <alignment shrinkToFit="1"/>
      <protection/>
    </xf>
    <xf numFmtId="0" fontId="6" fillId="0" borderId="15" xfId="60" applyFont="1" applyBorder="1" applyAlignment="1">
      <alignment shrinkToFit="1"/>
      <protection/>
    </xf>
    <xf numFmtId="0" fontId="6" fillId="0" borderId="21" xfId="60" applyFont="1" applyBorder="1" applyAlignment="1">
      <alignment shrinkToFit="1"/>
      <protection/>
    </xf>
    <xf numFmtId="0" fontId="6" fillId="0" borderId="20" xfId="60" applyFont="1" applyBorder="1" applyAlignment="1">
      <alignment shrinkToFit="1"/>
      <protection/>
    </xf>
    <xf numFmtId="176" fontId="6" fillId="0" borderId="21" xfId="60" applyNumberFormat="1" applyFont="1" applyBorder="1" applyAlignment="1">
      <alignment shrinkToFit="1"/>
      <protection/>
    </xf>
    <xf numFmtId="176" fontId="6" fillId="0" borderId="20" xfId="60" applyNumberFormat="1" applyFont="1" applyBorder="1" applyAlignment="1">
      <alignment shrinkToFit="1"/>
      <protection/>
    </xf>
    <xf numFmtId="176" fontId="6" fillId="0" borderId="28" xfId="60" applyNumberFormat="1" applyFont="1" applyBorder="1" applyAlignment="1">
      <alignment shrinkToFit="1"/>
      <protection/>
    </xf>
    <xf numFmtId="176" fontId="6" fillId="0" borderId="27" xfId="60" applyNumberFormat="1" applyFont="1" applyBorder="1" applyAlignment="1">
      <alignment shrinkToFit="1"/>
      <protection/>
    </xf>
    <xf numFmtId="0" fontId="4" fillId="0" borderId="0" xfId="0" applyFont="1" applyAlignment="1">
      <alignment horizontal="center" vertical="center"/>
    </xf>
    <xf numFmtId="0" fontId="3" fillId="0" borderId="0" xfId="0" applyFont="1" applyAlignment="1">
      <alignment horizontal="center" vertical="center" wrapText="1"/>
    </xf>
    <xf numFmtId="0" fontId="11" fillId="0" borderId="23" xfId="0" applyFont="1" applyBorder="1" applyAlignment="1">
      <alignment vertical="center"/>
    </xf>
    <xf numFmtId="0" fontId="0" fillId="0" borderId="0" xfId="0" applyAlignment="1">
      <alignment vertical="center"/>
    </xf>
    <xf numFmtId="0" fontId="0" fillId="0" borderId="20" xfId="0" applyBorder="1" applyAlignment="1">
      <alignment vertical="center"/>
    </xf>
    <xf numFmtId="0" fontId="11" fillId="0" borderId="21" xfId="0" applyFont="1" applyBorder="1" applyAlignment="1">
      <alignment vertical="center"/>
    </xf>
    <xf numFmtId="0" fontId="11" fillId="0" borderId="21" xfId="0" applyFont="1" applyBorder="1" applyAlignment="1">
      <alignment vertical="center" wrapText="1"/>
    </xf>
    <xf numFmtId="0" fontId="11" fillId="0" borderId="0" xfId="0" applyFont="1" applyAlignment="1">
      <alignment vertical="center"/>
    </xf>
    <xf numFmtId="0" fontId="11" fillId="0" borderId="20" xfId="0" applyFont="1" applyBorder="1" applyAlignment="1">
      <alignment vertical="center"/>
    </xf>
    <xf numFmtId="0" fontId="11" fillId="0" borderId="23" xfId="0" applyFont="1" applyBorder="1" applyAlignment="1">
      <alignment horizontal="left" vertical="center"/>
    </xf>
    <xf numFmtId="0" fontId="73" fillId="0" borderId="23" xfId="0" applyFont="1" applyBorder="1" applyAlignment="1">
      <alignment horizontal="left" vertical="top" wrapText="1"/>
    </xf>
    <xf numFmtId="0" fontId="0" fillId="0" borderId="0" xfId="0" applyAlignment="1">
      <alignment horizontal="left" vertical="top" wrapText="1"/>
    </xf>
    <xf numFmtId="0" fontId="0" fillId="0" borderId="20" xfId="0" applyBorder="1" applyAlignment="1">
      <alignment horizontal="left" vertical="top" wrapText="1"/>
    </xf>
    <xf numFmtId="0" fontId="73" fillId="0" borderId="0" xfId="0" applyFont="1" applyBorder="1" applyAlignment="1">
      <alignment horizontal="left" vertical="top" wrapText="1"/>
    </xf>
    <xf numFmtId="0" fontId="73" fillId="0" borderId="20" xfId="0" applyFont="1" applyBorder="1" applyAlignment="1">
      <alignment horizontal="left" vertical="top" wrapText="1"/>
    </xf>
    <xf numFmtId="0" fontId="73" fillId="0" borderId="23" xfId="0" applyFont="1" applyBorder="1" applyAlignment="1">
      <alignment vertical="top" wrapText="1"/>
    </xf>
    <xf numFmtId="0" fontId="11" fillId="0" borderId="21" xfId="0" applyFont="1" applyBorder="1" applyAlignment="1">
      <alignment horizontal="left" vertical="top" wrapText="1"/>
    </xf>
    <xf numFmtId="0" fontId="11" fillId="0" borderId="21" xfId="0" applyFont="1" applyBorder="1" applyAlignment="1" quotePrefix="1">
      <alignment vertical="center"/>
    </xf>
    <xf numFmtId="0" fontId="11" fillId="0" borderId="16" xfId="0" applyFont="1" applyBorder="1" applyAlignment="1">
      <alignment vertical="center" wrapText="1"/>
    </xf>
    <xf numFmtId="0" fontId="11" fillId="0" borderId="14" xfId="0" applyFont="1" applyBorder="1" applyAlignment="1">
      <alignment vertical="center"/>
    </xf>
    <xf numFmtId="0" fontId="11" fillId="0" borderId="15" xfId="0" applyFont="1" applyBorder="1" applyAlignment="1">
      <alignment vertical="center"/>
    </xf>
    <xf numFmtId="0" fontId="11" fillId="0" borderId="23" xfId="0" applyFont="1" applyBorder="1" applyAlignment="1">
      <alignment vertical="center" wrapText="1"/>
    </xf>
    <xf numFmtId="0" fontId="11" fillId="0" borderId="0" xfId="0" applyFont="1" applyBorder="1" applyAlignment="1">
      <alignment vertical="center"/>
    </xf>
    <xf numFmtId="0" fontId="11" fillId="0" borderId="23" xfId="0" applyFont="1" applyFill="1" applyBorder="1" applyAlignment="1">
      <alignment vertical="top" wrapText="1"/>
    </xf>
    <xf numFmtId="0" fontId="0" fillId="0" borderId="0" xfId="0" applyAlignment="1">
      <alignment vertical="top" wrapText="1"/>
    </xf>
    <xf numFmtId="0" fontId="0" fillId="0" borderId="20" xfId="0" applyBorder="1" applyAlignment="1">
      <alignment vertical="top" wrapText="1"/>
    </xf>
    <xf numFmtId="0" fontId="11" fillId="0" borderId="21" xfId="0" applyFont="1" applyFill="1" applyBorder="1" applyAlignment="1">
      <alignment vertical="top" wrapText="1"/>
    </xf>
    <xf numFmtId="0" fontId="11" fillId="0" borderId="0" xfId="0" applyFont="1" applyAlignment="1">
      <alignment vertical="top" wrapText="1"/>
    </xf>
    <xf numFmtId="0" fontId="11" fillId="0" borderId="20" xfId="0" applyFont="1" applyBorder="1" applyAlignment="1">
      <alignment vertical="top" wrapText="1"/>
    </xf>
    <xf numFmtId="0" fontId="0" fillId="0" borderId="0" xfId="0" applyAlignment="1">
      <alignment vertical="top"/>
    </xf>
    <xf numFmtId="0" fontId="0" fillId="0" borderId="20" xfId="0" applyBorder="1" applyAlignment="1">
      <alignment vertical="top"/>
    </xf>
    <xf numFmtId="0" fontId="11" fillId="0" borderId="21" xfId="0" applyFont="1" applyFill="1" applyBorder="1" applyAlignment="1">
      <alignment vertical="top"/>
    </xf>
    <xf numFmtId="0" fontId="11" fillId="0" borderId="0" xfId="0" applyFont="1" applyAlignment="1">
      <alignment vertical="top"/>
    </xf>
    <xf numFmtId="0" fontId="11" fillId="0" borderId="20" xfId="0" applyFont="1" applyBorder="1" applyAlignment="1">
      <alignment vertical="top"/>
    </xf>
    <xf numFmtId="0" fontId="11" fillId="0" borderId="23" xfId="0" applyFont="1" applyFill="1" applyBorder="1" applyAlignment="1">
      <alignment vertical="top"/>
    </xf>
    <xf numFmtId="0" fontId="11" fillId="0" borderId="0" xfId="0" applyFont="1" applyFill="1" applyAlignment="1">
      <alignment vertical="top"/>
    </xf>
    <xf numFmtId="0" fontId="11" fillId="0" borderId="20" xfId="0" applyFont="1" applyFill="1" applyBorder="1" applyAlignment="1">
      <alignment vertical="top"/>
    </xf>
    <xf numFmtId="0" fontId="0" fillId="0" borderId="26" xfId="0" applyBorder="1" applyAlignment="1">
      <alignment horizontal="right" vertical="center"/>
    </xf>
    <xf numFmtId="0" fontId="7" fillId="0" borderId="0" xfId="60" applyFont="1" applyBorder="1" applyAlignment="1">
      <alignment horizontal="right" vertical="center"/>
      <protection/>
    </xf>
    <xf numFmtId="0" fontId="9" fillId="0" borderId="0" xfId="60" applyFont="1" applyBorder="1" applyAlignment="1">
      <alignment horizontal="right" vertical="center"/>
      <protection/>
    </xf>
    <xf numFmtId="0" fontId="71" fillId="0" borderId="16" xfId="0" applyFont="1" applyBorder="1" applyAlignment="1">
      <alignment horizontal="center" vertical="center"/>
    </xf>
    <xf numFmtId="0" fontId="71" fillId="0" borderId="28" xfId="0" applyFont="1" applyBorder="1" applyAlignment="1">
      <alignment horizontal="center" vertical="center"/>
    </xf>
    <xf numFmtId="0" fontId="71" fillId="0" borderId="40" xfId="0" applyFont="1" applyBorder="1" applyAlignment="1">
      <alignment horizontal="center" vertical="center"/>
    </xf>
    <xf numFmtId="0" fontId="71" fillId="0" borderId="41" xfId="0" applyFont="1" applyBorder="1" applyAlignment="1">
      <alignment horizontal="center" vertical="center"/>
    </xf>
    <xf numFmtId="0" fontId="71" fillId="0" borderId="33" xfId="0" applyFont="1" applyBorder="1" applyAlignment="1">
      <alignment horizontal="center" vertical="center"/>
    </xf>
    <xf numFmtId="0" fontId="71" fillId="0" borderId="35" xfId="0" applyFont="1" applyBorder="1" applyAlignment="1">
      <alignment horizontal="center" vertical="center"/>
    </xf>
    <xf numFmtId="0" fontId="71" fillId="0" borderId="17" xfId="0" applyFont="1" applyFill="1" applyBorder="1" applyAlignment="1">
      <alignment horizontal="center" vertical="center"/>
    </xf>
    <xf numFmtId="0" fontId="71" fillId="0" borderId="29" xfId="0" applyFont="1" applyFill="1" applyBorder="1" applyAlignment="1">
      <alignment horizontal="center" vertical="center"/>
    </xf>
    <xf numFmtId="0" fontId="14" fillId="0" borderId="0" xfId="60" applyFont="1" applyAlignment="1">
      <alignment horizontal="left" vertical="center"/>
      <protection/>
    </xf>
    <xf numFmtId="0" fontId="15" fillId="0" borderId="0" xfId="0" applyFont="1" applyAlignment="1">
      <alignment horizontal="left" vertical="center"/>
    </xf>
    <xf numFmtId="0" fontId="17" fillId="0" borderId="0" xfId="60" applyFont="1" applyFill="1" applyBorder="1" applyAlignment="1">
      <alignment horizontal="center" vertical="center"/>
      <protection/>
    </xf>
    <xf numFmtId="0" fontId="18" fillId="0" borderId="0" xfId="0" applyFont="1" applyFill="1" applyBorder="1" applyAlignment="1">
      <alignment horizontal="center" vertical="center"/>
    </xf>
    <xf numFmtId="177" fontId="9" fillId="0" borderId="0" xfId="60" applyNumberFormat="1" applyFont="1" applyAlignment="1">
      <alignment horizontal="right" vertical="center" wrapText="1"/>
      <protection/>
    </xf>
    <xf numFmtId="177" fontId="9" fillId="0" borderId="0" xfId="60" applyNumberFormat="1" applyFont="1" applyAlignment="1">
      <alignment horizontal="right" vertical="center"/>
      <protection/>
    </xf>
    <xf numFmtId="177" fontId="9" fillId="0" borderId="0" xfId="60" applyNumberFormat="1" applyFont="1" applyBorder="1" applyAlignment="1">
      <alignment horizontal="right" vertical="center"/>
      <protection/>
    </xf>
    <xf numFmtId="177" fontId="20" fillId="0" borderId="0" xfId="60" applyNumberFormat="1" applyFont="1" applyFill="1" applyBorder="1" applyAlignment="1">
      <alignment horizontal="right" vertical="center"/>
      <protection/>
    </xf>
    <xf numFmtId="177" fontId="21" fillId="0" borderId="0" xfId="60" applyNumberFormat="1" applyFont="1" applyFill="1" applyBorder="1" applyAlignment="1">
      <alignment horizontal="right" vertical="center"/>
      <protection/>
    </xf>
    <xf numFmtId="0" fontId="20" fillId="0" borderId="12" xfId="60" applyFont="1" applyBorder="1" applyAlignment="1">
      <alignment horizontal="center" vertical="center"/>
      <protection/>
    </xf>
    <xf numFmtId="0" fontId="20" fillId="0" borderId="24" xfId="0" applyFont="1" applyBorder="1" applyAlignment="1">
      <alignment horizontal="center" vertical="center"/>
    </xf>
    <xf numFmtId="0" fontId="20" fillId="0" borderId="10" xfId="60" applyFont="1" applyBorder="1" applyAlignment="1">
      <alignment horizontal="center" vertical="center" wrapText="1"/>
      <protection/>
    </xf>
    <xf numFmtId="0" fontId="20" fillId="0" borderId="11" xfId="0" applyFont="1" applyBorder="1" applyAlignment="1">
      <alignment horizontal="center" vertical="center"/>
    </xf>
    <xf numFmtId="0" fontId="20" fillId="0" borderId="42" xfId="60" applyFont="1" applyBorder="1" applyAlignment="1">
      <alignment horizontal="center" vertical="center"/>
      <protection/>
    </xf>
    <xf numFmtId="0" fontId="20" fillId="0" borderId="43" xfId="0" applyFont="1" applyBorder="1" applyAlignment="1">
      <alignment vertical="center"/>
    </xf>
    <xf numFmtId="0" fontId="20" fillId="0" borderId="44" xfId="0" applyFont="1" applyBorder="1" applyAlignment="1">
      <alignment vertical="center"/>
    </xf>
    <xf numFmtId="0" fontId="20" fillId="0" borderId="34" xfId="60" applyFont="1" applyFill="1" applyBorder="1" applyAlignment="1">
      <alignment horizontal="center" vertical="center"/>
      <protection/>
    </xf>
    <xf numFmtId="0" fontId="20" fillId="0" borderId="45" xfId="60" applyFont="1" applyFill="1" applyBorder="1" applyAlignment="1">
      <alignment horizontal="center" vertical="center"/>
      <protection/>
    </xf>
    <xf numFmtId="0" fontId="20" fillId="0" borderId="46" xfId="60" applyFont="1" applyFill="1" applyBorder="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主要施策成果報告書（様式）_府民文化部"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5</xdr:row>
      <xdr:rowOff>0</xdr:rowOff>
    </xdr:from>
    <xdr:to>
      <xdr:col>13</xdr:col>
      <xdr:colOff>352425</xdr:colOff>
      <xdr:row>11</xdr:row>
      <xdr:rowOff>19050</xdr:rowOff>
    </xdr:to>
    <xdr:sp>
      <xdr:nvSpPr>
        <xdr:cNvPr id="1" name="Rectangle 1"/>
        <xdr:cNvSpPr>
          <a:spLocks/>
        </xdr:cNvSpPr>
      </xdr:nvSpPr>
      <xdr:spPr>
        <a:xfrm>
          <a:off x="1038225" y="857250"/>
          <a:ext cx="8229600" cy="1047750"/>
        </a:xfrm>
        <a:prstGeom prst="rect">
          <a:avLst/>
        </a:prstGeom>
        <a:solidFill>
          <a:srgbClr val="FFFFFF"/>
        </a:solidFill>
        <a:ln w="57150" cmpd="thinThick">
          <a:solidFill>
            <a:srgbClr val="000000"/>
          </a:solidFill>
          <a:headEnd type="none"/>
          <a:tailEnd type="none"/>
        </a:ln>
      </xdr:spPr>
      <xdr:txBody>
        <a:bodyPr vertOverflow="clip" wrap="square" lIns="36576" tIns="22860" rIns="36576" bIns="0"/>
        <a:p>
          <a:pPr algn="ctr">
            <a:defRPr/>
          </a:pPr>
          <a:r>
            <a:rPr lang="en-US" cap="none" sz="1400" b="0" i="0" u="none" baseline="0">
              <a:solidFill>
                <a:srgbClr val="000000"/>
              </a:solidFill>
              <a:latin typeface="ＭＳ Ｐゴシック"/>
              <a:ea typeface="ＭＳ Ｐゴシック"/>
              <a:cs typeface="ＭＳ Ｐゴシック"/>
            </a:rPr>
            <a:t>
</a:t>
          </a:r>
          <a:r>
            <a:rPr lang="en-US" cap="none" sz="3600" b="1" i="0" u="none" baseline="0">
              <a:solidFill>
                <a:srgbClr val="000000"/>
              </a:solidFill>
              <a:latin typeface="ＭＳ Ｐゴシック"/>
              <a:ea typeface="ＭＳ Ｐゴシック"/>
              <a:cs typeface="ＭＳ Ｐゴシック"/>
            </a:rPr>
            <a:t>平成２２年度　主要施策成果報告書</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2162175</xdr:colOff>
      <xdr:row>0</xdr:row>
      <xdr:rowOff>66675</xdr:rowOff>
    </xdr:from>
    <xdr:to>
      <xdr:col>7</xdr:col>
      <xdr:colOff>1457325</xdr:colOff>
      <xdr:row>2</xdr:row>
      <xdr:rowOff>47625</xdr:rowOff>
    </xdr:to>
    <xdr:sp>
      <xdr:nvSpPr>
        <xdr:cNvPr id="1" name="正方形/長方形 1"/>
        <xdr:cNvSpPr>
          <a:spLocks/>
        </xdr:cNvSpPr>
      </xdr:nvSpPr>
      <xdr:spPr>
        <a:xfrm>
          <a:off x="5562600" y="66675"/>
          <a:ext cx="5972175" cy="485775"/>
        </a:xfrm>
        <a:prstGeom prst="rect">
          <a:avLst/>
        </a:prstGeom>
        <a:solidFill>
          <a:srgbClr val="FFFFFF"/>
        </a:solidFill>
        <a:ln w="25400" cmpd="sng">
          <a:noFill/>
        </a:ln>
      </xdr:spPr>
      <xdr:txBody>
        <a:bodyPr vertOverflow="clip" wrap="square"/>
        <a:p>
          <a:pPr algn="ctr">
            <a:defRPr/>
          </a:pPr>
          <a:r>
            <a:rPr lang="en-US" cap="none" sz="2300" b="0" i="0" u="none" baseline="0">
              <a:solidFill>
                <a:srgbClr val="000000"/>
              </a:solidFill>
            </a:rPr>
            <a:t>（</a:t>
          </a:r>
          <a:r>
            <a:rPr lang="en-US" cap="none" sz="2300" b="0" i="0" u="none" baseline="0">
              <a:solidFill>
                <a:srgbClr val="000000"/>
              </a:solidFill>
            </a:rPr>
            <a:t> 主　な　施　策　成　果 ）</a:t>
          </a:r>
        </a:p>
      </xdr:txBody>
    </xdr:sp>
    <xdr:clientData/>
  </xdr:twoCellAnchor>
  <xdr:twoCellAnchor>
    <xdr:from>
      <xdr:col>2</xdr:col>
      <xdr:colOff>19050</xdr:colOff>
      <xdr:row>219</xdr:row>
      <xdr:rowOff>19050</xdr:rowOff>
    </xdr:from>
    <xdr:to>
      <xdr:col>2</xdr:col>
      <xdr:colOff>1133475</xdr:colOff>
      <xdr:row>223</xdr:row>
      <xdr:rowOff>0</xdr:rowOff>
    </xdr:to>
    <xdr:sp>
      <xdr:nvSpPr>
        <xdr:cNvPr id="2" name="大かっこ 2"/>
        <xdr:cNvSpPr>
          <a:spLocks/>
        </xdr:cNvSpPr>
      </xdr:nvSpPr>
      <xdr:spPr>
        <a:xfrm>
          <a:off x="2286000" y="41919525"/>
          <a:ext cx="1114425" cy="742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204</xdr:row>
      <xdr:rowOff>19050</xdr:rowOff>
    </xdr:from>
    <xdr:to>
      <xdr:col>2</xdr:col>
      <xdr:colOff>1133475</xdr:colOff>
      <xdr:row>208</xdr:row>
      <xdr:rowOff>0</xdr:rowOff>
    </xdr:to>
    <xdr:sp>
      <xdr:nvSpPr>
        <xdr:cNvPr id="3" name="大かっこ 3"/>
        <xdr:cNvSpPr>
          <a:spLocks/>
        </xdr:cNvSpPr>
      </xdr:nvSpPr>
      <xdr:spPr>
        <a:xfrm>
          <a:off x="2286000" y="39062025"/>
          <a:ext cx="1114425" cy="742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189</xdr:row>
      <xdr:rowOff>19050</xdr:rowOff>
    </xdr:from>
    <xdr:to>
      <xdr:col>2</xdr:col>
      <xdr:colOff>1133475</xdr:colOff>
      <xdr:row>193</xdr:row>
      <xdr:rowOff>0</xdr:rowOff>
    </xdr:to>
    <xdr:sp>
      <xdr:nvSpPr>
        <xdr:cNvPr id="4" name="大かっこ 4"/>
        <xdr:cNvSpPr>
          <a:spLocks/>
        </xdr:cNvSpPr>
      </xdr:nvSpPr>
      <xdr:spPr>
        <a:xfrm>
          <a:off x="2286000" y="36204525"/>
          <a:ext cx="1114425" cy="742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152400</xdr:colOff>
      <xdr:row>4</xdr:row>
      <xdr:rowOff>0</xdr:rowOff>
    </xdr:from>
    <xdr:to>
      <xdr:col>1</xdr:col>
      <xdr:colOff>962025</xdr:colOff>
      <xdr:row>4</xdr:row>
      <xdr:rowOff>0</xdr:rowOff>
    </xdr:to>
    <xdr:sp>
      <xdr:nvSpPr>
        <xdr:cNvPr id="1" name="AutoShape 1"/>
        <xdr:cNvSpPr>
          <a:spLocks/>
        </xdr:cNvSpPr>
      </xdr:nvSpPr>
      <xdr:spPr>
        <a:xfrm>
          <a:off x="419100" y="800100"/>
          <a:ext cx="8096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1152525</xdr:colOff>
      <xdr:row>846</xdr:row>
      <xdr:rowOff>152400</xdr:rowOff>
    </xdr:from>
    <xdr:to>
      <xdr:col>3</xdr:col>
      <xdr:colOff>1143000</xdr:colOff>
      <xdr:row>850</xdr:row>
      <xdr:rowOff>0</xdr:rowOff>
    </xdr:to>
    <xdr:sp>
      <xdr:nvSpPr>
        <xdr:cNvPr id="2" name="大かっこ 2"/>
        <xdr:cNvSpPr>
          <a:spLocks/>
        </xdr:cNvSpPr>
      </xdr:nvSpPr>
      <xdr:spPr>
        <a:xfrm>
          <a:off x="2466975" y="153342975"/>
          <a:ext cx="1143000" cy="571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1152525</xdr:colOff>
      <xdr:row>860</xdr:row>
      <xdr:rowOff>152400</xdr:rowOff>
    </xdr:from>
    <xdr:to>
      <xdr:col>3</xdr:col>
      <xdr:colOff>1143000</xdr:colOff>
      <xdr:row>864</xdr:row>
      <xdr:rowOff>0</xdr:rowOff>
    </xdr:to>
    <xdr:sp>
      <xdr:nvSpPr>
        <xdr:cNvPr id="3" name="大かっこ 3"/>
        <xdr:cNvSpPr>
          <a:spLocks/>
        </xdr:cNvSpPr>
      </xdr:nvSpPr>
      <xdr:spPr>
        <a:xfrm>
          <a:off x="2466975" y="155876625"/>
          <a:ext cx="1143000" cy="5715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1152525</xdr:colOff>
      <xdr:row>877</xdr:row>
      <xdr:rowOff>152400</xdr:rowOff>
    </xdr:from>
    <xdr:to>
      <xdr:col>3</xdr:col>
      <xdr:colOff>1143000</xdr:colOff>
      <xdr:row>881</xdr:row>
      <xdr:rowOff>47625</xdr:rowOff>
    </xdr:to>
    <xdr:sp>
      <xdr:nvSpPr>
        <xdr:cNvPr id="4" name="大かっこ 4"/>
        <xdr:cNvSpPr>
          <a:spLocks/>
        </xdr:cNvSpPr>
      </xdr:nvSpPr>
      <xdr:spPr>
        <a:xfrm>
          <a:off x="2466975" y="158953200"/>
          <a:ext cx="1143000" cy="619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C1:O31"/>
  <sheetViews>
    <sheetView tabSelected="1" view="pageBreakPreview" zoomScale="60" zoomScalePageLayoutView="0" workbookViewId="0" topLeftCell="A1">
      <selection activeCell="L24" sqref="L24"/>
    </sheetView>
  </sheetViews>
  <sheetFormatPr defaultColWidth="9.00390625" defaultRowHeight="13.5"/>
  <sheetData>
    <row r="1" ht="13.5">
      <c r="O1" s="301">
        <v>4</v>
      </c>
    </row>
    <row r="2" ht="13.5">
      <c r="O2" s="301"/>
    </row>
    <row r="27" spans="3:13" ht="13.5" customHeight="1">
      <c r="C27" s="302" t="s">
        <v>0</v>
      </c>
      <c r="D27" s="302"/>
      <c r="E27" s="302"/>
      <c r="F27" s="302"/>
      <c r="G27" s="302"/>
      <c r="H27" s="302"/>
      <c r="I27" s="302"/>
      <c r="J27" s="302"/>
      <c r="K27" s="302"/>
      <c r="L27" s="302"/>
      <c r="M27" s="302"/>
    </row>
    <row r="28" spans="3:13" ht="13.5" customHeight="1">
      <c r="C28" s="302"/>
      <c r="D28" s="302"/>
      <c r="E28" s="302"/>
      <c r="F28" s="302"/>
      <c r="G28" s="302"/>
      <c r="H28" s="302"/>
      <c r="I28" s="302"/>
      <c r="J28" s="302"/>
      <c r="K28" s="302"/>
      <c r="L28" s="302"/>
      <c r="M28" s="302"/>
    </row>
    <row r="29" spans="3:13" ht="13.5" customHeight="1">
      <c r="C29" s="302"/>
      <c r="D29" s="302"/>
      <c r="E29" s="302"/>
      <c r="F29" s="302"/>
      <c r="G29" s="302"/>
      <c r="H29" s="302"/>
      <c r="I29" s="302"/>
      <c r="J29" s="302"/>
      <c r="K29" s="302"/>
      <c r="L29" s="302"/>
      <c r="M29" s="302"/>
    </row>
    <row r="30" spans="3:13" ht="13.5" customHeight="1">
      <c r="C30" s="302"/>
      <c r="D30" s="302"/>
      <c r="E30" s="302"/>
      <c r="F30" s="302"/>
      <c r="G30" s="302"/>
      <c r="H30" s="302"/>
      <c r="I30" s="302"/>
      <c r="J30" s="302"/>
      <c r="K30" s="302"/>
      <c r="L30" s="302"/>
      <c r="M30" s="302"/>
    </row>
    <row r="31" spans="3:13" ht="13.5">
      <c r="C31" s="302"/>
      <c r="D31" s="302"/>
      <c r="E31" s="302"/>
      <c r="F31" s="302"/>
      <c r="G31" s="302"/>
      <c r="H31" s="302"/>
      <c r="I31" s="302"/>
      <c r="J31" s="302"/>
      <c r="K31" s="302"/>
      <c r="L31" s="302"/>
      <c r="M31" s="302"/>
    </row>
  </sheetData>
  <sheetProtection/>
  <mergeCells count="2">
    <mergeCell ref="O1:O2"/>
    <mergeCell ref="C27:M31"/>
  </mergeCells>
  <printOptions horizontalCentered="1"/>
  <pageMargins left="0.3937007874015748" right="0.3937007874015748" top="0.984251968503937" bottom="0.984251968503937" header="0.5118110236220472" footer="0.5118110236220472"/>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2:L225"/>
  <sheetViews>
    <sheetView zoomScale="75" zoomScaleNormal="75" zoomScalePageLayoutView="0" workbookViewId="0" topLeftCell="A151">
      <selection activeCell="E176" sqref="E176"/>
    </sheetView>
  </sheetViews>
  <sheetFormatPr defaultColWidth="9.00390625" defaultRowHeight="13.5"/>
  <cols>
    <col min="1" max="3" width="14.875" style="0" customWidth="1"/>
    <col min="4" max="4" width="44.125" style="0" customWidth="1"/>
    <col min="5" max="5" width="13.125" style="0" customWidth="1"/>
    <col min="6" max="6" width="18.625" style="0" customWidth="1"/>
    <col min="7" max="7" width="11.75390625" style="0" customWidth="1"/>
    <col min="8" max="8" width="36.00390625" style="0" customWidth="1"/>
    <col min="9" max="10" width="15.375" style="0" customWidth="1"/>
    <col min="11" max="11" width="7.75390625" style="0" customWidth="1"/>
  </cols>
  <sheetData>
    <row r="2" ht="26.25" customHeight="1">
      <c r="A2" s="1" t="s">
        <v>1</v>
      </c>
    </row>
    <row r="3" spans="5:11" ht="19.5" thickBot="1">
      <c r="E3" s="338"/>
      <c r="F3" s="338"/>
      <c r="J3" s="339" t="s">
        <v>2</v>
      </c>
      <c r="K3" s="340"/>
    </row>
    <row r="4" spans="1:12" ht="16.5" customHeight="1">
      <c r="A4" s="341" t="s">
        <v>3</v>
      </c>
      <c r="B4" s="2" t="s">
        <v>4</v>
      </c>
      <c r="C4" s="2" t="s">
        <v>5</v>
      </c>
      <c r="D4" s="343" t="s">
        <v>6</v>
      </c>
      <c r="E4" s="343"/>
      <c r="F4" s="344"/>
      <c r="G4" s="343" t="s">
        <v>7</v>
      </c>
      <c r="H4" s="343"/>
      <c r="I4" s="343"/>
      <c r="J4" s="343"/>
      <c r="K4" s="347" t="s">
        <v>8</v>
      </c>
      <c r="L4" s="3"/>
    </row>
    <row r="5" spans="1:12" ht="16.5" customHeight="1" thickBot="1">
      <c r="A5" s="342"/>
      <c r="B5" s="4" t="s">
        <v>9</v>
      </c>
      <c r="C5" s="4" t="s">
        <v>9</v>
      </c>
      <c r="D5" s="345"/>
      <c r="E5" s="345"/>
      <c r="F5" s="346"/>
      <c r="G5" s="345"/>
      <c r="H5" s="345"/>
      <c r="I5" s="345"/>
      <c r="J5" s="345"/>
      <c r="K5" s="348"/>
      <c r="L5" s="3"/>
    </row>
    <row r="6" spans="1:12" ht="15" customHeight="1">
      <c r="A6" s="5"/>
      <c r="B6" s="6" t="s">
        <v>10</v>
      </c>
      <c r="C6" s="6" t="s">
        <v>10</v>
      </c>
      <c r="D6" s="7"/>
      <c r="E6" s="8"/>
      <c r="F6" s="9"/>
      <c r="G6" s="10"/>
      <c r="H6" s="8"/>
      <c r="I6" s="8"/>
      <c r="J6" s="9"/>
      <c r="K6" s="11"/>
      <c r="L6" s="3"/>
    </row>
    <row r="7" spans="1:12" ht="15" customHeight="1">
      <c r="A7" s="12" t="s">
        <v>11</v>
      </c>
      <c r="B7" s="13">
        <v>15181000</v>
      </c>
      <c r="C7" s="13">
        <v>12592861</v>
      </c>
      <c r="D7" s="14" t="s">
        <v>12</v>
      </c>
      <c r="E7" s="14"/>
      <c r="F7" s="15"/>
      <c r="G7" s="16" t="s">
        <v>12</v>
      </c>
      <c r="H7" s="14"/>
      <c r="I7" s="14"/>
      <c r="J7" s="15"/>
      <c r="K7" s="17"/>
      <c r="L7" s="3"/>
    </row>
    <row r="8" spans="1:12" ht="15" customHeight="1">
      <c r="A8" s="18"/>
      <c r="B8" s="19"/>
      <c r="C8" s="19"/>
      <c r="D8" s="20" t="s">
        <v>13</v>
      </c>
      <c r="E8" s="21"/>
      <c r="F8" s="15"/>
      <c r="G8" s="22" t="s">
        <v>14</v>
      </c>
      <c r="H8" s="14"/>
      <c r="I8" s="14"/>
      <c r="J8" s="15"/>
      <c r="K8" s="17"/>
      <c r="L8" s="3"/>
    </row>
    <row r="9" spans="1:12" ht="15" customHeight="1">
      <c r="A9" s="18"/>
      <c r="B9" s="23" t="s">
        <v>15</v>
      </c>
      <c r="C9" s="23" t="s">
        <v>15</v>
      </c>
      <c r="D9" s="24"/>
      <c r="E9" s="21"/>
      <c r="F9" s="15"/>
      <c r="G9" s="16"/>
      <c r="H9" s="14"/>
      <c r="I9" s="14"/>
      <c r="J9" s="15"/>
      <c r="K9" s="25">
        <v>6</v>
      </c>
      <c r="L9" s="3"/>
    </row>
    <row r="10" spans="1:12" ht="15" customHeight="1">
      <c r="A10" s="18"/>
      <c r="B10" s="13">
        <v>359000</v>
      </c>
      <c r="C10" s="13">
        <v>359000</v>
      </c>
      <c r="D10" s="24" t="s">
        <v>16</v>
      </c>
      <c r="E10" s="21"/>
      <c r="F10" s="15"/>
      <c r="G10" s="16" t="s">
        <v>17</v>
      </c>
      <c r="H10" s="14"/>
      <c r="I10" s="14"/>
      <c r="J10" s="15"/>
      <c r="K10" s="17"/>
      <c r="L10" s="3"/>
    </row>
    <row r="11" spans="1:12" ht="15" customHeight="1">
      <c r="A11" s="18"/>
      <c r="B11" s="23" t="s">
        <v>18</v>
      </c>
      <c r="C11" s="23" t="s">
        <v>18</v>
      </c>
      <c r="D11" s="22"/>
      <c r="E11" s="21"/>
      <c r="F11" s="15"/>
      <c r="G11" s="22"/>
      <c r="H11" s="14"/>
      <c r="I11" s="26"/>
      <c r="J11" s="15"/>
      <c r="K11" s="17"/>
      <c r="L11" s="3"/>
    </row>
    <row r="12" spans="1:12" ht="15" customHeight="1">
      <c r="A12" s="18"/>
      <c r="B12" s="13">
        <v>14822000</v>
      </c>
      <c r="C12" s="13">
        <v>12233861</v>
      </c>
      <c r="D12" s="22"/>
      <c r="E12" s="21"/>
      <c r="F12" s="15"/>
      <c r="G12" s="16"/>
      <c r="H12" s="14"/>
      <c r="I12" s="14"/>
      <c r="J12" s="15"/>
      <c r="K12" s="17"/>
      <c r="L12" s="3"/>
    </row>
    <row r="13" spans="1:12" ht="15" customHeight="1" thickBot="1">
      <c r="A13" s="27"/>
      <c r="B13" s="28"/>
      <c r="C13" s="28"/>
      <c r="D13" s="29"/>
      <c r="E13" s="30"/>
      <c r="F13" s="31"/>
      <c r="G13" s="32"/>
      <c r="H13" s="30"/>
      <c r="I13" s="30"/>
      <c r="J13" s="31"/>
      <c r="K13" s="33"/>
      <c r="L13" s="3"/>
    </row>
    <row r="14" spans="1:12" ht="15" customHeight="1">
      <c r="A14" s="18"/>
      <c r="B14" s="13"/>
      <c r="C14" s="13"/>
      <c r="D14" s="20"/>
      <c r="E14" s="14"/>
      <c r="F14" s="15"/>
      <c r="G14" s="16"/>
      <c r="H14" s="14"/>
      <c r="I14" s="14"/>
      <c r="J14" s="15"/>
      <c r="K14" s="17"/>
      <c r="L14" s="3"/>
    </row>
    <row r="15" spans="1:12" ht="15" customHeight="1">
      <c r="A15" s="34" t="s">
        <v>19</v>
      </c>
      <c r="B15" s="13">
        <v>1160450000</v>
      </c>
      <c r="C15" s="13">
        <v>747569529</v>
      </c>
      <c r="D15" s="303" t="s">
        <v>20</v>
      </c>
      <c r="E15" s="308"/>
      <c r="F15" s="309"/>
      <c r="G15" s="306" t="s">
        <v>21</v>
      </c>
      <c r="H15" s="308"/>
      <c r="I15" s="308"/>
      <c r="J15" s="309"/>
      <c r="K15" s="17"/>
      <c r="L15" s="3"/>
    </row>
    <row r="16" spans="1:12" ht="15" customHeight="1">
      <c r="A16" s="34" t="s">
        <v>22</v>
      </c>
      <c r="B16" s="13"/>
      <c r="C16" s="13"/>
      <c r="D16" s="303" t="s">
        <v>23</v>
      </c>
      <c r="E16" s="308"/>
      <c r="F16" s="309"/>
      <c r="G16" s="306" t="s">
        <v>24</v>
      </c>
      <c r="H16" s="308"/>
      <c r="I16" s="308"/>
      <c r="J16" s="309"/>
      <c r="K16" s="17"/>
      <c r="L16" s="3"/>
    </row>
    <row r="17" spans="1:12" ht="15" customHeight="1">
      <c r="A17" s="34" t="s">
        <v>25</v>
      </c>
      <c r="B17" s="23" t="s">
        <v>26</v>
      </c>
      <c r="C17" s="23" t="s">
        <v>26</v>
      </c>
      <c r="D17" s="20"/>
      <c r="E17" s="14"/>
      <c r="F17" s="15"/>
      <c r="G17" s="306"/>
      <c r="H17" s="308"/>
      <c r="I17" s="308"/>
      <c r="J17" s="309"/>
      <c r="K17" s="17"/>
      <c r="L17" s="3"/>
    </row>
    <row r="18" spans="1:12" ht="15" customHeight="1">
      <c r="A18" s="18"/>
      <c r="B18" s="13">
        <v>484377000</v>
      </c>
      <c r="C18" s="13">
        <v>94113256</v>
      </c>
      <c r="D18" s="20" t="s">
        <v>27</v>
      </c>
      <c r="E18" s="35"/>
      <c r="F18" s="15"/>
      <c r="G18" s="306" t="s">
        <v>27</v>
      </c>
      <c r="H18" s="308"/>
      <c r="I18" s="308"/>
      <c r="J18" s="309"/>
      <c r="K18" s="17">
        <v>6</v>
      </c>
      <c r="L18" s="3"/>
    </row>
    <row r="19" spans="1:12" ht="15" customHeight="1">
      <c r="A19" s="18"/>
      <c r="B19" s="23" t="s">
        <v>15</v>
      </c>
      <c r="C19" s="23" t="s">
        <v>15</v>
      </c>
      <c r="D19" s="303" t="s">
        <v>28</v>
      </c>
      <c r="E19" s="308"/>
      <c r="F19" s="309"/>
      <c r="G19" s="306" t="s">
        <v>29</v>
      </c>
      <c r="H19" s="308"/>
      <c r="I19" s="308"/>
      <c r="J19" s="309"/>
      <c r="K19" s="17"/>
      <c r="L19" s="3"/>
    </row>
    <row r="20" spans="1:12" ht="15" customHeight="1">
      <c r="A20" s="18"/>
      <c r="B20" s="13">
        <v>129678000</v>
      </c>
      <c r="C20" s="13">
        <v>137381498</v>
      </c>
      <c r="D20" s="20" t="s">
        <v>30</v>
      </c>
      <c r="E20" s="14"/>
      <c r="F20" s="15"/>
      <c r="G20" s="306" t="s">
        <v>31</v>
      </c>
      <c r="H20" s="308"/>
      <c r="I20" s="308"/>
      <c r="J20" s="309"/>
      <c r="K20" s="17"/>
      <c r="L20" s="3"/>
    </row>
    <row r="21" spans="1:12" ht="15" customHeight="1">
      <c r="A21" s="18"/>
      <c r="B21" s="23" t="s">
        <v>18</v>
      </c>
      <c r="C21" s="23" t="s">
        <v>18</v>
      </c>
      <c r="D21" s="303"/>
      <c r="E21" s="308"/>
      <c r="F21" s="309"/>
      <c r="G21" s="306"/>
      <c r="H21" s="308"/>
      <c r="I21" s="308"/>
      <c r="J21" s="309"/>
      <c r="K21" s="17"/>
      <c r="L21" s="3"/>
    </row>
    <row r="22" spans="1:12" ht="15" customHeight="1">
      <c r="A22" s="18"/>
      <c r="B22" s="13">
        <v>546395000</v>
      </c>
      <c r="C22" s="13">
        <v>516074775</v>
      </c>
      <c r="D22" s="20"/>
      <c r="E22" s="14"/>
      <c r="F22" s="15"/>
      <c r="G22" s="16"/>
      <c r="H22" s="14"/>
      <c r="I22" s="14"/>
      <c r="J22" s="15"/>
      <c r="K22" s="17"/>
      <c r="L22" s="3"/>
    </row>
    <row r="23" spans="1:12" ht="15" customHeight="1" thickBot="1">
      <c r="A23" s="18"/>
      <c r="B23" s="13"/>
      <c r="C23" s="13"/>
      <c r="D23" s="20"/>
      <c r="E23" s="14"/>
      <c r="F23" s="15"/>
      <c r="G23" s="16"/>
      <c r="H23" s="14"/>
      <c r="I23" s="14"/>
      <c r="J23" s="15"/>
      <c r="K23" s="17"/>
      <c r="L23" s="3"/>
    </row>
    <row r="24" spans="1:12" ht="15" customHeight="1">
      <c r="A24" s="36"/>
      <c r="B24" s="6"/>
      <c r="C24" s="6"/>
      <c r="D24" s="37"/>
      <c r="E24" s="38"/>
      <c r="F24" s="39"/>
      <c r="G24" s="40"/>
      <c r="H24" s="38"/>
      <c r="I24" s="38"/>
      <c r="J24" s="39"/>
      <c r="K24" s="11"/>
      <c r="L24" s="3"/>
    </row>
    <row r="25" spans="1:12" ht="15" customHeight="1">
      <c r="A25" s="34" t="s">
        <v>32</v>
      </c>
      <c r="B25" s="13">
        <v>3304565000</v>
      </c>
      <c r="C25" s="13">
        <v>2726552603</v>
      </c>
      <c r="D25" s="324" t="s">
        <v>33</v>
      </c>
      <c r="E25" s="336"/>
      <c r="F25" s="337"/>
      <c r="G25" s="327" t="s">
        <v>34</v>
      </c>
      <c r="H25" s="333"/>
      <c r="I25" s="333"/>
      <c r="J25" s="334"/>
      <c r="K25" s="17"/>
      <c r="L25" s="3"/>
    </row>
    <row r="26" spans="1:12" ht="15" customHeight="1">
      <c r="A26" s="41"/>
      <c r="B26" s="19"/>
      <c r="C26" s="19"/>
      <c r="D26" s="335" t="s">
        <v>35</v>
      </c>
      <c r="E26" s="336"/>
      <c r="F26" s="337"/>
      <c r="G26" s="332" t="s">
        <v>36</v>
      </c>
      <c r="H26" s="333"/>
      <c r="I26" s="333"/>
      <c r="J26" s="334"/>
      <c r="K26" s="17"/>
      <c r="L26" s="3"/>
    </row>
    <row r="27" spans="1:12" ht="15" customHeight="1">
      <c r="A27" s="41"/>
      <c r="B27" s="23" t="s">
        <v>26</v>
      </c>
      <c r="C27" s="23" t="s">
        <v>26</v>
      </c>
      <c r="D27" s="324" t="s">
        <v>37</v>
      </c>
      <c r="E27" s="336"/>
      <c r="F27" s="337"/>
      <c r="G27" s="332" t="s">
        <v>38</v>
      </c>
      <c r="H27" s="333"/>
      <c r="I27" s="333"/>
      <c r="J27" s="334"/>
      <c r="K27" s="17"/>
      <c r="L27" s="3"/>
    </row>
    <row r="28" spans="1:12" ht="15" customHeight="1">
      <c r="A28" s="41"/>
      <c r="B28" s="13">
        <v>2262186000</v>
      </c>
      <c r="C28" s="13">
        <v>1790891789</v>
      </c>
      <c r="D28" s="324" t="s">
        <v>39</v>
      </c>
      <c r="E28" s="336"/>
      <c r="F28" s="337"/>
      <c r="G28" s="327" t="s">
        <v>40</v>
      </c>
      <c r="H28" s="333"/>
      <c r="I28" s="333"/>
      <c r="J28" s="334"/>
      <c r="K28" s="17"/>
      <c r="L28" s="3"/>
    </row>
    <row r="29" spans="1:12" ht="15" customHeight="1">
      <c r="A29" s="41"/>
      <c r="B29" s="23" t="s">
        <v>41</v>
      </c>
      <c r="C29" s="23" t="s">
        <v>41</v>
      </c>
      <c r="D29" s="42" t="s">
        <v>42</v>
      </c>
      <c r="E29" s="43"/>
      <c r="F29" s="44"/>
      <c r="G29" s="45"/>
      <c r="H29" s="46"/>
      <c r="I29" s="46"/>
      <c r="J29" s="47"/>
      <c r="K29" s="17"/>
      <c r="L29" s="3"/>
    </row>
    <row r="30" spans="1:12" ht="15" customHeight="1">
      <c r="A30" s="41"/>
      <c r="B30" s="13">
        <v>47000000</v>
      </c>
      <c r="C30" s="13">
        <v>47000000</v>
      </c>
      <c r="D30" s="324" t="s">
        <v>43</v>
      </c>
      <c r="E30" s="333"/>
      <c r="F30" s="334"/>
      <c r="G30" s="332"/>
      <c r="H30" s="333"/>
      <c r="I30" s="333"/>
      <c r="J30" s="334"/>
      <c r="K30" s="17"/>
      <c r="L30" s="3"/>
    </row>
    <row r="31" spans="1:12" ht="15" customHeight="1">
      <c r="A31" s="41"/>
      <c r="B31" s="23" t="s">
        <v>15</v>
      </c>
      <c r="C31" s="23" t="s">
        <v>15</v>
      </c>
      <c r="D31" s="303"/>
      <c r="E31" s="323"/>
      <c r="F31" s="309"/>
      <c r="G31" s="45"/>
      <c r="H31" s="46"/>
      <c r="I31" s="46"/>
      <c r="J31" s="47"/>
      <c r="K31" s="17"/>
      <c r="L31" s="3"/>
    </row>
    <row r="32" spans="1:12" ht="15" customHeight="1">
      <c r="A32" s="41"/>
      <c r="B32" s="13">
        <v>866243000</v>
      </c>
      <c r="C32" s="13">
        <v>805541523</v>
      </c>
      <c r="D32" s="303" t="s">
        <v>44</v>
      </c>
      <c r="E32" s="323"/>
      <c r="F32" s="309"/>
      <c r="G32" s="332" t="s">
        <v>45</v>
      </c>
      <c r="H32" s="333"/>
      <c r="I32" s="333"/>
      <c r="J32" s="334"/>
      <c r="K32" s="17">
        <v>8</v>
      </c>
      <c r="L32" s="3"/>
    </row>
    <row r="33" spans="1:12" ht="15" customHeight="1">
      <c r="A33" s="41"/>
      <c r="B33" s="23" t="s">
        <v>18</v>
      </c>
      <c r="C33" s="23" t="s">
        <v>18</v>
      </c>
      <c r="D33" s="20" t="s">
        <v>46</v>
      </c>
      <c r="E33" s="14"/>
      <c r="F33" s="15"/>
      <c r="G33" s="48"/>
      <c r="H33" s="46"/>
      <c r="I33" s="46"/>
      <c r="J33" s="47"/>
      <c r="K33" s="17"/>
      <c r="L33" s="3"/>
    </row>
    <row r="34" spans="1:12" ht="15" customHeight="1">
      <c r="A34" s="41"/>
      <c r="B34" s="13">
        <v>129136000</v>
      </c>
      <c r="C34" s="13">
        <v>83119291</v>
      </c>
      <c r="D34" s="49" t="s">
        <v>47</v>
      </c>
      <c r="E34" s="46"/>
      <c r="F34" s="47"/>
      <c r="G34" s="48"/>
      <c r="H34" s="46"/>
      <c r="I34" s="46"/>
      <c r="J34" s="47"/>
      <c r="K34" s="17"/>
      <c r="L34" s="3"/>
    </row>
    <row r="35" spans="1:12" ht="15" customHeight="1">
      <c r="A35" s="41"/>
      <c r="B35" s="23"/>
      <c r="C35" s="23"/>
      <c r="D35" s="49"/>
      <c r="E35" s="46"/>
      <c r="F35" s="47"/>
      <c r="G35" s="327"/>
      <c r="H35" s="333"/>
      <c r="I35" s="333"/>
      <c r="J35" s="334"/>
      <c r="K35" s="17"/>
      <c r="L35" s="3"/>
    </row>
    <row r="36" spans="1:12" ht="15" customHeight="1">
      <c r="A36" s="41"/>
      <c r="B36" s="23"/>
      <c r="C36" s="23"/>
      <c r="D36" s="324" t="s">
        <v>48</v>
      </c>
      <c r="E36" s="330"/>
      <c r="F36" s="331"/>
      <c r="G36" s="327" t="s">
        <v>49</v>
      </c>
      <c r="H36" s="333"/>
      <c r="I36" s="333"/>
      <c r="J36" s="334"/>
      <c r="K36" s="17"/>
      <c r="L36" s="3"/>
    </row>
    <row r="37" spans="1:12" ht="15" customHeight="1">
      <c r="A37" s="41"/>
      <c r="B37" s="23"/>
      <c r="C37" s="23"/>
      <c r="D37" s="324" t="s">
        <v>50</v>
      </c>
      <c r="E37" s="330"/>
      <c r="F37" s="331"/>
      <c r="G37" s="327" t="s">
        <v>51</v>
      </c>
      <c r="H37" s="330"/>
      <c r="I37" s="330"/>
      <c r="J37" s="331"/>
      <c r="K37" s="17"/>
      <c r="L37" s="3"/>
    </row>
    <row r="38" spans="1:12" ht="15" customHeight="1">
      <c r="A38" s="41"/>
      <c r="B38" s="23"/>
      <c r="C38" s="23"/>
      <c r="D38" s="324" t="s">
        <v>52</v>
      </c>
      <c r="E38" s="330"/>
      <c r="F38" s="331"/>
      <c r="G38" s="327" t="s">
        <v>53</v>
      </c>
      <c r="H38" s="330"/>
      <c r="I38" s="330"/>
      <c r="J38" s="331"/>
      <c r="K38" s="17"/>
      <c r="L38" s="3"/>
    </row>
    <row r="39" spans="1:12" ht="15" customHeight="1">
      <c r="A39" s="41"/>
      <c r="B39" s="23"/>
      <c r="C39" s="23"/>
      <c r="D39" s="324" t="s">
        <v>54</v>
      </c>
      <c r="E39" s="330"/>
      <c r="F39" s="331"/>
      <c r="G39" s="332" t="s">
        <v>55</v>
      </c>
      <c r="H39" s="330"/>
      <c r="I39" s="330"/>
      <c r="J39" s="331"/>
      <c r="K39" s="17"/>
      <c r="L39" s="3"/>
    </row>
    <row r="40" spans="1:12" ht="15" customHeight="1">
      <c r="A40" s="41"/>
      <c r="B40" s="23"/>
      <c r="C40" s="23"/>
      <c r="D40" s="324" t="s">
        <v>56</v>
      </c>
      <c r="E40" s="330"/>
      <c r="F40" s="331"/>
      <c r="G40" s="22"/>
      <c r="H40" s="22"/>
      <c r="I40" s="22"/>
      <c r="J40" s="22"/>
      <c r="K40" s="17"/>
      <c r="L40" s="3"/>
    </row>
    <row r="41" spans="1:12" ht="15" customHeight="1">
      <c r="A41" s="41"/>
      <c r="B41" s="23"/>
      <c r="C41" s="23"/>
      <c r="D41" s="324" t="s">
        <v>57</v>
      </c>
      <c r="E41" s="330"/>
      <c r="F41" s="331"/>
      <c r="G41" s="22"/>
      <c r="H41" s="22"/>
      <c r="I41" s="22"/>
      <c r="J41" s="22"/>
      <c r="K41" s="17"/>
      <c r="L41" s="3"/>
    </row>
    <row r="42" spans="1:12" ht="15" customHeight="1" thickBot="1">
      <c r="A42" s="50"/>
      <c r="B42" s="28"/>
      <c r="C42" s="28"/>
      <c r="D42" s="51"/>
      <c r="E42" s="52"/>
      <c r="F42" s="53"/>
      <c r="G42" s="54"/>
      <c r="H42" s="52"/>
      <c r="I42" s="52"/>
      <c r="J42" s="53"/>
      <c r="K42" s="33"/>
      <c r="L42" s="3"/>
    </row>
    <row r="43" spans="1:12" ht="15" customHeight="1">
      <c r="A43" s="41"/>
      <c r="B43" s="13"/>
      <c r="C43" s="13"/>
      <c r="D43" s="37"/>
      <c r="E43" s="55"/>
      <c r="F43" s="56"/>
      <c r="G43" s="40"/>
      <c r="H43" s="55"/>
      <c r="I43" s="55"/>
      <c r="J43" s="56"/>
      <c r="K43" s="57"/>
      <c r="L43" s="3"/>
    </row>
    <row r="44" spans="1:12" ht="15" customHeight="1">
      <c r="A44" s="34" t="s">
        <v>58</v>
      </c>
      <c r="B44" s="13">
        <v>1591517000</v>
      </c>
      <c r="C44" s="13">
        <v>1450180548</v>
      </c>
      <c r="D44" s="324" t="s">
        <v>59</v>
      </c>
      <c r="E44" s="328"/>
      <c r="F44" s="329"/>
      <c r="G44" s="327" t="s">
        <v>60</v>
      </c>
      <c r="H44" s="328"/>
      <c r="I44" s="328"/>
      <c r="J44" s="329"/>
      <c r="K44" s="58"/>
      <c r="L44" s="3"/>
    </row>
    <row r="45" spans="1:12" ht="15" customHeight="1">
      <c r="A45" s="34" t="s">
        <v>61</v>
      </c>
      <c r="B45" s="19"/>
      <c r="C45" s="19"/>
      <c r="D45" s="324" t="s">
        <v>62</v>
      </c>
      <c r="E45" s="328"/>
      <c r="F45" s="329"/>
      <c r="G45" s="327" t="s">
        <v>63</v>
      </c>
      <c r="H45" s="328"/>
      <c r="I45" s="328"/>
      <c r="J45" s="329"/>
      <c r="K45" s="58"/>
      <c r="L45" s="3"/>
    </row>
    <row r="46" spans="1:12" ht="15" customHeight="1">
      <c r="A46" s="41"/>
      <c r="B46" s="23" t="s">
        <v>26</v>
      </c>
      <c r="C46" s="23" t="s">
        <v>26</v>
      </c>
      <c r="D46" s="324" t="s">
        <v>64</v>
      </c>
      <c r="E46" s="328"/>
      <c r="F46" s="329"/>
      <c r="G46" s="327" t="s">
        <v>65</v>
      </c>
      <c r="H46" s="328"/>
      <c r="I46" s="328"/>
      <c r="J46" s="329"/>
      <c r="K46" s="58"/>
      <c r="L46" s="3"/>
    </row>
    <row r="47" spans="1:12" ht="15" customHeight="1">
      <c r="A47" s="41"/>
      <c r="B47" s="13">
        <v>618325000</v>
      </c>
      <c r="C47" s="13">
        <v>561042287</v>
      </c>
      <c r="D47" s="22"/>
      <c r="E47" s="22"/>
      <c r="F47" s="22"/>
      <c r="G47" s="59"/>
      <c r="H47" s="22"/>
      <c r="I47" s="22"/>
      <c r="J47" s="22"/>
      <c r="K47" s="58"/>
      <c r="L47" s="3"/>
    </row>
    <row r="48" spans="1:12" ht="15" customHeight="1">
      <c r="A48" s="41"/>
      <c r="B48" s="23" t="s">
        <v>41</v>
      </c>
      <c r="C48" s="23" t="s">
        <v>41</v>
      </c>
      <c r="D48" s="324" t="s">
        <v>66</v>
      </c>
      <c r="E48" s="328"/>
      <c r="F48" s="329"/>
      <c r="G48" s="327" t="s">
        <v>67</v>
      </c>
      <c r="H48" s="328"/>
      <c r="I48" s="328"/>
      <c r="J48" s="329"/>
      <c r="K48" s="17">
        <v>12</v>
      </c>
      <c r="L48" s="3"/>
    </row>
    <row r="49" spans="1:12" ht="15" customHeight="1">
      <c r="A49" s="41"/>
      <c r="B49" s="13">
        <v>54000000</v>
      </c>
      <c r="C49" s="13">
        <v>53000000</v>
      </c>
      <c r="D49" s="49" t="s">
        <v>68</v>
      </c>
      <c r="E49" s="60"/>
      <c r="F49" s="61"/>
      <c r="G49" s="327"/>
      <c r="H49" s="328"/>
      <c r="I49" s="328"/>
      <c r="J49" s="329"/>
      <c r="K49" s="58"/>
      <c r="L49" s="3"/>
    </row>
    <row r="50" spans="1:12" ht="15" customHeight="1">
      <c r="A50" s="41"/>
      <c r="B50" s="23" t="s">
        <v>15</v>
      </c>
      <c r="C50" s="23" t="s">
        <v>15</v>
      </c>
      <c r="D50" s="49"/>
      <c r="E50" s="60"/>
      <c r="F50" s="61"/>
      <c r="G50" s="22"/>
      <c r="H50" s="22"/>
      <c r="I50" s="22"/>
      <c r="J50" s="22"/>
      <c r="K50" s="58"/>
      <c r="L50" s="3"/>
    </row>
    <row r="51" spans="1:12" ht="15" customHeight="1">
      <c r="A51" s="41"/>
      <c r="B51" s="13">
        <v>200702000</v>
      </c>
      <c r="C51" s="13">
        <v>586541424</v>
      </c>
      <c r="D51" s="49"/>
      <c r="E51" s="60"/>
      <c r="F51" s="61"/>
      <c r="G51" s="48"/>
      <c r="H51" s="60"/>
      <c r="I51" s="60"/>
      <c r="J51" s="61"/>
      <c r="K51" s="58"/>
      <c r="L51" s="3"/>
    </row>
    <row r="52" spans="1:12" ht="15" customHeight="1">
      <c r="A52" s="41"/>
      <c r="B52" s="23" t="s">
        <v>18</v>
      </c>
      <c r="C52" s="23" t="s">
        <v>18</v>
      </c>
      <c r="D52" s="49"/>
      <c r="E52" s="60"/>
      <c r="F52" s="61"/>
      <c r="G52" s="48"/>
      <c r="H52" s="60"/>
      <c r="I52" s="60"/>
      <c r="J52" s="61"/>
      <c r="K52" s="58"/>
      <c r="L52" s="3"/>
    </row>
    <row r="53" spans="1:12" ht="15" customHeight="1">
      <c r="A53" s="41"/>
      <c r="B53" s="13">
        <v>718490000</v>
      </c>
      <c r="C53" s="13">
        <v>249596837</v>
      </c>
      <c r="D53" s="49"/>
      <c r="E53" s="60"/>
      <c r="F53" s="61"/>
      <c r="G53" s="48"/>
      <c r="H53" s="60"/>
      <c r="I53" s="60"/>
      <c r="J53" s="61"/>
      <c r="K53" s="58"/>
      <c r="L53" s="3"/>
    </row>
    <row r="54" spans="1:12" ht="15" customHeight="1" thickBot="1">
      <c r="A54" s="50"/>
      <c r="B54" s="28"/>
      <c r="C54" s="28"/>
      <c r="D54" s="62"/>
      <c r="E54" s="63"/>
      <c r="F54" s="64"/>
      <c r="G54" s="65"/>
      <c r="H54" s="63"/>
      <c r="I54" s="63"/>
      <c r="J54" s="64"/>
      <c r="K54" s="66"/>
      <c r="L54" s="3"/>
    </row>
    <row r="55" spans="1:12" ht="15" customHeight="1">
      <c r="A55" s="41"/>
      <c r="B55" s="13"/>
      <c r="C55" s="13"/>
      <c r="D55" s="37"/>
      <c r="E55" s="55"/>
      <c r="F55" s="56"/>
      <c r="G55" s="40"/>
      <c r="H55" s="55"/>
      <c r="I55" s="55"/>
      <c r="J55" s="56"/>
      <c r="K55" s="57"/>
      <c r="L55" s="3"/>
    </row>
    <row r="56" spans="1:12" ht="15" customHeight="1">
      <c r="A56" s="34" t="s">
        <v>69</v>
      </c>
      <c r="B56" s="13">
        <v>1319094000</v>
      </c>
      <c r="C56" s="13">
        <v>1062715816</v>
      </c>
      <c r="D56" s="324" t="s">
        <v>70</v>
      </c>
      <c r="E56" s="328"/>
      <c r="F56" s="329"/>
      <c r="G56" s="327" t="s">
        <v>71</v>
      </c>
      <c r="H56" s="328"/>
      <c r="I56" s="328"/>
      <c r="J56" s="329"/>
      <c r="K56" s="58"/>
      <c r="L56" s="3"/>
    </row>
    <row r="57" spans="1:12" ht="15" customHeight="1">
      <c r="A57" s="34" t="s">
        <v>72</v>
      </c>
      <c r="B57" s="19"/>
      <c r="C57" s="19"/>
      <c r="D57" s="324" t="s">
        <v>73</v>
      </c>
      <c r="E57" s="308"/>
      <c r="F57" s="309"/>
      <c r="G57" s="327" t="s">
        <v>74</v>
      </c>
      <c r="H57" s="328"/>
      <c r="I57" s="328"/>
      <c r="J57" s="329"/>
      <c r="K57" s="58"/>
      <c r="L57" s="3"/>
    </row>
    <row r="58" spans="1:12" ht="15" customHeight="1">
      <c r="A58" s="34"/>
      <c r="B58" s="23" t="s">
        <v>26</v>
      </c>
      <c r="C58" s="23" t="s">
        <v>26</v>
      </c>
      <c r="D58" s="324" t="s">
        <v>75</v>
      </c>
      <c r="E58" s="328"/>
      <c r="F58" s="329"/>
      <c r="G58" s="48"/>
      <c r="H58" s="60"/>
      <c r="I58" s="60"/>
      <c r="J58" s="61"/>
      <c r="K58" s="58"/>
      <c r="L58" s="3"/>
    </row>
    <row r="59" spans="1:12" ht="15" customHeight="1">
      <c r="A59" s="41"/>
      <c r="B59" s="13">
        <v>536382000</v>
      </c>
      <c r="C59" s="13">
        <v>396385283</v>
      </c>
      <c r="D59" s="324" t="s">
        <v>76</v>
      </c>
      <c r="E59" s="328"/>
      <c r="F59" s="329"/>
      <c r="G59" s="48"/>
      <c r="H59" s="60"/>
      <c r="I59" s="60"/>
      <c r="J59" s="61"/>
      <c r="K59" s="58"/>
      <c r="L59" s="3"/>
    </row>
    <row r="60" spans="1:12" ht="15" customHeight="1">
      <c r="A60" s="41"/>
      <c r="B60" s="23" t="s">
        <v>41</v>
      </c>
      <c r="C60" s="23" t="s">
        <v>41</v>
      </c>
      <c r="D60" s="22"/>
      <c r="E60" s="22"/>
      <c r="F60" s="22"/>
      <c r="G60" s="48"/>
      <c r="H60" s="60"/>
      <c r="I60" s="60"/>
      <c r="J60" s="61"/>
      <c r="K60" s="17">
        <v>14</v>
      </c>
      <c r="L60" s="3"/>
    </row>
    <row r="61" spans="1:12" ht="15" customHeight="1">
      <c r="A61" s="41"/>
      <c r="B61" s="13">
        <v>406000000</v>
      </c>
      <c r="C61" s="13">
        <v>310000000</v>
      </c>
      <c r="D61" s="49"/>
      <c r="E61" s="60"/>
      <c r="F61" s="61"/>
      <c r="G61" s="48"/>
      <c r="H61" s="60"/>
      <c r="I61" s="60"/>
      <c r="J61" s="61"/>
      <c r="K61" s="58"/>
      <c r="L61" s="3"/>
    </row>
    <row r="62" spans="1:12" ht="15" customHeight="1">
      <c r="A62" s="41"/>
      <c r="B62" s="23" t="s">
        <v>15</v>
      </c>
      <c r="C62" s="23" t="s">
        <v>15</v>
      </c>
      <c r="D62" s="49"/>
      <c r="E62" s="60"/>
      <c r="F62" s="61"/>
      <c r="G62" s="48"/>
      <c r="H62" s="60"/>
      <c r="I62" s="60"/>
      <c r="J62" s="61"/>
      <c r="K62" s="58"/>
      <c r="L62" s="3"/>
    </row>
    <row r="63" spans="1:12" ht="15" customHeight="1">
      <c r="A63" s="41"/>
      <c r="B63" s="13">
        <v>24933000</v>
      </c>
      <c r="C63" s="13">
        <v>46573735</v>
      </c>
      <c r="D63" s="49"/>
      <c r="E63" s="60"/>
      <c r="F63" s="61"/>
      <c r="G63" s="48"/>
      <c r="H63" s="60"/>
      <c r="I63" s="60"/>
      <c r="J63" s="61"/>
      <c r="K63" s="58"/>
      <c r="L63" s="3"/>
    </row>
    <row r="64" spans="1:12" ht="15" customHeight="1">
      <c r="A64" s="41"/>
      <c r="B64" s="23" t="s">
        <v>18</v>
      </c>
      <c r="C64" s="23" t="s">
        <v>18</v>
      </c>
      <c r="D64" s="49"/>
      <c r="E64" s="60"/>
      <c r="F64" s="61"/>
      <c r="G64" s="48"/>
      <c r="H64" s="60"/>
      <c r="I64" s="60"/>
      <c r="J64" s="61"/>
      <c r="K64" s="58"/>
      <c r="L64" s="3"/>
    </row>
    <row r="65" spans="1:12" ht="15" customHeight="1">
      <c r="A65" s="41"/>
      <c r="B65" s="13">
        <v>351779000</v>
      </c>
      <c r="C65" s="13">
        <v>309756798</v>
      </c>
      <c r="D65" s="49"/>
      <c r="E65" s="60"/>
      <c r="F65" s="61"/>
      <c r="G65" s="48"/>
      <c r="H65" s="60"/>
      <c r="I65" s="60"/>
      <c r="J65" s="61"/>
      <c r="K65" s="58"/>
      <c r="L65" s="3"/>
    </row>
    <row r="66" spans="1:12" ht="15" customHeight="1" thickBot="1">
      <c r="A66" s="50"/>
      <c r="B66" s="28"/>
      <c r="C66" s="28"/>
      <c r="D66" s="62"/>
      <c r="E66" s="63"/>
      <c r="F66" s="64"/>
      <c r="G66" s="65"/>
      <c r="H66" s="63"/>
      <c r="I66" s="63"/>
      <c r="J66" s="64"/>
      <c r="K66" s="66"/>
      <c r="L66" s="3"/>
    </row>
    <row r="67" spans="1:12" ht="15" customHeight="1">
      <c r="A67" s="41"/>
      <c r="B67" s="13"/>
      <c r="C67" s="13"/>
      <c r="D67" s="37"/>
      <c r="E67" s="55"/>
      <c r="F67" s="56"/>
      <c r="G67" s="22"/>
      <c r="H67" s="55"/>
      <c r="I67" s="55"/>
      <c r="J67" s="56"/>
      <c r="K67" s="57"/>
      <c r="L67" s="3"/>
    </row>
    <row r="68" spans="1:12" ht="15" customHeight="1">
      <c r="A68" s="34" t="s">
        <v>77</v>
      </c>
      <c r="B68" s="13">
        <v>185611000</v>
      </c>
      <c r="C68" s="13">
        <v>181599621</v>
      </c>
      <c r="D68" s="324" t="s">
        <v>78</v>
      </c>
      <c r="E68" s="328"/>
      <c r="F68" s="329"/>
      <c r="G68" s="327" t="s">
        <v>79</v>
      </c>
      <c r="H68" s="328"/>
      <c r="I68" s="328"/>
      <c r="J68" s="329"/>
      <c r="K68" s="58"/>
      <c r="L68" s="3"/>
    </row>
    <row r="69" spans="1:12" ht="15" customHeight="1">
      <c r="A69" s="34"/>
      <c r="B69" s="19"/>
      <c r="C69" s="19"/>
      <c r="D69" s="324" t="s">
        <v>80</v>
      </c>
      <c r="E69" s="328"/>
      <c r="F69" s="329"/>
      <c r="G69" s="327" t="s">
        <v>81</v>
      </c>
      <c r="H69" s="328"/>
      <c r="I69" s="328"/>
      <c r="J69" s="329"/>
      <c r="K69" s="58"/>
      <c r="L69" s="3"/>
    </row>
    <row r="70" spans="1:12" ht="15" customHeight="1">
      <c r="A70" s="41"/>
      <c r="B70" s="23" t="s">
        <v>26</v>
      </c>
      <c r="C70" s="23" t="s">
        <v>26</v>
      </c>
      <c r="D70" s="324" t="s">
        <v>82</v>
      </c>
      <c r="E70" s="328"/>
      <c r="F70" s="329"/>
      <c r="G70" s="327" t="s">
        <v>83</v>
      </c>
      <c r="H70" s="328"/>
      <c r="I70" s="328"/>
      <c r="J70" s="329"/>
      <c r="K70" s="58"/>
      <c r="L70" s="3"/>
    </row>
    <row r="71" spans="1:12" ht="15" customHeight="1">
      <c r="A71" s="41"/>
      <c r="B71" s="13">
        <v>17173000</v>
      </c>
      <c r="C71" s="13">
        <v>17172000</v>
      </c>
      <c r="D71" s="324" t="s">
        <v>84</v>
      </c>
      <c r="E71" s="328"/>
      <c r="F71" s="329"/>
      <c r="G71" s="327" t="s">
        <v>85</v>
      </c>
      <c r="H71" s="328"/>
      <c r="I71" s="328"/>
      <c r="J71" s="329"/>
      <c r="K71" s="17">
        <v>15</v>
      </c>
      <c r="L71" s="3"/>
    </row>
    <row r="72" spans="1:12" ht="15" customHeight="1">
      <c r="A72" s="41"/>
      <c r="B72" s="23" t="s">
        <v>15</v>
      </c>
      <c r="C72" s="23" t="s">
        <v>15</v>
      </c>
      <c r="D72" s="324" t="s">
        <v>86</v>
      </c>
      <c r="E72" s="328"/>
      <c r="F72" s="329"/>
      <c r="G72" s="327" t="s">
        <v>87</v>
      </c>
      <c r="H72" s="325"/>
      <c r="I72" s="325"/>
      <c r="J72" s="326"/>
      <c r="K72" s="58"/>
      <c r="L72" s="3"/>
    </row>
    <row r="73" spans="1:12" ht="15" customHeight="1">
      <c r="A73" s="41"/>
      <c r="B73" s="13">
        <v>163889000</v>
      </c>
      <c r="C73" s="13">
        <v>214000</v>
      </c>
      <c r="D73" s="324" t="s">
        <v>88</v>
      </c>
      <c r="E73" s="328"/>
      <c r="F73" s="329"/>
      <c r="G73" s="327"/>
      <c r="H73" s="328"/>
      <c r="I73" s="328"/>
      <c r="J73" s="329"/>
      <c r="K73" s="58"/>
      <c r="L73" s="3"/>
    </row>
    <row r="74" spans="1:12" ht="15" customHeight="1">
      <c r="A74" s="41"/>
      <c r="B74" s="23" t="s">
        <v>18</v>
      </c>
      <c r="C74" s="23" t="s">
        <v>18</v>
      </c>
      <c r="D74" s="324" t="s">
        <v>89</v>
      </c>
      <c r="E74" s="325"/>
      <c r="F74" s="326"/>
      <c r="G74" s="327"/>
      <c r="H74" s="328"/>
      <c r="I74" s="328"/>
      <c r="J74" s="329"/>
      <c r="K74" s="58"/>
      <c r="L74" s="3"/>
    </row>
    <row r="75" spans="1:12" ht="15" customHeight="1">
      <c r="A75" s="41"/>
      <c r="B75" s="13">
        <v>4549000</v>
      </c>
      <c r="C75" s="13">
        <v>164213621</v>
      </c>
      <c r="D75" s="324" t="s">
        <v>90</v>
      </c>
      <c r="E75" s="328"/>
      <c r="F75" s="329"/>
      <c r="G75" s="48"/>
      <c r="H75" s="60"/>
      <c r="I75" s="60"/>
      <c r="J75" s="61"/>
      <c r="K75" s="58"/>
      <c r="L75" s="3"/>
    </row>
    <row r="76" spans="1:12" ht="15" customHeight="1" thickBot="1">
      <c r="A76" s="50"/>
      <c r="B76" s="28"/>
      <c r="C76" s="28"/>
      <c r="D76" s="62"/>
      <c r="E76" s="63"/>
      <c r="F76" s="64"/>
      <c r="G76" s="65"/>
      <c r="H76" s="63"/>
      <c r="I76" s="63"/>
      <c r="J76" s="64"/>
      <c r="K76" s="66"/>
      <c r="L76" s="3"/>
    </row>
    <row r="77" spans="1:12" ht="15" customHeight="1">
      <c r="A77" s="41"/>
      <c r="B77" s="13"/>
      <c r="C77" s="13"/>
      <c r="D77" s="37"/>
      <c r="E77" s="55"/>
      <c r="F77" s="56"/>
      <c r="G77" s="40"/>
      <c r="H77" s="55"/>
      <c r="I77" s="55"/>
      <c r="J77" s="56"/>
      <c r="K77" s="57"/>
      <c r="L77" s="3"/>
    </row>
    <row r="78" spans="1:12" ht="15" customHeight="1">
      <c r="A78" s="34" t="s">
        <v>91</v>
      </c>
      <c r="B78" s="13">
        <v>7177000</v>
      </c>
      <c r="C78" s="13">
        <v>7132120</v>
      </c>
      <c r="D78" s="324" t="s">
        <v>92</v>
      </c>
      <c r="E78" s="328"/>
      <c r="F78" s="329"/>
      <c r="G78" s="317" t="s">
        <v>93</v>
      </c>
      <c r="H78" s="308"/>
      <c r="I78" s="308"/>
      <c r="J78" s="309"/>
      <c r="K78" s="58"/>
      <c r="L78" s="3"/>
    </row>
    <row r="79" spans="1:12" ht="15" customHeight="1">
      <c r="A79" s="34" t="s">
        <v>94</v>
      </c>
      <c r="B79" s="19"/>
      <c r="C79" s="19"/>
      <c r="D79" s="303" t="s">
        <v>95</v>
      </c>
      <c r="E79" s="308"/>
      <c r="F79" s="309"/>
      <c r="G79" s="22" t="s">
        <v>96</v>
      </c>
      <c r="H79" s="67"/>
      <c r="I79" s="67"/>
      <c r="J79" s="68"/>
      <c r="K79" s="58"/>
      <c r="L79" s="3"/>
    </row>
    <row r="80" spans="1:12" ht="15" customHeight="1">
      <c r="A80" s="41"/>
      <c r="B80" s="23" t="s">
        <v>26</v>
      </c>
      <c r="C80" s="23" t="s">
        <v>26</v>
      </c>
      <c r="D80" s="303" t="s">
        <v>97</v>
      </c>
      <c r="E80" s="308"/>
      <c r="F80" s="309"/>
      <c r="G80" s="48"/>
      <c r="H80" s="60"/>
      <c r="I80" s="60"/>
      <c r="J80" s="61"/>
      <c r="K80" s="17">
        <v>15</v>
      </c>
      <c r="L80" s="3"/>
    </row>
    <row r="81" spans="1:12" ht="15" customHeight="1">
      <c r="A81" s="41"/>
      <c r="B81" s="13">
        <v>6981000</v>
      </c>
      <c r="C81" s="13">
        <v>6981000</v>
      </c>
      <c r="D81" s="49"/>
      <c r="E81" s="60"/>
      <c r="F81" s="61"/>
      <c r="G81" s="48"/>
      <c r="H81" s="60"/>
      <c r="I81" s="60"/>
      <c r="J81" s="61"/>
      <c r="K81" s="58"/>
      <c r="L81" s="3"/>
    </row>
    <row r="82" spans="1:12" ht="15" customHeight="1">
      <c r="A82" s="41"/>
      <c r="B82" s="23" t="s">
        <v>18</v>
      </c>
      <c r="C82" s="23" t="s">
        <v>18</v>
      </c>
      <c r="D82" s="49"/>
      <c r="E82" s="60"/>
      <c r="F82" s="61"/>
      <c r="G82" s="48"/>
      <c r="H82" s="60"/>
      <c r="I82" s="60"/>
      <c r="J82" s="61"/>
      <c r="K82" s="58"/>
      <c r="L82" s="3"/>
    </row>
    <row r="83" spans="1:12" ht="15" customHeight="1">
      <c r="A83" s="41"/>
      <c r="B83" s="13">
        <v>196000</v>
      </c>
      <c r="C83" s="13">
        <v>151120</v>
      </c>
      <c r="D83" s="49"/>
      <c r="E83" s="60"/>
      <c r="F83" s="61"/>
      <c r="G83" s="48"/>
      <c r="H83" s="60"/>
      <c r="I83" s="60"/>
      <c r="J83" s="61"/>
      <c r="K83" s="58"/>
      <c r="L83" s="3"/>
    </row>
    <row r="84" spans="1:12" ht="15" customHeight="1" thickBot="1">
      <c r="A84" s="50"/>
      <c r="B84" s="28"/>
      <c r="C84" s="28"/>
      <c r="D84" s="62"/>
      <c r="E84" s="63"/>
      <c r="F84" s="64"/>
      <c r="G84" s="65"/>
      <c r="H84" s="63"/>
      <c r="I84" s="63"/>
      <c r="J84" s="64"/>
      <c r="K84" s="66"/>
      <c r="L84" s="3"/>
    </row>
    <row r="85" spans="1:12" ht="15" customHeight="1">
      <c r="A85" s="5"/>
      <c r="B85" s="6"/>
      <c r="C85" s="6"/>
      <c r="D85" s="7"/>
      <c r="E85" s="8"/>
      <c r="F85" s="9"/>
      <c r="G85" s="319"/>
      <c r="H85" s="320"/>
      <c r="I85" s="320"/>
      <c r="J85" s="321"/>
      <c r="K85" s="11"/>
      <c r="L85" s="3"/>
    </row>
    <row r="86" spans="1:12" ht="15" customHeight="1">
      <c r="A86" s="34" t="s">
        <v>98</v>
      </c>
      <c r="B86" s="13">
        <v>533293000</v>
      </c>
      <c r="C86" s="13">
        <v>515674111</v>
      </c>
      <c r="D86" s="322" t="s">
        <v>99</v>
      </c>
      <c r="E86" s="308"/>
      <c r="F86" s="309"/>
      <c r="G86" s="307" t="s">
        <v>99</v>
      </c>
      <c r="H86" s="323"/>
      <c r="I86" s="323"/>
      <c r="J86" s="309"/>
      <c r="K86" s="17"/>
      <c r="L86" s="3"/>
    </row>
    <row r="87" spans="1:12" ht="15" customHeight="1">
      <c r="A87" s="69"/>
      <c r="B87" s="19"/>
      <c r="C87" s="19"/>
      <c r="D87" s="303" t="s">
        <v>100</v>
      </c>
      <c r="E87" s="308"/>
      <c r="F87" s="309"/>
      <c r="G87" s="306" t="s">
        <v>101</v>
      </c>
      <c r="H87" s="308"/>
      <c r="I87" s="308"/>
      <c r="J87" s="309"/>
      <c r="K87" s="17"/>
      <c r="L87" s="3"/>
    </row>
    <row r="88" spans="1:12" ht="15" customHeight="1">
      <c r="A88" s="69"/>
      <c r="B88" s="23" t="s">
        <v>26</v>
      </c>
      <c r="C88" s="23" t="s">
        <v>26</v>
      </c>
      <c r="D88" s="303" t="s">
        <v>102</v>
      </c>
      <c r="E88" s="308"/>
      <c r="F88" s="309"/>
      <c r="G88" s="318" t="s">
        <v>103</v>
      </c>
      <c r="H88" s="308"/>
      <c r="I88" s="308"/>
      <c r="J88" s="309"/>
      <c r="K88" s="17"/>
      <c r="L88" s="3"/>
    </row>
    <row r="89" spans="1:12" ht="15" customHeight="1">
      <c r="A89" s="69"/>
      <c r="B89" s="13">
        <v>302425000</v>
      </c>
      <c r="C89" s="13">
        <v>280228269</v>
      </c>
      <c r="D89" s="303" t="s">
        <v>104</v>
      </c>
      <c r="E89" s="308"/>
      <c r="F89" s="309"/>
      <c r="G89" s="16"/>
      <c r="H89" s="14"/>
      <c r="I89" s="14"/>
      <c r="J89" s="15"/>
      <c r="K89" s="17"/>
      <c r="L89" s="3"/>
    </row>
    <row r="90" spans="1:12" ht="15" customHeight="1">
      <c r="A90" s="69"/>
      <c r="B90" s="23" t="s">
        <v>15</v>
      </c>
      <c r="C90" s="23" t="s">
        <v>15</v>
      </c>
      <c r="D90" s="303" t="s">
        <v>105</v>
      </c>
      <c r="E90" s="308"/>
      <c r="F90" s="309"/>
      <c r="G90" s="306"/>
      <c r="H90" s="308"/>
      <c r="I90" s="308"/>
      <c r="J90" s="309"/>
      <c r="K90" s="17">
        <v>15</v>
      </c>
      <c r="L90" s="3"/>
    </row>
    <row r="91" spans="1:12" ht="15" customHeight="1">
      <c r="A91" s="69"/>
      <c r="B91" s="13">
        <v>1806000</v>
      </c>
      <c r="C91" s="13">
        <v>964500</v>
      </c>
      <c r="D91" s="22"/>
      <c r="E91" s="22"/>
      <c r="F91" s="22"/>
      <c r="G91" s="16"/>
      <c r="H91" s="14"/>
      <c r="I91" s="14"/>
      <c r="J91" s="15"/>
      <c r="K91" s="17"/>
      <c r="L91" s="3"/>
    </row>
    <row r="92" spans="1:12" ht="15" customHeight="1">
      <c r="A92" s="69"/>
      <c r="B92" s="23" t="s">
        <v>18</v>
      </c>
      <c r="C92" s="23" t="s">
        <v>18</v>
      </c>
      <c r="D92" s="303" t="s">
        <v>106</v>
      </c>
      <c r="E92" s="308"/>
      <c r="F92" s="309"/>
      <c r="G92" s="306" t="s">
        <v>107</v>
      </c>
      <c r="H92" s="308"/>
      <c r="I92" s="308"/>
      <c r="J92" s="309"/>
      <c r="K92" s="17"/>
      <c r="L92" s="3"/>
    </row>
    <row r="93" spans="1:12" ht="15" customHeight="1">
      <c r="A93" s="69"/>
      <c r="B93" s="13">
        <v>229062000</v>
      </c>
      <c r="C93" s="13">
        <v>234481342</v>
      </c>
      <c r="D93" s="303" t="s">
        <v>108</v>
      </c>
      <c r="E93" s="308"/>
      <c r="F93" s="309"/>
      <c r="G93" s="16" t="s">
        <v>109</v>
      </c>
      <c r="H93" s="14"/>
      <c r="I93" s="14"/>
      <c r="J93" s="15"/>
      <c r="K93" s="17"/>
      <c r="L93" s="3"/>
    </row>
    <row r="94" spans="1:12" ht="15" customHeight="1">
      <c r="A94" s="69"/>
      <c r="B94" s="23"/>
      <c r="C94" s="23"/>
      <c r="D94" s="303" t="s">
        <v>110</v>
      </c>
      <c r="E94" s="308"/>
      <c r="F94" s="309"/>
      <c r="G94" s="16"/>
      <c r="H94" s="14"/>
      <c r="I94" s="14"/>
      <c r="J94" s="15"/>
      <c r="K94" s="17"/>
      <c r="L94" s="3"/>
    </row>
    <row r="95" spans="1:12" ht="15" customHeight="1">
      <c r="A95" s="69"/>
      <c r="B95" s="13"/>
      <c r="C95" s="13"/>
      <c r="D95" s="20" t="s">
        <v>111</v>
      </c>
      <c r="E95" s="14"/>
      <c r="F95" s="15"/>
      <c r="G95" s="16"/>
      <c r="H95" s="14"/>
      <c r="I95" s="14"/>
      <c r="J95" s="15"/>
      <c r="K95" s="17"/>
      <c r="L95" s="3"/>
    </row>
    <row r="96" spans="1:12" ht="15" customHeight="1" thickBot="1">
      <c r="A96" s="70"/>
      <c r="B96" s="28"/>
      <c r="C96" s="28"/>
      <c r="D96" s="29"/>
      <c r="E96" s="30"/>
      <c r="F96" s="31"/>
      <c r="G96" s="32"/>
      <c r="H96" s="30"/>
      <c r="I96" s="30"/>
      <c r="J96" s="31"/>
      <c r="K96" s="33"/>
      <c r="L96" s="3"/>
    </row>
    <row r="97" spans="1:12" ht="15" customHeight="1">
      <c r="A97" s="69"/>
      <c r="B97" s="13"/>
      <c r="C97" s="13"/>
      <c r="D97" s="71"/>
      <c r="E97" s="8"/>
      <c r="F97" s="9"/>
      <c r="G97" s="71"/>
      <c r="H97" s="8"/>
      <c r="I97" s="8"/>
      <c r="J97" s="72"/>
      <c r="K97" s="57"/>
      <c r="L97" s="3"/>
    </row>
    <row r="98" spans="1:12" ht="15" customHeight="1">
      <c r="A98" s="34" t="s">
        <v>112</v>
      </c>
      <c r="B98" s="13">
        <v>4134598000</v>
      </c>
      <c r="C98" s="13">
        <v>3178339653</v>
      </c>
      <c r="D98" s="303" t="s">
        <v>113</v>
      </c>
      <c r="E98" s="308"/>
      <c r="F98" s="309"/>
      <c r="G98" s="20" t="s">
        <v>114</v>
      </c>
      <c r="H98" s="14"/>
      <c r="I98" s="14"/>
      <c r="J98" s="73"/>
      <c r="K98" s="58"/>
      <c r="L98" s="3"/>
    </row>
    <row r="99" spans="1:12" ht="15" customHeight="1">
      <c r="A99" s="34" t="s">
        <v>115</v>
      </c>
      <c r="B99" s="19"/>
      <c r="C99" s="19"/>
      <c r="D99" s="20" t="s">
        <v>116</v>
      </c>
      <c r="E99" s="14"/>
      <c r="F99" s="15"/>
      <c r="G99" s="20"/>
      <c r="H99" s="14"/>
      <c r="I99" s="14"/>
      <c r="J99" s="73"/>
      <c r="K99" s="58"/>
      <c r="L99" s="3"/>
    </row>
    <row r="100" spans="1:12" ht="15" customHeight="1">
      <c r="A100" s="34"/>
      <c r="B100" s="23" t="s">
        <v>26</v>
      </c>
      <c r="C100" s="23" t="s">
        <v>26</v>
      </c>
      <c r="D100" s="20" t="s">
        <v>117</v>
      </c>
      <c r="E100" s="14"/>
      <c r="F100" s="15"/>
      <c r="G100" s="20" t="s">
        <v>118</v>
      </c>
      <c r="H100" s="14"/>
      <c r="I100" s="14"/>
      <c r="J100" s="73"/>
      <c r="K100" s="58"/>
      <c r="L100" s="3"/>
    </row>
    <row r="101" spans="1:12" ht="15" customHeight="1">
      <c r="A101" s="69"/>
      <c r="B101" s="13">
        <v>1730053000</v>
      </c>
      <c r="C101" s="13">
        <v>1234526941</v>
      </c>
      <c r="D101" s="20"/>
      <c r="E101" s="14"/>
      <c r="F101" s="15"/>
      <c r="G101" s="20" t="s">
        <v>119</v>
      </c>
      <c r="H101" s="14"/>
      <c r="I101" s="14"/>
      <c r="J101" s="73"/>
      <c r="K101" s="58"/>
      <c r="L101" s="3"/>
    </row>
    <row r="102" spans="1:12" ht="15" customHeight="1">
      <c r="A102" s="69"/>
      <c r="B102" s="23" t="s">
        <v>41</v>
      </c>
      <c r="C102" s="23" t="s">
        <v>41</v>
      </c>
      <c r="D102" s="20"/>
      <c r="E102" s="14"/>
      <c r="F102" s="15"/>
      <c r="G102" s="20" t="s">
        <v>120</v>
      </c>
      <c r="H102" s="14"/>
      <c r="I102" s="14"/>
      <c r="J102" s="73"/>
      <c r="K102" s="17">
        <v>17</v>
      </c>
      <c r="L102" s="3"/>
    </row>
    <row r="103" spans="1:12" ht="15" customHeight="1">
      <c r="A103" s="69"/>
      <c r="B103" s="13">
        <v>592000000</v>
      </c>
      <c r="C103" s="13">
        <v>372000000</v>
      </c>
      <c r="D103" s="20"/>
      <c r="E103" s="14"/>
      <c r="F103" s="15"/>
      <c r="G103" s="14" t="s">
        <v>121</v>
      </c>
      <c r="H103" s="14"/>
      <c r="I103" s="14"/>
      <c r="J103" s="73"/>
      <c r="K103" s="58"/>
      <c r="L103" s="3"/>
    </row>
    <row r="104" spans="1:12" ht="15" customHeight="1">
      <c r="A104" s="69"/>
      <c r="B104" s="23" t="s">
        <v>15</v>
      </c>
      <c r="C104" s="23" t="s">
        <v>15</v>
      </c>
      <c r="D104" s="20" t="s">
        <v>122</v>
      </c>
      <c r="E104" s="14"/>
      <c r="F104" s="15"/>
      <c r="G104" s="20" t="s">
        <v>123</v>
      </c>
      <c r="H104" s="14"/>
      <c r="I104" s="14"/>
      <c r="J104" s="73"/>
      <c r="K104" s="58"/>
      <c r="L104" s="3"/>
    </row>
    <row r="105" spans="1:12" ht="15" customHeight="1">
      <c r="A105" s="69"/>
      <c r="B105" s="13">
        <v>1129780000</v>
      </c>
      <c r="C105" s="13">
        <v>966853908</v>
      </c>
      <c r="D105" s="20" t="s">
        <v>124</v>
      </c>
      <c r="E105" s="14"/>
      <c r="F105" s="15"/>
      <c r="G105" s="20" t="s">
        <v>125</v>
      </c>
      <c r="H105" s="14"/>
      <c r="I105" s="14"/>
      <c r="J105" s="73"/>
      <c r="K105" s="58"/>
      <c r="L105" s="3"/>
    </row>
    <row r="106" spans="1:12" ht="15" customHeight="1">
      <c r="A106" s="69"/>
      <c r="B106" s="23" t="s">
        <v>18</v>
      </c>
      <c r="C106" s="23" t="s">
        <v>18</v>
      </c>
      <c r="D106" s="20" t="s">
        <v>126</v>
      </c>
      <c r="E106" s="14"/>
      <c r="F106" s="15"/>
      <c r="G106" s="14" t="s">
        <v>127</v>
      </c>
      <c r="H106" s="22"/>
      <c r="I106" s="14"/>
      <c r="J106" s="73"/>
      <c r="K106" s="58"/>
      <c r="L106" s="3"/>
    </row>
    <row r="107" spans="1:12" ht="15" customHeight="1">
      <c r="A107" s="69"/>
      <c r="B107" s="13">
        <v>682765000</v>
      </c>
      <c r="C107" s="13">
        <v>604958804</v>
      </c>
      <c r="D107" s="20" t="s">
        <v>128</v>
      </c>
      <c r="E107" s="14"/>
      <c r="F107" s="15"/>
      <c r="G107" s="14"/>
      <c r="H107" s="22"/>
      <c r="I107" s="14"/>
      <c r="J107" s="73"/>
      <c r="K107" s="58"/>
      <c r="L107" s="3"/>
    </row>
    <row r="108" spans="1:12" ht="15" customHeight="1" thickBot="1">
      <c r="A108" s="70"/>
      <c r="B108" s="28"/>
      <c r="C108" s="28"/>
      <c r="D108" s="29"/>
      <c r="E108" s="30"/>
      <c r="F108" s="31"/>
      <c r="G108" s="29"/>
      <c r="H108" s="30"/>
      <c r="I108" s="30"/>
      <c r="J108" s="74"/>
      <c r="K108" s="66"/>
      <c r="L108" s="3"/>
    </row>
    <row r="109" spans="1:12" ht="15" customHeight="1">
      <c r="A109" s="69"/>
      <c r="B109" s="13"/>
      <c r="C109" s="13"/>
      <c r="D109" s="71"/>
      <c r="E109" s="8"/>
      <c r="F109" s="9"/>
      <c r="G109" s="71"/>
      <c r="H109" s="8"/>
      <c r="I109" s="8"/>
      <c r="J109" s="72"/>
      <c r="K109" s="57"/>
      <c r="L109" s="3"/>
    </row>
    <row r="110" spans="1:12" ht="15" customHeight="1">
      <c r="A110" s="34" t="s">
        <v>129</v>
      </c>
      <c r="B110" s="13">
        <v>151220000</v>
      </c>
      <c r="C110" s="13">
        <v>114337954</v>
      </c>
      <c r="D110" s="303" t="s">
        <v>130</v>
      </c>
      <c r="E110" s="308"/>
      <c r="F110" s="309"/>
      <c r="G110" s="317" t="s">
        <v>131</v>
      </c>
      <c r="H110" s="308"/>
      <c r="I110" s="308"/>
      <c r="J110" s="309"/>
      <c r="K110" s="58"/>
      <c r="L110" s="3"/>
    </row>
    <row r="111" spans="1:12" ht="15" customHeight="1">
      <c r="A111" s="34" t="s">
        <v>132</v>
      </c>
      <c r="B111" s="19"/>
      <c r="C111" s="19"/>
      <c r="D111" s="303" t="s">
        <v>133</v>
      </c>
      <c r="E111" s="308"/>
      <c r="F111" s="309"/>
      <c r="G111" s="22" t="s">
        <v>134</v>
      </c>
      <c r="H111" s="67"/>
      <c r="I111" s="67"/>
      <c r="J111" s="68"/>
      <c r="K111" s="58"/>
      <c r="L111" s="3"/>
    </row>
    <row r="112" spans="1:12" ht="15" customHeight="1">
      <c r="A112" s="69"/>
      <c r="B112" s="23" t="s">
        <v>26</v>
      </c>
      <c r="C112" s="23" t="s">
        <v>26</v>
      </c>
      <c r="D112" s="303" t="s">
        <v>135</v>
      </c>
      <c r="E112" s="308"/>
      <c r="F112" s="309"/>
      <c r="G112" s="75"/>
      <c r="H112" s="67"/>
      <c r="I112" s="67"/>
      <c r="J112" s="68"/>
      <c r="K112" s="58"/>
      <c r="L112" s="3"/>
    </row>
    <row r="113" spans="1:12" ht="15" customHeight="1">
      <c r="A113" s="69"/>
      <c r="B113" s="13">
        <v>142575000</v>
      </c>
      <c r="C113" s="13">
        <v>106358067</v>
      </c>
      <c r="D113" s="303"/>
      <c r="E113" s="308"/>
      <c r="F113" s="309"/>
      <c r="G113" s="20"/>
      <c r="H113" s="14"/>
      <c r="I113" s="14"/>
      <c r="J113" s="73"/>
      <c r="K113" s="58"/>
      <c r="L113" s="3"/>
    </row>
    <row r="114" spans="1:12" ht="15" customHeight="1">
      <c r="A114" s="69"/>
      <c r="B114" s="23" t="s">
        <v>41</v>
      </c>
      <c r="C114" s="23" t="s">
        <v>41</v>
      </c>
      <c r="D114" s="303" t="s">
        <v>136</v>
      </c>
      <c r="E114" s="308"/>
      <c r="F114" s="309"/>
      <c r="G114" s="20"/>
      <c r="H114" s="14"/>
      <c r="I114" s="14"/>
      <c r="J114" s="73"/>
      <c r="K114" s="17">
        <v>19</v>
      </c>
      <c r="L114" s="3"/>
    </row>
    <row r="115" spans="1:12" ht="15" customHeight="1">
      <c r="A115" s="69"/>
      <c r="B115" s="13">
        <v>2000000</v>
      </c>
      <c r="C115" s="13">
        <v>2000000</v>
      </c>
      <c r="D115" s="20" t="s">
        <v>137</v>
      </c>
      <c r="E115" s="35"/>
      <c r="F115" s="15"/>
      <c r="G115" s="20"/>
      <c r="H115" s="14"/>
      <c r="I115" s="14"/>
      <c r="J115" s="73"/>
      <c r="K115" s="58"/>
      <c r="L115" s="3"/>
    </row>
    <row r="116" spans="1:12" ht="15" customHeight="1">
      <c r="A116" s="69"/>
      <c r="B116" s="23" t="s">
        <v>15</v>
      </c>
      <c r="C116" s="23" t="s">
        <v>15</v>
      </c>
      <c r="D116" s="20"/>
      <c r="E116" s="14"/>
      <c r="F116" s="15"/>
      <c r="G116" s="20"/>
      <c r="H116" s="14"/>
      <c r="I116" s="14"/>
      <c r="J116" s="73"/>
      <c r="K116" s="58"/>
      <c r="L116" s="3"/>
    </row>
    <row r="117" spans="1:12" ht="15" customHeight="1">
      <c r="A117" s="69"/>
      <c r="B117" s="13">
        <v>3906000</v>
      </c>
      <c r="C117" s="13">
        <v>3686000</v>
      </c>
      <c r="D117" s="20"/>
      <c r="E117" s="14"/>
      <c r="F117" s="15"/>
      <c r="G117" s="20"/>
      <c r="H117" s="14"/>
      <c r="I117" s="14"/>
      <c r="J117" s="73"/>
      <c r="K117" s="58"/>
      <c r="L117" s="3"/>
    </row>
    <row r="118" spans="1:12" ht="15" customHeight="1">
      <c r="A118" s="69"/>
      <c r="B118" s="23" t="s">
        <v>18</v>
      </c>
      <c r="C118" s="23" t="s">
        <v>18</v>
      </c>
      <c r="D118" s="20"/>
      <c r="E118" s="14"/>
      <c r="F118" s="15"/>
      <c r="G118" s="20"/>
      <c r="H118" s="14"/>
      <c r="I118" s="14"/>
      <c r="J118" s="73"/>
      <c r="K118" s="58"/>
      <c r="L118" s="3"/>
    </row>
    <row r="119" spans="1:12" ht="15" customHeight="1">
      <c r="A119" s="69"/>
      <c r="B119" s="13">
        <v>2739000</v>
      </c>
      <c r="C119" s="13">
        <v>2293887</v>
      </c>
      <c r="D119" s="20"/>
      <c r="E119" s="14"/>
      <c r="F119" s="15"/>
      <c r="G119" s="20"/>
      <c r="H119" s="14"/>
      <c r="I119" s="14"/>
      <c r="J119" s="73"/>
      <c r="K119" s="58"/>
      <c r="L119" s="3"/>
    </row>
    <row r="120" spans="1:12" ht="15" customHeight="1" thickBot="1">
      <c r="A120" s="70"/>
      <c r="B120" s="28"/>
      <c r="C120" s="28"/>
      <c r="D120" s="29"/>
      <c r="E120" s="30"/>
      <c r="F120" s="31"/>
      <c r="G120" s="29"/>
      <c r="H120" s="30"/>
      <c r="I120" s="30"/>
      <c r="J120" s="74"/>
      <c r="K120" s="66"/>
      <c r="L120" s="3"/>
    </row>
    <row r="121" spans="1:12" ht="15" customHeight="1">
      <c r="A121" s="5"/>
      <c r="B121" s="6"/>
      <c r="C121" s="6"/>
      <c r="D121" s="7"/>
      <c r="E121" s="8"/>
      <c r="F121" s="9"/>
      <c r="G121" s="10"/>
      <c r="H121" s="8"/>
      <c r="I121" s="8"/>
      <c r="J121" s="9"/>
      <c r="K121" s="11"/>
      <c r="L121" s="3"/>
    </row>
    <row r="122" spans="1:12" ht="15" customHeight="1">
      <c r="A122" s="34" t="s">
        <v>138</v>
      </c>
      <c r="B122" s="13">
        <v>717563000</v>
      </c>
      <c r="C122" s="13">
        <v>714887170</v>
      </c>
      <c r="D122" s="303" t="s">
        <v>139</v>
      </c>
      <c r="E122" s="308"/>
      <c r="F122" s="309"/>
      <c r="G122" s="306" t="s">
        <v>139</v>
      </c>
      <c r="H122" s="308"/>
      <c r="I122" s="308"/>
      <c r="J122" s="309"/>
      <c r="K122" s="17"/>
      <c r="L122" s="3"/>
    </row>
    <row r="123" spans="1:12" ht="15" customHeight="1">
      <c r="A123" s="69"/>
      <c r="B123" s="13"/>
      <c r="C123" s="13"/>
      <c r="D123" s="303" t="s">
        <v>140</v>
      </c>
      <c r="E123" s="308"/>
      <c r="F123" s="309"/>
      <c r="G123" s="16" t="s">
        <v>140</v>
      </c>
      <c r="H123" s="14"/>
      <c r="I123" s="14"/>
      <c r="J123" s="15"/>
      <c r="K123" s="17"/>
      <c r="L123" s="3"/>
    </row>
    <row r="124" spans="1:12" ht="15" customHeight="1">
      <c r="A124" s="69"/>
      <c r="B124" s="23" t="s">
        <v>26</v>
      </c>
      <c r="C124" s="23" t="s">
        <v>26</v>
      </c>
      <c r="D124" s="20" t="s">
        <v>141</v>
      </c>
      <c r="E124" s="35"/>
      <c r="F124" s="15"/>
      <c r="G124" s="306" t="s">
        <v>142</v>
      </c>
      <c r="H124" s="308"/>
      <c r="I124" s="308"/>
      <c r="J124" s="309"/>
      <c r="K124" s="17"/>
      <c r="L124" s="3"/>
    </row>
    <row r="125" spans="1:12" ht="15" customHeight="1">
      <c r="A125" s="69"/>
      <c r="B125" s="13">
        <v>570371000</v>
      </c>
      <c r="C125" s="13">
        <v>570371000</v>
      </c>
      <c r="D125" s="22" t="s">
        <v>143</v>
      </c>
      <c r="E125" s="35"/>
      <c r="F125" s="15"/>
      <c r="G125" s="22"/>
      <c r="H125" s="22"/>
      <c r="I125" s="22"/>
      <c r="J125" s="22"/>
      <c r="K125" s="17"/>
      <c r="L125" s="3"/>
    </row>
    <row r="126" spans="1:12" ht="15" customHeight="1">
      <c r="A126" s="69"/>
      <c r="B126" s="23" t="s">
        <v>15</v>
      </c>
      <c r="C126" s="23" t="s">
        <v>15</v>
      </c>
      <c r="D126" s="20"/>
      <c r="E126" s="14"/>
      <c r="F126" s="15"/>
      <c r="G126" s="16"/>
      <c r="H126" s="35"/>
      <c r="I126" s="35"/>
      <c r="J126" s="15"/>
      <c r="K126" s="17"/>
      <c r="L126" s="3"/>
    </row>
    <row r="127" spans="1:12" ht="15" customHeight="1">
      <c r="A127" s="69"/>
      <c r="B127" s="13">
        <v>22546000</v>
      </c>
      <c r="C127" s="13">
        <v>21960683</v>
      </c>
      <c r="D127" s="20" t="s">
        <v>144</v>
      </c>
      <c r="E127" s="35"/>
      <c r="F127" s="15"/>
      <c r="G127" s="16" t="s">
        <v>145</v>
      </c>
      <c r="H127" s="35"/>
      <c r="I127" s="35"/>
      <c r="J127" s="15"/>
      <c r="K127" s="17"/>
      <c r="L127" s="3"/>
    </row>
    <row r="128" spans="1:12" ht="15" customHeight="1">
      <c r="A128" s="69"/>
      <c r="B128" s="23" t="s">
        <v>18</v>
      </c>
      <c r="C128" s="23" t="s">
        <v>18</v>
      </c>
      <c r="D128" s="20" t="s">
        <v>146</v>
      </c>
      <c r="E128" s="35"/>
      <c r="F128" s="15"/>
      <c r="G128" s="16" t="s">
        <v>147</v>
      </c>
      <c r="H128" s="35"/>
      <c r="I128" s="35"/>
      <c r="J128" s="15"/>
      <c r="K128" s="17">
        <v>19</v>
      </c>
      <c r="L128" s="3"/>
    </row>
    <row r="129" spans="1:12" ht="15" customHeight="1">
      <c r="A129" s="69"/>
      <c r="B129" s="13">
        <v>124646000</v>
      </c>
      <c r="C129" s="13">
        <v>100594804</v>
      </c>
      <c r="D129" s="20" t="s">
        <v>148</v>
      </c>
      <c r="E129" s="35"/>
      <c r="F129" s="15"/>
      <c r="G129" s="306"/>
      <c r="H129" s="308"/>
      <c r="I129" s="308"/>
      <c r="J129" s="309"/>
      <c r="K129" s="17"/>
      <c r="L129" s="3"/>
    </row>
    <row r="130" spans="1:12" ht="15" customHeight="1">
      <c r="A130" s="69"/>
      <c r="B130" s="13"/>
      <c r="C130" s="13"/>
      <c r="D130" s="20" t="s">
        <v>149</v>
      </c>
      <c r="E130" s="35"/>
      <c r="F130" s="15"/>
      <c r="G130" s="22"/>
      <c r="H130" s="22"/>
      <c r="I130" s="22"/>
      <c r="J130" s="22"/>
      <c r="K130" s="17"/>
      <c r="L130" s="3"/>
    </row>
    <row r="131" spans="1:12" ht="15" customHeight="1">
      <c r="A131" s="69"/>
      <c r="B131" s="23"/>
      <c r="C131" s="23"/>
      <c r="D131" s="76"/>
      <c r="E131" s="14"/>
      <c r="F131" s="15"/>
      <c r="G131" s="306"/>
      <c r="H131" s="308"/>
      <c r="I131" s="308"/>
      <c r="J131" s="309"/>
      <c r="K131" s="17"/>
      <c r="L131" s="3"/>
    </row>
    <row r="132" spans="1:12" ht="15" customHeight="1">
      <c r="A132" s="69"/>
      <c r="B132" s="13"/>
      <c r="C132" s="13"/>
      <c r="D132" s="20" t="s">
        <v>150</v>
      </c>
      <c r="E132" s="35"/>
      <c r="F132" s="15"/>
      <c r="G132" s="306" t="s">
        <v>151</v>
      </c>
      <c r="H132" s="308"/>
      <c r="I132" s="308"/>
      <c r="J132" s="309"/>
      <c r="K132" s="17"/>
      <c r="L132" s="3"/>
    </row>
    <row r="133" spans="1:12" ht="15" customHeight="1">
      <c r="A133" s="69"/>
      <c r="B133" s="13"/>
      <c r="C133" s="13"/>
      <c r="D133" s="20" t="s">
        <v>152</v>
      </c>
      <c r="E133" s="35"/>
      <c r="F133" s="15"/>
      <c r="G133" s="16"/>
      <c r="H133" s="14"/>
      <c r="I133" s="14"/>
      <c r="J133" s="15"/>
      <c r="K133" s="17"/>
      <c r="L133" s="3"/>
    </row>
    <row r="134" spans="1:12" ht="15" customHeight="1">
      <c r="A134" s="69"/>
      <c r="B134" s="13"/>
      <c r="C134" s="13"/>
      <c r="D134" s="20" t="s">
        <v>153</v>
      </c>
      <c r="E134" s="35"/>
      <c r="F134" s="15"/>
      <c r="G134" s="16"/>
      <c r="H134" s="14"/>
      <c r="I134" s="14"/>
      <c r="J134" s="15"/>
      <c r="K134" s="17"/>
      <c r="L134" s="3"/>
    </row>
    <row r="135" spans="1:12" ht="15" customHeight="1" thickBot="1">
      <c r="A135" s="70"/>
      <c r="B135" s="28"/>
      <c r="C135" s="28"/>
      <c r="D135" s="29"/>
      <c r="E135" s="30"/>
      <c r="F135" s="31"/>
      <c r="G135" s="32"/>
      <c r="H135" s="30"/>
      <c r="I135" s="30"/>
      <c r="J135" s="31"/>
      <c r="K135" s="33"/>
      <c r="L135" s="3"/>
    </row>
    <row r="136" spans="1:12" ht="15" customHeight="1">
      <c r="A136" s="5"/>
      <c r="B136" s="6"/>
      <c r="C136" s="6"/>
      <c r="D136" s="7"/>
      <c r="E136" s="8"/>
      <c r="F136" s="9"/>
      <c r="G136" s="10"/>
      <c r="H136" s="8"/>
      <c r="I136" s="8"/>
      <c r="J136" s="9"/>
      <c r="K136" s="11"/>
      <c r="L136" s="3"/>
    </row>
    <row r="137" spans="1:12" ht="15" customHeight="1">
      <c r="A137" s="34" t="s">
        <v>154</v>
      </c>
      <c r="B137" s="13">
        <v>529395650</v>
      </c>
      <c r="C137" s="13">
        <v>475088452</v>
      </c>
      <c r="D137" s="303" t="s">
        <v>155</v>
      </c>
      <c r="E137" s="308"/>
      <c r="F137" s="309"/>
      <c r="G137" s="306" t="s">
        <v>156</v>
      </c>
      <c r="H137" s="308"/>
      <c r="I137" s="308"/>
      <c r="J137" s="309"/>
      <c r="K137" s="17"/>
      <c r="L137" s="3"/>
    </row>
    <row r="138" spans="1:12" ht="15" customHeight="1">
      <c r="A138" s="34" t="s">
        <v>157</v>
      </c>
      <c r="B138" s="19"/>
      <c r="C138" s="19"/>
      <c r="D138" s="303" t="s">
        <v>158</v>
      </c>
      <c r="E138" s="308"/>
      <c r="F138" s="309"/>
      <c r="G138" s="306" t="s">
        <v>159</v>
      </c>
      <c r="H138" s="308"/>
      <c r="I138" s="308"/>
      <c r="J138" s="309"/>
      <c r="K138" s="17"/>
      <c r="L138" s="3"/>
    </row>
    <row r="139" spans="1:12" ht="15" customHeight="1">
      <c r="A139" s="69"/>
      <c r="B139" s="23" t="s">
        <v>26</v>
      </c>
      <c r="C139" s="23" t="s">
        <v>26</v>
      </c>
      <c r="D139" s="303"/>
      <c r="E139" s="308"/>
      <c r="F139" s="309"/>
      <c r="G139" s="306" t="s">
        <v>160</v>
      </c>
      <c r="H139" s="308"/>
      <c r="I139" s="308"/>
      <c r="J139" s="309"/>
      <c r="K139" s="17"/>
      <c r="L139" s="3"/>
    </row>
    <row r="140" spans="1:12" ht="15" customHeight="1">
      <c r="A140" s="69"/>
      <c r="B140" s="13">
        <v>212420675</v>
      </c>
      <c r="C140" s="13">
        <v>187100273</v>
      </c>
      <c r="D140" s="303" t="s">
        <v>161</v>
      </c>
      <c r="E140" s="308"/>
      <c r="F140" s="309"/>
      <c r="G140" s="306" t="s">
        <v>162</v>
      </c>
      <c r="H140" s="308"/>
      <c r="I140" s="308"/>
      <c r="J140" s="309"/>
      <c r="K140" s="17"/>
      <c r="L140" s="3"/>
    </row>
    <row r="141" spans="1:12" ht="15" customHeight="1">
      <c r="A141" s="69"/>
      <c r="B141" s="23" t="s">
        <v>41</v>
      </c>
      <c r="C141" s="23" t="s">
        <v>41</v>
      </c>
      <c r="D141" s="20"/>
      <c r="E141" s="14"/>
      <c r="F141" s="15"/>
      <c r="G141" s="16"/>
      <c r="H141" s="14"/>
      <c r="I141" s="14"/>
      <c r="J141" s="15"/>
      <c r="K141" s="17">
        <v>20</v>
      </c>
      <c r="L141" s="3"/>
    </row>
    <row r="142" spans="1:12" ht="15" customHeight="1">
      <c r="A142" s="69"/>
      <c r="B142" s="13">
        <v>139000000</v>
      </c>
      <c r="C142" s="13">
        <v>122000000</v>
      </c>
      <c r="D142" s="20"/>
      <c r="E142" s="14"/>
      <c r="F142" s="15"/>
      <c r="G142" s="16"/>
      <c r="H142" s="14"/>
      <c r="I142" s="14"/>
      <c r="J142" s="15"/>
      <c r="K142" s="17"/>
      <c r="L142" s="3"/>
    </row>
    <row r="143" spans="1:12" ht="15" customHeight="1">
      <c r="A143" s="69"/>
      <c r="B143" s="23" t="s">
        <v>15</v>
      </c>
      <c r="C143" s="23" t="s">
        <v>15</v>
      </c>
      <c r="D143" s="20"/>
      <c r="E143" s="14"/>
      <c r="F143" s="15"/>
      <c r="G143" s="16"/>
      <c r="H143" s="14"/>
      <c r="I143" s="14"/>
      <c r="J143" s="15"/>
      <c r="K143" s="17"/>
      <c r="L143" s="3"/>
    </row>
    <row r="144" spans="1:12" ht="15" customHeight="1">
      <c r="A144" s="69"/>
      <c r="B144" s="13">
        <v>88772820</v>
      </c>
      <c r="C144" s="13">
        <v>103476665</v>
      </c>
      <c r="D144" s="20"/>
      <c r="E144" s="14"/>
      <c r="F144" s="15"/>
      <c r="G144" s="16"/>
      <c r="H144" s="14"/>
      <c r="I144" s="14"/>
      <c r="J144" s="15"/>
      <c r="K144" s="17"/>
      <c r="L144" s="3"/>
    </row>
    <row r="145" spans="1:12" ht="15" customHeight="1">
      <c r="A145" s="69"/>
      <c r="B145" s="23" t="s">
        <v>18</v>
      </c>
      <c r="C145" s="23" t="s">
        <v>18</v>
      </c>
      <c r="D145" s="20"/>
      <c r="E145" s="14"/>
      <c r="F145" s="15"/>
      <c r="G145" s="16"/>
      <c r="H145" s="14"/>
      <c r="I145" s="14"/>
      <c r="J145" s="15"/>
      <c r="K145" s="17"/>
      <c r="L145" s="3"/>
    </row>
    <row r="146" spans="1:12" ht="15" customHeight="1">
      <c r="A146" s="69"/>
      <c r="B146" s="13">
        <v>89202155</v>
      </c>
      <c r="C146" s="13">
        <v>62511514</v>
      </c>
      <c r="D146" s="20"/>
      <c r="E146" s="14"/>
      <c r="F146" s="15"/>
      <c r="G146" s="16"/>
      <c r="H146" s="14"/>
      <c r="I146" s="14"/>
      <c r="J146" s="15"/>
      <c r="K146" s="17"/>
      <c r="L146" s="3"/>
    </row>
    <row r="147" spans="1:12" ht="15" customHeight="1" thickBot="1">
      <c r="A147" s="70"/>
      <c r="B147" s="28"/>
      <c r="C147" s="28"/>
      <c r="D147" s="29"/>
      <c r="E147" s="30"/>
      <c r="F147" s="31"/>
      <c r="G147" s="32"/>
      <c r="H147" s="30"/>
      <c r="I147" s="30"/>
      <c r="J147" s="31"/>
      <c r="K147" s="33"/>
      <c r="L147" s="3"/>
    </row>
    <row r="148" spans="1:12" ht="15" customHeight="1">
      <c r="A148" s="5"/>
      <c r="B148" s="6"/>
      <c r="C148" s="6"/>
      <c r="D148" s="7"/>
      <c r="E148" s="8"/>
      <c r="F148" s="9"/>
      <c r="G148" s="10"/>
      <c r="H148" s="8"/>
      <c r="I148" s="8"/>
      <c r="J148" s="9"/>
      <c r="K148" s="11"/>
      <c r="L148" s="3"/>
    </row>
    <row r="149" spans="1:12" ht="15" customHeight="1">
      <c r="A149" s="34" t="s">
        <v>163</v>
      </c>
      <c r="B149" s="13">
        <v>36161000</v>
      </c>
      <c r="C149" s="13">
        <v>33052889</v>
      </c>
      <c r="D149" s="77" t="s">
        <v>164</v>
      </c>
      <c r="E149" s="78"/>
      <c r="F149" s="79"/>
      <c r="G149" s="306" t="s">
        <v>165</v>
      </c>
      <c r="H149" s="308"/>
      <c r="I149" s="308"/>
      <c r="J149" s="309"/>
      <c r="K149" s="17"/>
      <c r="L149" s="3"/>
    </row>
    <row r="150" spans="1:12" ht="15" customHeight="1">
      <c r="A150" s="34"/>
      <c r="B150" s="19"/>
      <c r="C150" s="19"/>
      <c r="D150" s="311" t="s">
        <v>166</v>
      </c>
      <c r="E150" s="312"/>
      <c r="F150" s="313"/>
      <c r="G150" s="307" t="s">
        <v>167</v>
      </c>
      <c r="H150" s="308"/>
      <c r="I150" s="308"/>
      <c r="J150" s="309"/>
      <c r="K150" s="17"/>
      <c r="L150" s="3"/>
    </row>
    <row r="151" spans="1:12" ht="15" customHeight="1">
      <c r="A151" s="69"/>
      <c r="B151" s="23" t="s">
        <v>15</v>
      </c>
      <c r="C151" s="23" t="s">
        <v>15</v>
      </c>
      <c r="D151" s="303" t="s">
        <v>168</v>
      </c>
      <c r="E151" s="304"/>
      <c r="F151" s="305"/>
      <c r="G151" s="306" t="s">
        <v>169</v>
      </c>
      <c r="H151" s="308"/>
      <c r="I151" s="308"/>
      <c r="J151" s="309"/>
      <c r="K151" s="17">
        <v>21</v>
      </c>
      <c r="L151" s="3"/>
    </row>
    <row r="152" spans="1:12" ht="15" customHeight="1">
      <c r="A152" s="69"/>
      <c r="B152" s="13">
        <v>5271000</v>
      </c>
      <c r="C152" s="13">
        <v>4384900</v>
      </c>
      <c r="D152" s="316" t="s">
        <v>170</v>
      </c>
      <c r="E152" s="304"/>
      <c r="F152" s="305"/>
      <c r="G152" s="306"/>
      <c r="H152" s="308"/>
      <c r="I152" s="308"/>
      <c r="J152" s="309"/>
      <c r="K152" s="17"/>
      <c r="L152" s="3"/>
    </row>
    <row r="153" spans="1:12" ht="15" customHeight="1">
      <c r="A153" s="69"/>
      <c r="B153" s="23" t="s">
        <v>18</v>
      </c>
      <c r="C153" s="23" t="s">
        <v>18</v>
      </c>
      <c r="D153" s="80"/>
      <c r="E153" s="22"/>
      <c r="F153" s="22"/>
      <c r="G153" s="16"/>
      <c r="H153" s="14"/>
      <c r="I153" s="14"/>
      <c r="J153" s="15"/>
      <c r="K153" s="17"/>
      <c r="L153" s="3"/>
    </row>
    <row r="154" spans="1:12" ht="15" customHeight="1">
      <c r="A154" s="69"/>
      <c r="B154" s="13">
        <v>30890000</v>
      </c>
      <c r="C154" s="13">
        <v>28667989</v>
      </c>
      <c r="D154" s="311"/>
      <c r="E154" s="314"/>
      <c r="F154" s="315"/>
      <c r="G154" s="16"/>
      <c r="H154" s="14"/>
      <c r="I154" s="14"/>
      <c r="J154" s="15"/>
      <c r="K154" s="17"/>
      <c r="L154" s="3"/>
    </row>
    <row r="155" spans="1:12" ht="15" customHeight="1" thickBot="1">
      <c r="A155" s="70"/>
      <c r="B155" s="28"/>
      <c r="C155" s="28"/>
      <c r="D155" s="29"/>
      <c r="E155" s="30"/>
      <c r="F155" s="31"/>
      <c r="G155" s="32"/>
      <c r="H155" s="30"/>
      <c r="I155" s="30"/>
      <c r="J155" s="31"/>
      <c r="K155" s="33"/>
      <c r="L155" s="3"/>
    </row>
    <row r="156" spans="1:12" ht="12" customHeight="1">
      <c r="A156" s="5"/>
      <c r="B156" s="6"/>
      <c r="C156" s="6"/>
      <c r="D156" s="7"/>
      <c r="E156" s="8"/>
      <c r="F156" s="9"/>
      <c r="G156" s="10"/>
      <c r="H156" s="8"/>
      <c r="I156" s="8"/>
      <c r="J156" s="9"/>
      <c r="K156" s="11"/>
      <c r="L156" s="3"/>
    </row>
    <row r="157" spans="1:12" ht="15" customHeight="1">
      <c r="A157" s="34" t="s">
        <v>171</v>
      </c>
      <c r="B157" s="13">
        <v>29858000</v>
      </c>
      <c r="C157" s="13">
        <v>24576788</v>
      </c>
      <c r="D157" s="303" t="s">
        <v>172</v>
      </c>
      <c r="E157" s="308"/>
      <c r="F157" s="309"/>
      <c r="G157" s="306" t="s">
        <v>172</v>
      </c>
      <c r="H157" s="308"/>
      <c r="I157" s="308"/>
      <c r="J157" s="309"/>
      <c r="K157" s="17"/>
      <c r="L157" s="3"/>
    </row>
    <row r="158" spans="1:12" ht="15" customHeight="1">
      <c r="A158" s="34" t="s">
        <v>173</v>
      </c>
      <c r="B158" s="19"/>
      <c r="C158" s="19"/>
      <c r="D158" s="81" t="s">
        <v>174</v>
      </c>
      <c r="E158" s="82"/>
      <c r="F158" s="83"/>
      <c r="G158" s="307" t="s">
        <v>175</v>
      </c>
      <c r="H158" s="308"/>
      <c r="I158" s="308"/>
      <c r="J158" s="309"/>
      <c r="K158" s="17"/>
      <c r="L158" s="3"/>
    </row>
    <row r="159" spans="1:12" ht="15" customHeight="1">
      <c r="A159" s="69"/>
      <c r="B159" s="23" t="s">
        <v>15</v>
      </c>
      <c r="C159" s="23" t="s">
        <v>15</v>
      </c>
      <c r="D159" s="81" t="s">
        <v>176</v>
      </c>
      <c r="E159" s="82"/>
      <c r="F159" s="83"/>
      <c r="G159" s="306" t="s">
        <v>177</v>
      </c>
      <c r="H159" s="308"/>
      <c r="I159" s="308"/>
      <c r="J159" s="309"/>
      <c r="K159" s="17">
        <v>21</v>
      </c>
      <c r="L159" s="3"/>
    </row>
    <row r="160" spans="1:12" ht="15" customHeight="1">
      <c r="A160" s="69"/>
      <c r="B160" s="13">
        <v>3251000</v>
      </c>
      <c r="C160" s="13">
        <v>3544700</v>
      </c>
      <c r="D160" s="20" t="s">
        <v>178</v>
      </c>
      <c r="E160" s="14"/>
      <c r="F160" s="15"/>
      <c r="G160" s="306" t="s">
        <v>179</v>
      </c>
      <c r="H160" s="308"/>
      <c r="I160" s="308"/>
      <c r="J160" s="309"/>
      <c r="K160" s="17"/>
      <c r="L160" s="3"/>
    </row>
    <row r="161" spans="1:12" ht="15" customHeight="1">
      <c r="A161" s="69"/>
      <c r="B161" s="23" t="s">
        <v>18</v>
      </c>
      <c r="C161" s="23" t="s">
        <v>18</v>
      </c>
      <c r="D161" s="20" t="s">
        <v>180</v>
      </c>
      <c r="E161" s="14"/>
      <c r="F161" s="15"/>
      <c r="G161" s="16"/>
      <c r="H161" s="14"/>
      <c r="I161" s="14"/>
      <c r="J161" s="15"/>
      <c r="K161" s="17"/>
      <c r="L161" s="3"/>
    </row>
    <row r="162" spans="1:12" ht="15" customHeight="1">
      <c r="A162" s="69"/>
      <c r="B162" s="13">
        <v>26607000</v>
      </c>
      <c r="C162" s="13">
        <v>21032088</v>
      </c>
      <c r="D162" s="22" t="s">
        <v>181</v>
      </c>
      <c r="E162" s="14"/>
      <c r="F162" s="15"/>
      <c r="G162" s="16"/>
      <c r="H162" s="14"/>
      <c r="I162" s="14"/>
      <c r="J162" s="15"/>
      <c r="K162" s="17"/>
      <c r="L162" s="3"/>
    </row>
    <row r="163" spans="1:12" ht="15" customHeight="1" thickBot="1">
      <c r="A163" s="70"/>
      <c r="B163" s="28"/>
      <c r="C163" s="28"/>
      <c r="D163" s="29"/>
      <c r="E163" s="30"/>
      <c r="F163" s="31"/>
      <c r="G163" s="32"/>
      <c r="H163" s="30"/>
      <c r="I163" s="30"/>
      <c r="J163" s="31"/>
      <c r="K163" s="33"/>
      <c r="L163" s="3"/>
    </row>
    <row r="164" spans="1:12" ht="15" customHeight="1">
      <c r="A164" s="5"/>
      <c r="B164" s="6"/>
      <c r="C164" s="6"/>
      <c r="D164" s="7"/>
      <c r="E164" s="8"/>
      <c r="F164" s="9"/>
      <c r="G164" s="10"/>
      <c r="H164" s="8"/>
      <c r="I164" s="8"/>
      <c r="J164" s="9"/>
      <c r="K164" s="11"/>
      <c r="L164" s="3"/>
    </row>
    <row r="165" spans="1:12" ht="15" customHeight="1">
      <c r="A165" s="34" t="s">
        <v>182</v>
      </c>
      <c r="B165" s="13">
        <v>149470000</v>
      </c>
      <c r="C165" s="13">
        <v>135517985</v>
      </c>
      <c r="D165" s="303" t="s">
        <v>183</v>
      </c>
      <c r="E165" s="308"/>
      <c r="F165" s="309"/>
      <c r="G165" s="306" t="s">
        <v>183</v>
      </c>
      <c r="H165" s="308"/>
      <c r="I165" s="308"/>
      <c r="J165" s="309"/>
      <c r="K165" s="17"/>
      <c r="L165" s="3"/>
    </row>
    <row r="166" spans="1:12" ht="15" customHeight="1">
      <c r="A166" s="34"/>
      <c r="B166" s="19"/>
      <c r="C166" s="19"/>
      <c r="D166" s="84" t="s">
        <v>184</v>
      </c>
      <c r="E166" s="78"/>
      <c r="F166" s="79"/>
      <c r="G166" s="307" t="s">
        <v>184</v>
      </c>
      <c r="H166" s="308"/>
      <c r="I166" s="308"/>
      <c r="J166" s="309"/>
      <c r="K166" s="17"/>
      <c r="L166" s="3"/>
    </row>
    <row r="167" spans="1:12" ht="15" customHeight="1">
      <c r="A167" s="69"/>
      <c r="B167" s="23" t="s">
        <v>26</v>
      </c>
      <c r="C167" s="23" t="s">
        <v>26</v>
      </c>
      <c r="D167" s="84" t="s">
        <v>185</v>
      </c>
      <c r="E167" s="78"/>
      <c r="F167" s="79"/>
      <c r="G167" s="307" t="s">
        <v>186</v>
      </c>
      <c r="H167" s="308"/>
      <c r="I167" s="308"/>
      <c r="J167" s="309"/>
      <c r="K167" s="17"/>
      <c r="L167" s="3"/>
    </row>
    <row r="168" spans="1:12" ht="15" customHeight="1">
      <c r="A168" s="69"/>
      <c r="B168" s="13">
        <v>12914000</v>
      </c>
      <c r="C168" s="13">
        <v>12145219</v>
      </c>
      <c r="D168" s="77"/>
      <c r="E168" s="78"/>
      <c r="F168" s="79"/>
      <c r="G168" s="306" t="s">
        <v>187</v>
      </c>
      <c r="H168" s="308"/>
      <c r="I168" s="308"/>
      <c r="J168" s="309"/>
      <c r="K168" s="17"/>
      <c r="L168" s="3"/>
    </row>
    <row r="169" spans="1:12" ht="15" customHeight="1">
      <c r="A169" s="69"/>
      <c r="B169" s="23" t="s">
        <v>41</v>
      </c>
      <c r="C169" s="23" t="s">
        <v>41</v>
      </c>
      <c r="D169" s="22"/>
      <c r="E169" s="85"/>
      <c r="F169" s="15"/>
      <c r="G169" s="307" t="s">
        <v>188</v>
      </c>
      <c r="H169" s="308"/>
      <c r="I169" s="308"/>
      <c r="J169" s="309"/>
      <c r="K169" s="17"/>
      <c r="L169" s="3"/>
    </row>
    <row r="170" spans="1:12" ht="15" customHeight="1">
      <c r="A170" s="69"/>
      <c r="B170" s="13">
        <v>12914000</v>
      </c>
      <c r="C170" s="13">
        <v>12145219</v>
      </c>
      <c r="D170" s="84"/>
      <c r="E170" s="85"/>
      <c r="F170" s="15"/>
      <c r="G170" s="307" t="s">
        <v>189</v>
      </c>
      <c r="H170" s="308"/>
      <c r="I170" s="308"/>
      <c r="J170" s="309"/>
      <c r="K170" s="17">
        <v>21</v>
      </c>
      <c r="L170" s="3"/>
    </row>
    <row r="171" spans="1:12" ht="15" customHeight="1">
      <c r="A171" s="69"/>
      <c r="B171" s="23" t="s">
        <v>15</v>
      </c>
      <c r="C171" s="23" t="s">
        <v>15</v>
      </c>
      <c r="D171" s="310" t="s">
        <v>190</v>
      </c>
      <c r="E171" s="304"/>
      <c r="F171" s="305"/>
      <c r="G171" s="16" t="s">
        <v>191</v>
      </c>
      <c r="H171" s="14"/>
      <c r="I171" s="14"/>
      <c r="J171" s="15"/>
      <c r="K171" s="17"/>
      <c r="L171" s="3"/>
    </row>
    <row r="172" spans="1:12" ht="15" customHeight="1">
      <c r="A172" s="69"/>
      <c r="B172" s="13">
        <v>21297000</v>
      </c>
      <c r="C172" s="13">
        <v>21333089</v>
      </c>
      <c r="D172" s="311" t="s">
        <v>192</v>
      </c>
      <c r="E172" s="312"/>
      <c r="F172" s="313"/>
      <c r="G172" s="16" t="s">
        <v>193</v>
      </c>
      <c r="H172" s="14"/>
      <c r="I172" s="14"/>
      <c r="J172" s="15"/>
      <c r="K172" s="17"/>
      <c r="L172" s="3"/>
    </row>
    <row r="173" spans="1:12" ht="15" customHeight="1">
      <c r="A173" s="69"/>
      <c r="B173" s="23" t="s">
        <v>18</v>
      </c>
      <c r="C173" s="23" t="s">
        <v>18</v>
      </c>
      <c r="D173" s="86"/>
      <c r="E173" s="67"/>
      <c r="F173" s="68"/>
      <c r="G173" s="16" t="s">
        <v>194</v>
      </c>
      <c r="H173" s="14"/>
      <c r="I173" s="14"/>
      <c r="J173" s="15"/>
      <c r="K173" s="17"/>
      <c r="L173" s="3"/>
    </row>
    <row r="174" spans="1:12" ht="15" customHeight="1">
      <c r="A174" s="69"/>
      <c r="B174" s="13">
        <v>102345000</v>
      </c>
      <c r="C174" s="13">
        <v>89894458</v>
      </c>
      <c r="D174" s="77"/>
      <c r="E174" s="78"/>
      <c r="F174" s="79"/>
      <c r="G174" s="16" t="s">
        <v>195</v>
      </c>
      <c r="H174" s="14"/>
      <c r="I174" s="14"/>
      <c r="J174" s="15"/>
      <c r="K174" s="17"/>
      <c r="L174" s="3"/>
    </row>
    <row r="175" spans="1:12" ht="15" customHeight="1">
      <c r="A175" s="69"/>
      <c r="B175" s="13"/>
      <c r="C175" s="13"/>
      <c r="D175" s="311" t="s">
        <v>196</v>
      </c>
      <c r="E175" s="312"/>
      <c r="F175" s="313"/>
      <c r="G175" s="16" t="s">
        <v>197</v>
      </c>
      <c r="H175" s="14"/>
      <c r="I175" s="14"/>
      <c r="J175" s="15"/>
      <c r="K175" s="17"/>
      <c r="L175" s="3"/>
    </row>
    <row r="176" spans="1:12" ht="15" customHeight="1">
      <c r="A176" s="69"/>
      <c r="B176" s="13"/>
      <c r="C176" s="13"/>
      <c r="D176" s="22" t="s">
        <v>198</v>
      </c>
      <c r="E176" s="87"/>
      <c r="F176" s="68"/>
      <c r="G176" s="16" t="s">
        <v>199</v>
      </c>
      <c r="H176" s="14"/>
      <c r="I176" s="14"/>
      <c r="J176" s="15"/>
      <c r="K176" s="17"/>
      <c r="L176" s="3"/>
    </row>
    <row r="177" spans="1:12" ht="15" customHeight="1" thickBot="1">
      <c r="A177" s="70"/>
      <c r="B177" s="28"/>
      <c r="C177" s="28"/>
      <c r="D177" s="29"/>
      <c r="E177" s="30"/>
      <c r="F177" s="31"/>
      <c r="G177" s="32"/>
      <c r="H177" s="30"/>
      <c r="I177" s="30"/>
      <c r="J177" s="31"/>
      <c r="K177" s="33"/>
      <c r="L177" s="3"/>
    </row>
    <row r="178" spans="1:12" ht="15" customHeight="1">
      <c r="A178" s="18"/>
      <c r="B178" s="13"/>
      <c r="C178" s="13"/>
      <c r="D178" s="71"/>
      <c r="E178" s="8"/>
      <c r="F178" s="9"/>
      <c r="G178" s="71"/>
      <c r="H178" s="8"/>
      <c r="I178" s="8"/>
      <c r="J178" s="72"/>
      <c r="K178" s="57"/>
      <c r="L178" s="3"/>
    </row>
    <row r="179" spans="1:12" ht="15" customHeight="1">
      <c r="A179" s="88" t="s">
        <v>200</v>
      </c>
      <c r="B179" s="13">
        <v>89550000</v>
      </c>
      <c r="C179" s="13">
        <v>17902764</v>
      </c>
      <c r="D179" s="85" t="s">
        <v>201</v>
      </c>
      <c r="E179" s="21"/>
      <c r="F179" s="15"/>
      <c r="G179" s="89" t="s">
        <v>201</v>
      </c>
      <c r="H179" s="85"/>
      <c r="I179" s="85"/>
      <c r="J179" s="73"/>
      <c r="K179" s="58"/>
      <c r="L179" s="3"/>
    </row>
    <row r="180" spans="1:12" ht="15" customHeight="1">
      <c r="A180" s="88" t="s">
        <v>202</v>
      </c>
      <c r="B180" s="19"/>
      <c r="C180" s="19"/>
      <c r="D180" s="303" t="s">
        <v>203</v>
      </c>
      <c r="E180" s="304"/>
      <c r="F180" s="305"/>
      <c r="G180" s="306" t="s">
        <v>203</v>
      </c>
      <c r="H180" s="304"/>
      <c r="I180" s="304"/>
      <c r="J180" s="305"/>
      <c r="K180" s="58"/>
      <c r="L180" s="3"/>
    </row>
    <row r="181" spans="1:12" ht="15" customHeight="1">
      <c r="A181" s="88"/>
      <c r="B181" s="23" t="s">
        <v>204</v>
      </c>
      <c r="C181" s="23" t="s">
        <v>204</v>
      </c>
      <c r="D181" s="20" t="s">
        <v>205</v>
      </c>
      <c r="E181" s="21" t="s">
        <v>206</v>
      </c>
      <c r="F181" s="15"/>
      <c r="G181" s="20" t="s">
        <v>205</v>
      </c>
      <c r="H181" s="85"/>
      <c r="I181" s="90" t="s">
        <v>207</v>
      </c>
      <c r="J181" s="73"/>
      <c r="K181" s="58"/>
      <c r="L181" s="3"/>
    </row>
    <row r="182" spans="1:12" ht="15" customHeight="1">
      <c r="A182" s="18"/>
      <c r="B182" s="13">
        <v>2908000</v>
      </c>
      <c r="C182" s="13">
        <v>1518000</v>
      </c>
      <c r="D182" s="91"/>
      <c r="E182" s="21"/>
      <c r="F182" s="15"/>
      <c r="G182" s="20"/>
      <c r="H182" s="14"/>
      <c r="I182" s="21"/>
      <c r="J182" s="73"/>
      <c r="K182" s="58"/>
      <c r="L182" s="3"/>
    </row>
    <row r="183" spans="1:12" ht="15" customHeight="1">
      <c r="A183" s="69"/>
      <c r="B183" s="23" t="s">
        <v>208</v>
      </c>
      <c r="C183" s="23" t="s">
        <v>208</v>
      </c>
      <c r="D183" s="20" t="s">
        <v>209</v>
      </c>
      <c r="E183" s="21" t="s">
        <v>210</v>
      </c>
      <c r="F183" s="15"/>
      <c r="G183" s="20" t="s">
        <v>209</v>
      </c>
      <c r="H183" s="21"/>
      <c r="I183" s="90" t="s">
        <v>211</v>
      </c>
      <c r="J183" s="73"/>
      <c r="K183" s="58"/>
      <c r="L183" s="3"/>
    </row>
    <row r="184" spans="1:12" ht="15" customHeight="1">
      <c r="A184" s="69"/>
      <c r="B184" s="13">
        <v>60550000</v>
      </c>
      <c r="C184" s="13">
        <v>327510024</v>
      </c>
      <c r="D184" s="91"/>
      <c r="E184" s="92" t="s">
        <v>212</v>
      </c>
      <c r="F184" s="15"/>
      <c r="G184" s="20"/>
      <c r="H184" s="14"/>
      <c r="I184" s="14"/>
      <c r="J184" s="73"/>
      <c r="K184" s="58"/>
      <c r="L184" s="3"/>
    </row>
    <row r="185" spans="1:12" ht="15" customHeight="1">
      <c r="A185" s="69"/>
      <c r="B185" s="23" t="s">
        <v>41</v>
      </c>
      <c r="C185" s="23" t="s">
        <v>41</v>
      </c>
      <c r="D185" s="20"/>
      <c r="E185" s="14"/>
      <c r="F185" s="15"/>
      <c r="G185" s="20"/>
      <c r="H185" s="14"/>
      <c r="I185" s="14"/>
      <c r="J185" s="73"/>
      <c r="K185" s="58"/>
      <c r="L185" s="3"/>
    </row>
    <row r="186" spans="1:12" ht="15" customHeight="1">
      <c r="A186" s="69"/>
      <c r="B186" s="13">
        <v>4400000</v>
      </c>
      <c r="C186" s="13">
        <v>1620000</v>
      </c>
      <c r="D186" s="20"/>
      <c r="E186" s="14"/>
      <c r="F186" s="15"/>
      <c r="G186" s="20"/>
      <c r="H186" s="14"/>
      <c r="I186" s="14"/>
      <c r="J186" s="73"/>
      <c r="K186" s="17">
        <v>22</v>
      </c>
      <c r="L186" s="3"/>
    </row>
    <row r="187" spans="1:12" ht="15" customHeight="1">
      <c r="A187" s="69"/>
      <c r="B187" s="23" t="s">
        <v>15</v>
      </c>
      <c r="C187" s="23" t="s">
        <v>15</v>
      </c>
      <c r="D187" s="20"/>
      <c r="E187" s="14"/>
      <c r="F187" s="15"/>
      <c r="G187" s="20"/>
      <c r="H187" s="14"/>
      <c r="I187" s="14"/>
      <c r="J187" s="73"/>
      <c r="K187" s="58"/>
      <c r="L187" s="3"/>
    </row>
    <row r="188" spans="1:12" ht="15" customHeight="1">
      <c r="A188" s="69"/>
      <c r="B188" s="13">
        <v>21692000</v>
      </c>
      <c r="C188" s="13">
        <v>21765346</v>
      </c>
      <c r="D188" s="20"/>
      <c r="E188" s="14"/>
      <c r="F188" s="15"/>
      <c r="G188" s="20"/>
      <c r="H188" s="14"/>
      <c r="I188" s="14"/>
      <c r="J188" s="73"/>
      <c r="K188" s="58"/>
      <c r="L188" s="3"/>
    </row>
    <row r="189" spans="1:12" ht="15" customHeight="1">
      <c r="A189" s="69"/>
      <c r="B189" s="23"/>
      <c r="C189" s="23"/>
      <c r="D189" s="20"/>
      <c r="E189" s="14"/>
      <c r="F189" s="15"/>
      <c r="G189" s="20"/>
      <c r="H189" s="14"/>
      <c r="I189" s="14"/>
      <c r="J189" s="73"/>
      <c r="K189" s="58"/>
      <c r="L189" s="3"/>
    </row>
    <row r="190" spans="1:12" ht="15" customHeight="1">
      <c r="A190" s="69"/>
      <c r="B190" s="23"/>
      <c r="C190" s="93" t="s">
        <v>213</v>
      </c>
      <c r="D190" s="20"/>
      <c r="E190" s="14"/>
      <c r="F190" s="15"/>
      <c r="G190" s="20"/>
      <c r="H190" s="14"/>
      <c r="I190" s="14"/>
      <c r="J190" s="73"/>
      <c r="K190" s="58"/>
      <c r="L190" s="3"/>
    </row>
    <row r="191" spans="1:12" ht="15" customHeight="1">
      <c r="A191" s="69"/>
      <c r="B191" s="23"/>
      <c r="C191" s="93" t="s">
        <v>214</v>
      </c>
      <c r="D191" s="20"/>
      <c r="E191" s="14"/>
      <c r="F191" s="15"/>
      <c r="G191" s="20"/>
      <c r="H191" s="14"/>
      <c r="I191" s="14"/>
      <c r="J191" s="73"/>
      <c r="K191" s="58"/>
      <c r="L191" s="3"/>
    </row>
    <row r="192" spans="1:12" ht="15" customHeight="1">
      <c r="A192" s="69"/>
      <c r="B192" s="23"/>
      <c r="C192" s="93" t="s">
        <v>215</v>
      </c>
      <c r="D192" s="20"/>
      <c r="E192" s="14"/>
      <c r="F192" s="15"/>
      <c r="G192" s="20"/>
      <c r="H192" s="14"/>
      <c r="I192" s="14"/>
      <c r="J192" s="73"/>
      <c r="K192" s="58"/>
      <c r="L192" s="3"/>
    </row>
    <row r="193" spans="1:12" ht="15" customHeight="1">
      <c r="A193" s="69"/>
      <c r="B193" s="23"/>
      <c r="C193" s="94">
        <v>334510606</v>
      </c>
      <c r="D193" s="20"/>
      <c r="E193" s="14"/>
      <c r="F193" s="15"/>
      <c r="G193" s="20"/>
      <c r="H193" s="14"/>
      <c r="I193" s="14"/>
      <c r="J193" s="73"/>
      <c r="K193" s="58"/>
      <c r="L193" s="3"/>
    </row>
    <row r="194" spans="1:12" ht="15" customHeight="1" thickBot="1">
      <c r="A194" s="70"/>
      <c r="B194" s="28"/>
      <c r="C194" s="28"/>
      <c r="D194" s="20"/>
      <c r="E194" s="14"/>
      <c r="F194" s="15"/>
      <c r="G194" s="20"/>
      <c r="H194" s="14"/>
      <c r="I194" s="14"/>
      <c r="J194" s="73"/>
      <c r="K194" s="58"/>
      <c r="L194" s="3"/>
    </row>
    <row r="195" spans="1:12" ht="15" customHeight="1">
      <c r="A195" s="18"/>
      <c r="B195" s="13"/>
      <c r="C195" s="13"/>
      <c r="D195" s="71"/>
      <c r="E195" s="8"/>
      <c r="F195" s="9"/>
      <c r="G195" s="71"/>
      <c r="H195" s="8"/>
      <c r="I195" s="8"/>
      <c r="J195" s="72"/>
      <c r="K195" s="57"/>
      <c r="L195" s="3"/>
    </row>
    <row r="196" spans="1:12" ht="15" customHeight="1">
      <c r="A196" s="88" t="s">
        <v>216</v>
      </c>
      <c r="B196" s="13">
        <v>39536000</v>
      </c>
      <c r="C196" s="13">
        <v>22007206</v>
      </c>
      <c r="D196" s="85" t="s">
        <v>201</v>
      </c>
      <c r="E196" s="21"/>
      <c r="F196" s="15"/>
      <c r="G196" s="89" t="s">
        <v>201</v>
      </c>
      <c r="H196" s="85"/>
      <c r="I196" s="85"/>
      <c r="J196" s="73"/>
      <c r="K196" s="58"/>
      <c r="L196" s="3"/>
    </row>
    <row r="197" spans="1:12" ht="15" customHeight="1">
      <c r="A197" s="88" t="s">
        <v>217</v>
      </c>
      <c r="B197" s="19"/>
      <c r="C197" s="19"/>
      <c r="D197" s="303" t="s">
        <v>203</v>
      </c>
      <c r="E197" s="304"/>
      <c r="F197" s="305"/>
      <c r="G197" s="306" t="s">
        <v>203</v>
      </c>
      <c r="H197" s="304"/>
      <c r="I197" s="304"/>
      <c r="J197" s="305"/>
      <c r="K197" s="58"/>
      <c r="L197" s="3"/>
    </row>
    <row r="198" spans="1:12" ht="15" customHeight="1">
      <c r="A198" s="88"/>
      <c r="B198" s="23" t="s">
        <v>204</v>
      </c>
      <c r="C198" s="23" t="s">
        <v>204</v>
      </c>
      <c r="D198" s="20" t="s">
        <v>218</v>
      </c>
      <c r="E198" s="21" t="s">
        <v>219</v>
      </c>
      <c r="F198" s="15"/>
      <c r="G198" s="20" t="s">
        <v>220</v>
      </c>
      <c r="H198" s="14"/>
      <c r="I198" s="21" t="s">
        <v>221</v>
      </c>
      <c r="J198" s="73"/>
      <c r="K198" s="58"/>
      <c r="L198" s="3"/>
    </row>
    <row r="199" spans="1:12" ht="15" customHeight="1">
      <c r="A199" s="18"/>
      <c r="B199" s="13">
        <v>318000</v>
      </c>
      <c r="C199" s="13">
        <v>318000</v>
      </c>
      <c r="D199" s="91"/>
      <c r="E199" s="92" t="s">
        <v>222</v>
      </c>
      <c r="F199" s="15"/>
      <c r="G199" s="20"/>
      <c r="H199" s="14"/>
      <c r="I199" s="21"/>
      <c r="J199" s="73"/>
      <c r="K199" s="58"/>
      <c r="L199" s="3"/>
    </row>
    <row r="200" spans="1:12" ht="15" customHeight="1">
      <c r="A200" s="69"/>
      <c r="B200" s="23" t="s">
        <v>208</v>
      </c>
      <c r="C200" s="23" t="s">
        <v>208</v>
      </c>
      <c r="D200" s="20"/>
      <c r="E200" s="21"/>
      <c r="F200" s="15"/>
      <c r="G200" s="20"/>
      <c r="H200" s="14"/>
      <c r="I200" s="21"/>
      <c r="J200" s="73"/>
      <c r="K200" s="58"/>
      <c r="L200" s="3"/>
    </row>
    <row r="201" spans="1:12" ht="15" customHeight="1">
      <c r="A201" s="69"/>
      <c r="B201" s="13">
        <v>4519000</v>
      </c>
      <c r="C201" s="13">
        <v>99721477</v>
      </c>
      <c r="D201" s="91"/>
      <c r="E201" s="21"/>
      <c r="F201" s="15"/>
      <c r="G201" s="20"/>
      <c r="H201" s="14"/>
      <c r="I201" s="14"/>
      <c r="J201" s="73"/>
      <c r="K201" s="17">
        <v>22</v>
      </c>
      <c r="L201" s="3"/>
    </row>
    <row r="202" spans="1:12" ht="15" customHeight="1">
      <c r="A202" s="69"/>
      <c r="B202" s="23" t="s">
        <v>15</v>
      </c>
      <c r="C202" s="23" t="s">
        <v>15</v>
      </c>
      <c r="D202" s="20"/>
      <c r="E202" s="14"/>
      <c r="F202" s="15"/>
      <c r="G202" s="20"/>
      <c r="H202" s="14"/>
      <c r="I202" s="14"/>
      <c r="J202" s="73"/>
      <c r="K202" s="58"/>
      <c r="L202" s="3"/>
    </row>
    <row r="203" spans="1:12" ht="15" customHeight="1">
      <c r="A203" s="69"/>
      <c r="B203" s="13">
        <v>34699000</v>
      </c>
      <c r="C203" s="13">
        <v>27453353</v>
      </c>
      <c r="D203" s="20"/>
      <c r="E203" s="14"/>
      <c r="F203" s="15"/>
      <c r="G203" s="20"/>
      <c r="H203" s="14"/>
      <c r="I203" s="14"/>
      <c r="J203" s="73"/>
      <c r="K203" s="58"/>
      <c r="L203" s="3"/>
    </row>
    <row r="204" spans="1:12" ht="15" customHeight="1">
      <c r="A204" s="69"/>
      <c r="B204" s="23"/>
      <c r="C204" s="23"/>
      <c r="D204" s="20"/>
      <c r="E204" s="14"/>
      <c r="F204" s="15"/>
      <c r="G204" s="20"/>
      <c r="H204" s="14"/>
      <c r="I204" s="14"/>
      <c r="J204" s="73"/>
      <c r="K204" s="58"/>
      <c r="L204" s="3"/>
    </row>
    <row r="205" spans="1:12" ht="15" customHeight="1">
      <c r="A205" s="69"/>
      <c r="B205" s="13"/>
      <c r="C205" s="93" t="s">
        <v>213</v>
      </c>
      <c r="D205" s="20"/>
      <c r="E205" s="14"/>
      <c r="F205" s="15"/>
      <c r="G205" s="20"/>
      <c r="H205" s="14"/>
      <c r="I205" s="14"/>
      <c r="J205" s="73"/>
      <c r="K205" s="58"/>
      <c r="L205" s="3"/>
    </row>
    <row r="206" spans="1:12" ht="15" customHeight="1">
      <c r="A206" s="69"/>
      <c r="B206" s="23"/>
      <c r="C206" s="93" t="s">
        <v>214</v>
      </c>
      <c r="D206" s="20"/>
      <c r="E206" s="14"/>
      <c r="F206" s="15"/>
      <c r="G206" s="20"/>
      <c r="H206" s="14"/>
      <c r="I206" s="14"/>
      <c r="J206" s="73"/>
      <c r="K206" s="58"/>
      <c r="L206" s="3"/>
    </row>
    <row r="207" spans="1:12" ht="15" customHeight="1">
      <c r="A207" s="69"/>
      <c r="B207" s="23"/>
      <c r="C207" s="93" t="s">
        <v>215</v>
      </c>
      <c r="D207" s="20"/>
      <c r="E207" s="14"/>
      <c r="F207" s="15"/>
      <c r="G207" s="20"/>
      <c r="H207" s="14"/>
      <c r="I207" s="14"/>
      <c r="J207" s="73"/>
      <c r="K207" s="58"/>
      <c r="L207" s="3"/>
    </row>
    <row r="208" spans="1:12" ht="15" customHeight="1">
      <c r="A208" s="69"/>
      <c r="B208" s="23"/>
      <c r="C208" s="13">
        <v>105485624</v>
      </c>
      <c r="D208" s="20"/>
      <c r="E208" s="14"/>
      <c r="F208" s="15"/>
      <c r="G208" s="20"/>
      <c r="H208" s="14"/>
      <c r="I208" s="14"/>
      <c r="J208" s="73"/>
      <c r="K208" s="58"/>
      <c r="L208" s="3"/>
    </row>
    <row r="209" spans="1:12" ht="15" customHeight="1" thickBot="1">
      <c r="A209" s="70"/>
      <c r="B209" s="28"/>
      <c r="C209" s="28"/>
      <c r="D209" s="29"/>
      <c r="E209" s="30"/>
      <c r="F209" s="31"/>
      <c r="G209" s="29"/>
      <c r="H209" s="30"/>
      <c r="I209" s="30"/>
      <c r="J209" s="74"/>
      <c r="K209" s="66"/>
      <c r="L209" s="3"/>
    </row>
    <row r="210" spans="1:12" ht="15" customHeight="1">
      <c r="A210" s="18"/>
      <c r="B210" s="13"/>
      <c r="C210" s="13"/>
      <c r="D210" s="71"/>
      <c r="E210" s="8"/>
      <c r="F210" s="9"/>
      <c r="G210" s="71"/>
      <c r="H210" s="8"/>
      <c r="I210" s="8"/>
      <c r="J210" s="72"/>
      <c r="K210" s="57"/>
      <c r="L210" s="3"/>
    </row>
    <row r="211" spans="1:12" ht="15" customHeight="1">
      <c r="A211" s="88" t="s">
        <v>223</v>
      </c>
      <c r="B211" s="13">
        <v>16758000</v>
      </c>
      <c r="C211" s="13">
        <v>6738869</v>
      </c>
      <c r="D211" s="85" t="s">
        <v>201</v>
      </c>
      <c r="E211" s="21"/>
      <c r="F211" s="15"/>
      <c r="G211" s="89" t="s">
        <v>201</v>
      </c>
      <c r="H211" s="85"/>
      <c r="I211" s="85"/>
      <c r="J211" s="73"/>
      <c r="K211" s="58"/>
      <c r="L211" s="3"/>
    </row>
    <row r="212" spans="1:12" ht="15" customHeight="1">
      <c r="A212" s="88" t="s">
        <v>224</v>
      </c>
      <c r="B212" s="19"/>
      <c r="C212" s="19"/>
      <c r="D212" s="303" t="s">
        <v>203</v>
      </c>
      <c r="E212" s="304"/>
      <c r="F212" s="305"/>
      <c r="G212" s="306" t="s">
        <v>203</v>
      </c>
      <c r="H212" s="304"/>
      <c r="I212" s="304"/>
      <c r="J212" s="305"/>
      <c r="K212" s="58"/>
      <c r="L212" s="3"/>
    </row>
    <row r="213" spans="1:12" ht="15" customHeight="1">
      <c r="A213" s="88" t="s">
        <v>202</v>
      </c>
      <c r="B213" s="23" t="s">
        <v>204</v>
      </c>
      <c r="C213" s="23" t="s">
        <v>204</v>
      </c>
      <c r="D213" s="20" t="s">
        <v>225</v>
      </c>
      <c r="E213" s="92" t="s">
        <v>226</v>
      </c>
      <c r="F213" s="15"/>
      <c r="G213" s="20" t="s">
        <v>227</v>
      </c>
      <c r="H213" s="14"/>
      <c r="I213" s="92" t="s">
        <v>228</v>
      </c>
      <c r="J213" s="73"/>
      <c r="K213" s="58"/>
      <c r="L213" s="3"/>
    </row>
    <row r="214" spans="1:12" ht="15" customHeight="1">
      <c r="A214" s="18"/>
      <c r="B214" s="13">
        <v>20000</v>
      </c>
      <c r="C214" s="13">
        <v>20000</v>
      </c>
      <c r="D214" s="91"/>
      <c r="E214" s="92" t="s">
        <v>229</v>
      </c>
      <c r="F214" s="15"/>
      <c r="G214" s="20"/>
      <c r="H214" s="14"/>
      <c r="I214" s="21"/>
      <c r="J214" s="73"/>
      <c r="K214" s="58"/>
      <c r="L214" s="3"/>
    </row>
    <row r="215" spans="1:12" ht="15" customHeight="1">
      <c r="A215" s="69"/>
      <c r="B215" s="23" t="s">
        <v>208</v>
      </c>
      <c r="C215" s="23" t="s">
        <v>208</v>
      </c>
      <c r="D215" s="20"/>
      <c r="E215" s="21"/>
      <c r="F215" s="15"/>
      <c r="G215" s="20"/>
      <c r="H215" s="14"/>
      <c r="I215" s="21"/>
      <c r="J215" s="73"/>
      <c r="K215" s="58"/>
      <c r="L215" s="3"/>
    </row>
    <row r="216" spans="1:12" ht="15" customHeight="1">
      <c r="A216" s="69"/>
      <c r="B216" s="13">
        <v>15771000</v>
      </c>
      <c r="C216" s="13">
        <v>92020026</v>
      </c>
      <c r="D216" s="91"/>
      <c r="E216" s="21"/>
      <c r="F216" s="15"/>
      <c r="G216" s="20"/>
      <c r="H216" s="14"/>
      <c r="I216" s="14"/>
      <c r="J216" s="73"/>
      <c r="K216" s="17">
        <v>23</v>
      </c>
      <c r="L216" s="3"/>
    </row>
    <row r="217" spans="1:12" ht="15" customHeight="1">
      <c r="A217" s="69"/>
      <c r="B217" s="23" t="s">
        <v>15</v>
      </c>
      <c r="C217" s="23" t="s">
        <v>15</v>
      </c>
      <c r="D217" s="20"/>
      <c r="E217" s="14"/>
      <c r="F217" s="15"/>
      <c r="G217" s="20"/>
      <c r="H217" s="14"/>
      <c r="I217" s="14"/>
      <c r="J217" s="73"/>
      <c r="K217" s="58"/>
      <c r="L217" s="3"/>
    </row>
    <row r="218" spans="1:12" ht="15" customHeight="1">
      <c r="A218" s="69"/>
      <c r="B218" s="13">
        <v>967000</v>
      </c>
      <c r="C218" s="13">
        <v>983611</v>
      </c>
      <c r="D218" s="20"/>
      <c r="E218" s="14"/>
      <c r="F218" s="15"/>
      <c r="G218" s="20"/>
      <c r="H218" s="14"/>
      <c r="I218" s="14"/>
      <c r="J218" s="73"/>
      <c r="K218" s="58"/>
      <c r="L218" s="3"/>
    </row>
    <row r="219" spans="1:12" ht="15" customHeight="1">
      <c r="A219" s="69"/>
      <c r="B219" s="23"/>
      <c r="C219" s="23"/>
      <c r="D219" s="20"/>
      <c r="E219" s="14"/>
      <c r="F219" s="15"/>
      <c r="G219" s="20"/>
      <c r="H219" s="14"/>
      <c r="I219" s="14"/>
      <c r="J219" s="73"/>
      <c r="K219" s="58"/>
      <c r="L219" s="3"/>
    </row>
    <row r="220" spans="1:12" ht="15" customHeight="1">
      <c r="A220" s="69"/>
      <c r="B220" s="13"/>
      <c r="C220" s="93" t="s">
        <v>213</v>
      </c>
      <c r="D220" s="20"/>
      <c r="E220" s="14"/>
      <c r="F220" s="15"/>
      <c r="G220" s="20"/>
      <c r="H220" s="14"/>
      <c r="I220" s="14"/>
      <c r="J220" s="73"/>
      <c r="K220" s="58"/>
      <c r="L220" s="3"/>
    </row>
    <row r="221" spans="1:12" ht="15" customHeight="1">
      <c r="A221" s="69"/>
      <c r="B221" s="23"/>
      <c r="C221" s="93" t="s">
        <v>214</v>
      </c>
      <c r="D221" s="20"/>
      <c r="E221" s="14"/>
      <c r="F221" s="15"/>
      <c r="G221" s="20"/>
      <c r="H221" s="14"/>
      <c r="I221" s="14"/>
      <c r="J221" s="73"/>
      <c r="K221" s="58"/>
      <c r="L221" s="3"/>
    </row>
    <row r="222" spans="1:12" ht="15" customHeight="1">
      <c r="A222" s="69"/>
      <c r="B222" s="23"/>
      <c r="C222" s="93" t="s">
        <v>215</v>
      </c>
      <c r="D222" s="20"/>
      <c r="E222" s="14"/>
      <c r="F222" s="15"/>
      <c r="G222" s="20"/>
      <c r="H222" s="14"/>
      <c r="I222" s="14"/>
      <c r="J222" s="73"/>
      <c r="K222" s="58"/>
      <c r="L222" s="3"/>
    </row>
    <row r="223" spans="1:12" ht="15" customHeight="1">
      <c r="A223" s="69"/>
      <c r="B223" s="23"/>
      <c r="C223" s="95">
        <v>86284768</v>
      </c>
      <c r="D223" s="20"/>
      <c r="E223" s="14"/>
      <c r="F223" s="15"/>
      <c r="G223" s="20"/>
      <c r="H223" s="14"/>
      <c r="I223" s="14"/>
      <c r="J223" s="73"/>
      <c r="K223" s="58"/>
      <c r="L223" s="3"/>
    </row>
    <row r="224" spans="1:12" ht="15" customHeight="1" thickBot="1">
      <c r="A224" s="70"/>
      <c r="B224" s="28"/>
      <c r="C224" s="28"/>
      <c r="D224" s="29"/>
      <c r="E224" s="30"/>
      <c r="F224" s="31"/>
      <c r="G224" s="29"/>
      <c r="H224" s="30"/>
      <c r="I224" s="30"/>
      <c r="J224" s="74"/>
      <c r="K224" s="66"/>
      <c r="L224" s="3"/>
    </row>
    <row r="225" ht="23.25" customHeight="1">
      <c r="A225" s="96"/>
    </row>
  </sheetData>
  <sheetProtection/>
  <mergeCells count="140">
    <mergeCell ref="E3:F3"/>
    <mergeCell ref="J3:K3"/>
    <mergeCell ref="A4:A5"/>
    <mergeCell ref="D4:F5"/>
    <mergeCell ref="G4:J5"/>
    <mergeCell ref="K4:K5"/>
    <mergeCell ref="D19:F19"/>
    <mergeCell ref="G19:J19"/>
    <mergeCell ref="G20:J20"/>
    <mergeCell ref="D21:F21"/>
    <mergeCell ref="G21:J21"/>
    <mergeCell ref="D25:F25"/>
    <mergeCell ref="G25:J25"/>
    <mergeCell ref="D15:F15"/>
    <mergeCell ref="G15:J15"/>
    <mergeCell ref="D16:F16"/>
    <mergeCell ref="G16:J16"/>
    <mergeCell ref="G17:J17"/>
    <mergeCell ref="G18:J18"/>
    <mergeCell ref="D30:F30"/>
    <mergeCell ref="G30:J30"/>
    <mergeCell ref="D31:F31"/>
    <mergeCell ref="D32:F32"/>
    <mergeCell ref="G32:J32"/>
    <mergeCell ref="G35:J35"/>
    <mergeCell ref="D26:F26"/>
    <mergeCell ref="G26:J26"/>
    <mergeCell ref="D27:F27"/>
    <mergeCell ref="G27:J27"/>
    <mergeCell ref="D28:F28"/>
    <mergeCell ref="G28:J28"/>
    <mergeCell ref="D39:F39"/>
    <mergeCell ref="G39:J39"/>
    <mergeCell ref="D40:F40"/>
    <mergeCell ref="D41:F41"/>
    <mergeCell ref="D44:F44"/>
    <mergeCell ref="G44:J44"/>
    <mergeCell ref="D36:F36"/>
    <mergeCell ref="G36:J36"/>
    <mergeCell ref="D37:F37"/>
    <mergeCell ref="G37:J37"/>
    <mergeCell ref="D38:F38"/>
    <mergeCell ref="G38:J38"/>
    <mergeCell ref="G49:J49"/>
    <mergeCell ref="D56:F56"/>
    <mergeCell ref="G56:J56"/>
    <mergeCell ref="D57:F57"/>
    <mergeCell ref="G57:J57"/>
    <mergeCell ref="D58:F58"/>
    <mergeCell ref="D45:F45"/>
    <mergeCell ref="G45:J45"/>
    <mergeCell ref="D46:F46"/>
    <mergeCell ref="G46:J46"/>
    <mergeCell ref="D48:F48"/>
    <mergeCell ref="G48:J48"/>
    <mergeCell ref="D71:F71"/>
    <mergeCell ref="G71:J71"/>
    <mergeCell ref="D72:F72"/>
    <mergeCell ref="G72:J72"/>
    <mergeCell ref="D73:F73"/>
    <mergeCell ref="G73:J73"/>
    <mergeCell ref="D59:F59"/>
    <mergeCell ref="D68:F68"/>
    <mergeCell ref="G68:J68"/>
    <mergeCell ref="D69:F69"/>
    <mergeCell ref="G69:J69"/>
    <mergeCell ref="D70:F70"/>
    <mergeCell ref="G70:J70"/>
    <mergeCell ref="D80:F80"/>
    <mergeCell ref="G85:J85"/>
    <mergeCell ref="D86:F86"/>
    <mergeCell ref="G86:J86"/>
    <mergeCell ref="D87:F87"/>
    <mergeCell ref="G87:J87"/>
    <mergeCell ref="D74:F74"/>
    <mergeCell ref="G74:J74"/>
    <mergeCell ref="D75:F75"/>
    <mergeCell ref="D78:F78"/>
    <mergeCell ref="G78:J78"/>
    <mergeCell ref="D79:F79"/>
    <mergeCell ref="D93:F93"/>
    <mergeCell ref="D94:F94"/>
    <mergeCell ref="D98:F98"/>
    <mergeCell ref="D110:F110"/>
    <mergeCell ref="G110:J110"/>
    <mergeCell ref="D111:F111"/>
    <mergeCell ref="D88:F88"/>
    <mergeCell ref="G88:J88"/>
    <mergeCell ref="D89:F89"/>
    <mergeCell ref="D90:F90"/>
    <mergeCell ref="G90:J90"/>
    <mergeCell ref="D92:F92"/>
    <mergeCell ref="G92:J92"/>
    <mergeCell ref="G124:J124"/>
    <mergeCell ref="G129:J129"/>
    <mergeCell ref="G131:J131"/>
    <mergeCell ref="G132:J132"/>
    <mergeCell ref="D137:F137"/>
    <mergeCell ref="G137:J137"/>
    <mergeCell ref="D112:F112"/>
    <mergeCell ref="D113:F113"/>
    <mergeCell ref="D114:F114"/>
    <mergeCell ref="D122:F122"/>
    <mergeCell ref="G122:J122"/>
    <mergeCell ref="D123:F123"/>
    <mergeCell ref="G149:J149"/>
    <mergeCell ref="D150:F150"/>
    <mergeCell ref="G150:J150"/>
    <mergeCell ref="D151:F151"/>
    <mergeCell ref="G151:J151"/>
    <mergeCell ref="D152:F152"/>
    <mergeCell ref="G152:J152"/>
    <mergeCell ref="D138:F138"/>
    <mergeCell ref="G138:J138"/>
    <mergeCell ref="D139:F139"/>
    <mergeCell ref="G139:J139"/>
    <mergeCell ref="D140:F140"/>
    <mergeCell ref="G140:J140"/>
    <mergeCell ref="D165:F165"/>
    <mergeCell ref="G165:J165"/>
    <mergeCell ref="G166:J166"/>
    <mergeCell ref="G167:J167"/>
    <mergeCell ref="G168:J168"/>
    <mergeCell ref="G169:J169"/>
    <mergeCell ref="D154:F154"/>
    <mergeCell ref="D157:F157"/>
    <mergeCell ref="G157:J157"/>
    <mergeCell ref="G158:J158"/>
    <mergeCell ref="G159:J159"/>
    <mergeCell ref="G160:J160"/>
    <mergeCell ref="D197:F197"/>
    <mergeCell ref="G197:J197"/>
    <mergeCell ref="D212:F212"/>
    <mergeCell ref="G212:J212"/>
    <mergeCell ref="G170:J170"/>
    <mergeCell ref="D171:F171"/>
    <mergeCell ref="D172:F172"/>
    <mergeCell ref="D175:F175"/>
    <mergeCell ref="D180:F180"/>
    <mergeCell ref="G180:J180"/>
  </mergeCells>
  <printOptions/>
  <pageMargins left="0.7086614173228347" right="0.7086614173228347" top="0.7480314960629921" bottom="0.35433070866141736" header="0.31496062992125984" footer="0.31496062992125984"/>
  <pageSetup fitToHeight="0" fitToWidth="1" horizontalDpi="600" verticalDpi="600" orientation="landscape" paperSize="9" scale="63" r:id="rId2"/>
  <headerFooter>
    <oddHeader>&amp;C&amp;16&amp;P</oddHeader>
    <oddFooter>&amp;C&amp;16&amp;P</oddFooter>
  </headerFooter>
  <rowBreaks count="4" manualBreakCount="4">
    <brk id="54" max="255" man="1"/>
    <brk id="108" max="255" man="1"/>
    <brk id="163" max="255" man="1"/>
    <brk id="209" max="10" man="1"/>
  </rowBreaks>
  <colBreaks count="1" manualBreakCount="1">
    <brk id="3" max="65535" man="1"/>
  </colBreaks>
  <drawing r:id="rId1"/>
</worksheet>
</file>

<file path=xl/worksheets/sheet3.xml><?xml version="1.0" encoding="utf-8"?>
<worksheet xmlns="http://schemas.openxmlformats.org/spreadsheetml/2006/main" xmlns:r="http://schemas.openxmlformats.org/officeDocument/2006/relationships">
  <sheetPr>
    <pageSetUpPr fitToPage="1"/>
  </sheetPr>
  <dimension ref="B1:V904"/>
  <sheetViews>
    <sheetView view="pageBreakPreview" zoomScale="75" zoomScaleSheetLayoutView="75" zoomScalePageLayoutView="0" workbookViewId="0" topLeftCell="A1">
      <pane xSplit="8" ySplit="5" topLeftCell="I684" activePane="bottomRight" state="frozen"/>
      <selection pane="topLeft" activeCell="A1" sqref="A1"/>
      <selection pane="topRight" activeCell="I1" sqref="I1"/>
      <selection pane="bottomLeft" activeCell="A6" sqref="A6"/>
      <selection pane="bottomRight" activeCell="C709" sqref="C709"/>
    </sheetView>
  </sheetViews>
  <sheetFormatPr defaultColWidth="9.00390625" defaultRowHeight="13.5" outlineLevelCol="1"/>
  <cols>
    <col min="1" max="1" width="3.50390625" style="98" customWidth="1"/>
    <col min="2" max="2" width="13.75390625" style="98" customWidth="1"/>
    <col min="3" max="4" width="15.125" style="98" customWidth="1"/>
    <col min="5" max="5" width="11.125" style="98" customWidth="1"/>
    <col min="6" max="6" width="2.875" style="98" customWidth="1"/>
    <col min="7" max="7" width="0.875" style="98" customWidth="1"/>
    <col min="8" max="8" width="39.50390625" style="98" customWidth="1"/>
    <col min="9" max="9" width="15.125" style="289" customWidth="1"/>
    <col min="10" max="13" width="15.125" style="289" hidden="1" customWidth="1" outlineLevel="1"/>
    <col min="14" max="14" width="15.125" style="289" customWidth="1" collapsed="1"/>
    <col min="15" max="18" width="15.125" style="289" hidden="1" customWidth="1" outlineLevel="1"/>
    <col min="19" max="19" width="41.125" style="289" customWidth="1" collapsed="1"/>
    <col min="20" max="21" width="13.25390625" style="289" customWidth="1"/>
    <col min="22" max="22" width="3.50390625" style="224" customWidth="1"/>
    <col min="23" max="16384" width="9.00390625" style="98" customWidth="1"/>
  </cols>
  <sheetData>
    <row r="1" spans="2:22" ht="14.25" customHeight="1">
      <c r="B1" s="349" t="s">
        <v>230</v>
      </c>
      <c r="C1" s="350"/>
      <c r="D1" s="304"/>
      <c r="E1" s="97"/>
      <c r="H1" s="351"/>
      <c r="I1" s="352"/>
      <c r="J1" s="99"/>
      <c r="K1" s="99"/>
      <c r="L1" s="99"/>
      <c r="M1" s="99"/>
      <c r="N1" s="353"/>
      <c r="O1" s="353"/>
      <c r="P1" s="353"/>
      <c r="Q1" s="353"/>
      <c r="R1" s="353"/>
      <c r="S1" s="354"/>
      <c r="T1" s="354"/>
      <c r="U1" s="354"/>
      <c r="V1" s="100"/>
    </row>
    <row r="2" spans="2:22" ht="14.25" customHeight="1">
      <c r="B2" s="350"/>
      <c r="C2" s="350"/>
      <c r="D2" s="304"/>
      <c r="E2" s="97"/>
      <c r="H2" s="352"/>
      <c r="I2" s="352"/>
      <c r="J2" s="99"/>
      <c r="K2" s="99"/>
      <c r="L2" s="99"/>
      <c r="M2" s="99"/>
      <c r="N2" s="355"/>
      <c r="O2" s="355"/>
      <c r="P2" s="355"/>
      <c r="Q2" s="355"/>
      <c r="R2" s="355"/>
      <c r="S2" s="355"/>
      <c r="T2" s="355"/>
      <c r="U2" s="355"/>
      <c r="V2" s="101"/>
    </row>
    <row r="3" spans="2:22" ht="19.5" customHeight="1" thickBot="1">
      <c r="B3" s="102"/>
      <c r="C3" s="103"/>
      <c r="D3" s="103"/>
      <c r="E3" s="104"/>
      <c r="F3" s="104"/>
      <c r="G3" s="104"/>
      <c r="H3" s="104"/>
      <c r="I3" s="105"/>
      <c r="J3" s="105"/>
      <c r="K3" s="105"/>
      <c r="L3" s="105"/>
      <c r="M3" s="105"/>
      <c r="N3" s="106"/>
      <c r="O3" s="105"/>
      <c r="P3" s="105"/>
      <c r="Q3" s="105"/>
      <c r="R3" s="105"/>
      <c r="S3" s="106"/>
      <c r="T3" s="356" t="s">
        <v>2</v>
      </c>
      <c r="U3" s="357"/>
      <c r="V3" s="101"/>
    </row>
    <row r="4" spans="2:22" ht="15" customHeight="1">
      <c r="B4" s="358" t="s">
        <v>231</v>
      </c>
      <c r="C4" s="360" t="s">
        <v>232</v>
      </c>
      <c r="D4" s="360" t="s">
        <v>233</v>
      </c>
      <c r="E4" s="362" t="s">
        <v>234</v>
      </c>
      <c r="F4" s="363"/>
      <c r="G4" s="363"/>
      <c r="H4" s="363"/>
      <c r="I4" s="363"/>
      <c r="J4" s="363"/>
      <c r="K4" s="363"/>
      <c r="L4" s="363"/>
      <c r="M4" s="363"/>
      <c r="N4" s="363"/>
      <c r="O4" s="363"/>
      <c r="P4" s="363"/>
      <c r="Q4" s="363"/>
      <c r="R4" s="363"/>
      <c r="S4" s="363"/>
      <c r="T4" s="363"/>
      <c r="U4" s="364"/>
      <c r="V4" s="107"/>
    </row>
    <row r="5" spans="2:22" ht="15" customHeight="1" thickBot="1">
      <c r="B5" s="359"/>
      <c r="C5" s="361"/>
      <c r="D5" s="361"/>
      <c r="E5" s="108" t="s">
        <v>235</v>
      </c>
      <c r="F5" s="365" t="s">
        <v>236</v>
      </c>
      <c r="G5" s="366"/>
      <c r="H5" s="367"/>
      <c r="I5" s="109" t="s">
        <v>237</v>
      </c>
      <c r="J5" s="110" t="s">
        <v>238</v>
      </c>
      <c r="K5" s="110" t="s">
        <v>239</v>
      </c>
      <c r="L5" s="110" t="s">
        <v>240</v>
      </c>
      <c r="M5" s="110" t="s">
        <v>241</v>
      </c>
      <c r="N5" s="111" t="s">
        <v>242</v>
      </c>
      <c r="O5" s="110" t="str">
        <f>+J5</f>
        <v>国庫支出金</v>
      </c>
      <c r="P5" s="110" t="str">
        <f>+K5</f>
        <v>起債</v>
      </c>
      <c r="Q5" s="110" t="str">
        <f>+L5</f>
        <v>附帯歳入</v>
      </c>
      <c r="R5" s="110" t="s">
        <v>241</v>
      </c>
      <c r="S5" s="111" t="s">
        <v>243</v>
      </c>
      <c r="T5" s="112" t="s">
        <v>244</v>
      </c>
      <c r="U5" s="113" t="s">
        <v>245</v>
      </c>
      <c r="V5" s="114"/>
    </row>
    <row r="6" spans="2:22" ht="14.25" customHeight="1">
      <c r="B6" s="115"/>
      <c r="C6" s="116" t="s">
        <v>246</v>
      </c>
      <c r="D6" s="116" t="s">
        <v>246</v>
      </c>
      <c r="E6" s="117"/>
      <c r="F6" s="118"/>
      <c r="G6" s="119"/>
      <c r="H6" s="120"/>
      <c r="I6" s="121" t="s">
        <v>246</v>
      </c>
      <c r="J6" s="122"/>
      <c r="K6" s="122"/>
      <c r="L6" s="122"/>
      <c r="M6" s="122"/>
      <c r="N6" s="121" t="s">
        <v>246</v>
      </c>
      <c r="O6" s="123"/>
      <c r="P6" s="123"/>
      <c r="Q6" s="123"/>
      <c r="R6" s="123"/>
      <c r="S6" s="124"/>
      <c r="T6" s="125"/>
      <c r="U6" s="126"/>
      <c r="V6" s="127"/>
    </row>
    <row r="7" spans="2:22" ht="14.25" customHeight="1">
      <c r="B7" s="128" t="s">
        <v>247</v>
      </c>
      <c r="C7" s="129">
        <f>SUM(I7:I25)</f>
        <v>7087888000</v>
      </c>
      <c r="D7" s="129">
        <f>SUM(N7:N25)</f>
        <v>6948945728</v>
      </c>
      <c r="E7" s="130" t="s">
        <v>248</v>
      </c>
      <c r="F7" s="131">
        <v>1</v>
      </c>
      <c r="G7" s="132"/>
      <c r="H7" s="120" t="s">
        <v>249</v>
      </c>
      <c r="I7" s="121">
        <f>6711710000+28706000</f>
        <v>6740416000</v>
      </c>
      <c r="J7" s="122">
        <v>38723000</v>
      </c>
      <c r="K7" s="122">
        <v>0</v>
      </c>
      <c r="L7" s="122">
        <v>0</v>
      </c>
      <c r="M7" s="122">
        <f>+I7-SUM(J7:L7)</f>
        <v>6701693000</v>
      </c>
      <c r="N7" s="121">
        <f>6706258878</f>
        <v>6706258878</v>
      </c>
      <c r="O7" s="123">
        <f>1000000+4266000+11125000+739000+21593000</f>
        <v>38723000</v>
      </c>
      <c r="P7" s="123">
        <v>0</v>
      </c>
      <c r="Q7" s="123">
        <v>0</v>
      </c>
      <c r="R7" s="123">
        <f>+N7-SUM(O7:Q7)</f>
        <v>6667535878</v>
      </c>
      <c r="S7" s="133" t="s">
        <v>250</v>
      </c>
      <c r="T7" s="134" t="s">
        <v>251</v>
      </c>
      <c r="U7" s="126" t="s">
        <v>252</v>
      </c>
      <c r="V7" s="135"/>
    </row>
    <row r="8" spans="2:22" ht="14.25" customHeight="1">
      <c r="B8" s="128" t="s">
        <v>253</v>
      </c>
      <c r="C8" s="129"/>
      <c r="D8" s="116"/>
      <c r="E8" s="117"/>
      <c r="F8" s="131"/>
      <c r="G8" s="132"/>
      <c r="H8" s="136" t="s">
        <v>254</v>
      </c>
      <c r="I8" s="121"/>
      <c r="J8" s="122"/>
      <c r="K8" s="122"/>
      <c r="L8" s="122"/>
      <c r="M8" s="122"/>
      <c r="N8" s="121"/>
      <c r="O8" s="123"/>
      <c r="P8" s="123"/>
      <c r="Q8" s="123"/>
      <c r="R8" s="123"/>
      <c r="S8" s="137" t="s">
        <v>255</v>
      </c>
      <c r="T8" s="138"/>
      <c r="U8" s="139"/>
      <c r="V8" s="127"/>
    </row>
    <row r="9" spans="2:22" ht="14.25" customHeight="1">
      <c r="B9" s="140"/>
      <c r="C9" s="129" t="s">
        <v>26</v>
      </c>
      <c r="D9" s="129" t="s">
        <v>26</v>
      </c>
      <c r="E9" s="117"/>
      <c r="F9" s="131"/>
      <c r="G9" s="132"/>
      <c r="H9" s="136"/>
      <c r="I9" s="121"/>
      <c r="J9" s="122"/>
      <c r="K9" s="122"/>
      <c r="L9" s="122"/>
      <c r="M9" s="122"/>
      <c r="N9" s="121"/>
      <c r="O9" s="123"/>
      <c r="P9" s="123"/>
      <c r="Q9" s="123"/>
      <c r="R9" s="123"/>
      <c r="S9" s="133"/>
      <c r="T9" s="138"/>
      <c r="U9" s="139"/>
      <c r="V9" s="135"/>
    </row>
    <row r="10" spans="2:22" ht="14.25" customHeight="1">
      <c r="B10" s="115"/>
      <c r="C10" s="129">
        <f>SUM(J7:J25)</f>
        <v>38723000</v>
      </c>
      <c r="D10" s="129">
        <f>SUM(O7:O25)</f>
        <v>38723000</v>
      </c>
      <c r="E10" s="117"/>
      <c r="F10" s="131">
        <f>+F7+1</f>
        <v>2</v>
      </c>
      <c r="G10" s="132"/>
      <c r="H10" s="136" t="s">
        <v>256</v>
      </c>
      <c r="I10" s="121">
        <v>281362000</v>
      </c>
      <c r="J10" s="122">
        <v>0</v>
      </c>
      <c r="K10" s="122">
        <v>0</v>
      </c>
      <c r="L10" s="122">
        <v>0</v>
      </c>
      <c r="M10" s="122">
        <f>+I10-SUM(J10:L10)</f>
        <v>281362000</v>
      </c>
      <c r="N10" s="121">
        <v>191892160</v>
      </c>
      <c r="O10" s="123">
        <v>0</v>
      </c>
      <c r="P10" s="123">
        <v>0</v>
      </c>
      <c r="Q10" s="123">
        <v>0</v>
      </c>
      <c r="R10" s="123">
        <f>+N10-SUM(O10:Q10)</f>
        <v>191892160</v>
      </c>
      <c r="S10" s="138" t="s">
        <v>257</v>
      </c>
      <c r="T10" s="125"/>
      <c r="U10" s="126"/>
      <c r="V10" s="135"/>
    </row>
    <row r="11" spans="2:22" ht="14.25" customHeight="1">
      <c r="B11" s="140"/>
      <c r="C11" s="129" t="s">
        <v>18</v>
      </c>
      <c r="D11" s="129" t="s">
        <v>18</v>
      </c>
      <c r="E11" s="117"/>
      <c r="F11" s="131"/>
      <c r="G11" s="132"/>
      <c r="H11" s="136"/>
      <c r="I11" s="121"/>
      <c r="J11" s="122"/>
      <c r="K11" s="122"/>
      <c r="L11" s="122"/>
      <c r="M11" s="122"/>
      <c r="N11" s="121"/>
      <c r="O11" s="123"/>
      <c r="P11" s="123"/>
      <c r="Q11" s="123"/>
      <c r="R11" s="123"/>
      <c r="S11" s="137" t="s">
        <v>258</v>
      </c>
      <c r="T11" s="125"/>
      <c r="U11" s="126"/>
      <c r="V11" s="127"/>
    </row>
    <row r="12" spans="2:22" ht="14.25" customHeight="1">
      <c r="B12" s="140"/>
      <c r="C12" s="129">
        <f>C7-C10</f>
        <v>7049165000</v>
      </c>
      <c r="D12" s="129">
        <f>D7-D10</f>
        <v>6910222728</v>
      </c>
      <c r="E12" s="117"/>
      <c r="F12" s="131"/>
      <c r="G12" s="119"/>
      <c r="H12" s="120"/>
      <c r="I12" s="121"/>
      <c r="J12" s="122"/>
      <c r="K12" s="122"/>
      <c r="L12" s="122"/>
      <c r="M12" s="122"/>
      <c r="N12" s="121"/>
      <c r="O12" s="123"/>
      <c r="P12" s="123"/>
      <c r="Q12" s="123"/>
      <c r="R12" s="123"/>
      <c r="S12" s="141"/>
      <c r="T12" s="134"/>
      <c r="U12" s="126"/>
      <c r="V12" s="127"/>
    </row>
    <row r="13" spans="2:22" ht="14.25" customHeight="1">
      <c r="B13" s="140"/>
      <c r="C13" s="129"/>
      <c r="D13" s="129"/>
      <c r="E13" s="117"/>
      <c r="F13" s="131">
        <f>+F10+1</f>
        <v>3</v>
      </c>
      <c r="G13" s="119"/>
      <c r="H13" s="120" t="s">
        <v>259</v>
      </c>
      <c r="I13" s="121">
        <v>13042000</v>
      </c>
      <c r="J13" s="122">
        <v>0</v>
      </c>
      <c r="K13" s="122">
        <v>0</v>
      </c>
      <c r="L13" s="122">
        <v>0</v>
      </c>
      <c r="M13" s="122">
        <f>+I13-SUM(J13:L13)</f>
        <v>13042000</v>
      </c>
      <c r="N13" s="121">
        <v>4045879</v>
      </c>
      <c r="O13" s="123">
        <v>0</v>
      </c>
      <c r="P13" s="123">
        <v>0</v>
      </c>
      <c r="Q13" s="123">
        <v>0</v>
      </c>
      <c r="R13" s="123">
        <f>+N13-SUM(O13:Q13)</f>
        <v>4045879</v>
      </c>
      <c r="S13" s="141" t="s">
        <v>260</v>
      </c>
      <c r="T13" s="134" t="s">
        <v>261</v>
      </c>
      <c r="U13" s="126" t="s">
        <v>262</v>
      </c>
      <c r="V13" s="127"/>
    </row>
    <row r="14" spans="2:22" ht="14.25" customHeight="1">
      <c r="B14" s="140"/>
      <c r="C14" s="129"/>
      <c r="D14" s="129"/>
      <c r="E14" s="117"/>
      <c r="F14" s="131"/>
      <c r="G14" s="119"/>
      <c r="H14" s="120"/>
      <c r="I14" s="121"/>
      <c r="J14" s="122"/>
      <c r="K14" s="122"/>
      <c r="L14" s="122"/>
      <c r="M14" s="122"/>
      <c r="N14" s="121"/>
      <c r="O14" s="123"/>
      <c r="P14" s="123"/>
      <c r="Q14" s="123"/>
      <c r="R14" s="123"/>
      <c r="S14" s="141"/>
      <c r="T14" s="134"/>
      <c r="U14" s="126"/>
      <c r="V14" s="127"/>
    </row>
    <row r="15" spans="2:22" ht="14.25" customHeight="1">
      <c r="B15" s="140"/>
      <c r="C15" s="129"/>
      <c r="D15" s="129"/>
      <c r="E15" s="117"/>
      <c r="F15" s="131">
        <f>+F13+1</f>
        <v>4</v>
      </c>
      <c r="G15" s="119"/>
      <c r="H15" s="142" t="s">
        <v>263</v>
      </c>
      <c r="I15" s="143">
        <v>2625000</v>
      </c>
      <c r="J15" s="122"/>
      <c r="K15" s="122"/>
      <c r="L15" s="122"/>
      <c r="M15" s="122">
        <f>+I15-SUM(J15:L15)</f>
        <v>2625000</v>
      </c>
      <c r="N15" s="121">
        <v>2625000</v>
      </c>
      <c r="O15" s="123">
        <v>0</v>
      </c>
      <c r="P15" s="123">
        <v>0</v>
      </c>
      <c r="Q15" s="123">
        <v>0</v>
      </c>
      <c r="R15" s="123">
        <f>+N15-SUM(O15:Q15)</f>
        <v>2625000</v>
      </c>
      <c r="S15" s="138" t="s">
        <v>257</v>
      </c>
      <c r="T15" s="134"/>
      <c r="U15" s="126"/>
      <c r="V15" s="127"/>
    </row>
    <row r="16" spans="2:22" ht="14.25" customHeight="1">
      <c r="B16" s="140"/>
      <c r="C16" s="129"/>
      <c r="D16" s="129"/>
      <c r="E16" s="117"/>
      <c r="F16" s="131"/>
      <c r="G16" s="119"/>
      <c r="H16" s="144" t="s">
        <v>264</v>
      </c>
      <c r="I16" s="121"/>
      <c r="J16" s="122"/>
      <c r="K16" s="122"/>
      <c r="L16" s="122"/>
      <c r="M16" s="122"/>
      <c r="N16" s="121"/>
      <c r="O16" s="123"/>
      <c r="P16" s="123"/>
      <c r="Q16" s="123"/>
      <c r="R16" s="123"/>
      <c r="S16" s="145" t="s">
        <v>265</v>
      </c>
      <c r="T16" s="134"/>
      <c r="U16" s="126"/>
      <c r="V16" s="127"/>
    </row>
    <row r="17" spans="2:22" ht="14.25" customHeight="1">
      <c r="B17" s="140"/>
      <c r="C17" s="129"/>
      <c r="D17" s="129"/>
      <c r="E17" s="117"/>
      <c r="F17" s="131"/>
      <c r="G17" s="119"/>
      <c r="H17" s="120"/>
      <c r="I17" s="121"/>
      <c r="J17" s="122"/>
      <c r="K17" s="122"/>
      <c r="L17" s="122"/>
      <c r="M17" s="122"/>
      <c r="N17" s="121"/>
      <c r="O17" s="123"/>
      <c r="P17" s="123"/>
      <c r="Q17" s="123"/>
      <c r="R17" s="123"/>
      <c r="S17" s="145" t="s">
        <v>266</v>
      </c>
      <c r="T17" s="134"/>
      <c r="U17" s="126"/>
      <c r="V17" s="127"/>
    </row>
    <row r="18" spans="2:22" ht="14.25" customHeight="1">
      <c r="B18" s="140"/>
      <c r="C18" s="129"/>
      <c r="D18" s="129"/>
      <c r="E18" s="117"/>
      <c r="F18" s="131"/>
      <c r="G18" s="119"/>
      <c r="H18" s="120"/>
      <c r="I18" s="121"/>
      <c r="J18" s="122"/>
      <c r="K18" s="122"/>
      <c r="L18" s="122"/>
      <c r="M18" s="122"/>
      <c r="N18" s="121"/>
      <c r="O18" s="123"/>
      <c r="P18" s="123"/>
      <c r="Q18" s="123"/>
      <c r="R18" s="123"/>
      <c r="S18" s="145" t="s">
        <v>267</v>
      </c>
      <c r="T18" s="134"/>
      <c r="U18" s="126"/>
      <c r="V18" s="127"/>
    </row>
    <row r="19" spans="2:22" ht="14.25" customHeight="1">
      <c r="B19" s="140"/>
      <c r="C19" s="129"/>
      <c r="D19" s="129"/>
      <c r="E19" s="117"/>
      <c r="F19" s="131"/>
      <c r="G19" s="119"/>
      <c r="H19" s="120"/>
      <c r="I19" s="121"/>
      <c r="J19" s="122"/>
      <c r="K19" s="122"/>
      <c r="L19" s="122"/>
      <c r="M19" s="122"/>
      <c r="N19" s="121"/>
      <c r="O19" s="123"/>
      <c r="P19" s="123"/>
      <c r="Q19" s="123"/>
      <c r="R19" s="123"/>
      <c r="S19" s="145"/>
      <c r="T19" s="134"/>
      <c r="U19" s="126"/>
      <c r="V19" s="127"/>
    </row>
    <row r="20" spans="2:22" ht="14.25" customHeight="1">
      <c r="B20" s="140"/>
      <c r="C20" s="129"/>
      <c r="D20" s="129"/>
      <c r="E20" s="117"/>
      <c r="F20" s="131">
        <f>+F15+1</f>
        <v>5</v>
      </c>
      <c r="G20" s="132"/>
      <c r="H20" s="136" t="s">
        <v>268</v>
      </c>
      <c r="I20" s="121">
        <v>1055000</v>
      </c>
      <c r="J20" s="122">
        <v>0</v>
      </c>
      <c r="K20" s="122">
        <v>0</v>
      </c>
      <c r="L20" s="122">
        <v>0</v>
      </c>
      <c r="M20" s="122">
        <f>+I20-SUM(J20:L20)</f>
        <v>1055000</v>
      </c>
      <c r="N20" s="121">
        <v>347180</v>
      </c>
      <c r="O20" s="123">
        <v>0</v>
      </c>
      <c r="P20" s="123">
        <v>0</v>
      </c>
      <c r="Q20" s="123">
        <v>0</v>
      </c>
      <c r="R20" s="123">
        <f>+N20-SUM(O20:Q20)</f>
        <v>347180</v>
      </c>
      <c r="S20" s="137" t="s">
        <v>269</v>
      </c>
      <c r="T20" s="134" t="s">
        <v>270</v>
      </c>
      <c r="U20" s="126" t="s">
        <v>270</v>
      </c>
      <c r="V20" s="127"/>
    </row>
    <row r="21" spans="2:22" ht="14.25" customHeight="1">
      <c r="B21" s="140"/>
      <c r="C21" s="129"/>
      <c r="D21" s="129"/>
      <c r="E21" s="117"/>
      <c r="F21" s="131"/>
      <c r="G21" s="132"/>
      <c r="H21" s="136"/>
      <c r="I21" s="121"/>
      <c r="J21" s="122"/>
      <c r="K21" s="122"/>
      <c r="L21" s="122"/>
      <c r="M21" s="122"/>
      <c r="N21" s="121"/>
      <c r="O21" s="123"/>
      <c r="P21" s="123"/>
      <c r="Q21" s="123"/>
      <c r="R21" s="123"/>
      <c r="S21" s="137"/>
      <c r="T21" s="134"/>
      <c r="U21" s="126"/>
      <c r="V21" s="127"/>
    </row>
    <row r="22" spans="2:22" ht="14.25" customHeight="1">
      <c r="B22" s="140"/>
      <c r="C22" s="129"/>
      <c r="D22" s="129"/>
      <c r="E22" s="117"/>
      <c r="F22" s="131">
        <f>+F20+1</f>
        <v>6</v>
      </c>
      <c r="G22" s="132"/>
      <c r="H22" s="136" t="s">
        <v>271</v>
      </c>
      <c r="I22" s="121">
        <v>-4176000</v>
      </c>
      <c r="J22" s="122">
        <v>0</v>
      </c>
      <c r="K22" s="122">
        <v>0</v>
      </c>
      <c r="L22" s="122">
        <v>0</v>
      </c>
      <c r="M22" s="122">
        <f>+I22-SUM(J22:L22)</f>
        <v>-4176000</v>
      </c>
      <c r="N22" s="121">
        <v>0</v>
      </c>
      <c r="O22" s="123"/>
      <c r="P22" s="123"/>
      <c r="Q22" s="123"/>
      <c r="R22" s="123"/>
      <c r="S22" s="138" t="s">
        <v>272</v>
      </c>
      <c r="T22" s="138"/>
      <c r="U22" s="139"/>
      <c r="V22" s="127"/>
    </row>
    <row r="23" spans="2:22" ht="14.25" customHeight="1">
      <c r="B23" s="140"/>
      <c r="C23" s="129"/>
      <c r="D23" s="129"/>
      <c r="E23" s="117"/>
      <c r="F23" s="131"/>
      <c r="G23" s="132"/>
      <c r="H23" s="136"/>
      <c r="I23" s="121"/>
      <c r="J23" s="122"/>
      <c r="K23" s="122"/>
      <c r="L23" s="122"/>
      <c r="M23" s="122"/>
      <c r="N23" s="121"/>
      <c r="O23" s="123"/>
      <c r="P23" s="123"/>
      <c r="Q23" s="123"/>
      <c r="R23" s="123"/>
      <c r="S23" s="146"/>
      <c r="T23" s="138"/>
      <c r="U23" s="139"/>
      <c r="V23" s="127"/>
    </row>
    <row r="24" spans="2:22" ht="14.25" customHeight="1">
      <c r="B24" s="140"/>
      <c r="C24" s="129"/>
      <c r="D24" s="129"/>
      <c r="E24" s="117" t="s">
        <v>273</v>
      </c>
      <c r="F24" s="131">
        <f>+F22+1</f>
        <v>7</v>
      </c>
      <c r="G24" s="132"/>
      <c r="H24" s="136" t="s">
        <v>274</v>
      </c>
      <c r="I24" s="121">
        <v>53564000</v>
      </c>
      <c r="J24" s="122">
        <v>0</v>
      </c>
      <c r="K24" s="122">
        <v>0</v>
      </c>
      <c r="L24" s="122">
        <v>0</v>
      </c>
      <c r="M24" s="122">
        <f>+I24-SUM(J24:L24)</f>
        <v>53564000</v>
      </c>
      <c r="N24" s="121">
        <v>43776631</v>
      </c>
      <c r="O24" s="123"/>
      <c r="P24" s="123"/>
      <c r="Q24" s="123"/>
      <c r="R24" s="123">
        <f>+N24-SUM(O24:Q24)</f>
        <v>43776631</v>
      </c>
      <c r="S24" s="138" t="s">
        <v>272</v>
      </c>
      <c r="T24" s="138"/>
      <c r="U24" s="139"/>
      <c r="V24" s="127"/>
    </row>
    <row r="25" spans="2:22" ht="14.25" customHeight="1" thickBot="1">
      <c r="B25" s="147"/>
      <c r="C25" s="148"/>
      <c r="D25" s="148"/>
      <c r="E25" s="149"/>
      <c r="F25" s="150"/>
      <c r="G25" s="151"/>
      <c r="H25" s="152"/>
      <c r="I25" s="153"/>
      <c r="J25" s="154"/>
      <c r="K25" s="154"/>
      <c r="L25" s="154"/>
      <c r="M25" s="154"/>
      <c r="N25" s="153"/>
      <c r="O25" s="155"/>
      <c r="P25" s="155"/>
      <c r="Q25" s="155"/>
      <c r="R25" s="123"/>
      <c r="S25" s="156"/>
      <c r="T25" s="157"/>
      <c r="U25" s="158"/>
      <c r="V25" s="127"/>
    </row>
    <row r="26" spans="2:22" ht="14.25" customHeight="1">
      <c r="B26" s="140"/>
      <c r="C26" s="159"/>
      <c r="D26" s="129"/>
      <c r="E26" s="117"/>
      <c r="F26" s="131"/>
      <c r="G26" s="132"/>
      <c r="H26" s="136"/>
      <c r="I26" s="160"/>
      <c r="J26" s="161"/>
      <c r="K26" s="161"/>
      <c r="L26" s="161"/>
      <c r="M26" s="161"/>
      <c r="N26" s="160"/>
      <c r="O26" s="162"/>
      <c r="P26" s="162"/>
      <c r="Q26" s="162"/>
      <c r="R26" s="163"/>
      <c r="S26" s="137"/>
      <c r="T26" s="125"/>
      <c r="U26" s="126"/>
      <c r="V26" s="127"/>
    </row>
    <row r="27" spans="2:22" ht="14.25" customHeight="1">
      <c r="B27" s="164" t="s">
        <v>275</v>
      </c>
      <c r="C27" s="129">
        <f>SUM(I27:I35)</f>
        <v>15181000</v>
      </c>
      <c r="D27" s="129">
        <f>SUM(N27:N35)</f>
        <v>12592861</v>
      </c>
      <c r="E27" s="117" t="s">
        <v>276</v>
      </c>
      <c r="F27" s="131">
        <v>1</v>
      </c>
      <c r="G27" s="132"/>
      <c r="H27" s="136" t="s">
        <v>277</v>
      </c>
      <c r="I27" s="160">
        <v>8311000</v>
      </c>
      <c r="J27" s="122">
        <v>0</v>
      </c>
      <c r="K27" s="122">
        <v>0</v>
      </c>
      <c r="L27" s="122">
        <v>0</v>
      </c>
      <c r="M27" s="122">
        <f>+I27-SUM(J27:L27)</f>
        <v>8311000</v>
      </c>
      <c r="N27" s="160">
        <v>7062115</v>
      </c>
      <c r="O27" s="123">
        <v>0</v>
      </c>
      <c r="P27" s="123">
        <v>0</v>
      </c>
      <c r="Q27" s="123">
        <v>0</v>
      </c>
      <c r="R27" s="123">
        <f>+N27-SUM(O27:Q27)</f>
        <v>7062115</v>
      </c>
      <c r="S27" s="141" t="s">
        <v>278</v>
      </c>
      <c r="T27" s="134" t="s">
        <v>279</v>
      </c>
      <c r="U27" s="126" t="s">
        <v>279</v>
      </c>
      <c r="V27" s="127"/>
    </row>
    <row r="28" spans="2:22" ht="14.25" customHeight="1">
      <c r="B28" s="115" t="s">
        <v>280</v>
      </c>
      <c r="C28" s="129"/>
      <c r="D28" s="116"/>
      <c r="E28" s="117" t="s">
        <v>281</v>
      </c>
      <c r="F28" s="131"/>
      <c r="G28" s="132"/>
      <c r="H28" s="136"/>
      <c r="I28" s="160"/>
      <c r="J28" s="161"/>
      <c r="K28" s="161"/>
      <c r="L28" s="161"/>
      <c r="M28" s="161"/>
      <c r="N28" s="160"/>
      <c r="O28" s="162"/>
      <c r="P28" s="162"/>
      <c r="Q28" s="162"/>
      <c r="R28" s="123"/>
      <c r="S28" s="137" t="s">
        <v>282</v>
      </c>
      <c r="T28" s="125"/>
      <c r="U28" s="126"/>
      <c r="V28" s="127"/>
    </row>
    <row r="29" spans="2:22" ht="14.25" customHeight="1">
      <c r="B29" s="140"/>
      <c r="C29" s="129" t="s">
        <v>15</v>
      </c>
      <c r="D29" s="129" t="s">
        <v>15</v>
      </c>
      <c r="E29" s="117" t="s">
        <v>283</v>
      </c>
      <c r="F29" s="131"/>
      <c r="G29" s="132"/>
      <c r="H29" s="136"/>
      <c r="I29" s="160"/>
      <c r="J29" s="161"/>
      <c r="K29" s="161"/>
      <c r="L29" s="161"/>
      <c r="M29" s="161"/>
      <c r="N29" s="160"/>
      <c r="O29" s="162"/>
      <c r="P29" s="162"/>
      <c r="Q29" s="162"/>
      <c r="R29" s="123"/>
      <c r="S29" s="137"/>
      <c r="T29" s="165"/>
      <c r="U29" s="166"/>
      <c r="V29" s="127"/>
    </row>
    <row r="30" spans="2:22" ht="14.25" customHeight="1">
      <c r="B30" s="140"/>
      <c r="C30" s="129">
        <f>SUM(L21:L34)</f>
        <v>359000</v>
      </c>
      <c r="D30" s="129">
        <f>SUM(Q22:Q33)</f>
        <v>359000</v>
      </c>
      <c r="E30" s="117"/>
      <c r="F30" s="131">
        <f>+F27+1</f>
        <v>2</v>
      </c>
      <c r="G30" s="132"/>
      <c r="H30" s="136" t="s">
        <v>284</v>
      </c>
      <c r="I30" s="160">
        <v>-24000</v>
      </c>
      <c r="J30" s="161">
        <v>0</v>
      </c>
      <c r="K30" s="161">
        <v>0</v>
      </c>
      <c r="L30" s="161">
        <v>0</v>
      </c>
      <c r="M30" s="161">
        <f>+I30-SUM(J30:L30)</f>
        <v>-24000</v>
      </c>
      <c r="N30" s="160">
        <v>0</v>
      </c>
      <c r="O30" s="162"/>
      <c r="P30" s="162"/>
      <c r="Q30" s="162"/>
      <c r="R30" s="123"/>
      <c r="S30" s="138" t="s">
        <v>285</v>
      </c>
      <c r="T30" s="165"/>
      <c r="U30" s="166"/>
      <c r="V30" s="127"/>
    </row>
    <row r="31" spans="2:22" ht="14.25" customHeight="1">
      <c r="B31" s="140"/>
      <c r="C31" s="129" t="s">
        <v>18</v>
      </c>
      <c r="D31" s="129" t="s">
        <v>18</v>
      </c>
      <c r="E31" s="117"/>
      <c r="F31" s="131"/>
      <c r="G31" s="132"/>
      <c r="H31" s="136"/>
      <c r="I31" s="160"/>
      <c r="J31" s="161"/>
      <c r="K31" s="161"/>
      <c r="L31" s="161"/>
      <c r="M31" s="161"/>
      <c r="N31" s="160"/>
      <c r="O31" s="162"/>
      <c r="P31" s="162"/>
      <c r="Q31" s="162"/>
      <c r="R31" s="123"/>
      <c r="S31" s="137"/>
      <c r="T31" s="165"/>
      <c r="U31" s="166"/>
      <c r="V31" s="127"/>
    </row>
    <row r="32" spans="2:22" ht="14.25" customHeight="1">
      <c r="B32" s="140"/>
      <c r="C32" s="129">
        <f>C27-C30</f>
        <v>14822000</v>
      </c>
      <c r="D32" s="129">
        <f>D27-D30</f>
        <v>12233861</v>
      </c>
      <c r="E32" s="117" t="s">
        <v>286</v>
      </c>
      <c r="F32" s="131">
        <f>+F30+1</f>
        <v>3</v>
      </c>
      <c r="G32" s="132"/>
      <c r="H32" s="136" t="s">
        <v>287</v>
      </c>
      <c r="I32" s="160">
        <v>5848000</v>
      </c>
      <c r="J32" s="122">
        <v>0</v>
      </c>
      <c r="K32" s="122">
        <v>0</v>
      </c>
      <c r="L32" s="122">
        <v>359000</v>
      </c>
      <c r="M32" s="122">
        <f>+I32-SUM(J32:L32)</f>
        <v>5489000</v>
      </c>
      <c r="N32" s="160">
        <v>4484746</v>
      </c>
      <c r="O32" s="123">
        <v>0</v>
      </c>
      <c r="P32" s="123">
        <v>0</v>
      </c>
      <c r="Q32" s="123">
        <f>309000+50000</f>
        <v>359000</v>
      </c>
      <c r="R32" s="123">
        <f>+N32-SUM(O32:Q32)</f>
        <v>4125746</v>
      </c>
      <c r="S32" s="141" t="s">
        <v>288</v>
      </c>
      <c r="T32" s="134" t="s">
        <v>289</v>
      </c>
      <c r="U32" s="126" t="s">
        <v>289</v>
      </c>
      <c r="V32" s="127"/>
    </row>
    <row r="33" spans="2:22" ht="14.25" customHeight="1">
      <c r="B33" s="140"/>
      <c r="C33" s="129"/>
      <c r="D33" s="129"/>
      <c r="E33" s="117" t="s">
        <v>290</v>
      </c>
      <c r="F33" s="131"/>
      <c r="G33" s="132"/>
      <c r="H33" s="136"/>
      <c r="I33" s="160"/>
      <c r="J33" s="161"/>
      <c r="K33" s="161"/>
      <c r="L33" s="161"/>
      <c r="M33" s="161"/>
      <c r="N33" s="160"/>
      <c r="O33" s="162"/>
      <c r="P33" s="162"/>
      <c r="Q33" s="162"/>
      <c r="R33" s="123"/>
      <c r="S33" s="137"/>
      <c r="T33" s="165"/>
      <c r="U33" s="166"/>
      <c r="V33" s="127"/>
    </row>
    <row r="34" spans="2:22" ht="14.25" customHeight="1">
      <c r="B34" s="140"/>
      <c r="C34" s="129"/>
      <c r="D34" s="129"/>
      <c r="E34" s="117" t="s">
        <v>291</v>
      </c>
      <c r="F34" s="131">
        <f>+F32+1</f>
        <v>4</v>
      </c>
      <c r="G34" s="132"/>
      <c r="H34" s="136" t="s">
        <v>292</v>
      </c>
      <c r="I34" s="160">
        <v>1046000</v>
      </c>
      <c r="J34" s="122">
        <v>0</v>
      </c>
      <c r="K34" s="122">
        <v>0</v>
      </c>
      <c r="L34" s="122">
        <v>0</v>
      </c>
      <c r="M34" s="122">
        <f>+I34-SUM(J34:L34)</f>
        <v>1046000</v>
      </c>
      <c r="N34" s="160">
        <v>1046000</v>
      </c>
      <c r="O34" s="123">
        <v>0</v>
      </c>
      <c r="P34" s="123">
        <v>0</v>
      </c>
      <c r="Q34" s="123">
        <v>0</v>
      </c>
      <c r="R34" s="123">
        <f>+N34-SUM(O34:Q34)</f>
        <v>1046000</v>
      </c>
      <c r="S34" s="167" t="s">
        <v>257</v>
      </c>
      <c r="T34" s="134"/>
      <c r="U34" s="126"/>
      <c r="V34" s="127"/>
    </row>
    <row r="35" spans="2:22" ht="14.25" customHeight="1" thickBot="1">
      <c r="B35" s="140"/>
      <c r="C35" s="159"/>
      <c r="D35" s="129"/>
      <c r="E35" s="117"/>
      <c r="F35" s="131"/>
      <c r="G35" s="132"/>
      <c r="H35" s="136"/>
      <c r="I35" s="160"/>
      <c r="J35" s="161"/>
      <c r="K35" s="161"/>
      <c r="L35" s="161"/>
      <c r="M35" s="161"/>
      <c r="N35" s="160"/>
      <c r="O35" s="162"/>
      <c r="P35" s="162"/>
      <c r="Q35" s="162"/>
      <c r="R35" s="123"/>
      <c r="S35" s="137"/>
      <c r="T35" s="125"/>
      <c r="U35" s="126"/>
      <c r="V35" s="127"/>
    </row>
    <row r="36" spans="2:22" ht="14.25" customHeight="1">
      <c r="B36" s="168"/>
      <c r="C36" s="169"/>
      <c r="D36" s="170"/>
      <c r="E36" s="171"/>
      <c r="F36" s="172"/>
      <c r="G36" s="173"/>
      <c r="H36" s="174"/>
      <c r="I36" s="175"/>
      <c r="J36" s="176"/>
      <c r="K36" s="176"/>
      <c r="L36" s="176"/>
      <c r="M36" s="176"/>
      <c r="N36" s="175"/>
      <c r="O36" s="177"/>
      <c r="P36" s="177"/>
      <c r="Q36" s="177"/>
      <c r="R36" s="177"/>
      <c r="S36" s="178"/>
      <c r="T36" s="179"/>
      <c r="U36" s="180"/>
      <c r="V36" s="135"/>
    </row>
    <row r="37" spans="2:22" ht="14.25" customHeight="1">
      <c r="B37" s="128" t="s">
        <v>293</v>
      </c>
      <c r="C37" s="129">
        <f>SUM(I37:I123)</f>
        <v>1160450000</v>
      </c>
      <c r="D37" s="129">
        <f>SUM(N37:N123)</f>
        <v>747569529</v>
      </c>
      <c r="E37" s="117" t="s">
        <v>294</v>
      </c>
      <c r="F37" s="131">
        <v>1</v>
      </c>
      <c r="G37" s="132"/>
      <c r="H37" s="120" t="s">
        <v>295</v>
      </c>
      <c r="I37" s="160">
        <v>70262000</v>
      </c>
      <c r="J37" s="161">
        <v>0</v>
      </c>
      <c r="K37" s="161">
        <v>0</v>
      </c>
      <c r="L37" s="161">
        <v>18636000</v>
      </c>
      <c r="M37" s="161">
        <f>+I37-SUM(J37:L37)</f>
        <v>51626000</v>
      </c>
      <c r="N37" s="160">
        <v>75019512</v>
      </c>
      <c r="O37" s="162">
        <v>0</v>
      </c>
      <c r="P37" s="162">
        <v>0</v>
      </c>
      <c r="Q37" s="162">
        <f>3922857+15073440+530000+938000</f>
        <v>20464297</v>
      </c>
      <c r="R37" s="162">
        <f>+N37-SUM(O37:Q37)</f>
        <v>54555215</v>
      </c>
      <c r="S37" s="138" t="s">
        <v>285</v>
      </c>
      <c r="T37" s="138"/>
      <c r="U37" s="139"/>
      <c r="V37" s="135"/>
    </row>
    <row r="38" spans="2:22" ht="14.25" customHeight="1">
      <c r="B38" s="128" t="s">
        <v>296</v>
      </c>
      <c r="C38" s="129"/>
      <c r="D38" s="116"/>
      <c r="E38" s="117" t="s">
        <v>297</v>
      </c>
      <c r="F38" s="131"/>
      <c r="G38" s="132"/>
      <c r="H38" s="120"/>
      <c r="I38" s="160"/>
      <c r="J38" s="161"/>
      <c r="K38" s="161"/>
      <c r="L38" s="161"/>
      <c r="M38" s="161"/>
      <c r="N38" s="160"/>
      <c r="O38" s="162"/>
      <c r="P38" s="162"/>
      <c r="Q38" s="162"/>
      <c r="R38" s="162"/>
      <c r="S38" s="181" t="s">
        <v>298</v>
      </c>
      <c r="T38" s="125"/>
      <c r="U38" s="126"/>
      <c r="V38" s="135"/>
    </row>
    <row r="39" spans="2:22" ht="14.25" customHeight="1">
      <c r="B39" s="128" t="s">
        <v>299</v>
      </c>
      <c r="C39" s="129" t="s">
        <v>26</v>
      </c>
      <c r="D39" s="129" t="s">
        <v>26</v>
      </c>
      <c r="E39" s="117" t="s">
        <v>300</v>
      </c>
      <c r="F39" s="131"/>
      <c r="G39" s="132"/>
      <c r="H39" s="120"/>
      <c r="I39" s="160"/>
      <c r="J39" s="161"/>
      <c r="K39" s="161"/>
      <c r="L39" s="161"/>
      <c r="M39" s="161"/>
      <c r="N39" s="160"/>
      <c r="O39" s="162"/>
      <c r="P39" s="162"/>
      <c r="Q39" s="162"/>
      <c r="R39" s="162"/>
      <c r="S39" s="133" t="s">
        <v>301</v>
      </c>
      <c r="T39" s="125"/>
      <c r="U39" s="126"/>
      <c r="V39" s="135"/>
    </row>
    <row r="40" spans="2:22" ht="14.25" customHeight="1">
      <c r="B40" s="140"/>
      <c r="C40" s="129">
        <f>SUM(J37:J123)</f>
        <v>484377000</v>
      </c>
      <c r="D40" s="129">
        <f>SUM(O37:O123)</f>
        <v>94113256</v>
      </c>
      <c r="E40" s="117"/>
      <c r="F40" s="131"/>
      <c r="G40" s="132"/>
      <c r="H40" s="120"/>
      <c r="I40" s="160"/>
      <c r="J40" s="161"/>
      <c r="K40" s="161"/>
      <c r="L40" s="161"/>
      <c r="M40" s="161"/>
      <c r="N40" s="160"/>
      <c r="O40" s="162"/>
      <c r="P40" s="162"/>
      <c r="Q40" s="162"/>
      <c r="R40" s="162"/>
      <c r="S40" s="133" t="s">
        <v>302</v>
      </c>
      <c r="T40" s="125"/>
      <c r="U40" s="126"/>
      <c r="V40" s="127"/>
    </row>
    <row r="41" spans="2:22" ht="14.25" customHeight="1">
      <c r="B41" s="140"/>
      <c r="C41" s="129" t="s">
        <v>15</v>
      </c>
      <c r="D41" s="129" t="s">
        <v>15</v>
      </c>
      <c r="E41" s="117"/>
      <c r="F41" s="131"/>
      <c r="G41" s="132"/>
      <c r="H41" s="120"/>
      <c r="I41" s="160"/>
      <c r="J41" s="161"/>
      <c r="K41" s="161"/>
      <c r="L41" s="161"/>
      <c r="M41" s="161"/>
      <c r="N41" s="160"/>
      <c r="O41" s="162"/>
      <c r="P41" s="162"/>
      <c r="Q41" s="162"/>
      <c r="R41" s="162"/>
      <c r="S41" s="181" t="s">
        <v>303</v>
      </c>
      <c r="T41" s="125"/>
      <c r="U41" s="126"/>
      <c r="V41" s="182"/>
    </row>
    <row r="42" spans="2:22" ht="14.25" customHeight="1">
      <c r="B42" s="140"/>
      <c r="C42" s="129">
        <f>SUM(L34:L122)</f>
        <v>129678000</v>
      </c>
      <c r="D42" s="129">
        <f>SUM(Q35:Q121)</f>
        <v>137381498</v>
      </c>
      <c r="E42" s="117"/>
      <c r="F42" s="131"/>
      <c r="G42" s="132"/>
      <c r="H42" s="120"/>
      <c r="I42" s="160"/>
      <c r="J42" s="161"/>
      <c r="K42" s="161"/>
      <c r="L42" s="161"/>
      <c r="M42" s="161"/>
      <c r="N42" s="160"/>
      <c r="O42" s="162"/>
      <c r="P42" s="162"/>
      <c r="Q42" s="162"/>
      <c r="R42" s="162"/>
      <c r="S42" s="181" t="s">
        <v>304</v>
      </c>
      <c r="T42" s="125"/>
      <c r="U42" s="126"/>
      <c r="V42" s="182"/>
    </row>
    <row r="43" spans="2:22" ht="14.25" customHeight="1">
      <c r="B43" s="140"/>
      <c r="C43" s="129" t="s">
        <v>18</v>
      </c>
      <c r="D43" s="129" t="s">
        <v>18</v>
      </c>
      <c r="E43" s="117"/>
      <c r="F43" s="131"/>
      <c r="G43" s="132"/>
      <c r="H43" s="120"/>
      <c r="I43" s="160"/>
      <c r="J43" s="161"/>
      <c r="K43" s="161"/>
      <c r="L43" s="161"/>
      <c r="M43" s="161"/>
      <c r="N43" s="160"/>
      <c r="O43" s="162"/>
      <c r="P43" s="162"/>
      <c r="Q43" s="162"/>
      <c r="R43" s="162"/>
      <c r="S43" s="133"/>
      <c r="T43" s="125"/>
      <c r="U43" s="126"/>
      <c r="V43" s="182"/>
    </row>
    <row r="44" spans="2:22" ht="14.25" customHeight="1">
      <c r="B44" s="140"/>
      <c r="C44" s="129">
        <f>C37-C40-C42</f>
        <v>546395000</v>
      </c>
      <c r="D44" s="129">
        <f>D37-D40-D42</f>
        <v>516074775</v>
      </c>
      <c r="E44" s="117"/>
      <c r="F44" s="131">
        <f>+F37+1</f>
        <v>2</v>
      </c>
      <c r="G44" s="132"/>
      <c r="H44" s="120" t="s">
        <v>305</v>
      </c>
      <c r="I44" s="160">
        <v>204412000</v>
      </c>
      <c r="J44" s="161">
        <v>84301000</v>
      </c>
      <c r="K44" s="161">
        <v>0</v>
      </c>
      <c r="L44" s="161">
        <v>85955000</v>
      </c>
      <c r="M44" s="161">
        <f>+I44-SUM(J44:L44)</f>
        <v>34156000</v>
      </c>
      <c r="N44" s="160">
        <v>191149712</v>
      </c>
      <c r="O44" s="162">
        <f>60205000+520000+9299000+672000+255000</f>
        <v>70951000</v>
      </c>
      <c r="P44" s="162">
        <v>0</v>
      </c>
      <c r="Q44" s="162">
        <f>5027000+79446310+3244000+1699000</f>
        <v>89416310</v>
      </c>
      <c r="R44" s="162">
        <f>+N44-SUM(O44:Q44)</f>
        <v>30782402</v>
      </c>
      <c r="S44" s="133" t="s">
        <v>306</v>
      </c>
      <c r="T44" s="125" t="s">
        <v>307</v>
      </c>
      <c r="U44" s="126" t="s">
        <v>308</v>
      </c>
      <c r="V44" s="127"/>
    </row>
    <row r="45" spans="2:22" ht="14.25" customHeight="1">
      <c r="B45" s="140"/>
      <c r="C45" s="129"/>
      <c r="D45" s="129"/>
      <c r="E45" s="183"/>
      <c r="F45" s="131"/>
      <c r="G45" s="132"/>
      <c r="H45" s="120"/>
      <c r="I45" s="121"/>
      <c r="J45" s="122"/>
      <c r="K45" s="122"/>
      <c r="L45" s="122"/>
      <c r="M45" s="122"/>
      <c r="N45" s="121"/>
      <c r="O45" s="123"/>
      <c r="P45" s="123"/>
      <c r="Q45" s="123"/>
      <c r="R45" s="123"/>
      <c r="S45" s="133" t="s">
        <v>309</v>
      </c>
      <c r="T45" s="184"/>
      <c r="U45" s="139"/>
      <c r="V45" s="127"/>
    </row>
    <row r="46" spans="2:22" ht="14.25" customHeight="1">
      <c r="B46" s="140"/>
      <c r="C46" s="129"/>
      <c r="D46" s="129"/>
      <c r="E46" s="183"/>
      <c r="F46" s="131"/>
      <c r="G46" s="132"/>
      <c r="H46" s="120"/>
      <c r="I46" s="121"/>
      <c r="J46" s="122"/>
      <c r="K46" s="122"/>
      <c r="L46" s="122"/>
      <c r="M46" s="122"/>
      <c r="N46" s="121"/>
      <c r="O46" s="123"/>
      <c r="P46" s="123"/>
      <c r="Q46" s="123"/>
      <c r="R46" s="123"/>
      <c r="S46" s="133" t="s">
        <v>310</v>
      </c>
      <c r="T46" s="184"/>
      <c r="U46" s="139"/>
      <c r="V46" s="127"/>
    </row>
    <row r="47" spans="2:22" ht="14.25" customHeight="1">
      <c r="B47" s="140"/>
      <c r="C47" s="185"/>
      <c r="D47" s="186"/>
      <c r="E47" s="183"/>
      <c r="F47" s="131"/>
      <c r="G47" s="119"/>
      <c r="H47" s="120"/>
      <c r="I47" s="121"/>
      <c r="J47" s="122"/>
      <c r="K47" s="122"/>
      <c r="L47" s="122"/>
      <c r="M47" s="122"/>
      <c r="N47" s="121"/>
      <c r="O47" s="123"/>
      <c r="P47" s="123"/>
      <c r="Q47" s="187"/>
      <c r="R47" s="123"/>
      <c r="S47" s="137"/>
      <c r="T47" s="125"/>
      <c r="U47" s="126"/>
      <c r="V47" s="127"/>
    </row>
    <row r="48" spans="2:22" ht="14.25" customHeight="1">
      <c r="B48" s="140"/>
      <c r="C48" s="185"/>
      <c r="D48" s="186"/>
      <c r="E48" s="183"/>
      <c r="F48" s="131">
        <f>+F44+1</f>
        <v>3</v>
      </c>
      <c r="G48" s="119"/>
      <c r="H48" s="120" t="s">
        <v>311</v>
      </c>
      <c r="I48" s="121">
        <v>55963000</v>
      </c>
      <c r="J48" s="122">
        <v>0</v>
      </c>
      <c r="K48" s="122">
        <v>0</v>
      </c>
      <c r="L48" s="122">
        <v>291000</v>
      </c>
      <c r="M48" s="122">
        <f>+I48-SUM(J48:L48)</f>
        <v>55672000</v>
      </c>
      <c r="N48" s="121">
        <v>49517966</v>
      </c>
      <c r="O48" s="123">
        <v>0</v>
      </c>
      <c r="P48" s="123">
        <v>0</v>
      </c>
      <c r="Q48" s="123">
        <v>291000</v>
      </c>
      <c r="R48" s="123">
        <f>+N48-SUM(O48:Q48)</f>
        <v>49226966</v>
      </c>
      <c r="S48" s="138" t="s">
        <v>272</v>
      </c>
      <c r="T48" s="125"/>
      <c r="U48" s="126"/>
      <c r="V48" s="127"/>
    </row>
    <row r="49" spans="2:22" ht="14.25" customHeight="1">
      <c r="B49" s="140"/>
      <c r="C49" s="185"/>
      <c r="D49" s="186"/>
      <c r="E49" s="183"/>
      <c r="F49" s="131"/>
      <c r="G49" s="132"/>
      <c r="H49" s="120"/>
      <c r="I49" s="121"/>
      <c r="J49" s="122"/>
      <c r="K49" s="122"/>
      <c r="L49" s="122"/>
      <c r="M49" s="122"/>
      <c r="N49" s="121"/>
      <c r="O49" s="123"/>
      <c r="P49" s="123"/>
      <c r="Q49" s="123"/>
      <c r="R49" s="123"/>
      <c r="S49" s="181" t="s">
        <v>312</v>
      </c>
      <c r="T49" s="125"/>
      <c r="U49" s="126"/>
      <c r="V49" s="127"/>
    </row>
    <row r="50" spans="2:22" ht="14.25" customHeight="1">
      <c r="B50" s="140"/>
      <c r="C50" s="185"/>
      <c r="D50" s="186"/>
      <c r="E50" s="183"/>
      <c r="F50" s="131"/>
      <c r="G50" s="132"/>
      <c r="H50" s="120"/>
      <c r="I50" s="121"/>
      <c r="J50" s="122"/>
      <c r="K50" s="122"/>
      <c r="L50" s="122"/>
      <c r="M50" s="122"/>
      <c r="N50" s="121"/>
      <c r="O50" s="123"/>
      <c r="P50" s="123"/>
      <c r="Q50" s="123"/>
      <c r="R50" s="123"/>
      <c r="S50" s="181" t="s">
        <v>313</v>
      </c>
      <c r="T50" s="125"/>
      <c r="U50" s="126"/>
      <c r="V50" s="127"/>
    </row>
    <row r="51" spans="2:22" ht="14.25" customHeight="1">
      <c r="B51" s="140"/>
      <c r="C51" s="185"/>
      <c r="D51" s="186"/>
      <c r="E51" s="117"/>
      <c r="F51" s="131"/>
      <c r="G51" s="132"/>
      <c r="H51" s="120"/>
      <c r="I51" s="121"/>
      <c r="J51" s="122"/>
      <c r="K51" s="122"/>
      <c r="L51" s="122"/>
      <c r="M51" s="122"/>
      <c r="N51" s="121"/>
      <c r="O51" s="123"/>
      <c r="P51" s="123"/>
      <c r="Q51" s="123"/>
      <c r="R51" s="123"/>
      <c r="S51" s="133"/>
      <c r="T51" s="125"/>
      <c r="U51" s="126"/>
      <c r="V51" s="182"/>
    </row>
    <row r="52" spans="2:22" ht="14.25" customHeight="1">
      <c r="B52" s="140"/>
      <c r="C52" s="185"/>
      <c r="D52" s="186"/>
      <c r="E52" s="117"/>
      <c r="F52" s="131"/>
      <c r="G52" s="132"/>
      <c r="H52" s="120"/>
      <c r="I52" s="121"/>
      <c r="J52" s="122"/>
      <c r="K52" s="122"/>
      <c r="L52" s="122"/>
      <c r="M52" s="122"/>
      <c r="N52" s="121"/>
      <c r="O52" s="123"/>
      <c r="P52" s="123"/>
      <c r="Q52" s="123"/>
      <c r="R52" s="123"/>
      <c r="S52" s="133"/>
      <c r="T52" s="125"/>
      <c r="U52" s="126"/>
      <c r="V52" s="182"/>
    </row>
    <row r="53" spans="2:22" ht="14.25" customHeight="1" thickBot="1">
      <c r="B53" s="147"/>
      <c r="C53" s="188"/>
      <c r="D53" s="189"/>
      <c r="E53" s="190"/>
      <c r="F53" s="150"/>
      <c r="G53" s="151"/>
      <c r="H53" s="191"/>
      <c r="I53" s="192"/>
      <c r="J53" s="193"/>
      <c r="K53" s="193"/>
      <c r="L53" s="193"/>
      <c r="M53" s="193"/>
      <c r="N53" s="192"/>
      <c r="O53" s="194"/>
      <c r="P53" s="194"/>
      <c r="Q53" s="194"/>
      <c r="R53" s="194"/>
      <c r="S53" s="195"/>
      <c r="T53" s="157"/>
      <c r="U53" s="158"/>
      <c r="V53" s="182"/>
    </row>
    <row r="54" spans="2:22" ht="14.25" customHeight="1">
      <c r="B54" s="140"/>
      <c r="C54" s="185"/>
      <c r="D54" s="186"/>
      <c r="E54" s="117"/>
      <c r="F54" s="131">
        <f>+F48+1</f>
        <v>4</v>
      </c>
      <c r="G54" s="132"/>
      <c r="H54" s="120" t="s">
        <v>314</v>
      </c>
      <c r="I54" s="121">
        <v>58816000</v>
      </c>
      <c r="J54" s="122">
        <v>4413000</v>
      </c>
      <c r="K54" s="122">
        <v>0</v>
      </c>
      <c r="L54" s="122">
        <v>0</v>
      </c>
      <c r="M54" s="122">
        <f>+I54-SUM(J54:L54)</f>
        <v>54403000</v>
      </c>
      <c r="N54" s="121">
        <v>52780493</v>
      </c>
      <c r="O54" s="123">
        <v>4413000</v>
      </c>
      <c r="P54" s="123">
        <v>0</v>
      </c>
      <c r="Q54" s="123">
        <v>0</v>
      </c>
      <c r="R54" s="123">
        <f>+N54-SUM(O54:Q54)</f>
        <v>48367493</v>
      </c>
      <c r="S54" s="133" t="s">
        <v>315</v>
      </c>
      <c r="T54" s="125" t="s">
        <v>316</v>
      </c>
      <c r="U54" s="126" t="s">
        <v>317</v>
      </c>
      <c r="V54" s="182"/>
    </row>
    <row r="55" spans="2:22" ht="14.25" customHeight="1">
      <c r="B55" s="140"/>
      <c r="C55" s="185"/>
      <c r="D55" s="186"/>
      <c r="E55" s="117"/>
      <c r="F55" s="131"/>
      <c r="G55" s="132"/>
      <c r="H55" s="120"/>
      <c r="I55" s="121"/>
      <c r="J55" s="122"/>
      <c r="K55" s="122"/>
      <c r="L55" s="122"/>
      <c r="M55" s="122"/>
      <c r="N55" s="121"/>
      <c r="O55" s="123"/>
      <c r="P55" s="123"/>
      <c r="Q55" s="123"/>
      <c r="R55" s="123"/>
      <c r="S55" s="133" t="s">
        <v>318</v>
      </c>
      <c r="T55" s="125" t="s">
        <v>319</v>
      </c>
      <c r="U55" s="126" t="s">
        <v>320</v>
      </c>
      <c r="V55" s="182"/>
    </row>
    <row r="56" spans="2:22" ht="14.25" customHeight="1">
      <c r="B56" s="140"/>
      <c r="C56" s="185"/>
      <c r="D56" s="186"/>
      <c r="E56" s="117"/>
      <c r="F56" s="131"/>
      <c r="G56" s="132"/>
      <c r="H56" s="120"/>
      <c r="I56" s="121"/>
      <c r="J56" s="122"/>
      <c r="K56" s="122"/>
      <c r="L56" s="122"/>
      <c r="M56" s="122"/>
      <c r="N56" s="121"/>
      <c r="O56" s="123"/>
      <c r="P56" s="123"/>
      <c r="Q56" s="123"/>
      <c r="R56" s="123"/>
      <c r="S56" s="133" t="s">
        <v>321</v>
      </c>
      <c r="T56" s="125"/>
      <c r="U56" s="126"/>
      <c r="V56" s="182"/>
    </row>
    <row r="57" spans="2:22" ht="14.25" customHeight="1">
      <c r="B57" s="140"/>
      <c r="C57" s="185"/>
      <c r="D57" s="186"/>
      <c r="E57" s="117"/>
      <c r="F57" s="131"/>
      <c r="G57" s="132"/>
      <c r="H57" s="120"/>
      <c r="I57" s="121"/>
      <c r="J57" s="122"/>
      <c r="K57" s="122"/>
      <c r="L57" s="122"/>
      <c r="M57" s="122"/>
      <c r="N57" s="121"/>
      <c r="O57" s="123"/>
      <c r="P57" s="123"/>
      <c r="Q57" s="123"/>
      <c r="R57" s="123"/>
      <c r="S57" s="133" t="s">
        <v>322</v>
      </c>
      <c r="T57" s="125"/>
      <c r="U57" s="126"/>
      <c r="V57" s="182"/>
    </row>
    <row r="58" spans="2:22" ht="14.25" customHeight="1">
      <c r="B58" s="140"/>
      <c r="C58" s="185"/>
      <c r="D58" s="186"/>
      <c r="E58" s="117"/>
      <c r="F58" s="131"/>
      <c r="G58" s="132"/>
      <c r="H58" s="120"/>
      <c r="I58" s="121"/>
      <c r="J58" s="122"/>
      <c r="K58" s="122"/>
      <c r="L58" s="122"/>
      <c r="M58" s="122"/>
      <c r="N58" s="121"/>
      <c r="O58" s="123"/>
      <c r="P58" s="123"/>
      <c r="Q58" s="123"/>
      <c r="R58" s="123"/>
      <c r="S58" s="133"/>
      <c r="T58" s="125"/>
      <c r="U58" s="126"/>
      <c r="V58" s="182"/>
    </row>
    <row r="59" spans="2:22" ht="14.25" customHeight="1">
      <c r="B59" s="140"/>
      <c r="C59" s="185"/>
      <c r="D59" s="186"/>
      <c r="E59" s="117"/>
      <c r="F59" s="131">
        <f>+F54+1</f>
        <v>5</v>
      </c>
      <c r="G59" s="132"/>
      <c r="H59" s="120" t="s">
        <v>323</v>
      </c>
      <c r="I59" s="121">
        <v>2681000</v>
      </c>
      <c r="J59" s="122">
        <v>0</v>
      </c>
      <c r="K59" s="122">
        <v>0</v>
      </c>
      <c r="L59" s="122">
        <v>1999000</v>
      </c>
      <c r="M59" s="122">
        <f>+I59-SUM(J59:L59)</f>
        <v>682000</v>
      </c>
      <c r="N59" s="121">
        <v>1488597</v>
      </c>
      <c r="O59" s="123">
        <v>0</v>
      </c>
      <c r="P59" s="123">
        <v>0</v>
      </c>
      <c r="Q59" s="123">
        <v>1104050</v>
      </c>
      <c r="R59" s="123">
        <f>+N59-SUM(O59:Q59)</f>
        <v>384547</v>
      </c>
      <c r="S59" s="137" t="s">
        <v>324</v>
      </c>
      <c r="T59" s="125" t="s">
        <v>325</v>
      </c>
      <c r="U59" s="126" t="s">
        <v>326</v>
      </c>
      <c r="V59" s="182"/>
    </row>
    <row r="60" spans="2:22" ht="14.25" customHeight="1">
      <c r="B60" s="140"/>
      <c r="C60" s="185"/>
      <c r="D60" s="186"/>
      <c r="E60" s="117"/>
      <c r="F60" s="131"/>
      <c r="G60" s="132"/>
      <c r="H60" s="120"/>
      <c r="I60" s="121"/>
      <c r="J60" s="122"/>
      <c r="K60" s="122"/>
      <c r="L60" s="122"/>
      <c r="M60" s="122"/>
      <c r="N60" s="121"/>
      <c r="O60" s="123"/>
      <c r="P60" s="123"/>
      <c r="Q60" s="123"/>
      <c r="R60" s="123"/>
      <c r="S60" s="137"/>
      <c r="T60" s="125"/>
      <c r="U60" s="126"/>
      <c r="V60" s="182"/>
    </row>
    <row r="61" spans="2:22" ht="14.25" customHeight="1">
      <c r="B61" s="140"/>
      <c r="C61" s="185"/>
      <c r="D61" s="186"/>
      <c r="E61" s="117"/>
      <c r="F61" s="131">
        <f>+F59+1</f>
        <v>6</v>
      </c>
      <c r="G61" s="132"/>
      <c r="H61" s="120" t="s">
        <v>327</v>
      </c>
      <c r="I61" s="121">
        <v>25968000</v>
      </c>
      <c r="J61" s="122">
        <v>0</v>
      </c>
      <c r="K61" s="122">
        <v>0</v>
      </c>
      <c r="L61" s="122">
        <v>0</v>
      </c>
      <c r="M61" s="122">
        <f>+I61-SUM(J61:L61)</f>
        <v>25968000</v>
      </c>
      <c r="N61" s="121">
        <v>23929279</v>
      </c>
      <c r="O61" s="123">
        <v>0</v>
      </c>
      <c r="P61" s="123">
        <v>0</v>
      </c>
      <c r="Q61" s="123">
        <v>0</v>
      </c>
      <c r="R61" s="123">
        <f>+N61-SUM(O61:Q61)</f>
        <v>23929279</v>
      </c>
      <c r="S61" s="137" t="s">
        <v>328</v>
      </c>
      <c r="T61" s="125" t="s">
        <v>329</v>
      </c>
      <c r="U61" s="126" t="s">
        <v>330</v>
      </c>
      <c r="V61" s="182"/>
    </row>
    <row r="62" spans="2:22" ht="14.25" customHeight="1">
      <c r="B62" s="140"/>
      <c r="C62" s="185"/>
      <c r="D62" s="186"/>
      <c r="E62" s="117"/>
      <c r="F62" s="131"/>
      <c r="G62" s="132"/>
      <c r="H62" s="120"/>
      <c r="I62" s="121"/>
      <c r="J62" s="122"/>
      <c r="K62" s="122"/>
      <c r="L62" s="122"/>
      <c r="M62" s="122"/>
      <c r="N62" s="121"/>
      <c r="O62" s="123"/>
      <c r="P62" s="123"/>
      <c r="Q62" s="123"/>
      <c r="R62" s="123"/>
      <c r="S62" s="137" t="s">
        <v>331</v>
      </c>
      <c r="T62" s="125"/>
      <c r="U62" s="126"/>
      <c r="V62" s="182"/>
    </row>
    <row r="63" spans="2:22" ht="14.25" customHeight="1">
      <c r="B63" s="140"/>
      <c r="C63" s="185"/>
      <c r="D63" s="186"/>
      <c r="E63" s="117"/>
      <c r="F63" s="131"/>
      <c r="G63" s="132"/>
      <c r="H63" s="120"/>
      <c r="I63" s="121"/>
      <c r="J63" s="122"/>
      <c r="K63" s="122"/>
      <c r="L63" s="122"/>
      <c r="M63" s="122"/>
      <c r="N63" s="121"/>
      <c r="O63" s="123"/>
      <c r="P63" s="123"/>
      <c r="Q63" s="123"/>
      <c r="R63" s="123"/>
      <c r="S63" s="137" t="s">
        <v>332</v>
      </c>
      <c r="T63" s="125"/>
      <c r="U63" s="126"/>
      <c r="V63" s="182"/>
    </row>
    <row r="64" spans="2:22" ht="14.25" customHeight="1">
      <c r="B64" s="140"/>
      <c r="C64" s="185"/>
      <c r="D64" s="186"/>
      <c r="E64" s="117"/>
      <c r="F64" s="131"/>
      <c r="G64" s="132"/>
      <c r="H64" s="120"/>
      <c r="I64" s="121"/>
      <c r="J64" s="122"/>
      <c r="K64" s="122"/>
      <c r="L64" s="122"/>
      <c r="M64" s="122"/>
      <c r="N64" s="121"/>
      <c r="O64" s="123"/>
      <c r="P64" s="123"/>
      <c r="Q64" s="123"/>
      <c r="R64" s="123"/>
      <c r="S64" s="137"/>
      <c r="T64" s="125"/>
      <c r="U64" s="126"/>
      <c r="V64" s="182"/>
    </row>
    <row r="65" spans="2:22" ht="14.25" customHeight="1">
      <c r="B65" s="140"/>
      <c r="C65" s="185"/>
      <c r="D65" s="186"/>
      <c r="E65" s="117"/>
      <c r="F65" s="131">
        <f>+F61+1</f>
        <v>7</v>
      </c>
      <c r="G65" s="132"/>
      <c r="H65" s="120" t="s">
        <v>333</v>
      </c>
      <c r="I65" s="121">
        <v>12805000</v>
      </c>
      <c r="J65" s="122">
        <v>0</v>
      </c>
      <c r="K65" s="122">
        <v>0</v>
      </c>
      <c r="L65" s="122">
        <v>19000</v>
      </c>
      <c r="M65" s="122">
        <f>+I65-SUM(J65:L65)</f>
        <v>12786000</v>
      </c>
      <c r="N65" s="121">
        <v>13021636</v>
      </c>
      <c r="O65" s="123">
        <v>0</v>
      </c>
      <c r="P65" s="123">
        <v>0</v>
      </c>
      <c r="Q65" s="123">
        <v>19000</v>
      </c>
      <c r="R65" s="123">
        <f>+N65-SUM(O65:Q65)</f>
        <v>13002636</v>
      </c>
      <c r="S65" s="138" t="s">
        <v>334</v>
      </c>
      <c r="T65" s="184"/>
      <c r="U65" s="139"/>
      <c r="V65" s="182"/>
    </row>
    <row r="66" spans="2:22" ht="14.25" customHeight="1">
      <c r="B66" s="140"/>
      <c r="C66" s="185"/>
      <c r="D66" s="186"/>
      <c r="E66" s="117"/>
      <c r="F66" s="131"/>
      <c r="G66" s="132"/>
      <c r="H66" s="120"/>
      <c r="I66" s="121"/>
      <c r="J66" s="122"/>
      <c r="K66" s="122"/>
      <c r="L66" s="122"/>
      <c r="M66" s="122"/>
      <c r="N66" s="121"/>
      <c r="O66" s="123"/>
      <c r="P66" s="123"/>
      <c r="Q66" s="123"/>
      <c r="R66" s="123"/>
      <c r="S66" s="137" t="s">
        <v>335</v>
      </c>
      <c r="T66" s="125"/>
      <c r="U66" s="126"/>
      <c r="V66" s="182"/>
    </row>
    <row r="67" spans="2:22" ht="14.25" customHeight="1">
      <c r="B67" s="140"/>
      <c r="C67" s="185"/>
      <c r="D67" s="186"/>
      <c r="E67" s="117"/>
      <c r="F67" s="131"/>
      <c r="G67" s="132"/>
      <c r="H67" s="120"/>
      <c r="I67" s="121"/>
      <c r="J67" s="122"/>
      <c r="K67" s="122"/>
      <c r="L67" s="122"/>
      <c r="M67" s="122"/>
      <c r="N67" s="121"/>
      <c r="O67" s="123"/>
      <c r="P67" s="123"/>
      <c r="Q67" s="123"/>
      <c r="R67" s="123"/>
      <c r="S67" s="137" t="s">
        <v>336</v>
      </c>
      <c r="T67" s="125"/>
      <c r="U67" s="126"/>
      <c r="V67" s="182"/>
    </row>
    <row r="68" spans="2:22" ht="14.25" customHeight="1">
      <c r="B68" s="140"/>
      <c r="C68" s="185"/>
      <c r="D68" s="186"/>
      <c r="E68" s="117"/>
      <c r="F68" s="131"/>
      <c r="G68" s="132"/>
      <c r="H68" s="120"/>
      <c r="I68" s="121"/>
      <c r="J68" s="122"/>
      <c r="K68" s="122"/>
      <c r="L68" s="122"/>
      <c r="M68" s="122"/>
      <c r="N68" s="121"/>
      <c r="O68" s="123"/>
      <c r="P68" s="123"/>
      <c r="Q68" s="123"/>
      <c r="R68" s="123"/>
      <c r="S68" s="196" t="s">
        <v>337</v>
      </c>
      <c r="T68" s="125"/>
      <c r="U68" s="126"/>
      <c r="V68" s="182"/>
    </row>
    <row r="69" spans="2:22" ht="14.25" customHeight="1">
      <c r="B69" s="140"/>
      <c r="C69" s="185"/>
      <c r="D69" s="186"/>
      <c r="E69" s="117"/>
      <c r="F69" s="131"/>
      <c r="G69" s="132"/>
      <c r="H69" s="120"/>
      <c r="I69" s="121"/>
      <c r="J69" s="122"/>
      <c r="K69" s="122"/>
      <c r="L69" s="122"/>
      <c r="M69" s="122"/>
      <c r="N69" s="121"/>
      <c r="O69" s="123"/>
      <c r="P69" s="123"/>
      <c r="Q69" s="123"/>
      <c r="R69" s="123"/>
      <c r="S69" s="196" t="s">
        <v>338</v>
      </c>
      <c r="T69" s="125"/>
      <c r="U69" s="126"/>
      <c r="V69" s="182"/>
    </row>
    <row r="70" spans="2:22" ht="14.25" customHeight="1">
      <c r="B70" s="140"/>
      <c r="C70" s="185"/>
      <c r="D70" s="186"/>
      <c r="E70" s="117"/>
      <c r="F70" s="131"/>
      <c r="G70" s="132"/>
      <c r="H70" s="120"/>
      <c r="I70" s="121"/>
      <c r="J70" s="122"/>
      <c r="K70" s="122"/>
      <c r="L70" s="122"/>
      <c r="M70" s="122"/>
      <c r="N70" s="121"/>
      <c r="O70" s="123"/>
      <c r="P70" s="123"/>
      <c r="Q70" s="123"/>
      <c r="R70" s="123"/>
      <c r="S70" s="196" t="s">
        <v>339</v>
      </c>
      <c r="T70" s="125"/>
      <c r="U70" s="126"/>
      <c r="V70" s="182"/>
    </row>
    <row r="71" spans="2:22" ht="14.25" customHeight="1">
      <c r="B71" s="140"/>
      <c r="C71" s="185"/>
      <c r="D71" s="186"/>
      <c r="E71" s="117"/>
      <c r="F71" s="131"/>
      <c r="G71" s="132"/>
      <c r="H71" s="120"/>
      <c r="I71" s="121"/>
      <c r="J71" s="122"/>
      <c r="K71" s="122"/>
      <c r="L71" s="122"/>
      <c r="M71" s="122"/>
      <c r="N71" s="121"/>
      <c r="O71" s="123"/>
      <c r="P71" s="123"/>
      <c r="Q71" s="123"/>
      <c r="R71" s="123"/>
      <c r="S71" s="196" t="s">
        <v>340</v>
      </c>
      <c r="T71" s="125"/>
      <c r="U71" s="126"/>
      <c r="V71" s="182"/>
    </row>
    <row r="72" spans="2:22" ht="14.25" customHeight="1">
      <c r="B72" s="140"/>
      <c r="C72" s="185"/>
      <c r="D72" s="186"/>
      <c r="E72" s="117"/>
      <c r="F72" s="131"/>
      <c r="G72" s="132"/>
      <c r="H72" s="120"/>
      <c r="I72" s="121"/>
      <c r="J72" s="122"/>
      <c r="K72" s="122"/>
      <c r="L72" s="122"/>
      <c r="M72" s="122"/>
      <c r="N72" s="121"/>
      <c r="O72" s="123"/>
      <c r="P72" s="123"/>
      <c r="Q72" s="123"/>
      <c r="R72" s="123"/>
      <c r="S72" s="137"/>
      <c r="T72" s="125"/>
      <c r="U72" s="126"/>
      <c r="V72" s="182"/>
    </row>
    <row r="73" spans="2:22" ht="14.25" customHeight="1">
      <c r="B73" s="140"/>
      <c r="C73" s="185"/>
      <c r="D73" s="186"/>
      <c r="E73" s="117"/>
      <c r="F73" s="131">
        <f>+F65+1</f>
        <v>8</v>
      </c>
      <c r="G73" s="132"/>
      <c r="H73" s="120" t="s">
        <v>341</v>
      </c>
      <c r="I73" s="121">
        <v>6142000</v>
      </c>
      <c r="J73" s="122">
        <v>0</v>
      </c>
      <c r="K73" s="122">
        <v>0</v>
      </c>
      <c r="L73" s="122">
        <v>7840000</v>
      </c>
      <c r="M73" s="122">
        <f>+I73-SUM(J73:L73)</f>
        <v>-1698000</v>
      </c>
      <c r="N73" s="121">
        <v>5486644</v>
      </c>
      <c r="O73" s="123">
        <v>0</v>
      </c>
      <c r="P73" s="123">
        <v>0</v>
      </c>
      <c r="Q73" s="123">
        <f>1000000+6012610</f>
        <v>7012610</v>
      </c>
      <c r="R73" s="123">
        <f>+N73-SUM(O73:Q73)</f>
        <v>-1525966</v>
      </c>
      <c r="S73" s="197" t="s">
        <v>342</v>
      </c>
      <c r="T73" s="125" t="s">
        <v>343</v>
      </c>
      <c r="U73" s="126" t="s">
        <v>344</v>
      </c>
      <c r="V73" s="182"/>
    </row>
    <row r="74" spans="2:22" ht="14.25" customHeight="1">
      <c r="B74" s="140"/>
      <c r="C74" s="185"/>
      <c r="D74" s="186"/>
      <c r="E74" s="117"/>
      <c r="F74" s="131"/>
      <c r="G74" s="132"/>
      <c r="H74" s="120"/>
      <c r="I74" s="121"/>
      <c r="J74" s="122"/>
      <c r="K74" s="122"/>
      <c r="L74" s="122"/>
      <c r="M74" s="122"/>
      <c r="N74" s="121"/>
      <c r="O74" s="123"/>
      <c r="P74" s="123"/>
      <c r="Q74" s="187"/>
      <c r="R74" s="123"/>
      <c r="S74" s="197"/>
      <c r="T74" s="125"/>
      <c r="U74" s="126"/>
      <c r="V74" s="182"/>
    </row>
    <row r="75" spans="2:22" ht="14.25" customHeight="1">
      <c r="B75" s="140"/>
      <c r="C75" s="185"/>
      <c r="D75" s="186"/>
      <c r="E75" s="117"/>
      <c r="F75" s="131">
        <f>+F73+1</f>
        <v>9</v>
      </c>
      <c r="G75" s="132"/>
      <c r="H75" s="120" t="s">
        <v>345</v>
      </c>
      <c r="I75" s="121">
        <v>23083000</v>
      </c>
      <c r="J75" s="122">
        <v>0</v>
      </c>
      <c r="K75" s="122">
        <v>0</v>
      </c>
      <c r="L75" s="122">
        <v>13938000</v>
      </c>
      <c r="M75" s="122">
        <f>+I75-SUM(J75:L75)</f>
        <v>9145000</v>
      </c>
      <c r="N75" s="121">
        <v>24886884</v>
      </c>
      <c r="O75" s="123">
        <v>0</v>
      </c>
      <c r="P75" s="123">
        <v>0</v>
      </c>
      <c r="Q75" s="123">
        <f>18134026+18000</f>
        <v>18152026</v>
      </c>
      <c r="R75" s="123">
        <f>+N75-SUM(O75:Q75)</f>
        <v>6734858</v>
      </c>
      <c r="S75" s="138" t="s">
        <v>334</v>
      </c>
      <c r="T75" s="184"/>
      <c r="U75" s="139"/>
      <c r="V75" s="182"/>
    </row>
    <row r="76" spans="2:22" ht="14.25" customHeight="1">
      <c r="B76" s="140"/>
      <c r="C76" s="185"/>
      <c r="D76" s="186"/>
      <c r="E76" s="117"/>
      <c r="F76" s="131"/>
      <c r="G76" s="132"/>
      <c r="H76" s="198"/>
      <c r="I76" s="121"/>
      <c r="J76" s="122"/>
      <c r="K76" s="122"/>
      <c r="L76" s="122"/>
      <c r="M76" s="122"/>
      <c r="N76" s="199"/>
      <c r="O76" s="123"/>
      <c r="P76" s="123"/>
      <c r="Q76" s="123"/>
      <c r="R76" s="123"/>
      <c r="S76" s="133" t="s">
        <v>346</v>
      </c>
      <c r="T76" s="125"/>
      <c r="U76" s="126"/>
      <c r="V76" s="182"/>
    </row>
    <row r="77" spans="2:22" ht="14.25" customHeight="1">
      <c r="B77" s="140"/>
      <c r="C77" s="185"/>
      <c r="D77" s="186"/>
      <c r="E77" s="117"/>
      <c r="F77" s="131"/>
      <c r="G77" s="132"/>
      <c r="H77" s="198"/>
      <c r="I77" s="121"/>
      <c r="J77" s="122"/>
      <c r="K77" s="122"/>
      <c r="L77" s="122"/>
      <c r="M77" s="122"/>
      <c r="N77" s="199"/>
      <c r="O77" s="123"/>
      <c r="P77" s="123"/>
      <c r="Q77" s="123"/>
      <c r="R77" s="123"/>
      <c r="S77" s="133" t="s">
        <v>347</v>
      </c>
      <c r="T77" s="125"/>
      <c r="U77" s="126"/>
      <c r="V77" s="182"/>
    </row>
    <row r="78" spans="2:22" ht="14.25" customHeight="1">
      <c r="B78" s="140"/>
      <c r="C78" s="185"/>
      <c r="D78" s="186"/>
      <c r="E78" s="117"/>
      <c r="F78" s="131"/>
      <c r="G78" s="132"/>
      <c r="H78" s="198"/>
      <c r="I78" s="121"/>
      <c r="J78" s="122"/>
      <c r="K78" s="122"/>
      <c r="L78" s="122"/>
      <c r="M78" s="122"/>
      <c r="N78" s="199"/>
      <c r="O78" s="123"/>
      <c r="P78" s="123"/>
      <c r="Q78" s="123"/>
      <c r="R78" s="123"/>
      <c r="S78" s="133" t="s">
        <v>348</v>
      </c>
      <c r="T78" s="125"/>
      <c r="U78" s="126"/>
      <c r="V78" s="182"/>
    </row>
    <row r="79" spans="2:22" ht="14.25" customHeight="1">
      <c r="B79" s="140"/>
      <c r="C79" s="185"/>
      <c r="D79" s="186"/>
      <c r="E79" s="117"/>
      <c r="F79" s="131"/>
      <c r="G79" s="132"/>
      <c r="H79" s="198"/>
      <c r="I79" s="121"/>
      <c r="J79" s="122"/>
      <c r="K79" s="122"/>
      <c r="L79" s="122"/>
      <c r="M79" s="122"/>
      <c r="N79" s="199"/>
      <c r="O79" s="123"/>
      <c r="P79" s="123"/>
      <c r="Q79" s="123"/>
      <c r="R79" s="123"/>
      <c r="S79" s="133" t="s">
        <v>349</v>
      </c>
      <c r="T79" s="125"/>
      <c r="U79" s="126"/>
      <c r="V79" s="182"/>
    </row>
    <row r="80" spans="2:22" ht="14.25" customHeight="1">
      <c r="B80" s="140"/>
      <c r="C80" s="185"/>
      <c r="D80" s="186"/>
      <c r="E80" s="117"/>
      <c r="F80" s="131"/>
      <c r="G80" s="132"/>
      <c r="H80" s="198"/>
      <c r="I80" s="121"/>
      <c r="J80" s="122"/>
      <c r="K80" s="122"/>
      <c r="L80" s="122"/>
      <c r="M80" s="122"/>
      <c r="N80" s="199"/>
      <c r="O80" s="123"/>
      <c r="P80" s="123"/>
      <c r="Q80" s="123"/>
      <c r="R80" s="123"/>
      <c r="S80" s="196" t="s">
        <v>339</v>
      </c>
      <c r="T80" s="125"/>
      <c r="U80" s="126"/>
      <c r="V80" s="182"/>
    </row>
    <row r="81" spans="2:22" ht="14.25" customHeight="1">
      <c r="B81" s="140"/>
      <c r="C81" s="185"/>
      <c r="D81" s="186"/>
      <c r="E81" s="117"/>
      <c r="F81" s="131"/>
      <c r="G81" s="132"/>
      <c r="H81" s="198"/>
      <c r="I81" s="121"/>
      <c r="J81" s="122"/>
      <c r="K81" s="122"/>
      <c r="L81" s="122"/>
      <c r="M81" s="122"/>
      <c r="N81" s="199"/>
      <c r="O81" s="123"/>
      <c r="P81" s="123"/>
      <c r="Q81" s="123"/>
      <c r="R81" s="123"/>
      <c r="S81" s="196" t="s">
        <v>340</v>
      </c>
      <c r="T81" s="125"/>
      <c r="U81" s="126"/>
      <c r="V81" s="182"/>
    </row>
    <row r="82" spans="2:22" ht="14.25" customHeight="1">
      <c r="B82" s="140"/>
      <c r="C82" s="185"/>
      <c r="D82" s="186"/>
      <c r="E82" s="117"/>
      <c r="F82" s="131"/>
      <c r="G82" s="132"/>
      <c r="H82" s="198"/>
      <c r="I82" s="121"/>
      <c r="J82" s="122"/>
      <c r="K82" s="122"/>
      <c r="L82" s="122"/>
      <c r="M82" s="122"/>
      <c r="N82" s="199"/>
      <c r="O82" s="123"/>
      <c r="P82" s="123"/>
      <c r="Q82" s="123"/>
      <c r="R82" s="123"/>
      <c r="S82" s="133"/>
      <c r="T82" s="125"/>
      <c r="U82" s="126"/>
      <c r="V82" s="182"/>
    </row>
    <row r="83" spans="2:22" ht="14.25" customHeight="1">
      <c r="B83" s="140"/>
      <c r="C83" s="185"/>
      <c r="D83" s="186"/>
      <c r="E83" s="117"/>
      <c r="F83" s="131">
        <f>+F75+1</f>
        <v>10</v>
      </c>
      <c r="G83" s="132"/>
      <c r="H83" s="144" t="s">
        <v>350</v>
      </c>
      <c r="I83" s="121">
        <v>-3141000</v>
      </c>
      <c r="J83" s="122">
        <v>0</v>
      </c>
      <c r="K83" s="122">
        <v>0</v>
      </c>
      <c r="L83" s="122">
        <v>0</v>
      </c>
      <c r="M83" s="122">
        <f>+I83-SUM(J83:L83)</f>
        <v>-3141000</v>
      </c>
      <c r="N83" s="121">
        <v>0</v>
      </c>
      <c r="O83" s="123">
        <v>0</v>
      </c>
      <c r="P83" s="123">
        <v>0</v>
      </c>
      <c r="Q83" s="123">
        <v>0</v>
      </c>
      <c r="R83" s="123">
        <f>+N83-SUM(O83:Q83)</f>
        <v>0</v>
      </c>
      <c r="S83" s="138" t="s">
        <v>334</v>
      </c>
      <c r="T83" s="184"/>
      <c r="U83" s="139"/>
      <c r="V83" s="182"/>
    </row>
    <row r="84" spans="2:22" ht="14.25" customHeight="1">
      <c r="B84" s="140"/>
      <c r="C84" s="185"/>
      <c r="D84" s="186"/>
      <c r="E84" s="117"/>
      <c r="F84" s="131"/>
      <c r="G84" s="132"/>
      <c r="H84" s="144" t="s">
        <v>351</v>
      </c>
      <c r="I84" s="121"/>
      <c r="J84" s="122"/>
      <c r="K84" s="122"/>
      <c r="L84" s="122"/>
      <c r="M84" s="122"/>
      <c r="N84" s="121"/>
      <c r="O84" s="123"/>
      <c r="P84" s="123"/>
      <c r="Q84" s="123"/>
      <c r="R84" s="123"/>
      <c r="S84" s="138"/>
      <c r="T84" s="184"/>
      <c r="U84" s="139"/>
      <c r="V84" s="182"/>
    </row>
    <row r="85" spans="2:22" ht="14.25" customHeight="1">
      <c r="B85" s="140"/>
      <c r="C85" s="185"/>
      <c r="D85" s="186"/>
      <c r="E85" s="117"/>
      <c r="F85" s="131"/>
      <c r="G85" s="132"/>
      <c r="H85" s="120"/>
      <c r="I85" s="121"/>
      <c r="J85" s="122"/>
      <c r="K85" s="122"/>
      <c r="L85" s="122"/>
      <c r="M85" s="122"/>
      <c r="N85" s="121"/>
      <c r="O85" s="123"/>
      <c r="P85" s="123"/>
      <c r="Q85" s="123"/>
      <c r="R85" s="123"/>
      <c r="S85" s="133"/>
      <c r="T85" s="184"/>
      <c r="U85" s="139"/>
      <c r="V85" s="182"/>
    </row>
    <row r="86" spans="2:22" ht="14.25" customHeight="1">
      <c r="B86" s="140"/>
      <c r="C86" s="185"/>
      <c r="D86" s="186"/>
      <c r="E86" s="117"/>
      <c r="F86" s="131">
        <f>+F83+1</f>
        <v>11</v>
      </c>
      <c r="G86" s="132"/>
      <c r="H86" s="120" t="s">
        <v>352</v>
      </c>
      <c r="I86" s="121">
        <v>298040000</v>
      </c>
      <c r="J86" s="122">
        <v>298040000</v>
      </c>
      <c r="K86" s="122">
        <v>0</v>
      </c>
      <c r="L86" s="122">
        <v>0</v>
      </c>
      <c r="M86" s="122">
        <f>+I86-SUM(J86:L86)</f>
        <v>0</v>
      </c>
      <c r="N86" s="121">
        <v>0</v>
      </c>
      <c r="O86" s="123">
        <v>0</v>
      </c>
      <c r="P86" s="123">
        <v>0</v>
      </c>
      <c r="Q86" s="123">
        <v>0</v>
      </c>
      <c r="R86" s="123">
        <f>+N86-SUM(O86:Q86)</f>
        <v>0</v>
      </c>
      <c r="S86" s="138" t="s">
        <v>334</v>
      </c>
      <c r="T86" s="125"/>
      <c r="U86" s="126"/>
      <c r="V86" s="182"/>
    </row>
    <row r="87" spans="2:22" ht="14.25" customHeight="1">
      <c r="B87" s="140"/>
      <c r="C87" s="185"/>
      <c r="D87" s="186"/>
      <c r="E87" s="117"/>
      <c r="F87" s="131"/>
      <c r="G87" s="132"/>
      <c r="H87" s="120"/>
      <c r="I87" s="121"/>
      <c r="J87" s="122"/>
      <c r="K87" s="122"/>
      <c r="L87" s="122"/>
      <c r="M87" s="122"/>
      <c r="N87" s="121"/>
      <c r="O87" s="123"/>
      <c r="P87" s="123"/>
      <c r="Q87" s="123"/>
      <c r="R87" s="123"/>
      <c r="S87" s="133" t="s">
        <v>353</v>
      </c>
      <c r="T87" s="184"/>
      <c r="U87" s="139"/>
      <c r="V87" s="182"/>
    </row>
    <row r="88" spans="2:22" ht="14.25" customHeight="1">
      <c r="B88" s="140"/>
      <c r="C88" s="185"/>
      <c r="D88" s="186"/>
      <c r="E88" s="117"/>
      <c r="F88" s="131"/>
      <c r="G88" s="132"/>
      <c r="H88" s="120"/>
      <c r="I88" s="121"/>
      <c r="J88" s="122"/>
      <c r="K88" s="122"/>
      <c r="L88" s="122"/>
      <c r="M88" s="122"/>
      <c r="N88" s="121"/>
      <c r="O88" s="123"/>
      <c r="P88" s="123"/>
      <c r="Q88" s="123"/>
      <c r="R88" s="123"/>
      <c r="S88" s="133"/>
      <c r="T88" s="184"/>
      <c r="U88" s="139"/>
      <c r="V88" s="182"/>
    </row>
    <row r="89" spans="2:22" ht="14.25" customHeight="1">
      <c r="B89" s="140"/>
      <c r="C89" s="185"/>
      <c r="D89" s="186"/>
      <c r="E89" s="117" t="s">
        <v>354</v>
      </c>
      <c r="F89" s="131">
        <f>+F86+1</f>
        <v>12</v>
      </c>
      <c r="G89" s="132"/>
      <c r="H89" s="144" t="s">
        <v>355</v>
      </c>
      <c r="I89" s="160">
        <v>45512000</v>
      </c>
      <c r="J89" s="161">
        <v>1388000</v>
      </c>
      <c r="K89" s="161">
        <v>0</v>
      </c>
      <c r="L89" s="161">
        <v>0</v>
      </c>
      <c r="M89" s="161">
        <f>+I89-SUM(J89:L89)</f>
        <v>44124000</v>
      </c>
      <c r="N89" s="160">
        <v>43419095</v>
      </c>
      <c r="O89" s="162">
        <v>1387244</v>
      </c>
      <c r="P89" s="162">
        <v>0</v>
      </c>
      <c r="Q89" s="162">
        <v>0</v>
      </c>
      <c r="R89" s="162">
        <f>+N89-SUM(O89:Q89)</f>
        <v>42031851</v>
      </c>
      <c r="S89" s="133" t="s">
        <v>356</v>
      </c>
      <c r="T89" s="125" t="s">
        <v>357</v>
      </c>
      <c r="U89" s="126" t="s">
        <v>357</v>
      </c>
      <c r="V89" s="182"/>
    </row>
    <row r="90" spans="2:22" ht="14.25" customHeight="1">
      <c r="B90" s="140"/>
      <c r="C90" s="185"/>
      <c r="D90" s="186"/>
      <c r="E90" s="117" t="s">
        <v>358</v>
      </c>
      <c r="F90" s="131"/>
      <c r="G90" s="132"/>
      <c r="H90" s="144" t="s">
        <v>359</v>
      </c>
      <c r="I90" s="160"/>
      <c r="J90" s="161"/>
      <c r="K90" s="161"/>
      <c r="L90" s="161"/>
      <c r="M90" s="161"/>
      <c r="N90" s="160"/>
      <c r="O90" s="162"/>
      <c r="P90" s="162"/>
      <c r="Q90" s="162"/>
      <c r="R90" s="162"/>
      <c r="S90" s="133" t="s">
        <v>360</v>
      </c>
      <c r="T90" s="125" t="s">
        <v>361</v>
      </c>
      <c r="U90" s="126" t="s">
        <v>361</v>
      </c>
      <c r="V90" s="182"/>
    </row>
    <row r="91" spans="2:22" ht="14.25" customHeight="1">
      <c r="B91" s="140"/>
      <c r="C91" s="185"/>
      <c r="D91" s="186"/>
      <c r="E91" s="117"/>
      <c r="F91" s="131"/>
      <c r="G91" s="132"/>
      <c r="H91" s="120"/>
      <c r="I91" s="160"/>
      <c r="J91" s="161"/>
      <c r="K91" s="161"/>
      <c r="L91" s="161"/>
      <c r="M91" s="161"/>
      <c r="N91" s="160"/>
      <c r="O91" s="162"/>
      <c r="P91" s="162"/>
      <c r="Q91" s="162"/>
      <c r="R91" s="162"/>
      <c r="S91" s="133" t="s">
        <v>362</v>
      </c>
      <c r="T91" s="125" t="s">
        <v>363</v>
      </c>
      <c r="U91" s="126" t="s">
        <v>364</v>
      </c>
      <c r="V91" s="182"/>
    </row>
    <row r="92" spans="2:22" ht="14.25" customHeight="1">
      <c r="B92" s="140"/>
      <c r="C92" s="185"/>
      <c r="D92" s="186"/>
      <c r="E92" s="117"/>
      <c r="F92" s="131"/>
      <c r="G92" s="132"/>
      <c r="H92" s="120"/>
      <c r="I92" s="160"/>
      <c r="J92" s="161"/>
      <c r="K92" s="161"/>
      <c r="L92" s="161"/>
      <c r="M92" s="161"/>
      <c r="N92" s="160"/>
      <c r="O92" s="162"/>
      <c r="P92" s="162"/>
      <c r="Q92" s="162"/>
      <c r="R92" s="162"/>
      <c r="S92" s="133" t="s">
        <v>365</v>
      </c>
      <c r="T92" s="125"/>
      <c r="U92" s="126"/>
      <c r="V92" s="182"/>
    </row>
    <row r="93" spans="2:22" ht="14.25" customHeight="1">
      <c r="B93" s="140"/>
      <c r="C93" s="185"/>
      <c r="D93" s="186"/>
      <c r="E93" s="117"/>
      <c r="F93" s="131"/>
      <c r="G93" s="132"/>
      <c r="H93" s="120"/>
      <c r="I93" s="160"/>
      <c r="J93" s="161"/>
      <c r="K93" s="161"/>
      <c r="L93" s="161"/>
      <c r="M93" s="161"/>
      <c r="N93" s="160"/>
      <c r="O93" s="162"/>
      <c r="P93" s="162"/>
      <c r="Q93" s="162"/>
      <c r="R93" s="162"/>
      <c r="S93" s="133" t="s">
        <v>366</v>
      </c>
      <c r="T93" s="125"/>
      <c r="U93" s="126"/>
      <c r="V93" s="182"/>
    </row>
    <row r="94" spans="2:22" ht="14.25" customHeight="1">
      <c r="B94" s="140"/>
      <c r="C94" s="185"/>
      <c r="D94" s="186"/>
      <c r="E94" s="117"/>
      <c r="F94" s="131"/>
      <c r="G94" s="132"/>
      <c r="H94" s="120"/>
      <c r="I94" s="160"/>
      <c r="J94" s="161"/>
      <c r="K94" s="161"/>
      <c r="L94" s="161"/>
      <c r="M94" s="161"/>
      <c r="N94" s="160"/>
      <c r="O94" s="162"/>
      <c r="P94" s="162"/>
      <c r="Q94" s="162"/>
      <c r="R94" s="162"/>
      <c r="S94" s="133"/>
      <c r="T94" s="125"/>
      <c r="U94" s="126"/>
      <c r="V94" s="182"/>
    </row>
    <row r="95" spans="2:22" ht="14.25" customHeight="1">
      <c r="B95" s="140"/>
      <c r="C95" s="185"/>
      <c r="D95" s="186"/>
      <c r="E95" s="117"/>
      <c r="F95" s="131">
        <f>+F89+1</f>
        <v>13</v>
      </c>
      <c r="G95" s="132"/>
      <c r="H95" s="120" t="s">
        <v>367</v>
      </c>
      <c r="I95" s="160">
        <v>13691000</v>
      </c>
      <c r="J95" s="161">
        <v>0</v>
      </c>
      <c r="K95" s="161">
        <v>0</v>
      </c>
      <c r="L95" s="161">
        <v>0</v>
      </c>
      <c r="M95" s="161">
        <f>+I95-SUM(J95:L95)</f>
        <v>13691000</v>
      </c>
      <c r="N95" s="160">
        <v>11386130</v>
      </c>
      <c r="O95" s="162">
        <v>0</v>
      </c>
      <c r="P95" s="162">
        <v>0</v>
      </c>
      <c r="Q95" s="162">
        <v>0</v>
      </c>
      <c r="R95" s="162">
        <f>+N95-SUM(O95:Q95)</f>
        <v>11386130</v>
      </c>
      <c r="S95" s="133" t="s">
        <v>368</v>
      </c>
      <c r="T95" s="125" t="s">
        <v>369</v>
      </c>
      <c r="U95" s="126" t="s">
        <v>369</v>
      </c>
      <c r="V95" s="182"/>
    </row>
    <row r="96" spans="2:22" ht="14.25" customHeight="1">
      <c r="B96" s="140"/>
      <c r="C96" s="185"/>
      <c r="D96" s="186"/>
      <c r="E96" s="117"/>
      <c r="F96" s="131"/>
      <c r="G96" s="132"/>
      <c r="H96" s="120"/>
      <c r="I96" s="160"/>
      <c r="J96" s="161"/>
      <c r="K96" s="161"/>
      <c r="L96" s="161"/>
      <c r="M96" s="161"/>
      <c r="N96" s="160"/>
      <c r="O96" s="162"/>
      <c r="P96" s="162"/>
      <c r="Q96" s="162"/>
      <c r="R96" s="162"/>
      <c r="S96" s="133" t="s">
        <v>370</v>
      </c>
      <c r="T96" s="125"/>
      <c r="U96" s="126"/>
      <c r="V96" s="182"/>
    </row>
    <row r="97" spans="2:22" ht="14.25" customHeight="1">
      <c r="B97" s="140"/>
      <c r="C97" s="185"/>
      <c r="D97" s="186"/>
      <c r="E97" s="117"/>
      <c r="F97" s="131"/>
      <c r="G97" s="132"/>
      <c r="H97" s="120"/>
      <c r="I97" s="160"/>
      <c r="J97" s="161"/>
      <c r="K97" s="161"/>
      <c r="L97" s="161"/>
      <c r="M97" s="161"/>
      <c r="N97" s="160"/>
      <c r="O97" s="162"/>
      <c r="P97" s="162"/>
      <c r="Q97" s="162"/>
      <c r="R97" s="162"/>
      <c r="S97" s="133" t="s">
        <v>371</v>
      </c>
      <c r="T97" s="125"/>
      <c r="U97" s="126"/>
      <c r="V97" s="182"/>
    </row>
    <row r="98" spans="2:22" ht="14.25" customHeight="1">
      <c r="B98" s="140"/>
      <c r="C98" s="185"/>
      <c r="D98" s="186"/>
      <c r="E98" s="183"/>
      <c r="F98" s="131"/>
      <c r="G98" s="132"/>
      <c r="H98" s="120"/>
      <c r="I98" s="160"/>
      <c r="J98" s="161"/>
      <c r="K98" s="161"/>
      <c r="L98" s="161"/>
      <c r="M98" s="161"/>
      <c r="N98" s="160"/>
      <c r="O98" s="162"/>
      <c r="P98" s="162"/>
      <c r="Q98" s="162"/>
      <c r="R98" s="162"/>
      <c r="S98" s="133"/>
      <c r="T98" s="125"/>
      <c r="U98" s="126"/>
      <c r="V98" s="182"/>
    </row>
    <row r="99" spans="2:22" ht="14.25" customHeight="1">
      <c r="B99" s="140"/>
      <c r="C99" s="185"/>
      <c r="D99" s="186"/>
      <c r="E99" s="183"/>
      <c r="F99" s="131">
        <f>+F95+1</f>
        <v>14</v>
      </c>
      <c r="G99" s="132"/>
      <c r="H99" s="120" t="s">
        <v>372</v>
      </c>
      <c r="I99" s="160">
        <v>2173000</v>
      </c>
      <c r="J99" s="161">
        <v>0</v>
      </c>
      <c r="K99" s="161">
        <v>0</v>
      </c>
      <c r="L99" s="161">
        <v>1000000</v>
      </c>
      <c r="M99" s="161">
        <f>+I99-SUM(J99:L99)</f>
        <v>1173000</v>
      </c>
      <c r="N99" s="160">
        <v>1390394</v>
      </c>
      <c r="O99" s="162">
        <v>0</v>
      </c>
      <c r="P99" s="162">
        <v>0</v>
      </c>
      <c r="Q99" s="162">
        <v>922205</v>
      </c>
      <c r="R99" s="162">
        <f>+N99-SUM(O99:Q99)</f>
        <v>468189</v>
      </c>
      <c r="S99" s="133" t="s">
        <v>373</v>
      </c>
      <c r="T99" s="125" t="s">
        <v>374</v>
      </c>
      <c r="U99" s="126" t="s">
        <v>375</v>
      </c>
      <c r="V99" s="182"/>
    </row>
    <row r="100" spans="2:22" ht="14.25" customHeight="1">
      <c r="B100" s="140"/>
      <c r="C100" s="185"/>
      <c r="D100" s="186"/>
      <c r="E100" s="183"/>
      <c r="F100" s="131"/>
      <c r="G100" s="132"/>
      <c r="H100" s="120"/>
      <c r="I100" s="160"/>
      <c r="J100" s="161"/>
      <c r="K100" s="161"/>
      <c r="L100" s="161"/>
      <c r="M100" s="161"/>
      <c r="N100" s="160"/>
      <c r="O100" s="162"/>
      <c r="P100" s="162"/>
      <c r="Q100" s="162"/>
      <c r="R100" s="162"/>
      <c r="S100" s="133"/>
      <c r="T100" s="125"/>
      <c r="U100" s="126"/>
      <c r="V100" s="182"/>
    </row>
    <row r="101" spans="2:22" ht="14.25" customHeight="1">
      <c r="B101" s="140"/>
      <c r="C101" s="185"/>
      <c r="D101" s="186"/>
      <c r="E101" s="183"/>
      <c r="F101" s="131"/>
      <c r="G101" s="132"/>
      <c r="H101" s="120"/>
      <c r="I101" s="160"/>
      <c r="J101" s="161"/>
      <c r="K101" s="161"/>
      <c r="L101" s="161"/>
      <c r="M101" s="161"/>
      <c r="N101" s="160"/>
      <c r="O101" s="162"/>
      <c r="P101" s="162"/>
      <c r="Q101" s="162"/>
      <c r="R101" s="162"/>
      <c r="S101" s="133"/>
      <c r="T101" s="125"/>
      <c r="U101" s="126"/>
      <c r="V101" s="182"/>
    </row>
    <row r="102" spans="2:22" ht="14.25" customHeight="1">
      <c r="B102" s="140"/>
      <c r="C102" s="185"/>
      <c r="D102" s="186"/>
      <c r="E102" s="183"/>
      <c r="F102" s="131"/>
      <c r="G102" s="132"/>
      <c r="H102" s="120"/>
      <c r="I102" s="160"/>
      <c r="J102" s="161"/>
      <c r="K102" s="161"/>
      <c r="L102" s="161"/>
      <c r="M102" s="161"/>
      <c r="N102" s="160"/>
      <c r="O102" s="162"/>
      <c r="P102" s="162"/>
      <c r="Q102" s="162"/>
      <c r="R102" s="162"/>
      <c r="S102" s="133"/>
      <c r="T102" s="125"/>
      <c r="U102" s="126"/>
      <c r="V102" s="182"/>
    </row>
    <row r="103" spans="2:22" ht="14.25" customHeight="1">
      <c r="B103" s="140"/>
      <c r="C103" s="185"/>
      <c r="D103" s="186"/>
      <c r="E103" s="183"/>
      <c r="F103" s="131"/>
      <c r="G103" s="132"/>
      <c r="H103" s="120"/>
      <c r="I103" s="160"/>
      <c r="J103" s="161"/>
      <c r="K103" s="161"/>
      <c r="L103" s="161"/>
      <c r="M103" s="161"/>
      <c r="N103" s="160"/>
      <c r="O103" s="162"/>
      <c r="P103" s="162"/>
      <c r="Q103" s="162"/>
      <c r="R103" s="162"/>
      <c r="S103" s="133"/>
      <c r="T103" s="125"/>
      <c r="U103" s="126"/>
      <c r="V103" s="182"/>
    </row>
    <row r="104" spans="2:22" ht="14.25" customHeight="1" thickBot="1">
      <c r="B104" s="147"/>
      <c r="C104" s="188"/>
      <c r="D104" s="189"/>
      <c r="E104" s="200"/>
      <c r="F104" s="150"/>
      <c r="G104" s="151"/>
      <c r="H104" s="191"/>
      <c r="I104" s="153"/>
      <c r="J104" s="154"/>
      <c r="K104" s="154"/>
      <c r="L104" s="154"/>
      <c r="M104" s="154"/>
      <c r="N104" s="153"/>
      <c r="O104" s="155"/>
      <c r="P104" s="155"/>
      <c r="Q104" s="155"/>
      <c r="R104" s="155"/>
      <c r="S104" s="195"/>
      <c r="T104" s="157"/>
      <c r="U104" s="158"/>
      <c r="V104" s="182"/>
    </row>
    <row r="105" spans="2:22" ht="14.25" customHeight="1">
      <c r="B105" s="140"/>
      <c r="C105" s="185"/>
      <c r="D105" s="186"/>
      <c r="E105" s="183"/>
      <c r="F105" s="131">
        <f>+F99+1</f>
        <v>15</v>
      </c>
      <c r="G105" s="132"/>
      <c r="H105" s="120" t="s">
        <v>376</v>
      </c>
      <c r="I105" s="160">
        <v>148084000</v>
      </c>
      <c r="J105" s="161">
        <v>17453000</v>
      </c>
      <c r="K105" s="161">
        <v>0</v>
      </c>
      <c r="L105" s="161">
        <v>0</v>
      </c>
      <c r="M105" s="161">
        <f>+I105-SUM(J105:L105)</f>
        <v>130631000</v>
      </c>
      <c r="N105" s="160">
        <v>140331436</v>
      </c>
      <c r="O105" s="162">
        <f>10483012+6879000</f>
        <v>17362012</v>
      </c>
      <c r="P105" s="162">
        <v>0</v>
      </c>
      <c r="Q105" s="162">
        <v>0</v>
      </c>
      <c r="R105" s="162">
        <f>+N105-SUM(O105:Q105)</f>
        <v>122969424</v>
      </c>
      <c r="S105" s="133" t="s">
        <v>377</v>
      </c>
      <c r="T105" s="125" t="s">
        <v>378</v>
      </c>
      <c r="U105" s="126" t="s">
        <v>378</v>
      </c>
      <c r="V105" s="182"/>
    </row>
    <row r="106" spans="2:22" ht="14.25" customHeight="1">
      <c r="B106" s="140"/>
      <c r="C106" s="185"/>
      <c r="D106" s="186"/>
      <c r="E106" s="183"/>
      <c r="F106" s="131"/>
      <c r="G106" s="132"/>
      <c r="H106" s="120"/>
      <c r="I106" s="160"/>
      <c r="J106" s="161"/>
      <c r="K106" s="161"/>
      <c r="L106" s="161"/>
      <c r="M106" s="161"/>
      <c r="N106" s="160"/>
      <c r="O106" s="162"/>
      <c r="P106" s="162"/>
      <c r="Q106" s="162"/>
      <c r="R106" s="162"/>
      <c r="S106" s="133" t="s">
        <v>379</v>
      </c>
      <c r="T106" s="125"/>
      <c r="U106" s="126"/>
      <c r="V106" s="182"/>
    </row>
    <row r="107" spans="2:22" ht="14.25" customHeight="1">
      <c r="B107" s="140"/>
      <c r="C107" s="185"/>
      <c r="D107" s="186"/>
      <c r="E107" s="183"/>
      <c r="F107" s="131"/>
      <c r="G107" s="132"/>
      <c r="H107" s="120"/>
      <c r="I107" s="160"/>
      <c r="J107" s="161"/>
      <c r="K107" s="161"/>
      <c r="L107" s="161"/>
      <c r="M107" s="161"/>
      <c r="N107" s="160"/>
      <c r="O107" s="162"/>
      <c r="P107" s="162"/>
      <c r="Q107" s="162"/>
      <c r="R107" s="162"/>
      <c r="S107" s="133" t="s">
        <v>380</v>
      </c>
      <c r="T107" s="125"/>
      <c r="U107" s="126"/>
      <c r="V107" s="182"/>
    </row>
    <row r="108" spans="2:22" ht="14.25" customHeight="1">
      <c r="B108" s="140"/>
      <c r="C108" s="185"/>
      <c r="D108" s="186"/>
      <c r="E108" s="183"/>
      <c r="F108" s="131"/>
      <c r="G108" s="132"/>
      <c r="H108" s="120"/>
      <c r="I108" s="160"/>
      <c r="J108" s="161"/>
      <c r="K108" s="161"/>
      <c r="L108" s="161"/>
      <c r="M108" s="161"/>
      <c r="N108" s="160"/>
      <c r="O108" s="162"/>
      <c r="P108" s="162"/>
      <c r="Q108" s="162"/>
      <c r="R108" s="162"/>
      <c r="S108" s="133" t="s">
        <v>381</v>
      </c>
      <c r="T108" s="125"/>
      <c r="U108" s="126"/>
      <c r="V108" s="182"/>
    </row>
    <row r="109" spans="2:22" ht="14.25" customHeight="1">
      <c r="B109" s="140"/>
      <c r="C109" s="185"/>
      <c r="D109" s="186"/>
      <c r="E109" s="201"/>
      <c r="F109" s="131"/>
      <c r="G109" s="132"/>
      <c r="H109" s="120"/>
      <c r="I109" s="160"/>
      <c r="J109" s="161"/>
      <c r="K109" s="161"/>
      <c r="L109" s="161"/>
      <c r="M109" s="161"/>
      <c r="N109" s="160"/>
      <c r="O109" s="162"/>
      <c r="P109" s="162"/>
      <c r="Q109" s="162"/>
      <c r="R109" s="162"/>
      <c r="S109" s="133" t="s">
        <v>382</v>
      </c>
      <c r="T109" s="125"/>
      <c r="U109" s="126"/>
      <c r="V109" s="182"/>
    </row>
    <row r="110" spans="2:22" ht="14.25" customHeight="1">
      <c r="B110" s="140"/>
      <c r="C110" s="185"/>
      <c r="D110" s="186"/>
      <c r="E110" s="201"/>
      <c r="F110" s="131"/>
      <c r="G110" s="132"/>
      <c r="H110" s="120"/>
      <c r="I110" s="160"/>
      <c r="J110" s="161"/>
      <c r="K110" s="161"/>
      <c r="L110" s="161"/>
      <c r="M110" s="161"/>
      <c r="N110" s="160"/>
      <c r="O110" s="162"/>
      <c r="P110" s="162"/>
      <c r="Q110" s="162"/>
      <c r="R110" s="162"/>
      <c r="S110" s="133"/>
      <c r="T110" s="125"/>
      <c r="U110" s="126"/>
      <c r="V110" s="182"/>
    </row>
    <row r="111" spans="2:22" ht="14.25" customHeight="1">
      <c r="B111" s="140"/>
      <c r="C111" s="185"/>
      <c r="D111" s="186"/>
      <c r="E111" s="117"/>
      <c r="F111" s="131">
        <f>+F105+1</f>
        <v>16</v>
      </c>
      <c r="G111" s="132"/>
      <c r="H111" s="120" t="s">
        <v>383</v>
      </c>
      <c r="I111" s="160">
        <v>78782000</v>
      </c>
      <c r="J111" s="161">
        <v>78782000</v>
      </c>
      <c r="K111" s="161">
        <v>0</v>
      </c>
      <c r="L111" s="161">
        <v>0</v>
      </c>
      <c r="M111" s="161">
        <f>+I111-SUM(J111:L111)</f>
        <v>0</v>
      </c>
      <c r="N111" s="160">
        <v>0</v>
      </c>
      <c r="O111" s="162">
        <v>0</v>
      </c>
      <c r="P111" s="162">
        <v>0</v>
      </c>
      <c r="Q111" s="162">
        <v>0</v>
      </c>
      <c r="R111" s="162">
        <f>+N111-SUM(O111:Q111)</f>
        <v>0</v>
      </c>
      <c r="S111" s="138" t="s">
        <v>384</v>
      </c>
      <c r="T111" s="125"/>
      <c r="U111" s="126"/>
      <c r="V111" s="182"/>
    </row>
    <row r="112" spans="2:22" ht="14.25" customHeight="1">
      <c r="B112" s="140"/>
      <c r="C112" s="185"/>
      <c r="D112" s="186"/>
      <c r="E112" s="117"/>
      <c r="F112" s="131"/>
      <c r="G112" s="132"/>
      <c r="H112" s="120"/>
      <c r="I112" s="160"/>
      <c r="J112" s="161"/>
      <c r="K112" s="161"/>
      <c r="L112" s="161"/>
      <c r="M112" s="161"/>
      <c r="N112" s="160"/>
      <c r="O112" s="162"/>
      <c r="P112" s="162"/>
      <c r="Q112" s="162"/>
      <c r="R112" s="162"/>
      <c r="S112" s="133" t="s">
        <v>385</v>
      </c>
      <c r="T112" s="125"/>
      <c r="U112" s="126"/>
      <c r="V112" s="182"/>
    </row>
    <row r="113" spans="2:22" ht="14.25" customHeight="1">
      <c r="B113" s="140"/>
      <c r="C113" s="185"/>
      <c r="D113" s="186"/>
      <c r="E113" s="117"/>
      <c r="F113" s="131"/>
      <c r="G113" s="132"/>
      <c r="H113" s="120"/>
      <c r="I113" s="160"/>
      <c r="J113" s="161"/>
      <c r="K113" s="161"/>
      <c r="L113" s="161"/>
      <c r="M113" s="161"/>
      <c r="N113" s="160"/>
      <c r="O113" s="162"/>
      <c r="P113" s="162"/>
      <c r="Q113" s="162"/>
      <c r="R113" s="162"/>
      <c r="S113" s="133"/>
      <c r="T113" s="125"/>
      <c r="U113" s="126"/>
      <c r="V113" s="182"/>
    </row>
    <row r="114" spans="2:22" ht="14.25" customHeight="1">
      <c r="B114" s="140"/>
      <c r="C114" s="185"/>
      <c r="D114" s="186"/>
      <c r="E114" s="117"/>
      <c r="F114" s="131">
        <f>+F111+1</f>
        <v>17</v>
      </c>
      <c r="G114" s="132"/>
      <c r="H114" s="120" t="s">
        <v>386</v>
      </c>
      <c r="I114" s="121">
        <v>52751000</v>
      </c>
      <c r="J114" s="122">
        <v>0</v>
      </c>
      <c r="K114" s="122">
        <v>0</v>
      </c>
      <c r="L114" s="122">
        <v>0</v>
      </c>
      <c r="M114" s="122">
        <f>+I114-SUM(J114:L114)</f>
        <v>52751000</v>
      </c>
      <c r="N114" s="121">
        <v>50224702</v>
      </c>
      <c r="O114" s="123">
        <v>0</v>
      </c>
      <c r="P114" s="123">
        <v>0</v>
      </c>
      <c r="Q114" s="123">
        <v>0</v>
      </c>
      <c r="R114" s="123">
        <f>+N114-SUM(O114:Q114)</f>
        <v>50224702</v>
      </c>
      <c r="S114" s="202" t="s">
        <v>387</v>
      </c>
      <c r="T114" s="125" t="s">
        <v>388</v>
      </c>
      <c r="U114" s="126" t="s">
        <v>389</v>
      </c>
      <c r="V114" s="182"/>
    </row>
    <row r="115" spans="2:22" ht="14.25" customHeight="1">
      <c r="B115" s="140"/>
      <c r="C115" s="185"/>
      <c r="D115" s="186"/>
      <c r="E115" s="117"/>
      <c r="F115" s="131"/>
      <c r="G115" s="132"/>
      <c r="H115" s="120"/>
      <c r="I115" s="121"/>
      <c r="J115" s="122"/>
      <c r="K115" s="122"/>
      <c r="L115" s="122"/>
      <c r="M115" s="122"/>
      <c r="N115" s="121"/>
      <c r="O115" s="123"/>
      <c r="P115" s="123"/>
      <c r="Q115" s="123"/>
      <c r="R115" s="123"/>
      <c r="S115" s="202" t="s">
        <v>390</v>
      </c>
      <c r="T115" s="125"/>
      <c r="U115" s="126"/>
      <c r="V115" s="182"/>
    </row>
    <row r="116" spans="2:22" ht="14.25" customHeight="1">
      <c r="B116" s="140"/>
      <c r="C116" s="185"/>
      <c r="D116" s="186"/>
      <c r="E116" s="117"/>
      <c r="F116" s="131"/>
      <c r="G116" s="132"/>
      <c r="H116" s="120"/>
      <c r="I116" s="121"/>
      <c r="J116" s="122"/>
      <c r="K116" s="122"/>
      <c r="L116" s="122"/>
      <c r="M116" s="122"/>
      <c r="N116" s="121"/>
      <c r="O116" s="123"/>
      <c r="P116" s="123"/>
      <c r="Q116" s="123"/>
      <c r="R116" s="123"/>
      <c r="S116" s="202" t="s">
        <v>391</v>
      </c>
      <c r="T116" s="125"/>
      <c r="U116" s="126"/>
      <c r="V116" s="182"/>
    </row>
    <row r="117" spans="2:22" ht="14.25" customHeight="1">
      <c r="B117" s="140"/>
      <c r="C117" s="185"/>
      <c r="D117" s="186"/>
      <c r="E117" s="117"/>
      <c r="F117" s="131"/>
      <c r="G117" s="132"/>
      <c r="H117" s="120"/>
      <c r="I117" s="121"/>
      <c r="J117" s="122"/>
      <c r="K117" s="122"/>
      <c r="L117" s="122"/>
      <c r="M117" s="122"/>
      <c r="N117" s="121"/>
      <c r="O117" s="123"/>
      <c r="P117" s="123"/>
      <c r="Q117" s="123"/>
      <c r="R117" s="123"/>
      <c r="S117" s="202"/>
      <c r="T117" s="125"/>
      <c r="U117" s="126"/>
      <c r="V117" s="182"/>
    </row>
    <row r="118" spans="2:22" ht="14.25" customHeight="1">
      <c r="B118" s="140"/>
      <c r="C118" s="185"/>
      <c r="D118" s="186"/>
      <c r="E118" s="117"/>
      <c r="F118" s="131">
        <f>+F114+1</f>
        <v>18</v>
      </c>
      <c r="G118" s="132"/>
      <c r="H118" s="120" t="s">
        <v>392</v>
      </c>
      <c r="I118" s="121">
        <v>65738000</v>
      </c>
      <c r="J118" s="122">
        <v>0</v>
      </c>
      <c r="K118" s="122">
        <v>0</v>
      </c>
      <c r="L118" s="122">
        <v>0</v>
      </c>
      <c r="M118" s="122">
        <f>+I118-SUM(J118:L118)</f>
        <v>65738000</v>
      </c>
      <c r="N118" s="121">
        <v>63537049</v>
      </c>
      <c r="O118" s="123">
        <v>0</v>
      </c>
      <c r="P118" s="123">
        <v>0</v>
      </c>
      <c r="Q118" s="123">
        <v>0</v>
      </c>
      <c r="R118" s="123">
        <f>+N118-SUM(O118:Q118)</f>
        <v>63537049</v>
      </c>
      <c r="S118" s="133" t="s">
        <v>393</v>
      </c>
      <c r="T118" s="125" t="s">
        <v>394</v>
      </c>
      <c r="U118" s="126" t="s">
        <v>395</v>
      </c>
      <c r="V118" s="182"/>
    </row>
    <row r="119" spans="2:22" ht="14.25" customHeight="1">
      <c r="B119" s="140"/>
      <c r="C119" s="185"/>
      <c r="D119" s="186"/>
      <c r="E119" s="117"/>
      <c r="F119" s="131"/>
      <c r="G119" s="132"/>
      <c r="H119" s="120"/>
      <c r="I119" s="121"/>
      <c r="J119" s="122"/>
      <c r="K119" s="122"/>
      <c r="L119" s="122"/>
      <c r="M119" s="122"/>
      <c r="N119" s="121"/>
      <c r="O119" s="123"/>
      <c r="P119" s="123"/>
      <c r="Q119" s="123"/>
      <c r="R119" s="123"/>
      <c r="S119" s="181" t="s">
        <v>396</v>
      </c>
      <c r="T119" s="125"/>
      <c r="U119" s="126"/>
      <c r="V119" s="182"/>
    </row>
    <row r="120" spans="2:22" ht="14.25" customHeight="1">
      <c r="B120" s="140"/>
      <c r="C120" s="185"/>
      <c r="D120" s="186"/>
      <c r="E120" s="117"/>
      <c r="F120" s="131"/>
      <c r="G120" s="132"/>
      <c r="H120" s="120"/>
      <c r="I120" s="121"/>
      <c r="J120" s="122"/>
      <c r="K120" s="122"/>
      <c r="L120" s="122"/>
      <c r="M120" s="122"/>
      <c r="N120" s="121"/>
      <c r="O120" s="123"/>
      <c r="P120" s="123"/>
      <c r="Q120" s="123"/>
      <c r="R120" s="123"/>
      <c r="S120" s="181" t="s">
        <v>397</v>
      </c>
      <c r="T120" s="125"/>
      <c r="U120" s="126"/>
      <c r="V120" s="182"/>
    </row>
    <row r="121" spans="2:22" ht="14.25" customHeight="1">
      <c r="B121" s="140"/>
      <c r="C121" s="185"/>
      <c r="D121" s="186"/>
      <c r="E121" s="117"/>
      <c r="F121" s="131"/>
      <c r="G121" s="132"/>
      <c r="H121" s="120"/>
      <c r="I121" s="121"/>
      <c r="J121" s="122"/>
      <c r="K121" s="122"/>
      <c r="L121" s="122"/>
      <c r="M121" s="122"/>
      <c r="N121" s="121"/>
      <c r="O121" s="123"/>
      <c r="P121" s="123"/>
      <c r="Q121" s="123"/>
      <c r="R121" s="123"/>
      <c r="S121" s="133"/>
      <c r="T121" s="125"/>
      <c r="U121" s="126"/>
      <c r="V121" s="182"/>
    </row>
    <row r="122" spans="2:22" ht="14.25" customHeight="1">
      <c r="B122" s="140"/>
      <c r="C122" s="185"/>
      <c r="D122" s="186"/>
      <c r="E122" s="117"/>
      <c r="F122" s="131">
        <f>+F118+1</f>
        <v>19</v>
      </c>
      <c r="G122" s="132"/>
      <c r="H122" s="120" t="s">
        <v>398</v>
      </c>
      <c r="I122" s="160">
        <v>-1312000</v>
      </c>
      <c r="J122" s="161">
        <v>0</v>
      </c>
      <c r="K122" s="161">
        <v>0</v>
      </c>
      <c r="L122" s="161">
        <v>0</v>
      </c>
      <c r="M122" s="161">
        <f>+I122-SUM(J122:L122)</f>
        <v>-1312000</v>
      </c>
      <c r="N122" s="160">
        <v>0</v>
      </c>
      <c r="O122" s="162">
        <v>0</v>
      </c>
      <c r="P122" s="123">
        <v>0</v>
      </c>
      <c r="Q122" s="123">
        <v>0</v>
      </c>
      <c r="R122" s="123">
        <f>+N122-SUM(O122:Q122)</f>
        <v>0</v>
      </c>
      <c r="S122" s="138" t="s">
        <v>384</v>
      </c>
      <c r="T122" s="125"/>
      <c r="U122" s="126"/>
      <c r="V122" s="182"/>
    </row>
    <row r="123" spans="2:22" ht="14.25" customHeight="1" thickBot="1">
      <c r="B123" s="147"/>
      <c r="C123" s="188"/>
      <c r="D123" s="189"/>
      <c r="E123" s="190"/>
      <c r="F123" s="150"/>
      <c r="G123" s="151"/>
      <c r="H123" s="191"/>
      <c r="I123" s="153"/>
      <c r="J123" s="154"/>
      <c r="K123" s="154"/>
      <c r="L123" s="154"/>
      <c r="M123" s="154"/>
      <c r="N123" s="153"/>
      <c r="O123" s="155"/>
      <c r="P123" s="194"/>
      <c r="Q123" s="194"/>
      <c r="R123" s="194"/>
      <c r="S123" s="203"/>
      <c r="T123" s="157"/>
      <c r="U123" s="158"/>
      <c r="V123" s="182"/>
    </row>
    <row r="124" spans="2:22" ht="14.25" customHeight="1">
      <c r="B124" s="140"/>
      <c r="C124" s="185"/>
      <c r="D124" s="186"/>
      <c r="E124" s="117"/>
      <c r="F124" s="131"/>
      <c r="G124" s="132"/>
      <c r="H124" s="120"/>
      <c r="I124" s="160"/>
      <c r="J124" s="161"/>
      <c r="K124" s="161"/>
      <c r="L124" s="161"/>
      <c r="M124" s="161"/>
      <c r="N124" s="160"/>
      <c r="O124" s="162"/>
      <c r="P124" s="123"/>
      <c r="Q124" s="123"/>
      <c r="R124" s="123"/>
      <c r="S124" s="138"/>
      <c r="T124" s="125"/>
      <c r="U124" s="126"/>
      <c r="V124" s="135"/>
    </row>
    <row r="125" spans="2:22" ht="14.25" customHeight="1">
      <c r="B125" s="115" t="s">
        <v>399</v>
      </c>
      <c r="C125" s="129">
        <f>SUM(I125:I337)</f>
        <v>3304565000</v>
      </c>
      <c r="D125" s="129">
        <f>SUM(N125:N337)</f>
        <v>2726552603</v>
      </c>
      <c r="E125" s="117" t="s">
        <v>399</v>
      </c>
      <c r="F125" s="131">
        <v>1</v>
      </c>
      <c r="G125" s="132"/>
      <c r="H125" s="120" t="s">
        <v>400</v>
      </c>
      <c r="I125" s="160">
        <v>977000</v>
      </c>
      <c r="J125" s="161">
        <v>0</v>
      </c>
      <c r="K125" s="161">
        <v>0</v>
      </c>
      <c r="L125" s="161">
        <v>0</v>
      </c>
      <c r="M125" s="161">
        <f>+I125-SUM(J125:L125)</f>
        <v>977000</v>
      </c>
      <c r="N125" s="160">
        <v>885900</v>
      </c>
      <c r="O125" s="162">
        <v>0</v>
      </c>
      <c r="P125" s="162">
        <v>0</v>
      </c>
      <c r="Q125" s="162">
        <v>0</v>
      </c>
      <c r="R125" s="162">
        <f>+N125-SUM(O125:Q125)</f>
        <v>885900</v>
      </c>
      <c r="S125" s="133" t="s">
        <v>401</v>
      </c>
      <c r="T125" s="125" t="s">
        <v>402</v>
      </c>
      <c r="U125" s="126" t="s">
        <v>402</v>
      </c>
      <c r="V125" s="135"/>
    </row>
    <row r="126" spans="2:22" ht="14.25" customHeight="1">
      <c r="B126" s="115" t="s">
        <v>280</v>
      </c>
      <c r="C126" s="129"/>
      <c r="D126" s="129"/>
      <c r="E126" s="117" t="s">
        <v>403</v>
      </c>
      <c r="F126" s="131"/>
      <c r="G126" s="132"/>
      <c r="H126" s="120"/>
      <c r="I126" s="160"/>
      <c r="J126" s="161"/>
      <c r="K126" s="161"/>
      <c r="L126" s="161"/>
      <c r="M126" s="161"/>
      <c r="N126" s="160"/>
      <c r="O126" s="162"/>
      <c r="P126" s="162"/>
      <c r="Q126" s="162"/>
      <c r="R126" s="162"/>
      <c r="S126" s="133" t="s">
        <v>404</v>
      </c>
      <c r="T126" s="125"/>
      <c r="U126" s="126"/>
      <c r="V126" s="135"/>
    </row>
    <row r="127" spans="2:22" ht="14.25" customHeight="1">
      <c r="B127" s="115"/>
      <c r="C127" s="129" t="s">
        <v>26</v>
      </c>
      <c r="D127" s="129" t="s">
        <v>26</v>
      </c>
      <c r="E127" s="117"/>
      <c r="F127" s="131"/>
      <c r="G127" s="132"/>
      <c r="H127" s="120"/>
      <c r="I127" s="160"/>
      <c r="J127" s="161"/>
      <c r="K127" s="161"/>
      <c r="L127" s="161"/>
      <c r="M127" s="161"/>
      <c r="N127" s="160"/>
      <c r="O127" s="162"/>
      <c r="P127" s="162"/>
      <c r="Q127" s="162"/>
      <c r="R127" s="162"/>
      <c r="S127" s="133" t="s">
        <v>405</v>
      </c>
      <c r="T127" s="125"/>
      <c r="U127" s="126"/>
      <c r="V127" s="135"/>
    </row>
    <row r="128" spans="2:22" ht="14.25" customHeight="1">
      <c r="B128" s="115"/>
      <c r="C128" s="129">
        <f>SUM(J125:J337)</f>
        <v>2262186000</v>
      </c>
      <c r="D128" s="129">
        <f>SUM(O125:O337)</f>
        <v>1790891789</v>
      </c>
      <c r="E128" s="117"/>
      <c r="F128" s="131"/>
      <c r="G128" s="132"/>
      <c r="H128" s="120"/>
      <c r="I128" s="160"/>
      <c r="J128" s="161"/>
      <c r="K128" s="161"/>
      <c r="L128" s="161"/>
      <c r="M128" s="161"/>
      <c r="N128" s="160"/>
      <c r="O128" s="162"/>
      <c r="P128" s="162"/>
      <c r="Q128" s="162"/>
      <c r="R128" s="162"/>
      <c r="S128" s="133"/>
      <c r="T128" s="125"/>
      <c r="U128" s="126"/>
      <c r="V128" s="135"/>
    </row>
    <row r="129" spans="2:22" ht="14.25" customHeight="1">
      <c r="B129" s="115"/>
      <c r="C129" s="129" t="s">
        <v>41</v>
      </c>
      <c r="D129" s="129" t="s">
        <v>41</v>
      </c>
      <c r="E129" s="117"/>
      <c r="F129" s="131">
        <f>+F125+1</f>
        <v>2</v>
      </c>
      <c r="G129" s="132"/>
      <c r="H129" s="120" t="s">
        <v>406</v>
      </c>
      <c r="I129" s="160">
        <v>8879000</v>
      </c>
      <c r="J129" s="161">
        <v>0</v>
      </c>
      <c r="K129" s="161">
        <v>0</v>
      </c>
      <c r="L129" s="161">
        <v>0</v>
      </c>
      <c r="M129" s="161">
        <f>+I129-SUM(J129:L129)</f>
        <v>8879000</v>
      </c>
      <c r="N129" s="160">
        <v>8399195</v>
      </c>
      <c r="O129" s="162">
        <v>0</v>
      </c>
      <c r="P129" s="162">
        <v>0</v>
      </c>
      <c r="Q129" s="162">
        <v>0</v>
      </c>
      <c r="R129" s="162">
        <f>+N129-SUM(O129:Q129)</f>
        <v>8399195</v>
      </c>
      <c r="S129" s="133" t="s">
        <v>407</v>
      </c>
      <c r="T129" s="125" t="s">
        <v>408</v>
      </c>
      <c r="U129" s="126" t="s">
        <v>408</v>
      </c>
      <c r="V129" s="135"/>
    </row>
    <row r="130" spans="2:22" ht="14.25" customHeight="1">
      <c r="B130" s="115"/>
      <c r="C130" s="129">
        <f>SUM(K125:K337)</f>
        <v>47000000</v>
      </c>
      <c r="D130" s="129">
        <f>SUM(P125:P337)</f>
        <v>47000000</v>
      </c>
      <c r="E130" s="117"/>
      <c r="F130" s="131"/>
      <c r="G130" s="132"/>
      <c r="H130" s="120"/>
      <c r="I130" s="160"/>
      <c r="J130" s="161"/>
      <c r="K130" s="161"/>
      <c r="L130" s="161"/>
      <c r="M130" s="161"/>
      <c r="N130" s="160"/>
      <c r="O130" s="162"/>
      <c r="P130" s="162"/>
      <c r="Q130" s="162"/>
      <c r="R130" s="162"/>
      <c r="S130" s="133" t="s">
        <v>409</v>
      </c>
      <c r="T130" s="125"/>
      <c r="U130" s="126"/>
      <c r="V130" s="135"/>
    </row>
    <row r="131" spans="2:22" ht="14.25" customHeight="1">
      <c r="B131" s="115"/>
      <c r="C131" s="129" t="s">
        <v>15</v>
      </c>
      <c r="D131" s="129" t="s">
        <v>15</v>
      </c>
      <c r="E131" s="117"/>
      <c r="F131" s="131"/>
      <c r="G131" s="132"/>
      <c r="H131" s="120"/>
      <c r="I131" s="160"/>
      <c r="J131" s="161"/>
      <c r="K131" s="161"/>
      <c r="L131" s="161"/>
      <c r="M131" s="161"/>
      <c r="N131" s="160"/>
      <c r="O131" s="162"/>
      <c r="P131" s="162"/>
      <c r="Q131" s="162"/>
      <c r="R131" s="162"/>
      <c r="S131" s="133"/>
      <c r="T131" s="204"/>
      <c r="U131" s="205"/>
      <c r="V131" s="135"/>
    </row>
    <row r="132" spans="2:22" ht="14.25" customHeight="1">
      <c r="B132" s="140"/>
      <c r="C132" s="129">
        <f>SUM(L125:L337)</f>
        <v>866243000</v>
      </c>
      <c r="D132" s="129">
        <f>SUM(Q125:Q337)</f>
        <v>805541523</v>
      </c>
      <c r="E132" s="117"/>
      <c r="F132" s="131">
        <f>+F129+1</f>
        <v>3</v>
      </c>
      <c r="G132" s="132"/>
      <c r="H132" s="120" t="s">
        <v>410</v>
      </c>
      <c r="I132" s="160">
        <v>1082000</v>
      </c>
      <c r="J132" s="161">
        <v>0</v>
      </c>
      <c r="K132" s="161">
        <v>0</v>
      </c>
      <c r="L132" s="161">
        <v>0</v>
      </c>
      <c r="M132" s="161">
        <f>+I132-SUM(J132:L132)</f>
        <v>1082000</v>
      </c>
      <c r="N132" s="160">
        <v>141000</v>
      </c>
      <c r="O132" s="162">
        <v>0</v>
      </c>
      <c r="P132" s="162">
        <v>0</v>
      </c>
      <c r="Q132" s="162">
        <v>0</v>
      </c>
      <c r="R132" s="162">
        <f>+N132-SUM(O132:Q132)</f>
        <v>141000</v>
      </c>
      <c r="S132" s="133" t="s">
        <v>411</v>
      </c>
      <c r="T132" s="125" t="s">
        <v>412</v>
      </c>
      <c r="U132" s="126" t="s">
        <v>270</v>
      </c>
      <c r="V132" s="127"/>
    </row>
    <row r="133" spans="2:22" ht="14.25" customHeight="1">
      <c r="B133" s="140"/>
      <c r="C133" s="129" t="s">
        <v>18</v>
      </c>
      <c r="D133" s="129" t="s">
        <v>18</v>
      </c>
      <c r="E133" s="117"/>
      <c r="F133" s="131"/>
      <c r="G133" s="132"/>
      <c r="H133" s="120"/>
      <c r="I133" s="160"/>
      <c r="J133" s="161"/>
      <c r="K133" s="161"/>
      <c r="L133" s="161"/>
      <c r="M133" s="161"/>
      <c r="N133" s="160"/>
      <c r="O133" s="162"/>
      <c r="P133" s="162"/>
      <c r="Q133" s="162"/>
      <c r="R133" s="162"/>
      <c r="S133" s="206"/>
      <c r="T133" s="204"/>
      <c r="U133" s="205"/>
      <c r="V133" s="127"/>
    </row>
    <row r="134" spans="2:22" ht="14.25" customHeight="1">
      <c r="B134" s="140"/>
      <c r="C134" s="129">
        <f>C125-C128-C130-C132</f>
        <v>129136000</v>
      </c>
      <c r="D134" s="129">
        <f>D125-D128-D130-D132</f>
        <v>83119291</v>
      </c>
      <c r="E134" s="117"/>
      <c r="F134" s="131">
        <f>+F132+1</f>
        <v>4</v>
      </c>
      <c r="G134" s="119"/>
      <c r="H134" s="120" t="s">
        <v>413</v>
      </c>
      <c r="I134" s="160">
        <v>5318000</v>
      </c>
      <c r="J134" s="161">
        <v>0</v>
      </c>
      <c r="K134" s="161">
        <v>0</v>
      </c>
      <c r="L134" s="161">
        <v>0</v>
      </c>
      <c r="M134" s="161">
        <f>+I134-SUM(J134:L134)</f>
        <v>5318000</v>
      </c>
      <c r="N134" s="160">
        <v>3866200</v>
      </c>
      <c r="O134" s="162">
        <v>0</v>
      </c>
      <c r="P134" s="162">
        <v>0</v>
      </c>
      <c r="Q134" s="162">
        <v>0</v>
      </c>
      <c r="R134" s="162">
        <f>+N134-SUM(O134:Q134)</f>
        <v>3866200</v>
      </c>
      <c r="S134" s="133" t="s">
        <v>414</v>
      </c>
      <c r="T134" s="125" t="s">
        <v>415</v>
      </c>
      <c r="U134" s="126" t="s">
        <v>415</v>
      </c>
      <c r="V134" s="182"/>
    </row>
    <row r="135" spans="2:22" ht="14.25" customHeight="1">
      <c r="B135" s="140"/>
      <c r="C135" s="186"/>
      <c r="D135" s="186"/>
      <c r="E135" s="117"/>
      <c r="F135" s="131"/>
      <c r="G135" s="119"/>
      <c r="H135" s="120"/>
      <c r="I135" s="160"/>
      <c r="J135" s="161"/>
      <c r="K135" s="161"/>
      <c r="L135" s="161"/>
      <c r="M135" s="161"/>
      <c r="N135" s="160"/>
      <c r="O135" s="162"/>
      <c r="P135" s="162"/>
      <c r="Q135" s="162"/>
      <c r="R135" s="162"/>
      <c r="S135" s="133" t="s">
        <v>416</v>
      </c>
      <c r="T135" s="125"/>
      <c r="U135" s="126"/>
      <c r="V135" s="182"/>
    </row>
    <row r="136" spans="2:22" ht="14.25" customHeight="1">
      <c r="B136" s="140"/>
      <c r="C136" s="186"/>
      <c r="D136" s="186"/>
      <c r="E136" s="117"/>
      <c r="F136" s="131"/>
      <c r="G136" s="119"/>
      <c r="H136" s="120"/>
      <c r="I136" s="160"/>
      <c r="J136" s="161"/>
      <c r="K136" s="161"/>
      <c r="L136" s="161"/>
      <c r="M136" s="161"/>
      <c r="N136" s="160"/>
      <c r="O136" s="162"/>
      <c r="P136" s="162"/>
      <c r="Q136" s="162"/>
      <c r="R136" s="162"/>
      <c r="S136" s="133" t="s">
        <v>417</v>
      </c>
      <c r="T136" s="125"/>
      <c r="U136" s="126"/>
      <c r="V136" s="182"/>
    </row>
    <row r="137" spans="2:22" ht="14.25" customHeight="1">
      <c r="B137" s="140"/>
      <c r="C137" s="186"/>
      <c r="D137" s="186"/>
      <c r="E137" s="117"/>
      <c r="F137" s="131"/>
      <c r="G137" s="119"/>
      <c r="H137" s="120"/>
      <c r="I137" s="160"/>
      <c r="J137" s="161"/>
      <c r="K137" s="161"/>
      <c r="L137" s="161"/>
      <c r="M137" s="161"/>
      <c r="N137" s="160"/>
      <c r="O137" s="162"/>
      <c r="P137" s="162"/>
      <c r="Q137" s="162"/>
      <c r="R137" s="162"/>
      <c r="S137" s="133" t="s">
        <v>418</v>
      </c>
      <c r="T137" s="125"/>
      <c r="U137" s="126"/>
      <c r="V137" s="182"/>
    </row>
    <row r="138" spans="2:22" ht="14.25" customHeight="1">
      <c r="B138" s="140"/>
      <c r="C138" s="129"/>
      <c r="D138" s="129"/>
      <c r="E138" s="117"/>
      <c r="F138" s="131"/>
      <c r="G138" s="132"/>
      <c r="H138" s="120"/>
      <c r="I138" s="121"/>
      <c r="J138" s="122"/>
      <c r="K138" s="122"/>
      <c r="L138" s="122"/>
      <c r="M138" s="122"/>
      <c r="N138" s="121"/>
      <c r="O138" s="123"/>
      <c r="P138" s="123"/>
      <c r="Q138" s="123"/>
      <c r="R138" s="123"/>
      <c r="S138" s="137" t="s">
        <v>419</v>
      </c>
      <c r="T138" s="125"/>
      <c r="U138" s="126"/>
      <c r="V138" s="182"/>
    </row>
    <row r="139" spans="2:22" ht="14.25" customHeight="1">
      <c r="B139" s="140"/>
      <c r="C139" s="129"/>
      <c r="D139" s="129"/>
      <c r="E139" s="117"/>
      <c r="F139" s="131"/>
      <c r="G139" s="132"/>
      <c r="H139" s="120"/>
      <c r="I139" s="121"/>
      <c r="J139" s="122"/>
      <c r="K139" s="122"/>
      <c r="L139" s="122"/>
      <c r="M139" s="122"/>
      <c r="N139" s="121"/>
      <c r="O139" s="123"/>
      <c r="P139" s="123"/>
      <c r="Q139" s="123"/>
      <c r="R139" s="123"/>
      <c r="S139" s="137"/>
      <c r="T139" s="125"/>
      <c r="U139" s="126"/>
      <c r="V139" s="182"/>
    </row>
    <row r="140" spans="2:22" ht="14.25" customHeight="1">
      <c r="B140" s="140"/>
      <c r="C140" s="186"/>
      <c r="D140" s="186"/>
      <c r="E140" s="117"/>
      <c r="F140" s="131">
        <f>+F134+1</f>
        <v>5</v>
      </c>
      <c r="G140" s="132"/>
      <c r="H140" s="120" t="s">
        <v>420</v>
      </c>
      <c r="I140" s="121">
        <v>1275000</v>
      </c>
      <c r="J140" s="122">
        <v>0</v>
      </c>
      <c r="K140" s="122">
        <v>0</v>
      </c>
      <c r="L140" s="122">
        <v>0</v>
      </c>
      <c r="M140" s="122">
        <f>+I140-SUM(J140:L140)</f>
        <v>1275000</v>
      </c>
      <c r="N140" s="121">
        <v>1253800</v>
      </c>
      <c r="O140" s="123">
        <v>0</v>
      </c>
      <c r="P140" s="123">
        <v>0</v>
      </c>
      <c r="Q140" s="123">
        <v>0</v>
      </c>
      <c r="R140" s="123">
        <f>+N140-SUM(O140:Q140)</f>
        <v>1253800</v>
      </c>
      <c r="S140" s="137" t="s">
        <v>421</v>
      </c>
      <c r="T140" s="125" t="s">
        <v>422</v>
      </c>
      <c r="U140" s="126" t="s">
        <v>422</v>
      </c>
      <c r="V140" s="182"/>
    </row>
    <row r="141" spans="2:22" ht="14.25" customHeight="1">
      <c r="B141" s="140"/>
      <c r="C141" s="186"/>
      <c r="D141" s="186"/>
      <c r="E141" s="117"/>
      <c r="F141" s="131"/>
      <c r="G141" s="132"/>
      <c r="H141" s="120"/>
      <c r="I141" s="121"/>
      <c r="J141" s="122"/>
      <c r="K141" s="122"/>
      <c r="L141" s="122"/>
      <c r="M141" s="122"/>
      <c r="N141" s="121"/>
      <c r="O141" s="123"/>
      <c r="P141" s="123"/>
      <c r="Q141" s="123"/>
      <c r="R141" s="123"/>
      <c r="S141" s="137" t="s">
        <v>423</v>
      </c>
      <c r="T141" s="125"/>
      <c r="U141" s="126"/>
      <c r="V141" s="182"/>
    </row>
    <row r="142" spans="2:22" ht="14.25" customHeight="1">
      <c r="B142" s="140"/>
      <c r="C142" s="186"/>
      <c r="D142" s="186"/>
      <c r="E142" s="117"/>
      <c r="F142" s="131"/>
      <c r="G142" s="132"/>
      <c r="H142" s="120"/>
      <c r="I142" s="121"/>
      <c r="J142" s="122"/>
      <c r="K142" s="122"/>
      <c r="L142" s="122"/>
      <c r="M142" s="122"/>
      <c r="N142" s="121"/>
      <c r="O142" s="123"/>
      <c r="P142" s="123"/>
      <c r="Q142" s="123"/>
      <c r="R142" s="123"/>
      <c r="S142" s="137" t="s">
        <v>424</v>
      </c>
      <c r="T142" s="125"/>
      <c r="U142" s="126"/>
      <c r="V142" s="182"/>
    </row>
    <row r="143" spans="2:22" ht="14.25" customHeight="1">
      <c r="B143" s="140"/>
      <c r="C143" s="186"/>
      <c r="D143" s="186"/>
      <c r="E143" s="117"/>
      <c r="F143" s="131"/>
      <c r="G143" s="132"/>
      <c r="H143" s="120"/>
      <c r="I143" s="121"/>
      <c r="J143" s="122"/>
      <c r="K143" s="122"/>
      <c r="L143" s="122"/>
      <c r="M143" s="122"/>
      <c r="N143" s="121"/>
      <c r="O143" s="123"/>
      <c r="P143" s="123"/>
      <c r="Q143" s="123"/>
      <c r="R143" s="123"/>
      <c r="S143" s="137" t="s">
        <v>425</v>
      </c>
      <c r="T143" s="125"/>
      <c r="U143" s="126"/>
      <c r="V143" s="182"/>
    </row>
    <row r="144" spans="2:22" ht="14.25" customHeight="1">
      <c r="B144" s="140"/>
      <c r="C144" s="186"/>
      <c r="D144" s="186"/>
      <c r="E144" s="117"/>
      <c r="F144" s="131"/>
      <c r="G144" s="132"/>
      <c r="H144" s="120"/>
      <c r="I144" s="121"/>
      <c r="J144" s="122"/>
      <c r="K144" s="122"/>
      <c r="L144" s="122"/>
      <c r="M144" s="122"/>
      <c r="N144" s="121"/>
      <c r="O144" s="123"/>
      <c r="P144" s="123"/>
      <c r="Q144" s="123"/>
      <c r="R144" s="123"/>
      <c r="S144" s="137" t="s">
        <v>426</v>
      </c>
      <c r="T144" s="125"/>
      <c r="U144" s="126"/>
      <c r="V144" s="182"/>
    </row>
    <row r="145" spans="2:22" ht="14.25" customHeight="1">
      <c r="B145" s="140"/>
      <c r="C145" s="186"/>
      <c r="D145" s="186"/>
      <c r="E145" s="117"/>
      <c r="F145" s="131"/>
      <c r="G145" s="132"/>
      <c r="H145" s="120"/>
      <c r="I145" s="121"/>
      <c r="J145" s="122"/>
      <c r="K145" s="122"/>
      <c r="L145" s="122"/>
      <c r="M145" s="122"/>
      <c r="N145" s="121"/>
      <c r="O145" s="123"/>
      <c r="P145" s="123"/>
      <c r="Q145" s="123"/>
      <c r="R145" s="123"/>
      <c r="S145" s="137"/>
      <c r="T145" s="125"/>
      <c r="U145" s="126"/>
      <c r="V145" s="127"/>
    </row>
    <row r="146" spans="2:22" ht="14.25" customHeight="1">
      <c r="B146" s="140"/>
      <c r="C146" s="129"/>
      <c r="D146" s="129"/>
      <c r="E146" s="117"/>
      <c r="F146" s="131">
        <f>+F140+1</f>
        <v>6</v>
      </c>
      <c r="G146" s="132"/>
      <c r="H146" s="120" t="s">
        <v>427</v>
      </c>
      <c r="I146" s="121">
        <v>552000</v>
      </c>
      <c r="J146" s="122">
        <v>0</v>
      </c>
      <c r="K146" s="122">
        <v>0</v>
      </c>
      <c r="L146" s="122">
        <v>0</v>
      </c>
      <c r="M146" s="122">
        <f>+I146-SUM(J146:L146)</f>
        <v>552000</v>
      </c>
      <c r="N146" s="121">
        <v>10000</v>
      </c>
      <c r="O146" s="123">
        <v>0</v>
      </c>
      <c r="P146" s="123">
        <v>0</v>
      </c>
      <c r="Q146" s="123">
        <v>0</v>
      </c>
      <c r="R146" s="123">
        <f>+N146-SUM(O146:Q146)</f>
        <v>10000</v>
      </c>
      <c r="S146" s="196" t="s">
        <v>428</v>
      </c>
      <c r="T146" s="184" t="s">
        <v>429</v>
      </c>
      <c r="U146" s="126" t="s">
        <v>430</v>
      </c>
      <c r="V146" s="127"/>
    </row>
    <row r="147" spans="2:22" ht="14.25" customHeight="1">
      <c r="B147" s="140"/>
      <c r="C147" s="129"/>
      <c r="D147" s="129"/>
      <c r="E147" s="117"/>
      <c r="F147" s="131"/>
      <c r="G147" s="132"/>
      <c r="H147" s="120"/>
      <c r="I147" s="121"/>
      <c r="J147" s="122"/>
      <c r="K147" s="122"/>
      <c r="L147" s="122"/>
      <c r="M147" s="122"/>
      <c r="N147" s="121"/>
      <c r="O147" s="123"/>
      <c r="P147" s="123"/>
      <c r="Q147" s="123"/>
      <c r="R147" s="123"/>
      <c r="S147" s="137"/>
      <c r="T147" s="184"/>
      <c r="U147" s="126"/>
      <c r="V147" s="127"/>
    </row>
    <row r="148" spans="2:22" ht="14.25" customHeight="1">
      <c r="B148" s="140"/>
      <c r="C148" s="186"/>
      <c r="D148" s="186"/>
      <c r="E148" s="117"/>
      <c r="F148" s="131">
        <f>+F146+1</f>
        <v>7</v>
      </c>
      <c r="G148" s="132"/>
      <c r="H148" s="120" t="s">
        <v>431</v>
      </c>
      <c r="I148" s="121">
        <v>74049000</v>
      </c>
      <c r="J148" s="122">
        <v>0</v>
      </c>
      <c r="K148" s="122">
        <v>0</v>
      </c>
      <c r="L148" s="122">
        <v>0</v>
      </c>
      <c r="M148" s="122">
        <f>+I148-SUM(J148:L148)</f>
        <v>74049000</v>
      </c>
      <c r="N148" s="121">
        <v>73265000</v>
      </c>
      <c r="O148" s="123">
        <v>0</v>
      </c>
      <c r="P148" s="123">
        <v>0</v>
      </c>
      <c r="Q148" s="123">
        <v>0</v>
      </c>
      <c r="R148" s="123">
        <f>+N148-SUM(O148:Q148)</f>
        <v>73265000</v>
      </c>
      <c r="S148" s="137" t="s">
        <v>432</v>
      </c>
      <c r="T148" s="125" t="s">
        <v>433</v>
      </c>
      <c r="U148" s="126" t="s">
        <v>433</v>
      </c>
      <c r="V148" s="127"/>
    </row>
    <row r="149" spans="2:22" ht="14.25" customHeight="1">
      <c r="B149" s="140"/>
      <c r="C149" s="186"/>
      <c r="D149" s="186"/>
      <c r="E149" s="117"/>
      <c r="F149" s="131"/>
      <c r="G149" s="132"/>
      <c r="H149" s="120"/>
      <c r="I149" s="121"/>
      <c r="J149" s="122"/>
      <c r="K149" s="122"/>
      <c r="L149" s="122"/>
      <c r="M149" s="122"/>
      <c r="N149" s="121"/>
      <c r="O149" s="123"/>
      <c r="P149" s="123"/>
      <c r="Q149" s="123"/>
      <c r="R149" s="123"/>
      <c r="S149" s="137" t="s">
        <v>434</v>
      </c>
      <c r="T149" s="125"/>
      <c r="U149" s="126"/>
      <c r="V149" s="127"/>
    </row>
    <row r="150" spans="2:22" ht="14.25" customHeight="1">
      <c r="B150" s="140"/>
      <c r="C150" s="186"/>
      <c r="D150" s="186"/>
      <c r="E150" s="117"/>
      <c r="F150" s="131"/>
      <c r="G150" s="132"/>
      <c r="H150" s="120"/>
      <c r="I150" s="121"/>
      <c r="J150" s="122"/>
      <c r="K150" s="122"/>
      <c r="L150" s="122"/>
      <c r="M150" s="122"/>
      <c r="N150" s="121"/>
      <c r="O150" s="123"/>
      <c r="P150" s="123"/>
      <c r="Q150" s="123"/>
      <c r="R150" s="123"/>
      <c r="S150" s="137"/>
      <c r="T150" s="125"/>
      <c r="U150" s="126"/>
      <c r="V150" s="127"/>
    </row>
    <row r="151" spans="2:22" ht="14.25" customHeight="1">
      <c r="B151" s="140"/>
      <c r="C151" s="186"/>
      <c r="D151" s="186"/>
      <c r="E151" s="117"/>
      <c r="F151" s="131">
        <f>+F148+1</f>
        <v>8</v>
      </c>
      <c r="G151" s="132"/>
      <c r="H151" s="120" t="s">
        <v>435</v>
      </c>
      <c r="I151" s="160">
        <v>4357000</v>
      </c>
      <c r="J151" s="161">
        <v>0</v>
      </c>
      <c r="K151" s="161">
        <v>0</v>
      </c>
      <c r="L151" s="161">
        <v>0</v>
      </c>
      <c r="M151" s="161">
        <f>+I151-SUM(J151:L151)</f>
        <v>4357000</v>
      </c>
      <c r="N151" s="160">
        <v>2854031</v>
      </c>
      <c r="O151" s="162">
        <v>0</v>
      </c>
      <c r="P151" s="162">
        <v>0</v>
      </c>
      <c r="Q151" s="162">
        <v>0</v>
      </c>
      <c r="R151" s="162">
        <f>+N151-SUM(O151:Q151)</f>
        <v>2854031</v>
      </c>
      <c r="S151" s="197" t="s">
        <v>436</v>
      </c>
      <c r="T151" s="184" t="s">
        <v>429</v>
      </c>
      <c r="U151" s="126" t="s">
        <v>437</v>
      </c>
      <c r="V151" s="127"/>
    </row>
    <row r="152" spans="2:22" ht="14.25" customHeight="1">
      <c r="B152" s="140"/>
      <c r="C152" s="186"/>
      <c r="D152" s="186"/>
      <c r="E152" s="117"/>
      <c r="F152" s="131"/>
      <c r="G152" s="132"/>
      <c r="H152" s="120"/>
      <c r="I152" s="160"/>
      <c r="J152" s="161"/>
      <c r="K152" s="161"/>
      <c r="L152" s="161"/>
      <c r="M152" s="161"/>
      <c r="N152" s="160"/>
      <c r="O152" s="162"/>
      <c r="P152" s="162"/>
      <c r="Q152" s="162"/>
      <c r="R152" s="162"/>
      <c r="S152" s="197" t="s">
        <v>438</v>
      </c>
      <c r="T152" s="125"/>
      <c r="U152" s="126"/>
      <c r="V152" s="127"/>
    </row>
    <row r="153" spans="2:22" ht="14.25" customHeight="1">
      <c r="B153" s="140"/>
      <c r="C153" s="186"/>
      <c r="D153" s="186"/>
      <c r="E153" s="117"/>
      <c r="F153" s="131"/>
      <c r="G153" s="132"/>
      <c r="H153" s="120"/>
      <c r="I153" s="160"/>
      <c r="J153" s="161"/>
      <c r="K153" s="161"/>
      <c r="L153" s="161"/>
      <c r="M153" s="161"/>
      <c r="N153" s="160"/>
      <c r="O153" s="162"/>
      <c r="P153" s="162"/>
      <c r="Q153" s="162"/>
      <c r="R153" s="162"/>
      <c r="S153" s="197"/>
      <c r="T153" s="125"/>
      <c r="U153" s="126"/>
      <c r="V153" s="127"/>
    </row>
    <row r="154" spans="2:22" ht="14.25" customHeight="1">
      <c r="B154" s="140"/>
      <c r="C154" s="186"/>
      <c r="D154" s="186"/>
      <c r="E154" s="117"/>
      <c r="F154" s="131"/>
      <c r="G154" s="132"/>
      <c r="H154" s="120"/>
      <c r="I154" s="160"/>
      <c r="J154" s="161"/>
      <c r="K154" s="161"/>
      <c r="L154" s="161"/>
      <c r="M154" s="161"/>
      <c r="N154" s="160"/>
      <c r="O154" s="162"/>
      <c r="P154" s="162"/>
      <c r="Q154" s="162"/>
      <c r="R154" s="162"/>
      <c r="S154" s="197"/>
      <c r="T154" s="125"/>
      <c r="U154" s="126"/>
      <c r="V154" s="127"/>
    </row>
    <row r="155" spans="2:22" ht="14.25" customHeight="1" thickBot="1">
      <c r="B155" s="147"/>
      <c r="C155" s="189"/>
      <c r="D155" s="189"/>
      <c r="E155" s="190"/>
      <c r="F155" s="150"/>
      <c r="G155" s="151"/>
      <c r="H155" s="191"/>
      <c r="I155" s="153"/>
      <c r="J155" s="154"/>
      <c r="K155" s="154"/>
      <c r="L155" s="154"/>
      <c r="M155" s="154"/>
      <c r="N155" s="153"/>
      <c r="O155" s="155"/>
      <c r="P155" s="155"/>
      <c r="Q155" s="155"/>
      <c r="R155" s="155"/>
      <c r="S155" s="207"/>
      <c r="T155" s="157"/>
      <c r="U155" s="158"/>
      <c r="V155" s="127"/>
    </row>
    <row r="156" spans="2:22" ht="14.25" customHeight="1">
      <c r="B156" s="140"/>
      <c r="C156" s="186"/>
      <c r="D156" s="186"/>
      <c r="E156" s="117"/>
      <c r="F156" s="131">
        <f>+F151+1</f>
        <v>9</v>
      </c>
      <c r="G156" s="132"/>
      <c r="H156" s="120" t="s">
        <v>439</v>
      </c>
      <c r="I156" s="160">
        <v>7176000</v>
      </c>
      <c r="J156" s="161">
        <v>0</v>
      </c>
      <c r="K156" s="161">
        <v>0</v>
      </c>
      <c r="L156" s="161">
        <v>0</v>
      </c>
      <c r="M156" s="161">
        <f>+I156-SUM(J156:L156)</f>
        <v>7176000</v>
      </c>
      <c r="N156" s="160">
        <v>6841010</v>
      </c>
      <c r="O156" s="162">
        <v>0</v>
      </c>
      <c r="P156" s="162">
        <v>0</v>
      </c>
      <c r="Q156" s="162">
        <v>0</v>
      </c>
      <c r="R156" s="162">
        <f>+N156-SUM(O156:Q156)</f>
        <v>6841010</v>
      </c>
      <c r="S156" s="133" t="s">
        <v>440</v>
      </c>
      <c r="T156" s="125" t="s">
        <v>441</v>
      </c>
      <c r="U156" s="126" t="s">
        <v>441</v>
      </c>
      <c r="V156" s="127"/>
    </row>
    <row r="157" spans="2:22" ht="14.25" customHeight="1">
      <c r="B157" s="140"/>
      <c r="C157" s="186"/>
      <c r="D157" s="186"/>
      <c r="E157" s="117"/>
      <c r="F157" s="131"/>
      <c r="G157" s="132"/>
      <c r="H157" s="120"/>
      <c r="I157" s="160"/>
      <c r="J157" s="161"/>
      <c r="K157" s="161"/>
      <c r="L157" s="161"/>
      <c r="M157" s="161"/>
      <c r="N157" s="160"/>
      <c r="O157" s="162"/>
      <c r="P157" s="162"/>
      <c r="Q157" s="162"/>
      <c r="R157" s="162"/>
      <c r="S157" s="133" t="s">
        <v>442</v>
      </c>
      <c r="T157" s="125"/>
      <c r="U157" s="126"/>
      <c r="V157" s="127"/>
    </row>
    <row r="158" spans="2:22" ht="14.25" customHeight="1">
      <c r="B158" s="140"/>
      <c r="C158" s="186"/>
      <c r="D158" s="186"/>
      <c r="E158" s="117"/>
      <c r="F158" s="131"/>
      <c r="G158" s="132"/>
      <c r="H158" s="120"/>
      <c r="I158" s="160"/>
      <c r="J158" s="161"/>
      <c r="K158" s="161"/>
      <c r="L158" s="161"/>
      <c r="M158" s="161"/>
      <c r="N158" s="160"/>
      <c r="O158" s="162"/>
      <c r="P158" s="162"/>
      <c r="Q158" s="162"/>
      <c r="R158" s="162"/>
      <c r="S158" s="133" t="s">
        <v>443</v>
      </c>
      <c r="T158" s="125"/>
      <c r="U158" s="126"/>
      <c r="V158" s="127"/>
    </row>
    <row r="159" spans="2:22" ht="14.25" customHeight="1">
      <c r="B159" s="140"/>
      <c r="C159" s="186"/>
      <c r="D159" s="186"/>
      <c r="E159" s="117"/>
      <c r="F159" s="131"/>
      <c r="G159" s="132"/>
      <c r="H159" s="120"/>
      <c r="I159" s="160"/>
      <c r="J159" s="161"/>
      <c r="K159" s="161"/>
      <c r="L159" s="161"/>
      <c r="M159" s="161"/>
      <c r="N159" s="160"/>
      <c r="O159" s="162"/>
      <c r="P159" s="162"/>
      <c r="Q159" s="162"/>
      <c r="R159" s="162"/>
      <c r="S159" s="133"/>
      <c r="T159" s="125"/>
      <c r="U159" s="126"/>
      <c r="V159" s="127"/>
    </row>
    <row r="160" spans="2:22" ht="14.25" customHeight="1">
      <c r="B160" s="140"/>
      <c r="C160" s="186"/>
      <c r="D160" s="186"/>
      <c r="E160" s="117"/>
      <c r="F160" s="131">
        <f>+F156+1</f>
        <v>10</v>
      </c>
      <c r="G160" s="132"/>
      <c r="H160" s="120" t="s">
        <v>444</v>
      </c>
      <c r="I160" s="160">
        <v>7295000</v>
      </c>
      <c r="J160" s="161">
        <v>4048000</v>
      </c>
      <c r="K160" s="161">
        <v>0</v>
      </c>
      <c r="L160" s="161">
        <v>0</v>
      </c>
      <c r="M160" s="161">
        <f>+I160-SUM(J160:L160)</f>
        <v>3247000</v>
      </c>
      <c r="N160" s="160">
        <v>5985815</v>
      </c>
      <c r="O160" s="162">
        <v>3081900</v>
      </c>
      <c r="P160" s="162">
        <v>0</v>
      </c>
      <c r="Q160" s="162">
        <v>0</v>
      </c>
      <c r="R160" s="162">
        <f>+N160-SUM(O160:Q160)</f>
        <v>2903915</v>
      </c>
      <c r="S160" s="133" t="s">
        <v>445</v>
      </c>
      <c r="T160" s="125" t="s">
        <v>446</v>
      </c>
      <c r="U160" s="126" t="s">
        <v>446</v>
      </c>
      <c r="V160" s="127"/>
    </row>
    <row r="161" spans="2:22" ht="14.25" customHeight="1">
      <c r="B161" s="140"/>
      <c r="C161" s="186"/>
      <c r="D161" s="186"/>
      <c r="E161" s="117"/>
      <c r="F161" s="131"/>
      <c r="G161" s="132"/>
      <c r="H161" s="120"/>
      <c r="I161" s="160"/>
      <c r="J161" s="161"/>
      <c r="K161" s="161"/>
      <c r="L161" s="161"/>
      <c r="M161" s="161"/>
      <c r="N161" s="160"/>
      <c r="O161" s="162"/>
      <c r="P161" s="162"/>
      <c r="Q161" s="162"/>
      <c r="R161" s="162"/>
      <c r="S161" s="133" t="s">
        <v>447</v>
      </c>
      <c r="T161" s="125"/>
      <c r="U161" s="126"/>
      <c r="V161" s="127"/>
    </row>
    <row r="162" spans="2:22" ht="14.25" customHeight="1">
      <c r="B162" s="140"/>
      <c r="C162" s="186"/>
      <c r="D162" s="186"/>
      <c r="E162" s="117"/>
      <c r="F162" s="131"/>
      <c r="G162" s="132"/>
      <c r="H162" s="120"/>
      <c r="I162" s="160"/>
      <c r="J162" s="161"/>
      <c r="K162" s="161"/>
      <c r="L162" s="161"/>
      <c r="M162" s="161"/>
      <c r="N162" s="160"/>
      <c r="O162" s="162"/>
      <c r="P162" s="162"/>
      <c r="Q162" s="162"/>
      <c r="R162" s="162"/>
      <c r="S162" s="133" t="s">
        <v>448</v>
      </c>
      <c r="T162" s="125"/>
      <c r="U162" s="126"/>
      <c r="V162" s="127"/>
    </row>
    <row r="163" spans="2:22" ht="14.25" customHeight="1">
      <c r="B163" s="140"/>
      <c r="C163" s="186"/>
      <c r="D163" s="186"/>
      <c r="E163" s="117"/>
      <c r="F163" s="131"/>
      <c r="G163" s="132"/>
      <c r="H163" s="120"/>
      <c r="I163" s="160"/>
      <c r="J163" s="161"/>
      <c r="K163" s="161"/>
      <c r="L163" s="161"/>
      <c r="M163" s="161"/>
      <c r="N163" s="160"/>
      <c r="O163" s="162"/>
      <c r="P163" s="162"/>
      <c r="Q163" s="162"/>
      <c r="R163" s="162"/>
      <c r="S163" s="133"/>
      <c r="T163" s="125"/>
      <c r="U163" s="126"/>
      <c r="V163" s="127"/>
    </row>
    <row r="164" spans="2:22" ht="14.25" customHeight="1">
      <c r="B164" s="140"/>
      <c r="C164" s="186"/>
      <c r="D164" s="186"/>
      <c r="E164" s="117"/>
      <c r="F164" s="131">
        <f>+F160+1</f>
        <v>11</v>
      </c>
      <c r="G164" s="132"/>
      <c r="H164" s="144" t="s">
        <v>449</v>
      </c>
      <c r="I164" s="121">
        <v>5128000</v>
      </c>
      <c r="J164" s="122">
        <v>0</v>
      </c>
      <c r="K164" s="122">
        <v>0</v>
      </c>
      <c r="L164" s="122">
        <v>1000000</v>
      </c>
      <c r="M164" s="122">
        <f>+I164-SUM(J164:L164)</f>
        <v>4128000</v>
      </c>
      <c r="N164" s="121">
        <v>4693675</v>
      </c>
      <c r="O164" s="123">
        <v>0</v>
      </c>
      <c r="P164" s="123">
        <v>0</v>
      </c>
      <c r="Q164" s="123">
        <v>1000000</v>
      </c>
      <c r="R164" s="123">
        <f>+N164-SUM(O164:Q164)</f>
        <v>3693675</v>
      </c>
      <c r="S164" s="133" t="s">
        <v>450</v>
      </c>
      <c r="T164" s="125"/>
      <c r="U164" s="126"/>
      <c r="V164" s="127"/>
    </row>
    <row r="165" spans="2:22" ht="14.25" customHeight="1">
      <c r="B165" s="140"/>
      <c r="C165" s="186"/>
      <c r="D165" s="186"/>
      <c r="E165" s="117"/>
      <c r="F165" s="131"/>
      <c r="G165" s="132"/>
      <c r="H165" s="144" t="s">
        <v>451</v>
      </c>
      <c r="I165" s="121"/>
      <c r="J165" s="122"/>
      <c r="K165" s="122"/>
      <c r="L165" s="122"/>
      <c r="M165" s="122"/>
      <c r="N165" s="121"/>
      <c r="O165" s="123"/>
      <c r="P165" s="123"/>
      <c r="Q165" s="123"/>
      <c r="R165" s="123"/>
      <c r="S165" s="133" t="s">
        <v>452</v>
      </c>
      <c r="T165" s="184" t="s">
        <v>429</v>
      </c>
      <c r="U165" s="126" t="s">
        <v>453</v>
      </c>
      <c r="V165" s="127"/>
    </row>
    <row r="166" spans="2:22" ht="14.25" customHeight="1">
      <c r="B166" s="140"/>
      <c r="C166" s="186"/>
      <c r="D166" s="186"/>
      <c r="E166" s="117"/>
      <c r="F166" s="131"/>
      <c r="G166" s="132"/>
      <c r="H166" s="120"/>
      <c r="I166" s="121"/>
      <c r="J166" s="122"/>
      <c r="K166" s="122"/>
      <c r="L166" s="122"/>
      <c r="M166" s="122"/>
      <c r="N166" s="121"/>
      <c r="O166" s="123"/>
      <c r="P166" s="123"/>
      <c r="Q166" s="123"/>
      <c r="R166" s="123"/>
      <c r="S166" s="133" t="s">
        <v>454</v>
      </c>
      <c r="T166" s="125"/>
      <c r="U166" s="126"/>
      <c r="V166" s="127"/>
    </row>
    <row r="167" spans="2:22" ht="14.25" customHeight="1">
      <c r="B167" s="140"/>
      <c r="C167" s="186"/>
      <c r="D167" s="186"/>
      <c r="E167" s="117"/>
      <c r="F167" s="131"/>
      <c r="G167" s="132"/>
      <c r="H167" s="120"/>
      <c r="I167" s="121"/>
      <c r="J167" s="122"/>
      <c r="K167" s="122"/>
      <c r="L167" s="122"/>
      <c r="M167" s="122"/>
      <c r="N167" s="121"/>
      <c r="O167" s="123"/>
      <c r="P167" s="123"/>
      <c r="Q167" s="123"/>
      <c r="R167" s="123"/>
      <c r="S167" s="133" t="s">
        <v>455</v>
      </c>
      <c r="T167" s="125"/>
      <c r="U167" s="126"/>
      <c r="V167" s="182"/>
    </row>
    <row r="168" spans="2:22" ht="14.25" customHeight="1">
      <c r="B168" s="140"/>
      <c r="C168" s="186"/>
      <c r="D168" s="186"/>
      <c r="E168" s="117"/>
      <c r="F168" s="131"/>
      <c r="G168" s="132"/>
      <c r="H168" s="120"/>
      <c r="I168" s="121"/>
      <c r="J168" s="122"/>
      <c r="K168" s="122"/>
      <c r="L168" s="122"/>
      <c r="M168" s="122"/>
      <c r="N168" s="121"/>
      <c r="O168" s="123"/>
      <c r="P168" s="123"/>
      <c r="Q168" s="123"/>
      <c r="R168" s="123"/>
      <c r="S168" s="133" t="s">
        <v>456</v>
      </c>
      <c r="T168" s="125"/>
      <c r="U168" s="126"/>
      <c r="V168" s="208"/>
    </row>
    <row r="169" spans="2:22" ht="14.25" customHeight="1">
      <c r="B169" s="140"/>
      <c r="C169" s="186"/>
      <c r="D169" s="186"/>
      <c r="E169" s="117"/>
      <c r="F169" s="131"/>
      <c r="G169" s="132"/>
      <c r="H169" s="120"/>
      <c r="I169" s="121"/>
      <c r="J169" s="122"/>
      <c r="K169" s="122"/>
      <c r="L169" s="122"/>
      <c r="M169" s="122"/>
      <c r="N169" s="121"/>
      <c r="O169" s="123"/>
      <c r="P169" s="123"/>
      <c r="Q169" s="123"/>
      <c r="R169" s="123"/>
      <c r="S169" s="133" t="s">
        <v>457</v>
      </c>
      <c r="T169" s="125"/>
      <c r="U169" s="126"/>
      <c r="V169" s="208"/>
    </row>
    <row r="170" spans="2:22" ht="14.25" customHeight="1">
      <c r="B170" s="140"/>
      <c r="C170" s="186"/>
      <c r="D170" s="186"/>
      <c r="E170" s="117"/>
      <c r="F170" s="131"/>
      <c r="G170" s="132"/>
      <c r="H170" s="120"/>
      <c r="I170" s="121"/>
      <c r="J170" s="122"/>
      <c r="K170" s="122"/>
      <c r="L170" s="122"/>
      <c r="M170" s="122"/>
      <c r="N170" s="121"/>
      <c r="O170" s="123"/>
      <c r="P170" s="123"/>
      <c r="Q170" s="123"/>
      <c r="R170" s="123"/>
      <c r="S170" s="133"/>
      <c r="T170" s="125"/>
      <c r="U170" s="126"/>
      <c r="V170" s="208"/>
    </row>
    <row r="171" spans="2:22" ht="14.25" customHeight="1">
      <c r="B171" s="140"/>
      <c r="C171" s="186"/>
      <c r="D171" s="186"/>
      <c r="E171" s="117"/>
      <c r="F171" s="131">
        <f>+F164+1</f>
        <v>12</v>
      </c>
      <c r="G171" s="132"/>
      <c r="H171" s="120" t="s">
        <v>458</v>
      </c>
      <c r="I171" s="121">
        <v>929000</v>
      </c>
      <c r="J171" s="122">
        <v>0</v>
      </c>
      <c r="K171" s="122">
        <v>0</v>
      </c>
      <c r="L171" s="122">
        <v>0</v>
      </c>
      <c r="M171" s="122">
        <f>+I171-SUM(J171:L171)</f>
        <v>929000</v>
      </c>
      <c r="N171" s="121">
        <v>371700</v>
      </c>
      <c r="O171" s="123">
        <v>0</v>
      </c>
      <c r="P171" s="123">
        <v>0</v>
      </c>
      <c r="Q171" s="123">
        <v>0</v>
      </c>
      <c r="R171" s="123">
        <f>+N171-SUM(O171:Q171)</f>
        <v>371700</v>
      </c>
      <c r="S171" s="133" t="s">
        <v>459</v>
      </c>
      <c r="T171" s="134" t="s">
        <v>460</v>
      </c>
      <c r="U171" s="209" t="s">
        <v>460</v>
      </c>
      <c r="V171" s="208"/>
    </row>
    <row r="172" spans="2:22" ht="14.25" customHeight="1">
      <c r="B172" s="140"/>
      <c r="C172" s="186"/>
      <c r="D172" s="186"/>
      <c r="E172" s="117"/>
      <c r="F172" s="131"/>
      <c r="G172" s="132"/>
      <c r="H172" s="120"/>
      <c r="I172" s="121"/>
      <c r="J172" s="122"/>
      <c r="K172" s="122"/>
      <c r="L172" s="122"/>
      <c r="M172" s="122"/>
      <c r="N172" s="121"/>
      <c r="O172" s="123"/>
      <c r="P172" s="123"/>
      <c r="Q172" s="123"/>
      <c r="R172" s="123"/>
      <c r="S172" s="133"/>
      <c r="T172" s="125"/>
      <c r="U172" s="126"/>
      <c r="V172" s="208"/>
    </row>
    <row r="173" spans="2:22" ht="14.25" customHeight="1">
      <c r="B173" s="140"/>
      <c r="C173" s="186"/>
      <c r="D173" s="186"/>
      <c r="E173" s="117"/>
      <c r="F173" s="131">
        <f>+F171+1</f>
        <v>13</v>
      </c>
      <c r="G173" s="132"/>
      <c r="H173" s="120" t="s">
        <v>461</v>
      </c>
      <c r="I173" s="121">
        <v>9017000</v>
      </c>
      <c r="J173" s="122">
        <v>0</v>
      </c>
      <c r="K173" s="122">
        <v>0</v>
      </c>
      <c r="L173" s="122">
        <v>6000000</v>
      </c>
      <c r="M173" s="122">
        <f>+I173-SUM(J173:L173)</f>
        <v>3017000</v>
      </c>
      <c r="N173" s="121">
        <v>9009140</v>
      </c>
      <c r="O173" s="123">
        <v>0</v>
      </c>
      <c r="P173" s="123">
        <v>0</v>
      </c>
      <c r="Q173" s="123">
        <v>6000000</v>
      </c>
      <c r="R173" s="123">
        <f>+N173-SUM(O173:Q173)</f>
        <v>3009140</v>
      </c>
      <c r="S173" s="133" t="s">
        <v>462</v>
      </c>
      <c r="T173" s="210"/>
      <c r="U173" s="211"/>
      <c r="V173" s="208"/>
    </row>
    <row r="174" spans="2:22" ht="14.25" customHeight="1">
      <c r="B174" s="140"/>
      <c r="C174" s="186"/>
      <c r="D174" s="186"/>
      <c r="E174" s="117"/>
      <c r="F174" s="131"/>
      <c r="G174" s="132"/>
      <c r="H174" s="120"/>
      <c r="I174" s="121"/>
      <c r="J174" s="122"/>
      <c r="K174" s="122"/>
      <c r="L174" s="122"/>
      <c r="M174" s="122"/>
      <c r="N174" s="121"/>
      <c r="O174" s="123"/>
      <c r="P174" s="123"/>
      <c r="Q174" s="123"/>
      <c r="R174" s="123"/>
      <c r="S174" s="133" t="s">
        <v>452</v>
      </c>
      <c r="T174" s="210" t="s">
        <v>463</v>
      </c>
      <c r="U174" s="211" t="s">
        <v>464</v>
      </c>
      <c r="V174" s="208"/>
    </row>
    <row r="175" spans="2:22" ht="14.25" customHeight="1">
      <c r="B175" s="140"/>
      <c r="C175" s="186"/>
      <c r="D175" s="186"/>
      <c r="E175" s="117"/>
      <c r="F175" s="131"/>
      <c r="G175" s="132"/>
      <c r="H175" s="120"/>
      <c r="I175" s="121"/>
      <c r="J175" s="122"/>
      <c r="K175" s="122"/>
      <c r="L175" s="122"/>
      <c r="M175" s="122"/>
      <c r="N175" s="121"/>
      <c r="O175" s="123"/>
      <c r="P175" s="123"/>
      <c r="Q175" s="123"/>
      <c r="R175" s="123"/>
      <c r="S175" s="133" t="s">
        <v>465</v>
      </c>
      <c r="T175" s="210"/>
      <c r="U175" s="211"/>
      <c r="V175" s="182"/>
    </row>
    <row r="176" spans="2:22" ht="14.25" customHeight="1">
      <c r="B176" s="140"/>
      <c r="C176" s="186"/>
      <c r="D176" s="186"/>
      <c r="E176" s="117"/>
      <c r="F176" s="131"/>
      <c r="G176" s="132"/>
      <c r="H176" s="120"/>
      <c r="I176" s="121"/>
      <c r="J176" s="122"/>
      <c r="K176" s="122"/>
      <c r="L176" s="122"/>
      <c r="M176" s="122"/>
      <c r="N176" s="121"/>
      <c r="O176" s="123"/>
      <c r="P176" s="123"/>
      <c r="Q176" s="123"/>
      <c r="R176" s="123"/>
      <c r="S176" s="133" t="s">
        <v>466</v>
      </c>
      <c r="T176" s="210"/>
      <c r="U176" s="211"/>
      <c r="V176" s="182"/>
    </row>
    <row r="177" spans="2:22" ht="14.25" customHeight="1">
      <c r="B177" s="140"/>
      <c r="C177" s="186"/>
      <c r="D177" s="186"/>
      <c r="E177" s="117"/>
      <c r="F177" s="131"/>
      <c r="G177" s="132"/>
      <c r="H177" s="120"/>
      <c r="I177" s="121"/>
      <c r="J177" s="122"/>
      <c r="K177" s="122"/>
      <c r="L177" s="122"/>
      <c r="M177" s="122"/>
      <c r="N177" s="121"/>
      <c r="O177" s="123"/>
      <c r="P177" s="123"/>
      <c r="Q177" s="123"/>
      <c r="R177" s="123"/>
      <c r="S177" s="133" t="s">
        <v>467</v>
      </c>
      <c r="T177" s="210"/>
      <c r="U177" s="211"/>
      <c r="V177" s="182"/>
    </row>
    <row r="178" spans="2:22" ht="14.25" customHeight="1">
      <c r="B178" s="140"/>
      <c r="C178" s="186"/>
      <c r="D178" s="186"/>
      <c r="E178" s="117"/>
      <c r="F178" s="131"/>
      <c r="G178" s="132"/>
      <c r="H178" s="120"/>
      <c r="I178" s="121"/>
      <c r="J178" s="122"/>
      <c r="K178" s="122"/>
      <c r="L178" s="122"/>
      <c r="M178" s="122"/>
      <c r="N178" s="121"/>
      <c r="O178" s="123"/>
      <c r="P178" s="123"/>
      <c r="Q178" s="123"/>
      <c r="R178" s="123"/>
      <c r="S178" s="133"/>
      <c r="T178" s="210"/>
      <c r="U178" s="211"/>
      <c r="V178" s="182"/>
    </row>
    <row r="179" spans="2:22" ht="14.25" customHeight="1">
      <c r="B179" s="140"/>
      <c r="C179" s="186"/>
      <c r="D179" s="186"/>
      <c r="E179" s="117"/>
      <c r="F179" s="131">
        <f>+F173+1</f>
        <v>14</v>
      </c>
      <c r="G179" s="132"/>
      <c r="H179" s="120" t="s">
        <v>468</v>
      </c>
      <c r="I179" s="121">
        <v>11211000</v>
      </c>
      <c r="J179" s="122">
        <v>0</v>
      </c>
      <c r="K179" s="122">
        <v>0</v>
      </c>
      <c r="L179" s="122">
        <v>5644000</v>
      </c>
      <c r="M179" s="122">
        <f>+I179-SUM(J179:L179)</f>
        <v>5567000</v>
      </c>
      <c r="N179" s="121">
        <v>9864179</v>
      </c>
      <c r="O179" s="123">
        <v>0</v>
      </c>
      <c r="P179" s="123">
        <v>0</v>
      </c>
      <c r="Q179" s="212">
        <v>5073845</v>
      </c>
      <c r="R179" s="123">
        <f>+N179-SUM(O179:Q179)</f>
        <v>4790334</v>
      </c>
      <c r="S179" s="133" t="s">
        <v>469</v>
      </c>
      <c r="T179" s="125" t="s">
        <v>464</v>
      </c>
      <c r="U179" s="126" t="s">
        <v>470</v>
      </c>
      <c r="V179" s="182"/>
    </row>
    <row r="180" spans="2:22" ht="14.25" customHeight="1">
      <c r="B180" s="140"/>
      <c r="C180" s="186"/>
      <c r="D180" s="186"/>
      <c r="E180" s="117"/>
      <c r="F180" s="131"/>
      <c r="G180" s="132"/>
      <c r="H180" s="120"/>
      <c r="I180" s="121"/>
      <c r="J180" s="122"/>
      <c r="K180" s="122"/>
      <c r="L180" s="122"/>
      <c r="M180" s="122"/>
      <c r="N180" s="121"/>
      <c r="O180" s="123"/>
      <c r="P180" s="123"/>
      <c r="Q180" s="212"/>
      <c r="R180" s="123"/>
      <c r="S180" s="133" t="s">
        <v>471</v>
      </c>
      <c r="T180" s="204"/>
      <c r="U180" s="205"/>
      <c r="V180" s="182"/>
    </row>
    <row r="181" spans="2:22" ht="14.25" customHeight="1">
      <c r="B181" s="140"/>
      <c r="C181" s="129"/>
      <c r="D181" s="129"/>
      <c r="E181" s="117"/>
      <c r="F181" s="131"/>
      <c r="G181" s="132"/>
      <c r="H181" s="120"/>
      <c r="I181" s="121"/>
      <c r="J181" s="122"/>
      <c r="K181" s="122"/>
      <c r="L181" s="122"/>
      <c r="M181" s="122"/>
      <c r="N181" s="121"/>
      <c r="O181" s="123"/>
      <c r="P181" s="123"/>
      <c r="Q181" s="212"/>
      <c r="R181" s="123"/>
      <c r="S181" s="133" t="s">
        <v>472</v>
      </c>
      <c r="T181" s="204"/>
      <c r="U181" s="205"/>
      <c r="V181" s="182"/>
    </row>
    <row r="182" spans="2:22" ht="14.25" customHeight="1">
      <c r="B182" s="140"/>
      <c r="C182" s="159"/>
      <c r="D182" s="129"/>
      <c r="E182" s="117"/>
      <c r="F182" s="131"/>
      <c r="G182" s="132"/>
      <c r="H182" s="120"/>
      <c r="I182" s="121"/>
      <c r="J182" s="122"/>
      <c r="K182" s="122"/>
      <c r="L182" s="122"/>
      <c r="M182" s="122"/>
      <c r="N182" s="121"/>
      <c r="O182" s="123"/>
      <c r="P182" s="123"/>
      <c r="Q182" s="212"/>
      <c r="R182" s="123"/>
      <c r="S182" s="133" t="s">
        <v>473</v>
      </c>
      <c r="T182" s="204"/>
      <c r="U182" s="205"/>
      <c r="V182" s="182"/>
    </row>
    <row r="183" spans="2:22" ht="14.25" customHeight="1">
      <c r="B183" s="140"/>
      <c r="C183" s="159"/>
      <c r="D183" s="129"/>
      <c r="E183" s="117"/>
      <c r="F183" s="131"/>
      <c r="G183" s="132"/>
      <c r="H183" s="120"/>
      <c r="I183" s="121"/>
      <c r="J183" s="122"/>
      <c r="K183" s="122"/>
      <c r="L183" s="122"/>
      <c r="M183" s="122"/>
      <c r="N183" s="121"/>
      <c r="O183" s="123"/>
      <c r="P183" s="123"/>
      <c r="Q183" s="212"/>
      <c r="R183" s="123"/>
      <c r="S183" s="133"/>
      <c r="T183" s="204"/>
      <c r="U183" s="205"/>
      <c r="V183" s="182"/>
    </row>
    <row r="184" spans="2:22" ht="14.25" customHeight="1">
      <c r="B184" s="140"/>
      <c r="C184" s="159"/>
      <c r="D184" s="129"/>
      <c r="E184" s="117"/>
      <c r="F184" s="131">
        <f>+F179+1</f>
        <v>15</v>
      </c>
      <c r="G184" s="132"/>
      <c r="H184" s="120" t="s">
        <v>474</v>
      </c>
      <c r="I184" s="121">
        <v>613000</v>
      </c>
      <c r="J184" s="122">
        <v>0</v>
      </c>
      <c r="K184" s="122">
        <v>0</v>
      </c>
      <c r="L184" s="122">
        <v>0</v>
      </c>
      <c r="M184" s="122">
        <f>+I184-SUM(J184:L184)</f>
        <v>613000</v>
      </c>
      <c r="N184" s="121">
        <v>544950</v>
      </c>
      <c r="O184" s="123">
        <v>0</v>
      </c>
      <c r="P184" s="123">
        <v>0</v>
      </c>
      <c r="Q184" s="123">
        <v>0</v>
      </c>
      <c r="R184" s="123">
        <f>+N184-SUM(O184:Q184)</f>
        <v>544950</v>
      </c>
      <c r="S184" s="133" t="s">
        <v>475</v>
      </c>
      <c r="T184" s="125" t="s">
        <v>476</v>
      </c>
      <c r="U184" s="126" t="s">
        <v>477</v>
      </c>
      <c r="V184" s="182"/>
    </row>
    <row r="185" spans="2:22" ht="14.25" customHeight="1">
      <c r="B185" s="140"/>
      <c r="C185" s="159"/>
      <c r="D185" s="129"/>
      <c r="E185" s="117"/>
      <c r="F185" s="131"/>
      <c r="G185" s="132"/>
      <c r="H185" s="120"/>
      <c r="I185" s="121"/>
      <c r="J185" s="122"/>
      <c r="K185" s="122"/>
      <c r="L185" s="122"/>
      <c r="M185" s="122"/>
      <c r="N185" s="121"/>
      <c r="O185" s="123"/>
      <c r="P185" s="123"/>
      <c r="Q185" s="123"/>
      <c r="R185" s="123"/>
      <c r="S185" s="133" t="s">
        <v>478</v>
      </c>
      <c r="T185" s="125"/>
      <c r="U185" s="126"/>
      <c r="V185" s="182"/>
    </row>
    <row r="186" spans="2:22" ht="14.25" customHeight="1">
      <c r="B186" s="140"/>
      <c r="C186" s="159"/>
      <c r="D186" s="129"/>
      <c r="E186" s="117"/>
      <c r="F186" s="131"/>
      <c r="G186" s="132"/>
      <c r="H186" s="120"/>
      <c r="I186" s="121"/>
      <c r="J186" s="122"/>
      <c r="K186" s="122"/>
      <c r="L186" s="122"/>
      <c r="M186" s="122"/>
      <c r="N186" s="121"/>
      <c r="O186" s="123"/>
      <c r="P186" s="123"/>
      <c r="Q186" s="123"/>
      <c r="R186" s="123"/>
      <c r="S186" s="133" t="s">
        <v>479</v>
      </c>
      <c r="T186" s="125"/>
      <c r="U186" s="126"/>
      <c r="V186" s="182"/>
    </row>
    <row r="187" spans="2:22" ht="14.25" customHeight="1">
      <c r="B187" s="140"/>
      <c r="C187" s="159"/>
      <c r="D187" s="129"/>
      <c r="E187" s="117"/>
      <c r="F187" s="131"/>
      <c r="G187" s="132"/>
      <c r="H187" s="120"/>
      <c r="I187" s="121"/>
      <c r="J187" s="122"/>
      <c r="K187" s="122"/>
      <c r="L187" s="122"/>
      <c r="M187" s="122"/>
      <c r="N187" s="121"/>
      <c r="O187" s="123"/>
      <c r="P187" s="123"/>
      <c r="Q187" s="123"/>
      <c r="R187" s="123"/>
      <c r="S187" s="133"/>
      <c r="T187" s="125"/>
      <c r="U187" s="126"/>
      <c r="V187" s="182"/>
    </row>
    <row r="188" spans="2:22" ht="14.25" customHeight="1">
      <c r="B188" s="140"/>
      <c r="C188" s="159"/>
      <c r="D188" s="129"/>
      <c r="E188" s="117"/>
      <c r="F188" s="131">
        <f>+F184+1</f>
        <v>16</v>
      </c>
      <c r="G188" s="132"/>
      <c r="H188" s="120" t="s">
        <v>480</v>
      </c>
      <c r="I188" s="121">
        <v>1554000</v>
      </c>
      <c r="J188" s="122">
        <v>0</v>
      </c>
      <c r="K188" s="122">
        <v>0</v>
      </c>
      <c r="L188" s="122">
        <v>350000</v>
      </c>
      <c r="M188" s="122">
        <f>+I188-SUM(J188:L188)</f>
        <v>1204000</v>
      </c>
      <c r="N188" s="121">
        <v>638287</v>
      </c>
      <c r="O188" s="123">
        <v>0</v>
      </c>
      <c r="P188" s="123">
        <v>0</v>
      </c>
      <c r="Q188" s="123">
        <v>350000</v>
      </c>
      <c r="R188" s="123">
        <f>+N188-SUM(O188:Q188)</f>
        <v>288287</v>
      </c>
      <c r="S188" s="133" t="s">
        <v>481</v>
      </c>
      <c r="T188" s="125" t="s">
        <v>482</v>
      </c>
      <c r="U188" s="126" t="s">
        <v>483</v>
      </c>
      <c r="V188" s="182"/>
    </row>
    <row r="189" spans="2:22" ht="14.25" customHeight="1">
      <c r="B189" s="140"/>
      <c r="C189" s="159"/>
      <c r="D189" s="129"/>
      <c r="E189" s="117"/>
      <c r="F189" s="131"/>
      <c r="G189" s="132"/>
      <c r="H189" s="120"/>
      <c r="I189" s="121"/>
      <c r="J189" s="122"/>
      <c r="K189" s="122"/>
      <c r="L189" s="122"/>
      <c r="M189" s="122"/>
      <c r="N189" s="121"/>
      <c r="O189" s="123"/>
      <c r="P189" s="123"/>
      <c r="Q189" s="123"/>
      <c r="R189" s="123"/>
      <c r="S189" s="133" t="s">
        <v>484</v>
      </c>
      <c r="T189" s="125"/>
      <c r="U189" s="126"/>
      <c r="V189" s="182"/>
    </row>
    <row r="190" spans="2:22" ht="14.25" customHeight="1">
      <c r="B190" s="140"/>
      <c r="C190" s="159"/>
      <c r="D190" s="129"/>
      <c r="E190" s="117"/>
      <c r="F190" s="131"/>
      <c r="G190" s="132"/>
      <c r="H190" s="120"/>
      <c r="I190" s="121"/>
      <c r="J190" s="122"/>
      <c r="K190" s="122"/>
      <c r="L190" s="122"/>
      <c r="M190" s="122"/>
      <c r="N190" s="121"/>
      <c r="O190" s="123"/>
      <c r="P190" s="123"/>
      <c r="Q190" s="123"/>
      <c r="R190" s="123"/>
      <c r="S190" s="133" t="s">
        <v>485</v>
      </c>
      <c r="T190" s="125"/>
      <c r="U190" s="126"/>
      <c r="V190" s="182"/>
    </row>
    <row r="191" spans="2:22" ht="14.25" customHeight="1">
      <c r="B191" s="140"/>
      <c r="C191" s="159"/>
      <c r="D191" s="129"/>
      <c r="E191" s="117"/>
      <c r="F191" s="131"/>
      <c r="G191" s="132"/>
      <c r="H191" s="120"/>
      <c r="I191" s="121"/>
      <c r="J191" s="122"/>
      <c r="K191" s="122"/>
      <c r="L191" s="122"/>
      <c r="M191" s="122"/>
      <c r="N191" s="121"/>
      <c r="O191" s="123"/>
      <c r="P191" s="123"/>
      <c r="Q191" s="123"/>
      <c r="R191" s="123"/>
      <c r="S191" s="133"/>
      <c r="T191" s="125"/>
      <c r="U191" s="126"/>
      <c r="V191" s="182"/>
    </row>
    <row r="192" spans="2:22" ht="14.25" customHeight="1">
      <c r="B192" s="140"/>
      <c r="C192" s="159"/>
      <c r="D192" s="129"/>
      <c r="E192" s="117"/>
      <c r="F192" s="131">
        <f>+F188+1</f>
        <v>17</v>
      </c>
      <c r="G192" s="132"/>
      <c r="H192" s="120" t="s">
        <v>486</v>
      </c>
      <c r="I192" s="121">
        <v>3348000</v>
      </c>
      <c r="J192" s="122">
        <v>0</v>
      </c>
      <c r="K192" s="122">
        <v>0</v>
      </c>
      <c r="L192" s="122">
        <v>0</v>
      </c>
      <c r="M192" s="122">
        <f>+I192-SUM(J192:L192)</f>
        <v>3348000</v>
      </c>
      <c r="N192" s="121">
        <v>1170182</v>
      </c>
      <c r="O192" s="123">
        <v>0</v>
      </c>
      <c r="P192" s="123">
        <v>0</v>
      </c>
      <c r="Q192" s="123">
        <v>0</v>
      </c>
      <c r="R192" s="123">
        <f>+N192-SUM(O192:Q192)</f>
        <v>1170182</v>
      </c>
      <c r="S192" s="133" t="s">
        <v>487</v>
      </c>
      <c r="T192" s="184" t="s">
        <v>429</v>
      </c>
      <c r="U192" s="126" t="s">
        <v>488</v>
      </c>
      <c r="V192" s="182"/>
    </row>
    <row r="193" spans="2:22" ht="14.25" customHeight="1">
      <c r="B193" s="140"/>
      <c r="C193" s="159"/>
      <c r="D193" s="129"/>
      <c r="E193" s="117"/>
      <c r="F193" s="131"/>
      <c r="G193" s="132"/>
      <c r="H193" s="120"/>
      <c r="I193" s="121"/>
      <c r="J193" s="122"/>
      <c r="K193" s="122"/>
      <c r="L193" s="122"/>
      <c r="M193" s="122"/>
      <c r="N193" s="121"/>
      <c r="O193" s="123"/>
      <c r="P193" s="123"/>
      <c r="Q193" s="123"/>
      <c r="R193" s="123"/>
      <c r="S193" s="133" t="s">
        <v>489</v>
      </c>
      <c r="T193" s="125"/>
      <c r="U193" s="126"/>
      <c r="V193" s="182"/>
    </row>
    <row r="194" spans="2:22" ht="14.25" customHeight="1">
      <c r="B194" s="140"/>
      <c r="C194" s="159"/>
      <c r="D194" s="129"/>
      <c r="E194" s="117"/>
      <c r="F194" s="131"/>
      <c r="G194" s="132"/>
      <c r="H194" s="120"/>
      <c r="I194" s="121"/>
      <c r="J194" s="122"/>
      <c r="K194" s="122"/>
      <c r="L194" s="122"/>
      <c r="M194" s="122"/>
      <c r="N194" s="121"/>
      <c r="O194" s="123"/>
      <c r="P194" s="123"/>
      <c r="Q194" s="123"/>
      <c r="R194" s="123"/>
      <c r="S194" s="133" t="s">
        <v>490</v>
      </c>
      <c r="T194" s="125"/>
      <c r="U194" s="126"/>
      <c r="V194" s="182"/>
    </row>
    <row r="195" spans="2:22" ht="14.25" customHeight="1">
      <c r="B195" s="140"/>
      <c r="C195" s="159"/>
      <c r="D195" s="129"/>
      <c r="E195" s="117"/>
      <c r="F195" s="131"/>
      <c r="G195" s="132"/>
      <c r="H195" s="120"/>
      <c r="I195" s="121"/>
      <c r="J195" s="122"/>
      <c r="K195" s="122"/>
      <c r="L195" s="122"/>
      <c r="M195" s="122"/>
      <c r="N195" s="121"/>
      <c r="O195" s="123"/>
      <c r="P195" s="123"/>
      <c r="Q195" s="123"/>
      <c r="R195" s="123"/>
      <c r="S195" s="133"/>
      <c r="T195" s="125"/>
      <c r="U195" s="126"/>
      <c r="V195" s="182"/>
    </row>
    <row r="196" spans="2:22" ht="14.25" customHeight="1">
      <c r="B196" s="140"/>
      <c r="C196" s="159"/>
      <c r="D196" s="129"/>
      <c r="E196" s="117"/>
      <c r="F196" s="131">
        <f>+F192+1</f>
        <v>18</v>
      </c>
      <c r="G196" s="132"/>
      <c r="H196" s="120" t="s">
        <v>491</v>
      </c>
      <c r="I196" s="121">
        <v>7066000</v>
      </c>
      <c r="J196" s="122">
        <v>0</v>
      </c>
      <c r="K196" s="122">
        <v>0</v>
      </c>
      <c r="L196" s="122">
        <v>0</v>
      </c>
      <c r="M196" s="122">
        <f>+I196-SUM(J196:L196)</f>
        <v>7066000</v>
      </c>
      <c r="N196" s="121">
        <v>5902447</v>
      </c>
      <c r="O196" s="123">
        <v>0</v>
      </c>
      <c r="P196" s="123">
        <v>0</v>
      </c>
      <c r="Q196" s="123">
        <v>0</v>
      </c>
      <c r="R196" s="123">
        <f>+N196-SUM(O196:Q196)</f>
        <v>5902447</v>
      </c>
      <c r="S196" s="133" t="s">
        <v>492</v>
      </c>
      <c r="T196" s="184" t="s">
        <v>429</v>
      </c>
      <c r="U196" s="126" t="s">
        <v>493</v>
      </c>
      <c r="V196" s="182"/>
    </row>
    <row r="197" spans="2:22" ht="14.25" customHeight="1">
      <c r="B197" s="140"/>
      <c r="C197" s="159"/>
      <c r="D197" s="129"/>
      <c r="E197" s="117"/>
      <c r="F197" s="131"/>
      <c r="G197" s="132"/>
      <c r="H197" s="120"/>
      <c r="I197" s="121"/>
      <c r="J197" s="122"/>
      <c r="K197" s="122"/>
      <c r="L197" s="122"/>
      <c r="M197" s="122"/>
      <c r="N197" s="121"/>
      <c r="O197" s="123"/>
      <c r="P197" s="123"/>
      <c r="Q197" s="123"/>
      <c r="R197" s="123"/>
      <c r="S197" s="133" t="s">
        <v>494</v>
      </c>
      <c r="T197" s="125"/>
      <c r="U197" s="126"/>
      <c r="V197" s="182"/>
    </row>
    <row r="198" spans="2:22" ht="14.25" customHeight="1">
      <c r="B198" s="140"/>
      <c r="C198" s="159"/>
      <c r="D198" s="129"/>
      <c r="E198" s="117"/>
      <c r="F198" s="131"/>
      <c r="G198" s="132"/>
      <c r="H198" s="120"/>
      <c r="I198" s="121"/>
      <c r="J198" s="122"/>
      <c r="K198" s="122"/>
      <c r="L198" s="122"/>
      <c r="M198" s="122"/>
      <c r="N198" s="121"/>
      <c r="O198" s="123"/>
      <c r="P198" s="123"/>
      <c r="Q198" s="123"/>
      <c r="R198" s="123"/>
      <c r="S198" s="133"/>
      <c r="T198" s="125"/>
      <c r="U198" s="126"/>
      <c r="V198" s="182"/>
    </row>
    <row r="199" spans="2:22" ht="14.25" customHeight="1">
      <c r="B199" s="140"/>
      <c r="C199" s="159"/>
      <c r="D199" s="129"/>
      <c r="E199" s="117"/>
      <c r="F199" s="131">
        <f>+F196+1</f>
        <v>19</v>
      </c>
      <c r="G199" s="132"/>
      <c r="H199" s="120" t="s">
        <v>495</v>
      </c>
      <c r="I199" s="121">
        <v>7291000</v>
      </c>
      <c r="J199" s="122">
        <v>0</v>
      </c>
      <c r="K199" s="122">
        <v>0</v>
      </c>
      <c r="L199" s="122">
        <v>0</v>
      </c>
      <c r="M199" s="122">
        <f>+I199-SUM(J199:L199)</f>
        <v>7291000</v>
      </c>
      <c r="N199" s="121">
        <v>5886186</v>
      </c>
      <c r="O199" s="123">
        <v>0</v>
      </c>
      <c r="P199" s="123">
        <v>0</v>
      </c>
      <c r="Q199" s="123">
        <v>0</v>
      </c>
      <c r="R199" s="123">
        <f>+N199-SUM(O199:Q199)</f>
        <v>5886186</v>
      </c>
      <c r="S199" s="133" t="s">
        <v>496</v>
      </c>
      <c r="T199" s="125" t="s">
        <v>497</v>
      </c>
      <c r="U199" s="126" t="s">
        <v>498</v>
      </c>
      <c r="V199" s="182"/>
    </row>
    <row r="200" spans="2:22" ht="14.25" customHeight="1">
      <c r="B200" s="140"/>
      <c r="C200" s="159"/>
      <c r="D200" s="129"/>
      <c r="E200" s="117"/>
      <c r="F200" s="131"/>
      <c r="G200" s="132"/>
      <c r="H200" s="120"/>
      <c r="I200" s="121"/>
      <c r="J200" s="122"/>
      <c r="K200" s="122"/>
      <c r="L200" s="122"/>
      <c r="M200" s="122"/>
      <c r="N200" s="121"/>
      <c r="O200" s="123"/>
      <c r="P200" s="123"/>
      <c r="Q200" s="123"/>
      <c r="R200" s="123"/>
      <c r="S200" s="181" t="s">
        <v>499</v>
      </c>
      <c r="T200" s="125"/>
      <c r="U200" s="126"/>
      <c r="V200" s="182"/>
    </row>
    <row r="201" spans="2:22" ht="14.25" customHeight="1">
      <c r="B201" s="140"/>
      <c r="C201" s="159"/>
      <c r="D201" s="129"/>
      <c r="E201" s="117"/>
      <c r="F201" s="131"/>
      <c r="G201" s="132"/>
      <c r="H201" s="120"/>
      <c r="I201" s="121"/>
      <c r="J201" s="122"/>
      <c r="K201" s="122"/>
      <c r="L201" s="122"/>
      <c r="M201" s="122"/>
      <c r="N201" s="121"/>
      <c r="O201" s="123"/>
      <c r="P201" s="123"/>
      <c r="Q201" s="123"/>
      <c r="R201" s="123"/>
      <c r="S201" s="133" t="s">
        <v>500</v>
      </c>
      <c r="T201" s="125"/>
      <c r="U201" s="126"/>
      <c r="V201" s="182"/>
    </row>
    <row r="202" spans="2:22" ht="14.25" customHeight="1">
      <c r="B202" s="140"/>
      <c r="C202" s="159"/>
      <c r="D202" s="129"/>
      <c r="E202" s="117"/>
      <c r="F202" s="131"/>
      <c r="G202" s="132"/>
      <c r="H202" s="120"/>
      <c r="I202" s="121"/>
      <c r="J202" s="122"/>
      <c r="K202" s="122"/>
      <c r="L202" s="122"/>
      <c r="M202" s="122"/>
      <c r="N202" s="121"/>
      <c r="O202" s="123"/>
      <c r="P202" s="123"/>
      <c r="Q202" s="123"/>
      <c r="R202" s="123"/>
      <c r="S202" s="133" t="s">
        <v>501</v>
      </c>
      <c r="T202" s="125"/>
      <c r="U202" s="126"/>
      <c r="V202" s="182"/>
    </row>
    <row r="203" spans="2:22" ht="14.25" customHeight="1">
      <c r="B203" s="140"/>
      <c r="C203" s="159"/>
      <c r="D203" s="129"/>
      <c r="E203" s="117"/>
      <c r="F203" s="131"/>
      <c r="G203" s="132"/>
      <c r="H203" s="120"/>
      <c r="I203" s="121"/>
      <c r="J203" s="122"/>
      <c r="K203" s="122"/>
      <c r="L203" s="122"/>
      <c r="M203" s="122"/>
      <c r="N203" s="121"/>
      <c r="O203" s="123"/>
      <c r="P203" s="123"/>
      <c r="Q203" s="123"/>
      <c r="R203" s="123"/>
      <c r="S203" s="133"/>
      <c r="T203" s="125"/>
      <c r="U203" s="126"/>
      <c r="V203" s="182"/>
    </row>
    <row r="204" spans="2:22" ht="14.25" customHeight="1">
      <c r="B204" s="140"/>
      <c r="C204" s="159"/>
      <c r="D204" s="129"/>
      <c r="E204" s="117"/>
      <c r="F204" s="131">
        <f>+F199+1</f>
        <v>20</v>
      </c>
      <c r="G204" s="132"/>
      <c r="H204" s="120" t="s">
        <v>502</v>
      </c>
      <c r="I204" s="121">
        <v>8143000</v>
      </c>
      <c r="J204" s="122">
        <v>0</v>
      </c>
      <c r="K204" s="122">
        <v>0</v>
      </c>
      <c r="L204" s="122">
        <v>4500000</v>
      </c>
      <c r="M204" s="122">
        <f>+I204-SUM(J204:L204)</f>
        <v>3643000</v>
      </c>
      <c r="N204" s="121">
        <v>7416000</v>
      </c>
      <c r="O204" s="123">
        <v>0</v>
      </c>
      <c r="P204" s="123">
        <v>0</v>
      </c>
      <c r="Q204" s="123">
        <v>8058220</v>
      </c>
      <c r="R204" s="123">
        <f>+N204-SUM(O204:Q204)</f>
        <v>-642220</v>
      </c>
      <c r="S204" s="133" t="s">
        <v>503</v>
      </c>
      <c r="T204" s="184" t="s">
        <v>429</v>
      </c>
      <c r="U204" s="126" t="s">
        <v>504</v>
      </c>
      <c r="V204" s="182"/>
    </row>
    <row r="205" spans="2:22" ht="14.25" customHeight="1">
      <c r="B205" s="140"/>
      <c r="C205" s="159"/>
      <c r="D205" s="129"/>
      <c r="E205" s="117"/>
      <c r="F205" s="131"/>
      <c r="G205" s="132"/>
      <c r="H205" s="120"/>
      <c r="I205" s="121"/>
      <c r="J205" s="122"/>
      <c r="K205" s="122"/>
      <c r="L205" s="122"/>
      <c r="M205" s="122"/>
      <c r="N205" s="121"/>
      <c r="O205" s="123"/>
      <c r="P205" s="123"/>
      <c r="Q205" s="123"/>
      <c r="R205" s="123"/>
      <c r="S205" s="133"/>
      <c r="T205" s="184"/>
      <c r="U205" s="126"/>
      <c r="V205" s="182"/>
    </row>
    <row r="206" spans="2:22" ht="14.25" customHeight="1" thickBot="1">
      <c r="B206" s="147"/>
      <c r="C206" s="213"/>
      <c r="D206" s="148"/>
      <c r="E206" s="190"/>
      <c r="F206" s="150"/>
      <c r="G206" s="151"/>
      <c r="H206" s="191"/>
      <c r="I206" s="192"/>
      <c r="J206" s="193"/>
      <c r="K206" s="193"/>
      <c r="L206" s="193"/>
      <c r="M206" s="193"/>
      <c r="N206" s="192"/>
      <c r="O206" s="194"/>
      <c r="P206" s="194"/>
      <c r="Q206" s="194"/>
      <c r="R206" s="194"/>
      <c r="S206" s="195"/>
      <c r="T206" s="214"/>
      <c r="U206" s="158"/>
      <c r="V206" s="182"/>
    </row>
    <row r="207" spans="2:22" ht="14.25" customHeight="1">
      <c r="B207" s="140"/>
      <c r="C207" s="159"/>
      <c r="D207" s="129"/>
      <c r="E207" s="117"/>
      <c r="F207" s="131">
        <f>+F204+1</f>
        <v>21</v>
      </c>
      <c r="G207" s="132"/>
      <c r="H207" s="144" t="s">
        <v>505</v>
      </c>
      <c r="I207" s="121">
        <v>22709000</v>
      </c>
      <c r="J207" s="122">
        <v>0</v>
      </c>
      <c r="K207" s="122">
        <v>0</v>
      </c>
      <c r="L207" s="122">
        <v>0</v>
      </c>
      <c r="M207" s="122">
        <f>+I207-SUM(J207:L207)</f>
        <v>22709000</v>
      </c>
      <c r="N207" s="121">
        <v>22004429</v>
      </c>
      <c r="O207" s="123">
        <v>0</v>
      </c>
      <c r="P207" s="123">
        <v>0</v>
      </c>
      <c r="Q207" s="123">
        <v>0</v>
      </c>
      <c r="R207" s="123">
        <f>+N207-SUM(O207:Q207)</f>
        <v>22004429</v>
      </c>
      <c r="S207" s="138" t="s">
        <v>272</v>
      </c>
      <c r="T207" s="125"/>
      <c r="U207" s="126"/>
      <c r="V207" s="182"/>
    </row>
    <row r="208" spans="2:22" ht="14.25" customHeight="1">
      <c r="B208" s="140"/>
      <c r="C208" s="159"/>
      <c r="D208" s="129"/>
      <c r="E208" s="117"/>
      <c r="F208" s="131"/>
      <c r="G208" s="132"/>
      <c r="H208" s="144" t="s">
        <v>451</v>
      </c>
      <c r="I208" s="121"/>
      <c r="J208" s="122"/>
      <c r="K208" s="122"/>
      <c r="L208" s="122"/>
      <c r="M208" s="122"/>
      <c r="N208" s="121"/>
      <c r="O208" s="123"/>
      <c r="P208" s="123"/>
      <c r="Q208" s="123"/>
      <c r="R208" s="123"/>
      <c r="S208" s="133" t="s">
        <v>506</v>
      </c>
      <c r="T208" s="125"/>
      <c r="U208" s="126"/>
      <c r="V208" s="182"/>
    </row>
    <row r="209" spans="2:22" ht="14.25" customHeight="1">
      <c r="B209" s="140"/>
      <c r="C209" s="159"/>
      <c r="D209" s="129"/>
      <c r="E209" s="117"/>
      <c r="F209" s="131"/>
      <c r="G209" s="132"/>
      <c r="H209" s="120"/>
      <c r="I209" s="121"/>
      <c r="J209" s="122"/>
      <c r="K209" s="122"/>
      <c r="L209" s="122"/>
      <c r="M209" s="122"/>
      <c r="N209" s="121"/>
      <c r="O209" s="123"/>
      <c r="P209" s="123"/>
      <c r="Q209" s="123"/>
      <c r="R209" s="123"/>
      <c r="S209" s="133"/>
      <c r="T209" s="125"/>
      <c r="U209" s="126"/>
      <c r="V209" s="182"/>
    </row>
    <row r="210" spans="2:22" ht="14.25" customHeight="1">
      <c r="B210" s="140"/>
      <c r="C210" s="159"/>
      <c r="D210" s="129"/>
      <c r="E210" s="117"/>
      <c r="F210" s="131">
        <f>+F207+1</f>
        <v>22</v>
      </c>
      <c r="G210" s="132"/>
      <c r="H210" s="120" t="s">
        <v>507</v>
      </c>
      <c r="I210" s="121">
        <v>6738000</v>
      </c>
      <c r="J210" s="122">
        <v>0</v>
      </c>
      <c r="K210" s="122">
        <v>0</v>
      </c>
      <c r="L210" s="122">
        <v>0</v>
      </c>
      <c r="M210" s="122">
        <f>+I210-SUM(J210:L210)</f>
        <v>6738000</v>
      </c>
      <c r="N210" s="121">
        <v>3383833</v>
      </c>
      <c r="O210" s="123">
        <v>0</v>
      </c>
      <c r="P210" s="123">
        <v>0</v>
      </c>
      <c r="Q210" s="123">
        <v>0</v>
      </c>
      <c r="R210" s="123">
        <f>+N210-SUM(O210:Q210)</f>
        <v>3383833</v>
      </c>
      <c r="S210" s="133" t="s">
        <v>508</v>
      </c>
      <c r="T210" s="184" t="s">
        <v>272</v>
      </c>
      <c r="U210" s="126" t="s">
        <v>509</v>
      </c>
      <c r="V210" s="182"/>
    </row>
    <row r="211" spans="2:22" ht="14.25" customHeight="1">
      <c r="B211" s="140"/>
      <c r="C211" s="159"/>
      <c r="D211" s="129"/>
      <c r="E211" s="117"/>
      <c r="F211" s="131"/>
      <c r="G211" s="132"/>
      <c r="H211" s="120"/>
      <c r="I211" s="121"/>
      <c r="J211" s="122"/>
      <c r="K211" s="122"/>
      <c r="L211" s="122"/>
      <c r="M211" s="122"/>
      <c r="N211" s="121"/>
      <c r="O211" s="123"/>
      <c r="P211" s="123"/>
      <c r="Q211" s="123"/>
      <c r="R211" s="123"/>
      <c r="S211" s="206"/>
      <c r="T211" s="125"/>
      <c r="U211" s="126"/>
      <c r="V211" s="182"/>
    </row>
    <row r="212" spans="2:22" ht="14.25" customHeight="1">
      <c r="B212" s="140"/>
      <c r="C212" s="159"/>
      <c r="D212" s="129"/>
      <c r="E212" s="117"/>
      <c r="F212" s="131">
        <f>+F210+1</f>
        <v>23</v>
      </c>
      <c r="G212" s="132"/>
      <c r="H212" s="120" t="s">
        <v>510</v>
      </c>
      <c r="I212" s="121">
        <v>6524000</v>
      </c>
      <c r="J212" s="122">
        <v>0</v>
      </c>
      <c r="K212" s="122">
        <v>0</v>
      </c>
      <c r="L212" s="122">
        <v>0</v>
      </c>
      <c r="M212" s="122">
        <f>+I212-SUM(J212:L212)</f>
        <v>6524000</v>
      </c>
      <c r="N212" s="121">
        <v>6261901</v>
      </c>
      <c r="O212" s="123">
        <v>0</v>
      </c>
      <c r="P212" s="123">
        <v>0</v>
      </c>
      <c r="Q212" s="123">
        <v>0</v>
      </c>
      <c r="R212" s="123">
        <f>+N212-SUM(O212:Q212)</f>
        <v>6261901</v>
      </c>
      <c r="S212" s="138" t="s">
        <v>272</v>
      </c>
      <c r="T212" s="184"/>
      <c r="U212" s="139"/>
      <c r="V212" s="182"/>
    </row>
    <row r="213" spans="2:22" ht="14.25" customHeight="1">
      <c r="B213" s="140"/>
      <c r="C213" s="159"/>
      <c r="D213" s="129"/>
      <c r="E213" s="117"/>
      <c r="F213" s="131"/>
      <c r="G213" s="132"/>
      <c r="H213" s="120"/>
      <c r="I213" s="121"/>
      <c r="J213" s="122"/>
      <c r="K213" s="122"/>
      <c r="L213" s="122"/>
      <c r="M213" s="122"/>
      <c r="N213" s="121"/>
      <c r="O213" s="123"/>
      <c r="P213" s="123"/>
      <c r="Q213" s="123"/>
      <c r="R213" s="123"/>
      <c r="S213" s="133" t="s">
        <v>511</v>
      </c>
      <c r="T213" s="125"/>
      <c r="U213" s="126"/>
      <c r="V213" s="182"/>
    </row>
    <row r="214" spans="2:22" ht="14.25" customHeight="1">
      <c r="B214" s="140"/>
      <c r="C214" s="159"/>
      <c r="D214" s="129"/>
      <c r="E214" s="117"/>
      <c r="F214" s="131"/>
      <c r="G214" s="132"/>
      <c r="H214" s="120"/>
      <c r="I214" s="121"/>
      <c r="J214" s="122"/>
      <c r="K214" s="122"/>
      <c r="L214" s="122"/>
      <c r="M214" s="122"/>
      <c r="N214" s="121"/>
      <c r="O214" s="123"/>
      <c r="P214" s="123"/>
      <c r="Q214" s="123"/>
      <c r="R214" s="123"/>
      <c r="S214" s="133" t="s">
        <v>512</v>
      </c>
      <c r="T214" s="125"/>
      <c r="U214" s="126"/>
      <c r="V214" s="182"/>
    </row>
    <row r="215" spans="2:22" ht="14.25" customHeight="1">
      <c r="B215" s="140"/>
      <c r="C215" s="159"/>
      <c r="D215" s="129"/>
      <c r="E215" s="117"/>
      <c r="F215" s="131"/>
      <c r="G215" s="132"/>
      <c r="H215" s="120"/>
      <c r="I215" s="121"/>
      <c r="J215" s="122"/>
      <c r="K215" s="122"/>
      <c r="L215" s="122"/>
      <c r="M215" s="122"/>
      <c r="N215" s="121"/>
      <c r="O215" s="123"/>
      <c r="P215" s="123"/>
      <c r="Q215" s="123"/>
      <c r="R215" s="123"/>
      <c r="S215" s="133"/>
      <c r="T215" s="125"/>
      <c r="U215" s="126"/>
      <c r="V215" s="182"/>
    </row>
    <row r="216" spans="2:22" ht="14.25" customHeight="1">
      <c r="B216" s="140"/>
      <c r="C216" s="159"/>
      <c r="D216" s="129"/>
      <c r="E216" s="117"/>
      <c r="F216" s="131">
        <f>+F212+1</f>
        <v>24</v>
      </c>
      <c r="G216" s="132"/>
      <c r="H216" s="120" t="s">
        <v>513</v>
      </c>
      <c r="I216" s="121">
        <v>5770000</v>
      </c>
      <c r="J216" s="122">
        <v>0</v>
      </c>
      <c r="K216" s="122">
        <v>0</v>
      </c>
      <c r="L216" s="122">
        <v>0</v>
      </c>
      <c r="M216" s="122">
        <f>+I216-SUM(J216:L216)</f>
        <v>5770000</v>
      </c>
      <c r="N216" s="121">
        <v>5601070</v>
      </c>
      <c r="O216" s="123">
        <v>0</v>
      </c>
      <c r="P216" s="123">
        <v>0</v>
      </c>
      <c r="Q216" s="123">
        <v>0</v>
      </c>
      <c r="R216" s="123">
        <f>+N216-SUM(O216:Q216)</f>
        <v>5601070</v>
      </c>
      <c r="S216" s="133" t="s">
        <v>514</v>
      </c>
      <c r="T216" s="184" t="s">
        <v>429</v>
      </c>
      <c r="U216" s="126" t="s">
        <v>515</v>
      </c>
      <c r="V216" s="182"/>
    </row>
    <row r="217" spans="2:22" ht="14.25" customHeight="1">
      <c r="B217" s="140"/>
      <c r="C217" s="159"/>
      <c r="D217" s="129"/>
      <c r="E217" s="117"/>
      <c r="F217" s="131"/>
      <c r="G217" s="132"/>
      <c r="H217" s="120"/>
      <c r="I217" s="121"/>
      <c r="J217" s="122"/>
      <c r="K217" s="122"/>
      <c r="L217" s="122"/>
      <c r="M217" s="122"/>
      <c r="N217" s="121"/>
      <c r="O217" s="123"/>
      <c r="P217" s="123"/>
      <c r="Q217" s="123"/>
      <c r="R217" s="123"/>
      <c r="S217" s="133" t="s">
        <v>516</v>
      </c>
      <c r="T217" s="125"/>
      <c r="U217" s="126"/>
      <c r="V217" s="182"/>
    </row>
    <row r="218" spans="2:22" ht="14.25" customHeight="1">
      <c r="B218" s="140"/>
      <c r="C218" s="159"/>
      <c r="D218" s="129"/>
      <c r="E218" s="117"/>
      <c r="F218" s="131"/>
      <c r="G218" s="132"/>
      <c r="H218" s="120"/>
      <c r="I218" s="121"/>
      <c r="J218" s="122"/>
      <c r="K218" s="122"/>
      <c r="L218" s="122"/>
      <c r="M218" s="122"/>
      <c r="N218" s="121"/>
      <c r="O218" s="123"/>
      <c r="P218" s="123"/>
      <c r="Q218" s="123"/>
      <c r="R218" s="123"/>
      <c r="S218" s="133"/>
      <c r="T218" s="125"/>
      <c r="U218" s="126"/>
      <c r="V218" s="182"/>
    </row>
    <row r="219" spans="2:22" ht="14.25" customHeight="1">
      <c r="B219" s="140"/>
      <c r="C219" s="159"/>
      <c r="D219" s="129"/>
      <c r="E219" s="117"/>
      <c r="F219" s="131">
        <f>+F216+1</f>
        <v>25</v>
      </c>
      <c r="G219" s="132"/>
      <c r="H219" s="120" t="s">
        <v>517</v>
      </c>
      <c r="I219" s="121">
        <v>120000</v>
      </c>
      <c r="J219" s="122">
        <v>0</v>
      </c>
      <c r="K219" s="122">
        <v>0</v>
      </c>
      <c r="L219" s="122">
        <v>0</v>
      </c>
      <c r="M219" s="122">
        <f>+I219-SUM(J219:L219)</f>
        <v>120000</v>
      </c>
      <c r="N219" s="121">
        <v>25000</v>
      </c>
      <c r="O219" s="123">
        <v>0</v>
      </c>
      <c r="P219" s="123">
        <v>0</v>
      </c>
      <c r="Q219" s="123">
        <v>0</v>
      </c>
      <c r="R219" s="123">
        <f>+N219-SUM(O219:Q219)</f>
        <v>25000</v>
      </c>
      <c r="S219" s="133" t="s">
        <v>518</v>
      </c>
      <c r="T219" s="125"/>
      <c r="U219" s="126"/>
      <c r="V219" s="182"/>
    </row>
    <row r="220" spans="2:22" ht="14.25" customHeight="1">
      <c r="B220" s="140"/>
      <c r="C220" s="159"/>
      <c r="D220" s="129"/>
      <c r="E220" s="117"/>
      <c r="F220" s="131"/>
      <c r="G220" s="132"/>
      <c r="H220" s="120"/>
      <c r="I220" s="121"/>
      <c r="J220" s="122"/>
      <c r="K220" s="122"/>
      <c r="L220" s="122"/>
      <c r="M220" s="122"/>
      <c r="N220" s="121"/>
      <c r="O220" s="123"/>
      <c r="P220" s="123"/>
      <c r="Q220" s="123"/>
      <c r="R220" s="123"/>
      <c r="S220" s="133" t="s">
        <v>519</v>
      </c>
      <c r="T220" s="125" t="s">
        <v>270</v>
      </c>
      <c r="U220" s="126" t="s">
        <v>270</v>
      </c>
      <c r="V220" s="182"/>
    </row>
    <row r="221" spans="2:22" ht="14.25" customHeight="1">
      <c r="B221" s="140"/>
      <c r="C221" s="159"/>
      <c r="D221" s="129"/>
      <c r="E221" s="117"/>
      <c r="F221" s="131"/>
      <c r="G221" s="132"/>
      <c r="H221" s="120"/>
      <c r="I221" s="121"/>
      <c r="J221" s="122"/>
      <c r="K221" s="122"/>
      <c r="L221" s="122"/>
      <c r="M221" s="122"/>
      <c r="N221" s="121"/>
      <c r="O221" s="123"/>
      <c r="P221" s="123"/>
      <c r="Q221" s="123"/>
      <c r="R221" s="123"/>
      <c r="S221" s="133" t="s">
        <v>520</v>
      </c>
      <c r="T221" s="125" t="s">
        <v>270</v>
      </c>
      <c r="U221" s="126" t="s">
        <v>270</v>
      </c>
      <c r="V221" s="182"/>
    </row>
    <row r="222" spans="2:22" ht="14.25" customHeight="1">
      <c r="B222" s="140"/>
      <c r="C222" s="159"/>
      <c r="D222" s="129"/>
      <c r="E222" s="117"/>
      <c r="F222" s="131"/>
      <c r="G222" s="132"/>
      <c r="H222" s="120"/>
      <c r="I222" s="121"/>
      <c r="J222" s="122"/>
      <c r="K222" s="122"/>
      <c r="L222" s="122"/>
      <c r="M222" s="122"/>
      <c r="N222" s="121"/>
      <c r="O222" s="123"/>
      <c r="P222" s="123"/>
      <c r="Q222" s="123"/>
      <c r="R222" s="123"/>
      <c r="S222" s="206"/>
      <c r="T222" s="204"/>
      <c r="U222" s="205"/>
      <c r="V222" s="182"/>
    </row>
    <row r="223" spans="2:22" ht="14.25" customHeight="1">
      <c r="B223" s="140"/>
      <c r="C223" s="159"/>
      <c r="D223" s="129"/>
      <c r="E223" s="117"/>
      <c r="F223" s="131">
        <f>+F219+1</f>
        <v>26</v>
      </c>
      <c r="G223" s="132"/>
      <c r="H223" s="120" t="s">
        <v>521</v>
      </c>
      <c r="I223" s="121">
        <v>4747000</v>
      </c>
      <c r="J223" s="122">
        <v>680000</v>
      </c>
      <c r="K223" s="122">
        <v>0</v>
      </c>
      <c r="L223" s="122">
        <v>7000</v>
      </c>
      <c r="M223" s="122">
        <f>+I223-SUM(J223:L223)</f>
        <v>4060000</v>
      </c>
      <c r="N223" s="121">
        <v>2473849</v>
      </c>
      <c r="O223" s="123">
        <v>525033</v>
      </c>
      <c r="P223" s="123"/>
      <c r="Q223" s="123">
        <v>15200</v>
      </c>
      <c r="R223" s="123">
        <f>+N223-SUM(O223:Q223)</f>
        <v>1933616</v>
      </c>
      <c r="S223" s="133" t="s">
        <v>522</v>
      </c>
      <c r="T223" s="125" t="s">
        <v>412</v>
      </c>
      <c r="U223" s="126" t="s">
        <v>412</v>
      </c>
      <c r="V223" s="182"/>
    </row>
    <row r="224" spans="2:22" ht="14.25" customHeight="1">
      <c r="B224" s="140"/>
      <c r="C224" s="159"/>
      <c r="D224" s="129"/>
      <c r="E224" s="117"/>
      <c r="F224" s="131"/>
      <c r="G224" s="132"/>
      <c r="H224" s="120"/>
      <c r="I224" s="121"/>
      <c r="J224" s="122"/>
      <c r="K224" s="122"/>
      <c r="L224" s="122"/>
      <c r="M224" s="122"/>
      <c r="N224" s="121"/>
      <c r="O224" s="123"/>
      <c r="P224" s="123"/>
      <c r="Q224" s="123"/>
      <c r="R224" s="123"/>
      <c r="S224" s="133" t="s">
        <v>523</v>
      </c>
      <c r="T224" s="125" t="s">
        <v>524</v>
      </c>
      <c r="U224" s="126" t="s">
        <v>525</v>
      </c>
      <c r="V224" s="182"/>
    </row>
    <row r="225" spans="2:22" ht="14.25" customHeight="1">
      <c r="B225" s="140"/>
      <c r="C225" s="159"/>
      <c r="D225" s="129"/>
      <c r="E225" s="117"/>
      <c r="F225" s="131"/>
      <c r="G225" s="132"/>
      <c r="H225" s="120"/>
      <c r="I225" s="121"/>
      <c r="J225" s="122"/>
      <c r="K225" s="122"/>
      <c r="L225" s="122"/>
      <c r="M225" s="122"/>
      <c r="N225" s="121"/>
      <c r="O225" s="123"/>
      <c r="P225" s="123"/>
      <c r="Q225" s="123"/>
      <c r="R225" s="123"/>
      <c r="S225" s="133"/>
      <c r="T225" s="165"/>
      <c r="U225" s="166"/>
      <c r="V225" s="182"/>
    </row>
    <row r="226" spans="2:22" ht="14.25" customHeight="1">
      <c r="B226" s="140"/>
      <c r="C226" s="159"/>
      <c r="D226" s="129"/>
      <c r="E226" s="117"/>
      <c r="F226" s="131">
        <f>+F223+1</f>
        <v>27</v>
      </c>
      <c r="G226" s="132"/>
      <c r="H226" s="120" t="s">
        <v>526</v>
      </c>
      <c r="I226" s="121">
        <v>2210000</v>
      </c>
      <c r="J226" s="122">
        <v>0</v>
      </c>
      <c r="K226" s="122">
        <v>0</v>
      </c>
      <c r="L226" s="122">
        <v>664000</v>
      </c>
      <c r="M226" s="122">
        <f>+I226-SUM(J226:L226)</f>
        <v>1546000</v>
      </c>
      <c r="N226" s="121">
        <v>1601683</v>
      </c>
      <c r="O226" s="123">
        <v>0</v>
      </c>
      <c r="P226" s="123">
        <v>0</v>
      </c>
      <c r="Q226" s="123">
        <v>0</v>
      </c>
      <c r="R226" s="123">
        <f>+N226-SUM(O226:Q226)</f>
        <v>1601683</v>
      </c>
      <c r="S226" s="133" t="s">
        <v>527</v>
      </c>
      <c r="T226" s="125" t="s">
        <v>528</v>
      </c>
      <c r="U226" s="126" t="s">
        <v>528</v>
      </c>
      <c r="V226" s="182"/>
    </row>
    <row r="227" spans="2:22" ht="14.25" customHeight="1">
      <c r="B227" s="140"/>
      <c r="C227" s="159"/>
      <c r="D227" s="129"/>
      <c r="E227" s="117"/>
      <c r="F227" s="131"/>
      <c r="G227" s="132"/>
      <c r="H227" s="120"/>
      <c r="I227" s="121"/>
      <c r="J227" s="122"/>
      <c r="K227" s="122"/>
      <c r="L227" s="122"/>
      <c r="M227" s="122"/>
      <c r="N227" s="121"/>
      <c r="O227" s="123"/>
      <c r="P227" s="123"/>
      <c r="Q227" s="123"/>
      <c r="R227" s="123"/>
      <c r="S227" s="133" t="s">
        <v>529</v>
      </c>
      <c r="T227" s="215"/>
      <c r="U227" s="216"/>
      <c r="V227" s="182"/>
    </row>
    <row r="228" spans="2:22" ht="14.25" customHeight="1">
      <c r="B228" s="140"/>
      <c r="C228" s="159"/>
      <c r="D228" s="129"/>
      <c r="E228" s="117"/>
      <c r="F228" s="131"/>
      <c r="G228" s="132"/>
      <c r="H228" s="120"/>
      <c r="I228" s="121"/>
      <c r="J228" s="122"/>
      <c r="K228" s="122"/>
      <c r="L228" s="122"/>
      <c r="M228" s="122"/>
      <c r="N228" s="121"/>
      <c r="O228" s="123"/>
      <c r="P228" s="123"/>
      <c r="Q228" s="123"/>
      <c r="R228" s="123"/>
      <c r="S228" s="133" t="s">
        <v>530</v>
      </c>
      <c r="T228" s="125"/>
      <c r="U228" s="126"/>
      <c r="V228" s="182"/>
    </row>
    <row r="229" spans="2:22" ht="14.25" customHeight="1">
      <c r="B229" s="140"/>
      <c r="C229" s="159"/>
      <c r="D229" s="129"/>
      <c r="E229" s="117"/>
      <c r="F229" s="131"/>
      <c r="G229" s="132"/>
      <c r="H229" s="120"/>
      <c r="I229" s="121"/>
      <c r="J229" s="122"/>
      <c r="K229" s="122"/>
      <c r="L229" s="122"/>
      <c r="M229" s="122"/>
      <c r="N229" s="121"/>
      <c r="O229" s="123"/>
      <c r="P229" s="123"/>
      <c r="Q229" s="123"/>
      <c r="R229" s="123"/>
      <c r="S229" s="133"/>
      <c r="T229" s="125"/>
      <c r="U229" s="126"/>
      <c r="V229" s="182"/>
    </row>
    <row r="230" spans="2:22" ht="14.25" customHeight="1">
      <c r="B230" s="140"/>
      <c r="C230" s="159"/>
      <c r="D230" s="129"/>
      <c r="E230" s="117"/>
      <c r="F230" s="131">
        <f>+F226+1</f>
        <v>28</v>
      </c>
      <c r="G230" s="132"/>
      <c r="H230" s="120" t="s">
        <v>531</v>
      </c>
      <c r="I230" s="121">
        <v>943438000</v>
      </c>
      <c r="J230" s="122">
        <v>962966000</v>
      </c>
      <c r="K230" s="122">
        <v>0</v>
      </c>
      <c r="L230" s="122">
        <v>18000</v>
      </c>
      <c r="M230" s="122">
        <f>+I230-SUM(J230:L230)</f>
        <v>-19546000</v>
      </c>
      <c r="N230" s="121">
        <v>804785661</v>
      </c>
      <c r="O230" s="123">
        <v>507305856</v>
      </c>
      <c r="P230" s="123">
        <v>0</v>
      </c>
      <c r="Q230" s="123">
        <v>0</v>
      </c>
      <c r="R230" s="123">
        <f>+N230-SUM(O230:Q230)</f>
        <v>297479805</v>
      </c>
      <c r="S230" s="133" t="s">
        <v>532</v>
      </c>
      <c r="T230" s="125" t="s">
        <v>533</v>
      </c>
      <c r="U230" s="126" t="s">
        <v>534</v>
      </c>
      <c r="V230" s="182"/>
    </row>
    <row r="231" spans="2:22" ht="14.25" customHeight="1">
      <c r="B231" s="140"/>
      <c r="C231" s="159"/>
      <c r="D231" s="129"/>
      <c r="E231" s="117"/>
      <c r="F231" s="131"/>
      <c r="G231" s="132"/>
      <c r="H231" s="120"/>
      <c r="I231" s="121"/>
      <c r="J231" s="122"/>
      <c r="K231" s="122"/>
      <c r="L231" s="122"/>
      <c r="M231" s="122"/>
      <c r="N231" s="121"/>
      <c r="O231" s="123"/>
      <c r="P231" s="123"/>
      <c r="Q231" s="123"/>
      <c r="R231" s="123"/>
      <c r="S231" s="133" t="s">
        <v>535</v>
      </c>
      <c r="T231" s="125"/>
      <c r="U231" s="126"/>
      <c r="V231" s="182"/>
    </row>
    <row r="232" spans="2:22" ht="14.25" customHeight="1">
      <c r="B232" s="140"/>
      <c r="C232" s="159"/>
      <c r="D232" s="129"/>
      <c r="E232" s="117"/>
      <c r="F232" s="131"/>
      <c r="G232" s="132"/>
      <c r="H232" s="120"/>
      <c r="I232" s="121"/>
      <c r="J232" s="122"/>
      <c r="K232" s="122"/>
      <c r="L232" s="122"/>
      <c r="M232" s="122"/>
      <c r="N232" s="121"/>
      <c r="O232" s="123"/>
      <c r="P232" s="123"/>
      <c r="Q232" s="123"/>
      <c r="R232" s="123"/>
      <c r="S232" s="133" t="s">
        <v>536</v>
      </c>
      <c r="T232" s="125"/>
      <c r="U232" s="126"/>
      <c r="V232" s="182"/>
    </row>
    <row r="233" spans="2:22" ht="14.25" customHeight="1">
      <c r="B233" s="140"/>
      <c r="C233" s="159"/>
      <c r="D233" s="129"/>
      <c r="E233" s="117"/>
      <c r="F233" s="131"/>
      <c r="G233" s="132"/>
      <c r="H233" s="120"/>
      <c r="I233" s="121"/>
      <c r="J233" s="122"/>
      <c r="K233" s="122"/>
      <c r="L233" s="122"/>
      <c r="M233" s="122"/>
      <c r="N233" s="121"/>
      <c r="O233" s="123"/>
      <c r="P233" s="123"/>
      <c r="Q233" s="123"/>
      <c r="R233" s="123"/>
      <c r="S233" s="133"/>
      <c r="T233" s="125"/>
      <c r="U233" s="126"/>
      <c r="V233" s="182"/>
    </row>
    <row r="234" spans="2:22" ht="14.25" customHeight="1">
      <c r="B234" s="140"/>
      <c r="C234" s="159"/>
      <c r="D234" s="129"/>
      <c r="E234" s="117"/>
      <c r="F234" s="131">
        <f>+F230+1</f>
        <v>29</v>
      </c>
      <c r="G234" s="132"/>
      <c r="H234" s="120" t="s">
        <v>537</v>
      </c>
      <c r="I234" s="217">
        <v>18290000</v>
      </c>
      <c r="J234" s="122">
        <v>4296000</v>
      </c>
      <c r="K234" s="122">
        <v>0</v>
      </c>
      <c r="L234" s="122">
        <v>0</v>
      </c>
      <c r="M234" s="122">
        <f>+I234-SUM(J234:L234)</f>
        <v>13994000</v>
      </c>
      <c r="N234" s="217">
        <v>17990715</v>
      </c>
      <c r="O234" s="123">
        <v>0</v>
      </c>
      <c r="P234" s="123">
        <v>0</v>
      </c>
      <c r="Q234" s="123">
        <v>0</v>
      </c>
      <c r="R234" s="123">
        <f>+N234-SUM(O234:Q234)</f>
        <v>17990715</v>
      </c>
      <c r="S234" s="133" t="s">
        <v>538</v>
      </c>
      <c r="T234" s="125" t="s">
        <v>539</v>
      </c>
      <c r="U234" s="126" t="s">
        <v>539</v>
      </c>
      <c r="V234" s="182"/>
    </row>
    <row r="235" spans="2:22" ht="14.25" customHeight="1">
      <c r="B235" s="140"/>
      <c r="C235" s="159"/>
      <c r="D235" s="129"/>
      <c r="E235" s="117"/>
      <c r="F235" s="131"/>
      <c r="G235" s="132"/>
      <c r="H235" s="120"/>
      <c r="I235" s="217"/>
      <c r="J235" s="122"/>
      <c r="K235" s="122"/>
      <c r="L235" s="122"/>
      <c r="M235" s="122"/>
      <c r="N235" s="217"/>
      <c r="O235" s="123"/>
      <c r="P235" s="123"/>
      <c r="Q235" s="123"/>
      <c r="R235" s="123"/>
      <c r="S235" s="133" t="s">
        <v>540</v>
      </c>
      <c r="T235" s="125"/>
      <c r="U235" s="126"/>
      <c r="V235" s="182"/>
    </row>
    <row r="236" spans="2:22" ht="14.25" customHeight="1">
      <c r="B236" s="140"/>
      <c r="C236" s="159"/>
      <c r="D236" s="129"/>
      <c r="E236" s="117"/>
      <c r="F236" s="131"/>
      <c r="G236" s="132"/>
      <c r="H236" s="120"/>
      <c r="I236" s="121"/>
      <c r="J236" s="122"/>
      <c r="K236" s="122"/>
      <c r="L236" s="122"/>
      <c r="M236" s="122"/>
      <c r="N236" s="121"/>
      <c r="O236" s="123"/>
      <c r="P236" s="123"/>
      <c r="Q236" s="123"/>
      <c r="R236" s="123"/>
      <c r="S236" s="133" t="s">
        <v>541</v>
      </c>
      <c r="T236" s="125"/>
      <c r="U236" s="126"/>
      <c r="V236" s="182"/>
    </row>
    <row r="237" spans="2:22" ht="14.25" customHeight="1">
      <c r="B237" s="140"/>
      <c r="C237" s="159"/>
      <c r="D237" s="129"/>
      <c r="E237" s="117"/>
      <c r="F237" s="131"/>
      <c r="G237" s="132"/>
      <c r="H237" s="120"/>
      <c r="I237" s="121"/>
      <c r="J237" s="122"/>
      <c r="K237" s="122"/>
      <c r="L237" s="122"/>
      <c r="M237" s="122"/>
      <c r="N237" s="121"/>
      <c r="O237" s="123"/>
      <c r="P237" s="123"/>
      <c r="Q237" s="123"/>
      <c r="R237" s="123"/>
      <c r="S237" s="133" t="s">
        <v>542</v>
      </c>
      <c r="T237" s="125"/>
      <c r="U237" s="126"/>
      <c r="V237" s="182"/>
    </row>
    <row r="238" spans="2:22" ht="14.25" customHeight="1">
      <c r="B238" s="140"/>
      <c r="C238" s="159"/>
      <c r="D238" s="129"/>
      <c r="E238" s="117"/>
      <c r="F238" s="131"/>
      <c r="G238" s="132"/>
      <c r="H238" s="120"/>
      <c r="I238" s="121"/>
      <c r="J238" s="122"/>
      <c r="K238" s="122"/>
      <c r="L238" s="122"/>
      <c r="M238" s="122"/>
      <c r="N238" s="121"/>
      <c r="O238" s="123"/>
      <c r="P238" s="123"/>
      <c r="Q238" s="123"/>
      <c r="R238" s="123"/>
      <c r="S238" s="133" t="s">
        <v>543</v>
      </c>
      <c r="T238" s="125"/>
      <c r="U238" s="126"/>
      <c r="V238" s="182"/>
    </row>
    <row r="239" spans="2:22" ht="14.25" customHeight="1">
      <c r="B239" s="140"/>
      <c r="C239" s="159"/>
      <c r="D239" s="129"/>
      <c r="E239" s="117"/>
      <c r="F239" s="131"/>
      <c r="G239" s="132"/>
      <c r="H239" s="120"/>
      <c r="I239" s="121"/>
      <c r="J239" s="122"/>
      <c r="K239" s="122"/>
      <c r="L239" s="122"/>
      <c r="M239" s="122"/>
      <c r="N239" s="121"/>
      <c r="O239" s="123"/>
      <c r="P239" s="123"/>
      <c r="Q239" s="123"/>
      <c r="R239" s="123"/>
      <c r="S239" s="133" t="s">
        <v>544</v>
      </c>
      <c r="T239" s="125"/>
      <c r="U239" s="126"/>
      <c r="V239" s="182"/>
    </row>
    <row r="240" spans="2:22" ht="14.25" customHeight="1">
      <c r="B240" s="140"/>
      <c r="C240" s="159"/>
      <c r="D240" s="129"/>
      <c r="E240" s="117"/>
      <c r="F240" s="131"/>
      <c r="G240" s="132"/>
      <c r="H240" s="120"/>
      <c r="I240" s="121"/>
      <c r="J240" s="122"/>
      <c r="K240" s="122"/>
      <c r="L240" s="122"/>
      <c r="M240" s="122"/>
      <c r="N240" s="121"/>
      <c r="O240" s="123"/>
      <c r="P240" s="123"/>
      <c r="Q240" s="123"/>
      <c r="R240" s="123"/>
      <c r="S240" s="133" t="s">
        <v>545</v>
      </c>
      <c r="T240" s="125"/>
      <c r="U240" s="126"/>
      <c r="V240" s="182"/>
    </row>
    <row r="241" spans="2:22" ht="14.25" customHeight="1">
      <c r="B241" s="140"/>
      <c r="C241" s="159"/>
      <c r="D241" s="129"/>
      <c r="E241" s="117"/>
      <c r="F241" s="131"/>
      <c r="G241" s="132"/>
      <c r="H241" s="120"/>
      <c r="I241" s="121"/>
      <c r="J241" s="122"/>
      <c r="K241" s="122"/>
      <c r="L241" s="122"/>
      <c r="M241" s="122"/>
      <c r="N241" s="121"/>
      <c r="O241" s="123"/>
      <c r="P241" s="123"/>
      <c r="Q241" s="123"/>
      <c r="R241" s="123"/>
      <c r="S241" s="133"/>
      <c r="T241" s="125"/>
      <c r="U241" s="126"/>
      <c r="V241" s="182"/>
    </row>
    <row r="242" spans="2:22" ht="14.25" customHeight="1">
      <c r="B242" s="140"/>
      <c r="C242" s="159"/>
      <c r="D242" s="129"/>
      <c r="E242" s="117"/>
      <c r="F242" s="131">
        <f>+F234+1</f>
        <v>30</v>
      </c>
      <c r="G242" s="132"/>
      <c r="H242" s="120" t="s">
        <v>546</v>
      </c>
      <c r="I242" s="121">
        <v>47000000</v>
      </c>
      <c r="J242" s="122">
        <v>0</v>
      </c>
      <c r="K242" s="122">
        <v>47000000</v>
      </c>
      <c r="L242" s="122">
        <v>0</v>
      </c>
      <c r="M242" s="122">
        <f>+I242-SUM(J242:L242)</f>
        <v>0</v>
      </c>
      <c r="N242" s="121">
        <v>47000000</v>
      </c>
      <c r="O242" s="123">
        <v>0</v>
      </c>
      <c r="P242" s="123">
        <v>47000000</v>
      </c>
      <c r="Q242" s="123">
        <v>0</v>
      </c>
      <c r="R242" s="123">
        <f>+N242-SUM(O242:Q242)</f>
        <v>0</v>
      </c>
      <c r="S242" s="138" t="s">
        <v>272</v>
      </c>
      <c r="T242" s="184"/>
      <c r="U242" s="139"/>
      <c r="V242" s="182"/>
    </row>
    <row r="243" spans="2:22" ht="14.25" customHeight="1">
      <c r="B243" s="140"/>
      <c r="C243" s="159"/>
      <c r="D243" s="129"/>
      <c r="E243" s="117"/>
      <c r="F243" s="131"/>
      <c r="G243" s="132"/>
      <c r="H243" s="120"/>
      <c r="I243" s="121"/>
      <c r="J243" s="122"/>
      <c r="K243" s="122"/>
      <c r="L243" s="122"/>
      <c r="M243" s="122"/>
      <c r="N243" s="121"/>
      <c r="O243" s="123"/>
      <c r="P243" s="123"/>
      <c r="Q243" s="123"/>
      <c r="R243" s="123"/>
      <c r="S243" s="133" t="s">
        <v>547</v>
      </c>
      <c r="T243" s="125"/>
      <c r="U243" s="126"/>
      <c r="V243" s="182"/>
    </row>
    <row r="244" spans="2:22" ht="14.25" customHeight="1">
      <c r="B244" s="140"/>
      <c r="C244" s="159"/>
      <c r="D244" s="129"/>
      <c r="E244" s="117"/>
      <c r="F244" s="131"/>
      <c r="G244" s="132"/>
      <c r="H244" s="120"/>
      <c r="I244" s="121"/>
      <c r="J244" s="122"/>
      <c r="K244" s="122"/>
      <c r="L244" s="122"/>
      <c r="M244" s="122"/>
      <c r="N244" s="121"/>
      <c r="O244" s="123"/>
      <c r="P244" s="123"/>
      <c r="Q244" s="123"/>
      <c r="R244" s="123"/>
      <c r="S244" s="133" t="s">
        <v>548</v>
      </c>
      <c r="T244" s="125"/>
      <c r="U244" s="126"/>
      <c r="V244" s="182"/>
    </row>
    <row r="245" spans="2:22" ht="14.25" customHeight="1">
      <c r="B245" s="140"/>
      <c r="C245" s="159"/>
      <c r="D245" s="129"/>
      <c r="E245" s="117"/>
      <c r="F245" s="131"/>
      <c r="G245" s="132"/>
      <c r="H245" s="120"/>
      <c r="I245" s="121"/>
      <c r="J245" s="122"/>
      <c r="K245" s="122"/>
      <c r="L245" s="122"/>
      <c r="M245" s="122"/>
      <c r="N245" s="121"/>
      <c r="O245" s="123"/>
      <c r="P245" s="123"/>
      <c r="Q245" s="123"/>
      <c r="R245" s="123"/>
      <c r="S245" s="133"/>
      <c r="T245" s="125"/>
      <c r="U245" s="126"/>
      <c r="V245" s="182"/>
    </row>
    <row r="246" spans="2:22" ht="14.25" customHeight="1">
      <c r="B246" s="140"/>
      <c r="C246" s="159"/>
      <c r="D246" s="129"/>
      <c r="E246" s="117"/>
      <c r="F246" s="131">
        <f>+F242+1</f>
        <v>31</v>
      </c>
      <c r="G246" s="132"/>
      <c r="H246" s="120" t="s">
        <v>549</v>
      </c>
      <c r="I246" s="121">
        <v>39126000</v>
      </c>
      <c r="J246" s="122">
        <v>0</v>
      </c>
      <c r="K246" s="122">
        <v>0</v>
      </c>
      <c r="L246" s="122">
        <v>500000</v>
      </c>
      <c r="M246" s="122">
        <f>+I246-SUM(J246:L246)</f>
        <v>38626000</v>
      </c>
      <c r="N246" s="121">
        <v>26439981</v>
      </c>
      <c r="O246" s="123">
        <v>0</v>
      </c>
      <c r="P246" s="123">
        <v>0</v>
      </c>
      <c r="Q246" s="123">
        <v>500000</v>
      </c>
      <c r="R246" s="123">
        <f>+N246-SUM(O246:Q246)</f>
        <v>25939981</v>
      </c>
      <c r="S246" s="133" t="s">
        <v>550</v>
      </c>
      <c r="T246" s="125" t="s">
        <v>551</v>
      </c>
      <c r="U246" s="126" t="s">
        <v>552</v>
      </c>
      <c r="V246" s="182"/>
    </row>
    <row r="247" spans="2:22" ht="14.25" customHeight="1">
      <c r="B247" s="140"/>
      <c r="C247" s="159"/>
      <c r="D247" s="129"/>
      <c r="E247" s="117"/>
      <c r="F247" s="131"/>
      <c r="G247" s="132"/>
      <c r="H247" s="120"/>
      <c r="I247" s="121"/>
      <c r="J247" s="122"/>
      <c r="K247" s="122"/>
      <c r="L247" s="122"/>
      <c r="M247" s="122"/>
      <c r="N247" s="121"/>
      <c r="O247" s="123"/>
      <c r="P247" s="123"/>
      <c r="Q247" s="123"/>
      <c r="R247" s="123"/>
      <c r="S247" s="133" t="s">
        <v>553</v>
      </c>
      <c r="T247" s="125"/>
      <c r="U247" s="126"/>
      <c r="V247" s="182"/>
    </row>
    <row r="248" spans="2:22" ht="14.25" customHeight="1">
      <c r="B248" s="140"/>
      <c r="C248" s="159"/>
      <c r="D248" s="129"/>
      <c r="E248" s="117"/>
      <c r="F248" s="131"/>
      <c r="G248" s="132"/>
      <c r="H248" s="120"/>
      <c r="I248" s="121"/>
      <c r="J248" s="122"/>
      <c r="K248" s="122"/>
      <c r="L248" s="122"/>
      <c r="M248" s="122"/>
      <c r="N248" s="121"/>
      <c r="O248" s="123"/>
      <c r="P248" s="123"/>
      <c r="Q248" s="123"/>
      <c r="R248" s="123"/>
      <c r="S248" s="133" t="s">
        <v>554</v>
      </c>
      <c r="T248" s="125"/>
      <c r="U248" s="126"/>
      <c r="V248" s="182"/>
    </row>
    <row r="249" spans="2:22" ht="14.25" customHeight="1">
      <c r="B249" s="140"/>
      <c r="C249" s="159"/>
      <c r="D249" s="129"/>
      <c r="E249" s="117"/>
      <c r="F249" s="131"/>
      <c r="G249" s="132"/>
      <c r="H249" s="120"/>
      <c r="I249" s="121"/>
      <c r="J249" s="122"/>
      <c r="K249" s="122"/>
      <c r="L249" s="122"/>
      <c r="M249" s="122"/>
      <c r="N249" s="121"/>
      <c r="O249" s="123"/>
      <c r="P249" s="123"/>
      <c r="Q249" s="123"/>
      <c r="R249" s="123"/>
      <c r="S249" s="138"/>
      <c r="T249" s="184"/>
      <c r="U249" s="139"/>
      <c r="V249" s="182"/>
    </row>
    <row r="250" spans="2:22" ht="14.25" customHeight="1">
      <c r="B250" s="140"/>
      <c r="C250" s="159"/>
      <c r="D250" s="129"/>
      <c r="E250" s="117"/>
      <c r="F250" s="131">
        <f>+F246+1</f>
        <v>32</v>
      </c>
      <c r="G250" s="132"/>
      <c r="H250" s="120" t="s">
        <v>555</v>
      </c>
      <c r="I250" s="121">
        <v>3594000</v>
      </c>
      <c r="J250" s="122">
        <v>0</v>
      </c>
      <c r="K250" s="122">
        <v>0</v>
      </c>
      <c r="L250" s="122">
        <v>0</v>
      </c>
      <c r="M250" s="122">
        <f>+I250-SUM(J250:L250)</f>
        <v>3594000</v>
      </c>
      <c r="N250" s="121">
        <v>3585200</v>
      </c>
      <c r="O250" s="123">
        <v>0</v>
      </c>
      <c r="P250" s="123">
        <v>0</v>
      </c>
      <c r="Q250" s="123">
        <v>0</v>
      </c>
      <c r="R250" s="123">
        <f>+N250-SUM(O250:Q250)</f>
        <v>3585200</v>
      </c>
      <c r="S250" s="133" t="s">
        <v>556</v>
      </c>
      <c r="T250" s="125" t="s">
        <v>557</v>
      </c>
      <c r="U250" s="126" t="s">
        <v>558</v>
      </c>
      <c r="V250" s="182"/>
    </row>
    <row r="251" spans="2:22" ht="14.25" customHeight="1">
      <c r="B251" s="140"/>
      <c r="C251" s="159"/>
      <c r="D251" s="129"/>
      <c r="E251" s="117"/>
      <c r="F251" s="131"/>
      <c r="G251" s="132"/>
      <c r="H251" s="120"/>
      <c r="I251" s="121"/>
      <c r="J251" s="122"/>
      <c r="K251" s="122"/>
      <c r="L251" s="122"/>
      <c r="M251" s="122"/>
      <c r="N251" s="121"/>
      <c r="O251" s="123"/>
      <c r="P251" s="123"/>
      <c r="Q251" s="123"/>
      <c r="R251" s="123"/>
      <c r="S251" s="181" t="s">
        <v>559</v>
      </c>
      <c r="T251" s="125"/>
      <c r="U251" s="126"/>
      <c r="V251" s="182"/>
    </row>
    <row r="252" spans="2:22" ht="14.25" customHeight="1">
      <c r="B252" s="140"/>
      <c r="C252" s="159"/>
      <c r="D252" s="129"/>
      <c r="E252" s="117"/>
      <c r="F252" s="131"/>
      <c r="G252" s="132"/>
      <c r="H252" s="120"/>
      <c r="I252" s="121"/>
      <c r="J252" s="122"/>
      <c r="K252" s="122"/>
      <c r="L252" s="122"/>
      <c r="M252" s="122"/>
      <c r="N252" s="121"/>
      <c r="O252" s="123"/>
      <c r="P252" s="123"/>
      <c r="Q252" s="123"/>
      <c r="R252" s="123"/>
      <c r="S252" s="181" t="s">
        <v>560</v>
      </c>
      <c r="T252" s="125"/>
      <c r="U252" s="126"/>
      <c r="V252" s="182"/>
    </row>
    <row r="253" spans="2:22" ht="14.25" customHeight="1">
      <c r="B253" s="140"/>
      <c r="C253" s="159"/>
      <c r="D253" s="129"/>
      <c r="E253" s="117"/>
      <c r="F253" s="131"/>
      <c r="G253" s="132"/>
      <c r="H253" s="120"/>
      <c r="I253" s="121"/>
      <c r="J253" s="122"/>
      <c r="K253" s="122"/>
      <c r="L253" s="122"/>
      <c r="M253" s="122"/>
      <c r="N253" s="121"/>
      <c r="O253" s="123"/>
      <c r="P253" s="123"/>
      <c r="Q253" s="123"/>
      <c r="R253" s="123"/>
      <c r="S253" s="181" t="s">
        <v>561</v>
      </c>
      <c r="T253" s="125"/>
      <c r="U253" s="126"/>
      <c r="V253" s="182"/>
    </row>
    <row r="254" spans="2:22" ht="14.25" customHeight="1">
      <c r="B254" s="140"/>
      <c r="C254" s="159"/>
      <c r="D254" s="129"/>
      <c r="E254" s="117"/>
      <c r="F254" s="131"/>
      <c r="G254" s="132"/>
      <c r="H254" s="120"/>
      <c r="I254" s="121"/>
      <c r="J254" s="122"/>
      <c r="K254" s="122"/>
      <c r="L254" s="122"/>
      <c r="M254" s="122"/>
      <c r="N254" s="121"/>
      <c r="O254" s="123"/>
      <c r="P254" s="123"/>
      <c r="Q254" s="123"/>
      <c r="R254" s="123"/>
      <c r="S254" s="133" t="s">
        <v>562</v>
      </c>
      <c r="T254" s="125"/>
      <c r="U254" s="126"/>
      <c r="V254" s="182"/>
    </row>
    <row r="255" spans="2:22" ht="14.25" customHeight="1">
      <c r="B255" s="140"/>
      <c r="C255" s="159"/>
      <c r="D255" s="129"/>
      <c r="E255" s="117"/>
      <c r="F255" s="131"/>
      <c r="G255" s="132"/>
      <c r="H255" s="120"/>
      <c r="I255" s="121"/>
      <c r="J255" s="122"/>
      <c r="K255" s="122"/>
      <c r="L255" s="122"/>
      <c r="M255" s="122"/>
      <c r="N255" s="121"/>
      <c r="O255" s="123"/>
      <c r="P255" s="123"/>
      <c r="Q255" s="123"/>
      <c r="R255" s="123"/>
      <c r="S255" s="133"/>
      <c r="T255" s="125"/>
      <c r="U255" s="126"/>
      <c r="V255" s="182"/>
    </row>
    <row r="256" spans="2:22" ht="14.25" customHeight="1">
      <c r="B256" s="140"/>
      <c r="C256" s="159"/>
      <c r="D256" s="129"/>
      <c r="E256" s="117"/>
      <c r="F256" s="131"/>
      <c r="G256" s="132"/>
      <c r="H256" s="120"/>
      <c r="I256" s="121"/>
      <c r="J256" s="122"/>
      <c r="K256" s="122"/>
      <c r="L256" s="122"/>
      <c r="M256" s="122"/>
      <c r="N256" s="121"/>
      <c r="O256" s="123"/>
      <c r="P256" s="123"/>
      <c r="Q256" s="123"/>
      <c r="R256" s="123"/>
      <c r="S256" s="133"/>
      <c r="T256" s="125"/>
      <c r="U256" s="126"/>
      <c r="V256" s="182"/>
    </row>
    <row r="257" spans="2:22" ht="14.25" customHeight="1" thickBot="1">
      <c r="B257" s="147"/>
      <c r="C257" s="213"/>
      <c r="D257" s="148"/>
      <c r="E257" s="190"/>
      <c r="F257" s="150"/>
      <c r="G257" s="151"/>
      <c r="H257" s="191"/>
      <c r="I257" s="192"/>
      <c r="J257" s="193"/>
      <c r="K257" s="193"/>
      <c r="L257" s="193"/>
      <c r="M257" s="193"/>
      <c r="N257" s="192"/>
      <c r="O257" s="194"/>
      <c r="P257" s="194"/>
      <c r="Q257" s="194"/>
      <c r="R257" s="194"/>
      <c r="S257" s="195"/>
      <c r="T257" s="157"/>
      <c r="U257" s="158"/>
      <c r="V257" s="182"/>
    </row>
    <row r="258" spans="2:22" ht="14.25" customHeight="1">
      <c r="B258" s="140"/>
      <c r="C258" s="159"/>
      <c r="D258" s="129"/>
      <c r="E258" s="117"/>
      <c r="F258" s="131">
        <f>+F250+1</f>
        <v>33</v>
      </c>
      <c r="G258" s="132"/>
      <c r="H258" s="120" t="s">
        <v>563</v>
      </c>
      <c r="I258" s="121">
        <v>675000</v>
      </c>
      <c r="J258" s="122">
        <v>0</v>
      </c>
      <c r="K258" s="122">
        <v>0</v>
      </c>
      <c r="L258" s="122">
        <v>805000</v>
      </c>
      <c r="M258" s="122">
        <f>+I258-SUM(J258:L258)</f>
        <v>-130000</v>
      </c>
      <c r="N258" s="121">
        <v>366213</v>
      </c>
      <c r="O258" s="123">
        <v>0</v>
      </c>
      <c r="P258" s="123">
        <v>0</v>
      </c>
      <c r="Q258" s="123">
        <v>760000</v>
      </c>
      <c r="R258" s="123">
        <f>+N258-SUM(O258:Q258)</f>
        <v>-393787</v>
      </c>
      <c r="S258" s="133" t="s">
        <v>564</v>
      </c>
      <c r="T258" s="125" t="s">
        <v>565</v>
      </c>
      <c r="U258" s="126" t="s">
        <v>566</v>
      </c>
      <c r="V258" s="182"/>
    </row>
    <row r="259" spans="2:22" ht="14.25" customHeight="1">
      <c r="B259" s="140"/>
      <c r="C259" s="159"/>
      <c r="D259" s="129"/>
      <c r="E259" s="117"/>
      <c r="F259" s="131"/>
      <c r="G259" s="132"/>
      <c r="H259" s="120"/>
      <c r="I259" s="121"/>
      <c r="J259" s="122"/>
      <c r="K259" s="122"/>
      <c r="L259" s="122"/>
      <c r="M259" s="122"/>
      <c r="N259" s="121"/>
      <c r="O259" s="123"/>
      <c r="P259" s="123"/>
      <c r="Q259" s="123"/>
      <c r="R259" s="123"/>
      <c r="S259" s="133"/>
      <c r="T259" s="125"/>
      <c r="U259" s="126"/>
      <c r="V259" s="182"/>
    </row>
    <row r="260" spans="2:22" ht="14.25" customHeight="1">
      <c r="B260" s="140"/>
      <c r="C260" s="159"/>
      <c r="D260" s="129"/>
      <c r="E260" s="117"/>
      <c r="F260" s="131">
        <f>+F258+1</f>
        <v>34</v>
      </c>
      <c r="G260" s="132"/>
      <c r="H260" s="120" t="s">
        <v>567</v>
      </c>
      <c r="I260" s="121">
        <v>3246000</v>
      </c>
      <c r="J260" s="122">
        <v>0</v>
      </c>
      <c r="K260" s="122">
        <v>0</v>
      </c>
      <c r="L260" s="122">
        <v>3246000</v>
      </c>
      <c r="M260" s="122">
        <f>+I260-SUM(J260:L260)</f>
        <v>0</v>
      </c>
      <c r="N260" s="121">
        <v>1378265</v>
      </c>
      <c r="O260" s="123">
        <v>0</v>
      </c>
      <c r="P260" s="123">
        <v>0</v>
      </c>
      <c r="Q260" s="123">
        <v>1200281</v>
      </c>
      <c r="R260" s="123">
        <f>+N260-SUM(O260:Q260)</f>
        <v>177984</v>
      </c>
      <c r="S260" s="138" t="s">
        <v>272</v>
      </c>
      <c r="T260" s="184"/>
      <c r="U260" s="139"/>
      <c r="V260" s="182"/>
    </row>
    <row r="261" spans="2:22" ht="14.25" customHeight="1">
      <c r="B261" s="140"/>
      <c r="C261" s="159"/>
      <c r="D261" s="129"/>
      <c r="E261" s="117"/>
      <c r="F261" s="131"/>
      <c r="G261" s="132"/>
      <c r="H261" s="120"/>
      <c r="I261" s="121"/>
      <c r="J261" s="122"/>
      <c r="K261" s="122"/>
      <c r="L261" s="122"/>
      <c r="M261" s="122"/>
      <c r="N261" s="121"/>
      <c r="O261" s="123"/>
      <c r="P261" s="123"/>
      <c r="Q261" s="123"/>
      <c r="R261" s="123"/>
      <c r="S261" s="133" t="s">
        <v>568</v>
      </c>
      <c r="T261" s="125"/>
      <c r="U261" s="126"/>
      <c r="V261" s="182"/>
    </row>
    <row r="262" spans="2:22" ht="14.25" customHeight="1">
      <c r="B262" s="140"/>
      <c r="C262" s="159"/>
      <c r="D262" s="129"/>
      <c r="E262" s="117"/>
      <c r="F262" s="131"/>
      <c r="G262" s="132"/>
      <c r="H262" s="120"/>
      <c r="I262" s="121"/>
      <c r="J262" s="122"/>
      <c r="K262" s="122"/>
      <c r="L262" s="122"/>
      <c r="M262" s="122"/>
      <c r="N262" s="121"/>
      <c r="O262" s="123"/>
      <c r="P262" s="123"/>
      <c r="Q262" s="123"/>
      <c r="R262" s="123"/>
      <c r="S262" s="133"/>
      <c r="T262" s="125"/>
      <c r="U262" s="126"/>
      <c r="V262" s="182"/>
    </row>
    <row r="263" spans="2:22" ht="14.25" customHeight="1">
      <c r="B263" s="140"/>
      <c r="C263" s="159"/>
      <c r="D263" s="129"/>
      <c r="E263" s="117"/>
      <c r="F263" s="131">
        <f>+F260+1</f>
        <v>35</v>
      </c>
      <c r="G263" s="132"/>
      <c r="H263" s="120" t="s">
        <v>569</v>
      </c>
      <c r="I263" s="121">
        <v>570448000</v>
      </c>
      <c r="J263" s="122">
        <v>0</v>
      </c>
      <c r="K263" s="122">
        <v>0</v>
      </c>
      <c r="L263" s="122">
        <v>570448000</v>
      </c>
      <c r="M263" s="122">
        <f>+I263-SUM(J263:L263)</f>
        <v>0</v>
      </c>
      <c r="N263" s="121">
        <v>518290000</v>
      </c>
      <c r="O263" s="123">
        <v>0</v>
      </c>
      <c r="P263" s="123">
        <v>0</v>
      </c>
      <c r="Q263" s="123">
        <v>518290000</v>
      </c>
      <c r="R263" s="123">
        <f>+N263-SUM(O263:Q263)</f>
        <v>0</v>
      </c>
      <c r="S263" s="133" t="s">
        <v>570</v>
      </c>
      <c r="T263" s="184" t="s">
        <v>429</v>
      </c>
      <c r="U263" s="126" t="s">
        <v>571</v>
      </c>
      <c r="V263" s="182"/>
    </row>
    <row r="264" spans="2:22" ht="14.25" customHeight="1">
      <c r="B264" s="140"/>
      <c r="C264" s="159"/>
      <c r="D264" s="129"/>
      <c r="E264" s="117"/>
      <c r="F264" s="131"/>
      <c r="G264" s="132"/>
      <c r="H264" s="120"/>
      <c r="I264" s="121"/>
      <c r="J264" s="122"/>
      <c r="K264" s="122"/>
      <c r="L264" s="122"/>
      <c r="M264" s="122"/>
      <c r="N264" s="121"/>
      <c r="O264" s="123"/>
      <c r="P264" s="123"/>
      <c r="Q264" s="123"/>
      <c r="R264" s="123"/>
      <c r="S264" s="133" t="s">
        <v>572</v>
      </c>
      <c r="T264" s="125"/>
      <c r="U264" s="126"/>
      <c r="V264" s="182"/>
    </row>
    <row r="265" spans="2:22" ht="14.25" customHeight="1">
      <c r="B265" s="140"/>
      <c r="C265" s="159"/>
      <c r="D265" s="129"/>
      <c r="E265" s="117"/>
      <c r="F265" s="131"/>
      <c r="G265" s="132"/>
      <c r="H265" s="120"/>
      <c r="I265" s="121"/>
      <c r="J265" s="122"/>
      <c r="K265" s="122"/>
      <c r="L265" s="122"/>
      <c r="M265" s="122"/>
      <c r="N265" s="121"/>
      <c r="O265" s="123"/>
      <c r="P265" s="123"/>
      <c r="Q265" s="123"/>
      <c r="R265" s="123"/>
      <c r="S265" s="133"/>
      <c r="T265" s="125"/>
      <c r="U265" s="126"/>
      <c r="V265" s="182"/>
    </row>
    <row r="266" spans="2:22" ht="14.25" customHeight="1">
      <c r="B266" s="140"/>
      <c r="C266" s="159"/>
      <c r="D266" s="129"/>
      <c r="E266" s="117"/>
      <c r="F266" s="131">
        <f>+F263+1</f>
        <v>36</v>
      </c>
      <c r="G266" s="132"/>
      <c r="H266" s="120" t="s">
        <v>573</v>
      </c>
      <c r="I266" s="121">
        <v>46760000</v>
      </c>
      <c r="J266" s="122">
        <v>0</v>
      </c>
      <c r="K266" s="122">
        <v>0</v>
      </c>
      <c r="L266" s="122">
        <v>46760000</v>
      </c>
      <c r="M266" s="122">
        <f>+I266-SUM(J266:L266)</f>
        <v>0</v>
      </c>
      <c r="N266" s="121">
        <v>45137000</v>
      </c>
      <c r="O266" s="123">
        <v>0</v>
      </c>
      <c r="P266" s="123">
        <v>0</v>
      </c>
      <c r="Q266" s="123">
        <f>40285000+4852000</f>
        <v>45137000</v>
      </c>
      <c r="R266" s="123">
        <f>+N266-SUM(O266:Q266)</f>
        <v>0</v>
      </c>
      <c r="S266" s="133" t="s">
        <v>574</v>
      </c>
      <c r="T266" s="125" t="s">
        <v>575</v>
      </c>
      <c r="U266" s="126" t="s">
        <v>576</v>
      </c>
      <c r="V266" s="182"/>
    </row>
    <row r="267" spans="2:22" ht="14.25" customHeight="1">
      <c r="B267" s="140"/>
      <c r="C267" s="159"/>
      <c r="D267" s="129"/>
      <c r="E267" s="117"/>
      <c r="F267" s="131"/>
      <c r="G267" s="132"/>
      <c r="H267" s="120"/>
      <c r="I267" s="121"/>
      <c r="J267" s="122"/>
      <c r="K267" s="122"/>
      <c r="L267" s="122"/>
      <c r="M267" s="122"/>
      <c r="N267" s="121"/>
      <c r="O267" s="123"/>
      <c r="P267" s="123"/>
      <c r="Q267" s="123"/>
      <c r="R267" s="123"/>
      <c r="S267" s="133" t="s">
        <v>577</v>
      </c>
      <c r="T267" s="125"/>
      <c r="U267" s="126"/>
      <c r="V267" s="182"/>
    </row>
    <row r="268" spans="2:22" ht="14.25" customHeight="1">
      <c r="B268" s="140"/>
      <c r="C268" s="159"/>
      <c r="D268" s="129"/>
      <c r="E268" s="117"/>
      <c r="F268" s="131"/>
      <c r="G268" s="132"/>
      <c r="H268" s="120"/>
      <c r="I268" s="121"/>
      <c r="J268" s="122"/>
      <c r="K268" s="122"/>
      <c r="L268" s="122"/>
      <c r="M268" s="122"/>
      <c r="N268" s="121"/>
      <c r="O268" s="123"/>
      <c r="P268" s="123"/>
      <c r="Q268" s="123"/>
      <c r="R268" s="123"/>
      <c r="S268" s="133" t="s">
        <v>578</v>
      </c>
      <c r="T268" s="125"/>
      <c r="U268" s="126"/>
      <c r="V268" s="182"/>
    </row>
    <row r="269" spans="2:22" ht="14.25" customHeight="1">
      <c r="B269" s="140"/>
      <c r="C269" s="159"/>
      <c r="D269" s="129"/>
      <c r="E269" s="117"/>
      <c r="F269" s="131"/>
      <c r="G269" s="132"/>
      <c r="H269" s="120"/>
      <c r="I269" s="121"/>
      <c r="J269" s="122"/>
      <c r="K269" s="122"/>
      <c r="L269" s="122"/>
      <c r="M269" s="122"/>
      <c r="N269" s="121"/>
      <c r="O269" s="123"/>
      <c r="P269" s="123"/>
      <c r="Q269" s="123"/>
      <c r="R269" s="123"/>
      <c r="S269" s="133"/>
      <c r="T269" s="125"/>
      <c r="U269" s="126"/>
      <c r="V269" s="182"/>
    </row>
    <row r="270" spans="2:22" ht="14.25" customHeight="1">
      <c r="B270" s="140"/>
      <c r="C270" s="159"/>
      <c r="D270" s="129"/>
      <c r="E270" s="117"/>
      <c r="F270" s="131">
        <f>+F266+1</f>
        <v>37</v>
      </c>
      <c r="G270" s="132"/>
      <c r="H270" s="120" t="s">
        <v>579</v>
      </c>
      <c r="I270" s="121">
        <v>1000000000</v>
      </c>
      <c r="J270" s="122">
        <v>1000000000</v>
      </c>
      <c r="K270" s="122">
        <v>0</v>
      </c>
      <c r="L270" s="122">
        <v>0</v>
      </c>
      <c r="M270" s="122">
        <f>+I270-SUM(J270:L270)</f>
        <v>0</v>
      </c>
      <c r="N270" s="121">
        <v>688728845</v>
      </c>
      <c r="O270" s="123">
        <v>1000000000</v>
      </c>
      <c r="P270" s="123">
        <v>0</v>
      </c>
      <c r="Q270" s="123">
        <v>0</v>
      </c>
      <c r="R270" s="123">
        <f>+N270-SUM(O270:Q270)</f>
        <v>-311271155</v>
      </c>
      <c r="S270" s="137" t="s">
        <v>580</v>
      </c>
      <c r="T270" s="125" t="s">
        <v>581</v>
      </c>
      <c r="U270" s="126" t="s">
        <v>581</v>
      </c>
      <c r="V270" s="182"/>
    </row>
    <row r="271" spans="2:22" ht="14.25" customHeight="1">
      <c r="B271" s="140"/>
      <c r="C271" s="159"/>
      <c r="D271" s="129"/>
      <c r="E271" s="117"/>
      <c r="F271" s="131"/>
      <c r="G271" s="132"/>
      <c r="H271" s="120"/>
      <c r="I271" s="121"/>
      <c r="J271" s="122"/>
      <c r="K271" s="122"/>
      <c r="L271" s="122"/>
      <c r="M271" s="122"/>
      <c r="N271" s="121"/>
      <c r="O271" s="123"/>
      <c r="P271" s="123"/>
      <c r="Q271" s="123"/>
      <c r="R271" s="123"/>
      <c r="S271" s="133" t="s">
        <v>582</v>
      </c>
      <c r="T271" s="125"/>
      <c r="U271" s="126"/>
      <c r="V271" s="182"/>
    </row>
    <row r="272" spans="2:22" ht="14.25" customHeight="1">
      <c r="B272" s="140"/>
      <c r="C272" s="159"/>
      <c r="D272" s="129"/>
      <c r="E272" s="117"/>
      <c r="F272" s="131"/>
      <c r="G272" s="132"/>
      <c r="H272" s="120"/>
      <c r="I272" s="121"/>
      <c r="J272" s="122"/>
      <c r="K272" s="122"/>
      <c r="L272" s="122"/>
      <c r="M272" s="122"/>
      <c r="N272" s="121"/>
      <c r="O272" s="123"/>
      <c r="P272" s="123"/>
      <c r="Q272" s="123"/>
      <c r="R272" s="123"/>
      <c r="S272" s="133" t="s">
        <v>583</v>
      </c>
      <c r="T272" s="125"/>
      <c r="U272" s="126"/>
      <c r="V272" s="182"/>
    </row>
    <row r="273" spans="2:22" ht="14.25" customHeight="1">
      <c r="B273" s="140"/>
      <c r="C273" s="159"/>
      <c r="D273" s="129"/>
      <c r="E273" s="117"/>
      <c r="F273" s="131"/>
      <c r="G273" s="132"/>
      <c r="H273" s="120"/>
      <c r="I273" s="121"/>
      <c r="J273" s="122"/>
      <c r="K273" s="122"/>
      <c r="L273" s="122"/>
      <c r="M273" s="122"/>
      <c r="N273" s="121"/>
      <c r="O273" s="123"/>
      <c r="P273" s="123"/>
      <c r="Q273" s="123"/>
      <c r="R273" s="123"/>
      <c r="S273" s="133"/>
      <c r="T273" s="125"/>
      <c r="U273" s="126"/>
      <c r="V273" s="182"/>
    </row>
    <row r="274" spans="2:22" ht="14.25" customHeight="1">
      <c r="B274" s="140"/>
      <c r="C274" s="159"/>
      <c r="D274" s="129"/>
      <c r="E274" s="117"/>
      <c r="F274" s="131">
        <f>+F270+1</f>
        <v>38</v>
      </c>
      <c r="G274" s="132"/>
      <c r="H274" s="120" t="s">
        <v>584</v>
      </c>
      <c r="I274" s="121">
        <v>-3367000</v>
      </c>
      <c r="J274" s="122">
        <v>0</v>
      </c>
      <c r="K274" s="122">
        <v>0</v>
      </c>
      <c r="L274" s="122">
        <v>0</v>
      </c>
      <c r="M274" s="122">
        <f>+I274-SUM(J274:L274)</f>
        <v>-3367000</v>
      </c>
      <c r="N274" s="121">
        <v>0</v>
      </c>
      <c r="O274" s="123">
        <v>0</v>
      </c>
      <c r="P274" s="123">
        <v>0</v>
      </c>
      <c r="Q274" s="123">
        <v>0</v>
      </c>
      <c r="R274" s="123">
        <f>+N274-SUM(O274:Q274)</f>
        <v>0</v>
      </c>
      <c r="S274" s="138" t="s">
        <v>272</v>
      </c>
      <c r="T274" s="184"/>
      <c r="U274" s="126"/>
      <c r="V274" s="182"/>
    </row>
    <row r="275" spans="2:22" ht="14.25" customHeight="1">
      <c r="B275" s="140"/>
      <c r="C275" s="159"/>
      <c r="D275" s="129"/>
      <c r="E275" s="117"/>
      <c r="F275" s="131"/>
      <c r="G275" s="132"/>
      <c r="H275" s="120"/>
      <c r="I275" s="121"/>
      <c r="J275" s="122"/>
      <c r="K275" s="122"/>
      <c r="L275" s="122"/>
      <c r="M275" s="122"/>
      <c r="N275" s="121"/>
      <c r="O275" s="123"/>
      <c r="P275" s="123"/>
      <c r="Q275" s="123"/>
      <c r="R275" s="123"/>
      <c r="S275" s="133"/>
      <c r="T275" s="125"/>
      <c r="U275" s="126"/>
      <c r="V275" s="182"/>
    </row>
    <row r="276" spans="2:22" ht="14.25" customHeight="1">
      <c r="B276" s="140"/>
      <c r="C276" s="159"/>
      <c r="D276" s="129"/>
      <c r="E276" s="117" t="s">
        <v>585</v>
      </c>
      <c r="F276" s="131">
        <f>+F274+1</f>
        <v>39</v>
      </c>
      <c r="G276" s="132"/>
      <c r="H276" s="120" t="s">
        <v>586</v>
      </c>
      <c r="I276" s="121">
        <v>19035000</v>
      </c>
      <c r="J276" s="122">
        <v>0</v>
      </c>
      <c r="K276" s="122">
        <v>0</v>
      </c>
      <c r="L276" s="122">
        <v>122340000</v>
      </c>
      <c r="M276" s="122">
        <f>+I276-SUM(J276:L276)</f>
        <v>-103305000</v>
      </c>
      <c r="N276" s="121">
        <v>14339541</v>
      </c>
      <c r="O276" s="123">
        <v>0</v>
      </c>
      <c r="P276" s="123">
        <v>0</v>
      </c>
      <c r="Q276" s="123">
        <v>129037000</v>
      </c>
      <c r="R276" s="123">
        <f>+N276-SUM(O276:Q276)</f>
        <v>-114697459</v>
      </c>
      <c r="S276" s="133" t="s">
        <v>587</v>
      </c>
      <c r="T276" s="125" t="s">
        <v>588</v>
      </c>
      <c r="U276" s="126" t="s">
        <v>589</v>
      </c>
      <c r="V276" s="182"/>
    </row>
    <row r="277" spans="2:22" ht="14.25" customHeight="1">
      <c r="B277" s="140"/>
      <c r="C277" s="159"/>
      <c r="D277" s="129"/>
      <c r="E277" s="117" t="s">
        <v>590</v>
      </c>
      <c r="F277" s="131"/>
      <c r="G277" s="132"/>
      <c r="H277" s="120"/>
      <c r="I277" s="121"/>
      <c r="J277" s="122"/>
      <c r="K277" s="122"/>
      <c r="L277" s="122"/>
      <c r="M277" s="122"/>
      <c r="N277" s="121"/>
      <c r="O277" s="123"/>
      <c r="P277" s="123"/>
      <c r="Q277" s="123"/>
      <c r="R277" s="123"/>
      <c r="S277" s="133" t="s">
        <v>591</v>
      </c>
      <c r="T277" s="184"/>
      <c r="U277" s="139"/>
      <c r="V277" s="182"/>
    </row>
    <row r="278" spans="2:22" ht="14.25" customHeight="1">
      <c r="B278" s="140"/>
      <c r="C278" s="159"/>
      <c r="D278" s="129"/>
      <c r="E278" s="117" t="s">
        <v>592</v>
      </c>
      <c r="F278" s="131"/>
      <c r="G278" s="132"/>
      <c r="H278" s="120"/>
      <c r="I278" s="121"/>
      <c r="J278" s="122"/>
      <c r="K278" s="122"/>
      <c r="L278" s="122"/>
      <c r="M278" s="122"/>
      <c r="N278" s="121"/>
      <c r="O278" s="123"/>
      <c r="P278" s="123"/>
      <c r="Q278" s="123"/>
      <c r="R278" s="123"/>
      <c r="S278" s="133" t="s">
        <v>593</v>
      </c>
      <c r="T278" s="184"/>
      <c r="U278" s="139"/>
      <c r="V278" s="182"/>
    </row>
    <row r="279" spans="2:22" ht="14.25" customHeight="1">
      <c r="B279" s="140"/>
      <c r="C279" s="159"/>
      <c r="D279" s="129"/>
      <c r="E279" s="117"/>
      <c r="F279" s="131"/>
      <c r="G279" s="132"/>
      <c r="H279" s="120"/>
      <c r="I279" s="121"/>
      <c r="J279" s="122"/>
      <c r="K279" s="122"/>
      <c r="L279" s="122"/>
      <c r="M279" s="122"/>
      <c r="N279" s="218"/>
      <c r="O279" s="123"/>
      <c r="P279" s="123"/>
      <c r="Q279" s="187"/>
      <c r="R279" s="123"/>
      <c r="S279" s="133" t="s">
        <v>594</v>
      </c>
      <c r="T279" s="125"/>
      <c r="U279" s="126"/>
      <c r="V279" s="182"/>
    </row>
    <row r="280" spans="2:22" ht="14.25" customHeight="1">
      <c r="B280" s="140"/>
      <c r="C280" s="159"/>
      <c r="D280" s="129"/>
      <c r="E280" s="117"/>
      <c r="F280" s="131"/>
      <c r="G280" s="132"/>
      <c r="H280" s="120"/>
      <c r="I280" s="121"/>
      <c r="J280" s="122"/>
      <c r="K280" s="122"/>
      <c r="L280" s="122"/>
      <c r="M280" s="122"/>
      <c r="N280" s="218"/>
      <c r="O280" s="123"/>
      <c r="P280" s="123"/>
      <c r="Q280" s="187"/>
      <c r="R280" s="123"/>
      <c r="S280" s="133" t="s">
        <v>595</v>
      </c>
      <c r="T280" s="125"/>
      <c r="U280" s="126"/>
      <c r="V280" s="182"/>
    </row>
    <row r="281" spans="2:22" ht="14.25" customHeight="1">
      <c r="B281" s="140"/>
      <c r="C281" s="159"/>
      <c r="D281" s="129"/>
      <c r="E281" s="117"/>
      <c r="F281" s="131"/>
      <c r="G281" s="132"/>
      <c r="H281" s="120"/>
      <c r="I281" s="121"/>
      <c r="J281" s="122"/>
      <c r="K281" s="122"/>
      <c r="L281" s="122"/>
      <c r="M281" s="122"/>
      <c r="N281" s="218"/>
      <c r="O281" s="123"/>
      <c r="P281" s="123"/>
      <c r="Q281" s="187"/>
      <c r="R281" s="123"/>
      <c r="S281" s="133" t="s">
        <v>596</v>
      </c>
      <c r="T281" s="125"/>
      <c r="U281" s="126"/>
      <c r="V281" s="182"/>
    </row>
    <row r="282" spans="2:22" ht="14.25" customHeight="1">
      <c r="B282" s="140"/>
      <c r="C282" s="159"/>
      <c r="D282" s="129"/>
      <c r="E282" s="117"/>
      <c r="F282" s="131"/>
      <c r="G282" s="132"/>
      <c r="H282" s="120"/>
      <c r="I282" s="121"/>
      <c r="J282" s="122"/>
      <c r="K282" s="122"/>
      <c r="L282" s="122"/>
      <c r="M282" s="122"/>
      <c r="N282" s="218"/>
      <c r="O282" s="123"/>
      <c r="P282" s="123"/>
      <c r="Q282" s="187"/>
      <c r="R282" s="123"/>
      <c r="S282" s="133"/>
      <c r="T282" s="125"/>
      <c r="U282" s="126"/>
      <c r="V282" s="182"/>
    </row>
    <row r="283" spans="2:22" ht="14.25" customHeight="1">
      <c r="B283" s="140"/>
      <c r="C283" s="159"/>
      <c r="D283" s="129"/>
      <c r="E283" s="117"/>
      <c r="F283" s="131">
        <f>+F276+1</f>
        <v>40</v>
      </c>
      <c r="G283" s="132"/>
      <c r="H283" s="120" t="s">
        <v>597</v>
      </c>
      <c r="I283" s="121">
        <v>4426000</v>
      </c>
      <c r="J283" s="122">
        <v>0</v>
      </c>
      <c r="K283" s="122">
        <v>0</v>
      </c>
      <c r="L283" s="122">
        <v>360000</v>
      </c>
      <c r="M283" s="122">
        <f>+I283-SUM(J283:L283)</f>
        <v>4066000</v>
      </c>
      <c r="N283" s="121">
        <v>1584478</v>
      </c>
      <c r="O283" s="123">
        <v>0</v>
      </c>
      <c r="P283" s="123">
        <v>0</v>
      </c>
      <c r="Q283" s="123">
        <v>360000</v>
      </c>
      <c r="R283" s="123">
        <f>+N283-SUM(O283:Q283)</f>
        <v>1224478</v>
      </c>
      <c r="S283" s="133" t="s">
        <v>598</v>
      </c>
      <c r="T283" s="184" t="s">
        <v>272</v>
      </c>
      <c r="U283" s="126" t="s">
        <v>599</v>
      </c>
      <c r="V283" s="182"/>
    </row>
    <row r="284" spans="2:22" ht="14.25" customHeight="1">
      <c r="B284" s="140"/>
      <c r="C284" s="159"/>
      <c r="D284" s="129"/>
      <c r="E284" s="117"/>
      <c r="F284" s="131"/>
      <c r="G284" s="132"/>
      <c r="H284" s="120"/>
      <c r="I284" s="121"/>
      <c r="J284" s="122"/>
      <c r="K284" s="122"/>
      <c r="L284" s="122"/>
      <c r="M284" s="122"/>
      <c r="N284" s="218"/>
      <c r="O284" s="123"/>
      <c r="P284" s="123"/>
      <c r="Q284" s="187"/>
      <c r="R284" s="123"/>
      <c r="S284" s="133" t="s">
        <v>600</v>
      </c>
      <c r="T284" s="125" t="s">
        <v>601</v>
      </c>
      <c r="U284" s="126" t="s">
        <v>602</v>
      </c>
      <c r="V284" s="182"/>
    </row>
    <row r="285" spans="2:22" ht="14.25" customHeight="1">
      <c r="B285" s="140"/>
      <c r="C285" s="159"/>
      <c r="D285" s="129"/>
      <c r="E285" s="117"/>
      <c r="F285" s="131"/>
      <c r="G285" s="132"/>
      <c r="H285" s="120"/>
      <c r="I285" s="121"/>
      <c r="J285" s="122"/>
      <c r="K285" s="122"/>
      <c r="L285" s="122"/>
      <c r="M285" s="122"/>
      <c r="N285" s="218"/>
      <c r="O285" s="123"/>
      <c r="P285" s="123"/>
      <c r="Q285" s="187"/>
      <c r="R285" s="123"/>
      <c r="S285" s="181" t="s">
        <v>603</v>
      </c>
      <c r="T285" s="184"/>
      <c r="U285" s="126"/>
      <c r="V285" s="182"/>
    </row>
    <row r="286" spans="2:22" ht="14.25" customHeight="1">
      <c r="B286" s="140"/>
      <c r="C286" s="159"/>
      <c r="D286" s="129"/>
      <c r="E286" s="117"/>
      <c r="F286" s="131"/>
      <c r="G286" s="132"/>
      <c r="H286" s="120"/>
      <c r="I286" s="121"/>
      <c r="J286" s="122"/>
      <c r="K286" s="122"/>
      <c r="L286" s="122"/>
      <c r="M286" s="122"/>
      <c r="N286" s="218"/>
      <c r="O286" s="123"/>
      <c r="P286" s="123"/>
      <c r="Q286" s="187"/>
      <c r="R286" s="123"/>
      <c r="S286" s="181" t="s">
        <v>604</v>
      </c>
      <c r="T286" s="125"/>
      <c r="U286" s="126"/>
      <c r="V286" s="182"/>
    </row>
    <row r="287" spans="2:22" ht="14.25" customHeight="1">
      <c r="B287" s="140"/>
      <c r="C287" s="159"/>
      <c r="D287" s="129"/>
      <c r="E287" s="117"/>
      <c r="F287" s="131"/>
      <c r="G287" s="132"/>
      <c r="H287" s="120"/>
      <c r="I287" s="121"/>
      <c r="J287" s="122"/>
      <c r="K287" s="122"/>
      <c r="L287" s="122"/>
      <c r="M287" s="122"/>
      <c r="N287" s="218"/>
      <c r="O287" s="123"/>
      <c r="P287" s="123"/>
      <c r="Q287" s="187"/>
      <c r="R287" s="123"/>
      <c r="S287" s="133"/>
      <c r="T287" s="125"/>
      <c r="U287" s="126"/>
      <c r="V287" s="182"/>
    </row>
    <row r="288" spans="2:22" ht="14.25" customHeight="1">
      <c r="B288" s="140"/>
      <c r="C288" s="159"/>
      <c r="D288" s="129"/>
      <c r="E288" s="117"/>
      <c r="F288" s="131">
        <f>+F283+1</f>
        <v>41</v>
      </c>
      <c r="G288" s="132"/>
      <c r="H288" s="120" t="s">
        <v>605</v>
      </c>
      <c r="I288" s="121">
        <v>708000</v>
      </c>
      <c r="J288" s="122">
        <v>0</v>
      </c>
      <c r="K288" s="122">
        <v>0</v>
      </c>
      <c r="L288" s="122">
        <v>0</v>
      </c>
      <c r="M288" s="122">
        <f>+I288-SUM(J288:L288)</f>
        <v>708000</v>
      </c>
      <c r="N288" s="121">
        <v>439455</v>
      </c>
      <c r="O288" s="123">
        <v>0</v>
      </c>
      <c r="P288" s="123">
        <v>0</v>
      </c>
      <c r="Q288" s="123">
        <v>0</v>
      </c>
      <c r="R288" s="123">
        <f>+N288-SUM(O288:Q288)</f>
        <v>439455</v>
      </c>
      <c r="S288" s="133" t="s">
        <v>606</v>
      </c>
      <c r="T288" s="125" t="s">
        <v>601</v>
      </c>
      <c r="U288" s="126" t="s">
        <v>602</v>
      </c>
      <c r="V288" s="219"/>
    </row>
    <row r="289" spans="2:22" ht="14.25" customHeight="1">
      <c r="B289" s="140"/>
      <c r="C289" s="159"/>
      <c r="D289" s="129"/>
      <c r="E289" s="117"/>
      <c r="F289" s="131"/>
      <c r="G289" s="132"/>
      <c r="H289" s="120"/>
      <c r="I289" s="121"/>
      <c r="J289" s="122"/>
      <c r="K289" s="122"/>
      <c r="L289" s="122"/>
      <c r="M289" s="122"/>
      <c r="N289" s="218"/>
      <c r="O289" s="123"/>
      <c r="P289" s="123"/>
      <c r="Q289" s="187"/>
      <c r="R289" s="123"/>
      <c r="S289" s="133" t="s">
        <v>607</v>
      </c>
      <c r="T289" s="125"/>
      <c r="U289" s="126"/>
      <c r="V289" s="182"/>
    </row>
    <row r="290" spans="2:22" ht="14.25" customHeight="1">
      <c r="B290" s="140"/>
      <c r="C290" s="159"/>
      <c r="D290" s="129"/>
      <c r="E290" s="117"/>
      <c r="F290" s="131"/>
      <c r="G290" s="132"/>
      <c r="H290" s="120"/>
      <c r="I290" s="121"/>
      <c r="J290" s="122"/>
      <c r="K290" s="122"/>
      <c r="L290" s="122"/>
      <c r="M290" s="122"/>
      <c r="N290" s="218"/>
      <c r="O290" s="123"/>
      <c r="P290" s="123"/>
      <c r="Q290" s="187"/>
      <c r="R290" s="123"/>
      <c r="S290" s="133"/>
      <c r="T290" s="125"/>
      <c r="U290" s="126"/>
      <c r="V290" s="182"/>
    </row>
    <row r="291" spans="2:22" ht="14.25" customHeight="1">
      <c r="B291" s="140"/>
      <c r="C291" s="159"/>
      <c r="D291" s="129"/>
      <c r="E291" s="117"/>
      <c r="F291" s="131">
        <f>+F288+1</f>
        <v>42</v>
      </c>
      <c r="G291" s="132"/>
      <c r="H291" s="120" t="s">
        <v>608</v>
      </c>
      <c r="I291" s="121">
        <v>2510000</v>
      </c>
      <c r="J291" s="122">
        <v>706000</v>
      </c>
      <c r="K291" s="122">
        <v>0</v>
      </c>
      <c r="L291" s="122">
        <v>210000</v>
      </c>
      <c r="M291" s="122">
        <f>+I291-SUM(J291:L291)</f>
        <v>1594000</v>
      </c>
      <c r="N291" s="121">
        <v>2010529</v>
      </c>
      <c r="O291" s="123">
        <v>404000</v>
      </c>
      <c r="P291" s="123">
        <v>0</v>
      </c>
      <c r="Q291" s="123">
        <v>210000</v>
      </c>
      <c r="R291" s="123">
        <f>+N291-SUM(O291:Q291)</f>
        <v>1396529</v>
      </c>
      <c r="S291" s="133" t="s">
        <v>609</v>
      </c>
      <c r="T291" s="125" t="s">
        <v>610</v>
      </c>
      <c r="U291" s="126" t="s">
        <v>611</v>
      </c>
      <c r="V291" s="182"/>
    </row>
    <row r="292" spans="2:22" ht="14.25" customHeight="1">
      <c r="B292" s="140"/>
      <c r="C292" s="159"/>
      <c r="D292" s="129"/>
      <c r="E292" s="117"/>
      <c r="F292" s="131"/>
      <c r="G292" s="132"/>
      <c r="H292" s="120"/>
      <c r="I292" s="121"/>
      <c r="J292" s="122"/>
      <c r="K292" s="122"/>
      <c r="L292" s="122"/>
      <c r="M292" s="122"/>
      <c r="N292" s="121"/>
      <c r="O292" s="123"/>
      <c r="P292" s="123"/>
      <c r="Q292" s="123"/>
      <c r="R292" s="123"/>
      <c r="S292" s="133" t="s">
        <v>612</v>
      </c>
      <c r="T292" s="125"/>
      <c r="U292" s="126"/>
      <c r="V292" s="182"/>
    </row>
    <row r="293" spans="2:22" ht="14.25" customHeight="1">
      <c r="B293" s="140"/>
      <c r="C293" s="159"/>
      <c r="D293" s="129"/>
      <c r="E293" s="117"/>
      <c r="F293" s="131"/>
      <c r="G293" s="132"/>
      <c r="H293" s="120"/>
      <c r="I293" s="121"/>
      <c r="J293" s="122"/>
      <c r="K293" s="122"/>
      <c r="L293" s="122"/>
      <c r="M293" s="122"/>
      <c r="N293" s="121"/>
      <c r="O293" s="123"/>
      <c r="P293" s="123"/>
      <c r="Q293" s="123"/>
      <c r="R293" s="123"/>
      <c r="S293" s="133" t="s">
        <v>613</v>
      </c>
      <c r="T293" s="125"/>
      <c r="U293" s="126"/>
      <c r="V293" s="182"/>
    </row>
    <row r="294" spans="2:22" ht="14.25" customHeight="1">
      <c r="B294" s="140"/>
      <c r="C294" s="159"/>
      <c r="D294" s="129"/>
      <c r="E294" s="117"/>
      <c r="F294" s="131"/>
      <c r="G294" s="132"/>
      <c r="H294" s="120"/>
      <c r="I294" s="121"/>
      <c r="J294" s="122"/>
      <c r="K294" s="122"/>
      <c r="L294" s="122"/>
      <c r="M294" s="122"/>
      <c r="N294" s="121"/>
      <c r="O294" s="123"/>
      <c r="P294" s="123"/>
      <c r="Q294" s="123"/>
      <c r="R294" s="123"/>
      <c r="S294" s="133" t="s">
        <v>614</v>
      </c>
      <c r="T294" s="125"/>
      <c r="U294" s="126"/>
      <c r="V294" s="182"/>
    </row>
    <row r="295" spans="2:22" ht="14.25" customHeight="1">
      <c r="B295" s="140"/>
      <c r="C295" s="159"/>
      <c r="D295" s="129"/>
      <c r="E295" s="117"/>
      <c r="F295" s="131"/>
      <c r="G295" s="132"/>
      <c r="H295" s="120"/>
      <c r="I295" s="121"/>
      <c r="J295" s="122"/>
      <c r="K295" s="122"/>
      <c r="L295" s="122"/>
      <c r="M295" s="122"/>
      <c r="N295" s="121"/>
      <c r="O295" s="123"/>
      <c r="P295" s="123"/>
      <c r="Q295" s="123"/>
      <c r="R295" s="123"/>
      <c r="S295" s="133"/>
      <c r="T295" s="125"/>
      <c r="U295" s="126"/>
      <c r="V295" s="182"/>
    </row>
    <row r="296" spans="2:22" ht="14.25" customHeight="1">
      <c r="B296" s="140"/>
      <c r="C296" s="159"/>
      <c r="D296" s="129"/>
      <c r="E296" s="117"/>
      <c r="F296" s="131">
        <f>+F291+1</f>
        <v>43</v>
      </c>
      <c r="G296" s="132"/>
      <c r="H296" s="120" t="s">
        <v>615</v>
      </c>
      <c r="I296" s="121">
        <v>225000</v>
      </c>
      <c r="J296" s="122">
        <v>0</v>
      </c>
      <c r="K296" s="122">
        <v>0</v>
      </c>
      <c r="L296" s="122">
        <v>0</v>
      </c>
      <c r="M296" s="122">
        <f>+I296-SUM(J296:L296)</f>
        <v>225000</v>
      </c>
      <c r="N296" s="121">
        <v>225000</v>
      </c>
      <c r="O296" s="123">
        <v>0</v>
      </c>
      <c r="P296" s="123">
        <v>0</v>
      </c>
      <c r="Q296" s="123">
        <v>0</v>
      </c>
      <c r="R296" s="123">
        <f>+N296-SUM(O296:Q296)</f>
        <v>225000</v>
      </c>
      <c r="S296" s="133" t="s">
        <v>616</v>
      </c>
      <c r="T296" s="125" t="s">
        <v>617</v>
      </c>
      <c r="U296" s="126" t="s">
        <v>618</v>
      </c>
      <c r="V296" s="182"/>
    </row>
    <row r="297" spans="2:22" ht="14.25" customHeight="1">
      <c r="B297" s="140"/>
      <c r="C297" s="159"/>
      <c r="D297" s="129"/>
      <c r="E297" s="117"/>
      <c r="F297" s="131"/>
      <c r="G297" s="132"/>
      <c r="H297" s="120"/>
      <c r="I297" s="121"/>
      <c r="J297" s="122"/>
      <c r="K297" s="122"/>
      <c r="L297" s="122"/>
      <c r="M297" s="122"/>
      <c r="N297" s="121"/>
      <c r="O297" s="123"/>
      <c r="P297" s="123"/>
      <c r="Q297" s="123"/>
      <c r="R297" s="123"/>
      <c r="S297" s="133" t="s">
        <v>619</v>
      </c>
      <c r="T297" s="125"/>
      <c r="U297" s="126"/>
      <c r="V297" s="182"/>
    </row>
    <row r="298" spans="2:22" ht="14.25" customHeight="1">
      <c r="B298" s="140"/>
      <c r="C298" s="159"/>
      <c r="D298" s="129"/>
      <c r="E298" s="117"/>
      <c r="F298" s="131"/>
      <c r="G298" s="132"/>
      <c r="H298" s="120"/>
      <c r="I298" s="121"/>
      <c r="J298" s="122"/>
      <c r="K298" s="122"/>
      <c r="L298" s="122"/>
      <c r="M298" s="122"/>
      <c r="N298" s="121"/>
      <c r="O298" s="123"/>
      <c r="P298" s="123"/>
      <c r="Q298" s="123"/>
      <c r="R298" s="123"/>
      <c r="S298" s="133" t="s">
        <v>620</v>
      </c>
      <c r="T298" s="125"/>
      <c r="U298" s="126"/>
      <c r="V298" s="182"/>
    </row>
    <row r="299" spans="2:22" ht="14.25" customHeight="1">
      <c r="B299" s="140"/>
      <c r="C299" s="159"/>
      <c r="D299" s="129"/>
      <c r="E299" s="117"/>
      <c r="F299" s="131"/>
      <c r="G299" s="132"/>
      <c r="H299" s="120"/>
      <c r="I299" s="121"/>
      <c r="J299" s="122"/>
      <c r="K299" s="122"/>
      <c r="L299" s="122"/>
      <c r="M299" s="122"/>
      <c r="N299" s="121"/>
      <c r="O299" s="123"/>
      <c r="P299" s="123"/>
      <c r="Q299" s="123"/>
      <c r="R299" s="123"/>
      <c r="S299" s="133"/>
      <c r="T299" s="125"/>
      <c r="U299" s="126"/>
      <c r="V299" s="182"/>
    </row>
    <row r="300" spans="2:22" ht="14.25" customHeight="1">
      <c r="B300" s="140"/>
      <c r="C300" s="159"/>
      <c r="D300" s="129"/>
      <c r="E300" s="117"/>
      <c r="F300" s="131">
        <f>+F296+1</f>
        <v>44</v>
      </c>
      <c r="G300" s="132"/>
      <c r="H300" s="120" t="s">
        <v>621</v>
      </c>
      <c r="I300" s="121">
        <v>2272000</v>
      </c>
      <c r="J300" s="122">
        <v>0</v>
      </c>
      <c r="K300" s="122">
        <v>0</v>
      </c>
      <c r="L300" s="122">
        <v>0</v>
      </c>
      <c r="M300" s="122">
        <f>+I300-SUM(J300:L300)</f>
        <v>2272000</v>
      </c>
      <c r="N300" s="121">
        <v>1951340</v>
      </c>
      <c r="O300" s="123">
        <v>0</v>
      </c>
      <c r="P300" s="123">
        <v>0</v>
      </c>
      <c r="Q300" s="123">
        <v>0</v>
      </c>
      <c r="R300" s="123">
        <f>+N300-SUM(O300:Q300)</f>
        <v>1951340</v>
      </c>
      <c r="S300" s="133" t="s">
        <v>622</v>
      </c>
      <c r="T300" s="125" t="s">
        <v>623</v>
      </c>
      <c r="U300" s="220">
        <v>0.853</v>
      </c>
      <c r="V300" s="182"/>
    </row>
    <row r="301" spans="2:22" ht="14.25" customHeight="1">
      <c r="B301" s="140"/>
      <c r="C301" s="159"/>
      <c r="D301" s="129"/>
      <c r="E301" s="117"/>
      <c r="F301" s="131"/>
      <c r="G301" s="132"/>
      <c r="H301" s="120"/>
      <c r="I301" s="121"/>
      <c r="J301" s="122"/>
      <c r="K301" s="122"/>
      <c r="L301" s="122"/>
      <c r="M301" s="122"/>
      <c r="N301" s="121"/>
      <c r="O301" s="123"/>
      <c r="P301" s="123"/>
      <c r="Q301" s="123"/>
      <c r="R301" s="123"/>
      <c r="S301" s="133" t="s">
        <v>624</v>
      </c>
      <c r="T301" s="125"/>
      <c r="U301" s="126"/>
      <c r="V301" s="182"/>
    </row>
    <row r="302" spans="2:22" ht="14.25" customHeight="1">
      <c r="B302" s="140"/>
      <c r="C302" s="159"/>
      <c r="D302" s="129"/>
      <c r="E302" s="117"/>
      <c r="F302" s="131"/>
      <c r="G302" s="132"/>
      <c r="H302" s="120"/>
      <c r="I302" s="121"/>
      <c r="J302" s="122"/>
      <c r="K302" s="122"/>
      <c r="L302" s="122"/>
      <c r="M302" s="122"/>
      <c r="N302" s="121"/>
      <c r="O302" s="123"/>
      <c r="P302" s="123"/>
      <c r="Q302" s="123"/>
      <c r="R302" s="123"/>
      <c r="S302" s="133" t="s">
        <v>625</v>
      </c>
      <c r="T302" s="125"/>
      <c r="U302" s="126"/>
      <c r="V302" s="182"/>
    </row>
    <row r="303" spans="2:22" ht="14.25" customHeight="1">
      <c r="B303" s="140"/>
      <c r="C303" s="159"/>
      <c r="D303" s="129"/>
      <c r="E303" s="117"/>
      <c r="F303" s="131"/>
      <c r="G303" s="132"/>
      <c r="H303" s="120"/>
      <c r="I303" s="121"/>
      <c r="J303" s="122"/>
      <c r="K303" s="122"/>
      <c r="L303" s="122"/>
      <c r="M303" s="122"/>
      <c r="N303" s="121"/>
      <c r="O303" s="123"/>
      <c r="P303" s="123"/>
      <c r="Q303" s="123"/>
      <c r="R303" s="123"/>
      <c r="S303" s="133" t="s">
        <v>626</v>
      </c>
      <c r="T303" s="125" t="s">
        <v>627</v>
      </c>
      <c r="U303" s="126" t="s">
        <v>628</v>
      </c>
      <c r="V303" s="219"/>
    </row>
    <row r="304" spans="2:22" ht="14.25" customHeight="1">
      <c r="B304" s="140"/>
      <c r="C304" s="159"/>
      <c r="D304" s="129"/>
      <c r="E304" s="117"/>
      <c r="F304" s="131"/>
      <c r="G304" s="132"/>
      <c r="H304" s="120"/>
      <c r="I304" s="121"/>
      <c r="J304" s="122"/>
      <c r="K304" s="122"/>
      <c r="L304" s="122"/>
      <c r="M304" s="122"/>
      <c r="N304" s="121"/>
      <c r="O304" s="123"/>
      <c r="P304" s="123"/>
      <c r="Q304" s="123"/>
      <c r="R304" s="123"/>
      <c r="S304" s="181" t="s">
        <v>629</v>
      </c>
      <c r="T304" s="125"/>
      <c r="U304" s="126"/>
      <c r="V304" s="219"/>
    </row>
    <row r="305" spans="2:22" ht="14.25" customHeight="1">
      <c r="B305" s="140"/>
      <c r="C305" s="159"/>
      <c r="D305" s="129"/>
      <c r="E305" s="117"/>
      <c r="F305" s="131"/>
      <c r="G305" s="132"/>
      <c r="H305" s="120"/>
      <c r="I305" s="121"/>
      <c r="J305" s="122"/>
      <c r="K305" s="122"/>
      <c r="L305" s="122"/>
      <c r="M305" s="122"/>
      <c r="N305" s="121"/>
      <c r="O305" s="123"/>
      <c r="P305" s="123"/>
      <c r="Q305" s="123"/>
      <c r="R305" s="123"/>
      <c r="S305" s="181" t="s">
        <v>630</v>
      </c>
      <c r="T305" s="125"/>
      <c r="U305" s="126"/>
      <c r="V305" s="182"/>
    </row>
    <row r="306" spans="2:22" ht="14.25" customHeight="1">
      <c r="B306" s="140"/>
      <c r="C306" s="159"/>
      <c r="D306" s="129"/>
      <c r="E306" s="117"/>
      <c r="F306" s="131"/>
      <c r="G306" s="132"/>
      <c r="H306" s="120"/>
      <c r="I306" s="121"/>
      <c r="J306" s="122"/>
      <c r="K306" s="122"/>
      <c r="L306" s="122"/>
      <c r="M306" s="122"/>
      <c r="N306" s="121"/>
      <c r="O306" s="123"/>
      <c r="P306" s="123"/>
      <c r="Q306" s="123"/>
      <c r="R306" s="123"/>
      <c r="S306" s="181"/>
      <c r="T306" s="125"/>
      <c r="U306" s="126"/>
      <c r="V306" s="182"/>
    </row>
    <row r="307" spans="2:22" ht="14.25" customHeight="1">
      <c r="B307" s="140"/>
      <c r="C307" s="159"/>
      <c r="D307" s="129"/>
      <c r="E307" s="117"/>
      <c r="F307" s="131"/>
      <c r="G307" s="132"/>
      <c r="H307" s="120"/>
      <c r="I307" s="121"/>
      <c r="J307" s="122"/>
      <c r="K307" s="122"/>
      <c r="L307" s="122"/>
      <c r="M307" s="122"/>
      <c r="N307" s="121"/>
      <c r="O307" s="123"/>
      <c r="P307" s="123"/>
      <c r="Q307" s="123"/>
      <c r="R307" s="123"/>
      <c r="S307" s="181"/>
      <c r="T307" s="125"/>
      <c r="U307" s="126"/>
      <c r="V307" s="182"/>
    </row>
    <row r="308" spans="2:22" ht="14.25" customHeight="1" thickBot="1">
      <c r="B308" s="147"/>
      <c r="C308" s="213"/>
      <c r="D308" s="148"/>
      <c r="E308" s="190"/>
      <c r="F308" s="150"/>
      <c r="G308" s="151"/>
      <c r="H308" s="191"/>
      <c r="I308" s="192"/>
      <c r="J308" s="193"/>
      <c r="K308" s="193"/>
      <c r="L308" s="193"/>
      <c r="M308" s="193"/>
      <c r="N308" s="192"/>
      <c r="O308" s="194"/>
      <c r="P308" s="194"/>
      <c r="Q308" s="194"/>
      <c r="R308" s="194"/>
      <c r="S308" s="195"/>
      <c r="T308" s="157"/>
      <c r="U308" s="158"/>
      <c r="V308" s="182"/>
    </row>
    <row r="309" spans="2:22" ht="14.25" customHeight="1">
      <c r="B309" s="140"/>
      <c r="C309" s="159"/>
      <c r="D309" s="129"/>
      <c r="E309" s="117"/>
      <c r="F309" s="131">
        <f>+F300+1</f>
        <v>45</v>
      </c>
      <c r="G309" s="132"/>
      <c r="H309" s="120" t="s">
        <v>631</v>
      </c>
      <c r="I309" s="121">
        <v>5044000</v>
      </c>
      <c r="J309" s="122">
        <v>0</v>
      </c>
      <c r="K309" s="122">
        <v>0</v>
      </c>
      <c r="L309" s="122">
        <v>880000</v>
      </c>
      <c r="M309" s="122">
        <f>+I309-SUM(J309:L309)</f>
        <v>4164000</v>
      </c>
      <c r="N309" s="121">
        <v>4920500</v>
      </c>
      <c r="O309" s="123">
        <v>0</v>
      </c>
      <c r="P309" s="123">
        <v>0</v>
      </c>
      <c r="Q309" s="123">
        <v>880000</v>
      </c>
      <c r="R309" s="123">
        <f>+N309-SUM(O309:Q309)</f>
        <v>4040500</v>
      </c>
      <c r="S309" s="133" t="s">
        <v>632</v>
      </c>
      <c r="T309" s="125" t="s">
        <v>633</v>
      </c>
      <c r="U309" s="126" t="s">
        <v>634</v>
      </c>
      <c r="V309" s="182"/>
    </row>
    <row r="310" spans="2:22" ht="14.25" customHeight="1">
      <c r="B310" s="140"/>
      <c r="C310" s="159"/>
      <c r="D310" s="129"/>
      <c r="E310" s="117"/>
      <c r="F310" s="131"/>
      <c r="G310" s="132"/>
      <c r="H310" s="120"/>
      <c r="I310" s="121"/>
      <c r="J310" s="122"/>
      <c r="K310" s="122"/>
      <c r="L310" s="122"/>
      <c r="M310" s="122"/>
      <c r="N310" s="121"/>
      <c r="O310" s="123"/>
      <c r="P310" s="123"/>
      <c r="Q310" s="123"/>
      <c r="R310" s="123"/>
      <c r="S310" s="133" t="s">
        <v>635</v>
      </c>
      <c r="T310" s="125"/>
      <c r="U310" s="126"/>
      <c r="V310" s="182"/>
    </row>
    <row r="311" spans="2:22" ht="14.25" customHeight="1">
      <c r="B311" s="140"/>
      <c r="C311" s="159"/>
      <c r="D311" s="129"/>
      <c r="E311" s="117"/>
      <c r="F311" s="131"/>
      <c r="G311" s="132"/>
      <c r="H311" s="120"/>
      <c r="I311" s="121"/>
      <c r="J311" s="122"/>
      <c r="K311" s="122"/>
      <c r="L311" s="122"/>
      <c r="M311" s="122"/>
      <c r="N311" s="121"/>
      <c r="O311" s="123"/>
      <c r="P311" s="123"/>
      <c r="Q311" s="123"/>
      <c r="R311" s="123"/>
      <c r="S311" s="133" t="s">
        <v>636</v>
      </c>
      <c r="T311" s="125"/>
      <c r="U311" s="126"/>
      <c r="V311" s="182"/>
    </row>
    <row r="312" spans="2:22" ht="14.25" customHeight="1">
      <c r="B312" s="140"/>
      <c r="C312" s="159"/>
      <c r="D312" s="129"/>
      <c r="E312" s="117"/>
      <c r="F312" s="131"/>
      <c r="G312" s="132"/>
      <c r="H312" s="120"/>
      <c r="I312" s="121"/>
      <c r="J312" s="122"/>
      <c r="K312" s="122"/>
      <c r="L312" s="122"/>
      <c r="M312" s="122"/>
      <c r="N312" s="121"/>
      <c r="O312" s="123"/>
      <c r="P312" s="123"/>
      <c r="Q312" s="123"/>
      <c r="R312" s="123"/>
      <c r="S312" s="133"/>
      <c r="T312" s="125"/>
      <c r="U312" s="126"/>
      <c r="V312" s="182"/>
    </row>
    <row r="313" spans="2:22" ht="14.25" customHeight="1">
      <c r="B313" s="140"/>
      <c r="C313" s="159"/>
      <c r="D313" s="129"/>
      <c r="E313" s="117"/>
      <c r="F313" s="131">
        <f>+F309+1</f>
        <v>46</v>
      </c>
      <c r="G313" s="132"/>
      <c r="H313" s="120" t="s">
        <v>637</v>
      </c>
      <c r="I313" s="121">
        <v>3175000</v>
      </c>
      <c r="J313" s="122">
        <v>0</v>
      </c>
      <c r="K313" s="122">
        <v>0</v>
      </c>
      <c r="L313" s="122">
        <v>990000</v>
      </c>
      <c r="M313" s="122">
        <f>+I313-SUM(J313:L313)</f>
        <v>2185000</v>
      </c>
      <c r="N313" s="121">
        <v>3075492</v>
      </c>
      <c r="O313" s="123">
        <v>0</v>
      </c>
      <c r="P313" s="123">
        <v>0</v>
      </c>
      <c r="Q313" s="123">
        <v>990000</v>
      </c>
      <c r="R313" s="123">
        <f>+N313-SUM(O313:Q313)</f>
        <v>2085492</v>
      </c>
      <c r="S313" s="133" t="s">
        <v>638</v>
      </c>
      <c r="T313" s="125" t="s">
        <v>639</v>
      </c>
      <c r="U313" s="126" t="s">
        <v>640</v>
      </c>
      <c r="V313" s="182"/>
    </row>
    <row r="314" spans="2:22" ht="14.25" customHeight="1">
      <c r="B314" s="140"/>
      <c r="C314" s="159"/>
      <c r="D314" s="129"/>
      <c r="E314" s="117"/>
      <c r="F314" s="131"/>
      <c r="G314" s="132"/>
      <c r="H314" s="120"/>
      <c r="I314" s="121"/>
      <c r="J314" s="122"/>
      <c r="K314" s="122"/>
      <c r="L314" s="122"/>
      <c r="M314" s="122"/>
      <c r="N314" s="121"/>
      <c r="O314" s="123"/>
      <c r="P314" s="123"/>
      <c r="Q314" s="123"/>
      <c r="R314" s="123"/>
      <c r="S314" s="181" t="s">
        <v>641</v>
      </c>
      <c r="T314" s="125"/>
      <c r="U314" s="126"/>
      <c r="V314" s="219"/>
    </row>
    <row r="315" spans="2:22" ht="14.25" customHeight="1">
      <c r="B315" s="140"/>
      <c r="C315" s="159"/>
      <c r="D315" s="129"/>
      <c r="E315" s="117"/>
      <c r="F315" s="131"/>
      <c r="G315" s="132"/>
      <c r="H315" s="120"/>
      <c r="I315" s="121"/>
      <c r="J315" s="122"/>
      <c r="K315" s="122"/>
      <c r="L315" s="122"/>
      <c r="M315" s="122"/>
      <c r="N315" s="121"/>
      <c r="O315" s="123"/>
      <c r="P315" s="123"/>
      <c r="Q315" s="123"/>
      <c r="R315" s="123"/>
      <c r="S315" s="181" t="s">
        <v>642</v>
      </c>
      <c r="T315" s="125"/>
      <c r="U315" s="126"/>
      <c r="V315" s="219"/>
    </row>
    <row r="316" spans="2:22" ht="14.25" customHeight="1">
      <c r="B316" s="140"/>
      <c r="C316" s="159"/>
      <c r="D316" s="129"/>
      <c r="E316" s="117"/>
      <c r="F316" s="131"/>
      <c r="G316" s="132"/>
      <c r="H316" s="120"/>
      <c r="I316" s="121"/>
      <c r="J316" s="122"/>
      <c r="K316" s="122"/>
      <c r="L316" s="122"/>
      <c r="M316" s="122"/>
      <c r="N316" s="121"/>
      <c r="O316" s="123"/>
      <c r="P316" s="123"/>
      <c r="Q316" s="123"/>
      <c r="R316" s="123"/>
      <c r="S316" s="133"/>
      <c r="T316" s="125"/>
      <c r="U316" s="126"/>
      <c r="V316" s="182"/>
    </row>
    <row r="317" spans="2:22" ht="14.25" customHeight="1">
      <c r="B317" s="140"/>
      <c r="C317" s="159"/>
      <c r="D317" s="129"/>
      <c r="E317" s="117"/>
      <c r="F317" s="131">
        <f>+F313+1</f>
        <v>47</v>
      </c>
      <c r="G317" s="132"/>
      <c r="H317" s="120" t="s">
        <v>643</v>
      </c>
      <c r="I317" s="121">
        <v>838000</v>
      </c>
      <c r="J317" s="122">
        <v>0</v>
      </c>
      <c r="K317" s="122">
        <v>0</v>
      </c>
      <c r="L317" s="122">
        <v>1400000</v>
      </c>
      <c r="M317" s="122">
        <f>+I317-SUM(J317:L317)</f>
        <v>-562000</v>
      </c>
      <c r="N317" s="121">
        <v>381009</v>
      </c>
      <c r="O317" s="123">
        <v>0</v>
      </c>
      <c r="P317" s="123">
        <v>0</v>
      </c>
      <c r="Q317" s="123">
        <v>1415400</v>
      </c>
      <c r="R317" s="123">
        <f>+N317-SUM(O317:Q317)</f>
        <v>-1034391</v>
      </c>
      <c r="S317" s="133" t="s">
        <v>644</v>
      </c>
      <c r="T317" s="125" t="s">
        <v>645</v>
      </c>
      <c r="U317" s="126" t="s">
        <v>646</v>
      </c>
      <c r="V317" s="182"/>
    </row>
    <row r="318" spans="2:22" ht="14.25" customHeight="1">
      <c r="B318" s="140"/>
      <c r="C318" s="159"/>
      <c r="D318" s="129"/>
      <c r="E318" s="117"/>
      <c r="F318" s="131"/>
      <c r="G318" s="132"/>
      <c r="H318" s="120"/>
      <c r="I318" s="121"/>
      <c r="J318" s="122"/>
      <c r="K318" s="122"/>
      <c r="L318" s="122"/>
      <c r="M318" s="122"/>
      <c r="N318" s="121"/>
      <c r="O318" s="123"/>
      <c r="P318" s="123"/>
      <c r="Q318" s="123"/>
      <c r="R318" s="123"/>
      <c r="S318" s="133"/>
      <c r="T318" s="125"/>
      <c r="U318" s="126"/>
      <c r="V318" s="182"/>
    </row>
    <row r="319" spans="2:22" ht="14.25" customHeight="1">
      <c r="B319" s="140"/>
      <c r="C319" s="159"/>
      <c r="D319" s="129"/>
      <c r="E319" s="117"/>
      <c r="F319" s="131">
        <f>+F317+1</f>
        <v>48</v>
      </c>
      <c r="G319" s="132"/>
      <c r="H319" s="120" t="s">
        <v>647</v>
      </c>
      <c r="I319" s="121">
        <v>397000</v>
      </c>
      <c r="J319" s="122">
        <v>0</v>
      </c>
      <c r="K319" s="122">
        <v>0</v>
      </c>
      <c r="L319" s="122">
        <v>0</v>
      </c>
      <c r="M319" s="122">
        <f>+I319-SUM(J319:L319)</f>
        <v>397000</v>
      </c>
      <c r="N319" s="121">
        <v>168040</v>
      </c>
      <c r="O319" s="123">
        <v>0</v>
      </c>
      <c r="P319" s="123">
        <v>0</v>
      </c>
      <c r="Q319" s="123">
        <v>0</v>
      </c>
      <c r="R319" s="123">
        <f>+N319-SUM(O319:Q319)</f>
        <v>168040</v>
      </c>
      <c r="S319" s="133" t="s">
        <v>648</v>
      </c>
      <c r="T319" s="184" t="s">
        <v>429</v>
      </c>
      <c r="U319" s="126" t="s">
        <v>412</v>
      </c>
      <c r="V319" s="182"/>
    </row>
    <row r="320" spans="2:22" ht="14.25" customHeight="1">
      <c r="B320" s="140"/>
      <c r="C320" s="159"/>
      <c r="D320" s="129"/>
      <c r="E320" s="117"/>
      <c r="F320" s="131"/>
      <c r="G320" s="132"/>
      <c r="H320" s="120"/>
      <c r="I320" s="121"/>
      <c r="J320" s="122"/>
      <c r="K320" s="122"/>
      <c r="L320" s="122"/>
      <c r="M320" s="122"/>
      <c r="N320" s="121"/>
      <c r="O320" s="123"/>
      <c r="P320" s="123"/>
      <c r="Q320" s="123"/>
      <c r="R320" s="123"/>
      <c r="S320" s="133" t="s">
        <v>649</v>
      </c>
      <c r="T320" s="125"/>
      <c r="U320" s="126"/>
      <c r="V320" s="182"/>
    </row>
    <row r="321" spans="2:22" ht="14.25" customHeight="1">
      <c r="B321" s="140"/>
      <c r="C321" s="159"/>
      <c r="D321" s="129"/>
      <c r="E321" s="117"/>
      <c r="F321" s="131"/>
      <c r="G321" s="132"/>
      <c r="H321" s="120"/>
      <c r="I321" s="121"/>
      <c r="J321" s="122"/>
      <c r="K321" s="122"/>
      <c r="L321" s="122"/>
      <c r="M321" s="122"/>
      <c r="N321" s="121"/>
      <c r="O321" s="123"/>
      <c r="P321" s="123"/>
      <c r="Q321" s="123"/>
      <c r="R321" s="123"/>
      <c r="S321" s="133"/>
      <c r="T321" s="125"/>
      <c r="U321" s="126"/>
      <c r="V321" s="182"/>
    </row>
    <row r="322" spans="2:22" ht="14.25" customHeight="1">
      <c r="B322" s="140"/>
      <c r="C322" s="159"/>
      <c r="D322" s="129"/>
      <c r="E322" s="117"/>
      <c r="F322" s="131">
        <f>+F319+1</f>
        <v>49</v>
      </c>
      <c r="G322" s="132"/>
      <c r="H322" s="120" t="s">
        <v>650</v>
      </c>
      <c r="I322" s="121">
        <v>77816000</v>
      </c>
      <c r="J322" s="122">
        <v>0</v>
      </c>
      <c r="K322" s="122">
        <v>0</v>
      </c>
      <c r="L322" s="122">
        <v>83853000</v>
      </c>
      <c r="M322" s="122">
        <f>+I322-SUM(J322:L322)</f>
        <v>-6037000</v>
      </c>
      <c r="N322" s="121">
        <v>70438124</v>
      </c>
      <c r="O322" s="123">
        <v>0</v>
      </c>
      <c r="P322" s="123">
        <v>0</v>
      </c>
      <c r="Q322" s="123">
        <v>82853000</v>
      </c>
      <c r="R322" s="123">
        <f>+N322-SUM(O322:Q322)</f>
        <v>-12414876</v>
      </c>
      <c r="S322" s="138" t="s">
        <v>272</v>
      </c>
      <c r="T322" s="184"/>
      <c r="U322" s="139"/>
      <c r="V322" s="182"/>
    </row>
    <row r="323" spans="2:22" ht="14.25" customHeight="1">
      <c r="B323" s="140"/>
      <c r="C323" s="159"/>
      <c r="D323" s="129"/>
      <c r="E323" s="117"/>
      <c r="F323" s="131"/>
      <c r="G323" s="132"/>
      <c r="H323" s="120"/>
      <c r="I323" s="121"/>
      <c r="J323" s="122"/>
      <c r="K323" s="122"/>
      <c r="L323" s="122"/>
      <c r="M323" s="122"/>
      <c r="N323" s="121"/>
      <c r="O323" s="123"/>
      <c r="P323" s="123"/>
      <c r="Q323" s="123"/>
      <c r="R323" s="123"/>
      <c r="S323" s="181" t="s">
        <v>651</v>
      </c>
      <c r="T323" s="125"/>
      <c r="U323" s="126"/>
      <c r="V323" s="182"/>
    </row>
    <row r="324" spans="2:22" ht="14.25" customHeight="1">
      <c r="B324" s="140"/>
      <c r="C324" s="159"/>
      <c r="D324" s="129"/>
      <c r="E324" s="117"/>
      <c r="F324" s="131"/>
      <c r="G324" s="132"/>
      <c r="H324" s="120"/>
      <c r="I324" s="121"/>
      <c r="J324" s="122"/>
      <c r="K324" s="122"/>
      <c r="L324" s="122"/>
      <c r="M324" s="122"/>
      <c r="N324" s="121"/>
      <c r="O324" s="123"/>
      <c r="P324" s="123"/>
      <c r="Q324" s="123"/>
      <c r="R324" s="123"/>
      <c r="S324" s="181" t="s">
        <v>652</v>
      </c>
      <c r="T324" s="125"/>
      <c r="U324" s="126"/>
      <c r="V324" s="182"/>
    </row>
    <row r="325" spans="2:22" ht="14.25" customHeight="1">
      <c r="B325" s="140"/>
      <c r="C325" s="159"/>
      <c r="D325" s="129"/>
      <c r="E325" s="117"/>
      <c r="F325" s="131"/>
      <c r="G325" s="132"/>
      <c r="H325" s="120"/>
      <c r="I325" s="121"/>
      <c r="J325" s="122"/>
      <c r="K325" s="122"/>
      <c r="L325" s="122"/>
      <c r="M325" s="122"/>
      <c r="N325" s="121"/>
      <c r="O325" s="123"/>
      <c r="P325" s="123"/>
      <c r="Q325" s="123"/>
      <c r="R325" s="123"/>
      <c r="S325" s="133" t="s">
        <v>653</v>
      </c>
      <c r="T325" s="125"/>
      <c r="U325" s="126"/>
      <c r="V325" s="182"/>
    </row>
    <row r="326" spans="2:22" ht="14.25" customHeight="1">
      <c r="B326" s="140"/>
      <c r="C326" s="159"/>
      <c r="D326" s="129"/>
      <c r="E326" s="117"/>
      <c r="F326" s="131"/>
      <c r="G326" s="132"/>
      <c r="H326" s="120"/>
      <c r="I326" s="121"/>
      <c r="J326" s="122"/>
      <c r="K326" s="122"/>
      <c r="L326" s="122"/>
      <c r="M326" s="122"/>
      <c r="N326" s="121"/>
      <c r="O326" s="123"/>
      <c r="P326" s="123"/>
      <c r="Q326" s="123"/>
      <c r="R326" s="123"/>
      <c r="S326" s="133" t="s">
        <v>654</v>
      </c>
      <c r="T326" s="125"/>
      <c r="U326" s="126"/>
      <c r="V326" s="182"/>
    </row>
    <row r="327" spans="2:22" ht="14.25" customHeight="1">
      <c r="B327" s="140"/>
      <c r="C327" s="159"/>
      <c r="D327" s="129"/>
      <c r="E327" s="117"/>
      <c r="F327" s="131"/>
      <c r="G327" s="132"/>
      <c r="H327" s="120"/>
      <c r="I327" s="121"/>
      <c r="J327" s="122"/>
      <c r="K327" s="122"/>
      <c r="L327" s="122"/>
      <c r="M327" s="122"/>
      <c r="N327" s="121"/>
      <c r="O327" s="123"/>
      <c r="P327" s="123"/>
      <c r="Q327" s="123"/>
      <c r="R327" s="123"/>
      <c r="S327" s="133"/>
      <c r="T327" s="125"/>
      <c r="U327" s="126"/>
      <c r="V327" s="182"/>
    </row>
    <row r="328" spans="2:22" ht="14.25" customHeight="1">
      <c r="B328" s="140"/>
      <c r="C328" s="159"/>
      <c r="D328" s="129"/>
      <c r="E328" s="117"/>
      <c r="F328" s="131">
        <f>+F322+1</f>
        <v>50</v>
      </c>
      <c r="G328" s="132"/>
      <c r="H328" s="120" t="s">
        <v>655</v>
      </c>
      <c r="I328" s="121">
        <v>16268000</v>
      </c>
      <c r="J328" s="122">
        <v>0</v>
      </c>
      <c r="K328" s="122">
        <v>0</v>
      </c>
      <c r="L328" s="122">
        <v>16268000</v>
      </c>
      <c r="M328" s="122">
        <f>+I328-SUM(J328:L328)</f>
        <v>0</v>
      </c>
      <c r="N328" s="121">
        <v>3391753</v>
      </c>
      <c r="O328" s="123">
        <v>0</v>
      </c>
      <c r="P328" s="123">
        <v>0</v>
      </c>
      <c r="Q328" s="123">
        <f>3343577+68000</f>
        <v>3411577</v>
      </c>
      <c r="R328" s="123">
        <f>+N328-SUM(O328:Q328)</f>
        <v>-19824</v>
      </c>
      <c r="S328" s="181" t="s">
        <v>656</v>
      </c>
      <c r="T328" s="125" t="s">
        <v>657</v>
      </c>
      <c r="U328" s="126" t="s">
        <v>658</v>
      </c>
      <c r="V328" s="182"/>
    </row>
    <row r="329" spans="2:22" ht="14.25" customHeight="1">
      <c r="B329" s="140"/>
      <c r="C329" s="159"/>
      <c r="D329" s="129"/>
      <c r="E329" s="117"/>
      <c r="F329" s="131"/>
      <c r="G329" s="132"/>
      <c r="H329" s="120"/>
      <c r="I329" s="121"/>
      <c r="J329" s="122"/>
      <c r="K329" s="122"/>
      <c r="L329" s="122"/>
      <c r="M329" s="122"/>
      <c r="N329" s="121"/>
      <c r="O329" s="123"/>
      <c r="P329" s="123"/>
      <c r="Q329" s="123"/>
      <c r="R329" s="123"/>
      <c r="S329" s="181" t="s">
        <v>659</v>
      </c>
      <c r="T329" s="125"/>
      <c r="U329" s="126"/>
      <c r="V329" s="182"/>
    </row>
    <row r="330" spans="2:22" ht="14.25" customHeight="1">
      <c r="B330" s="140"/>
      <c r="C330" s="159"/>
      <c r="D330" s="129"/>
      <c r="E330" s="117"/>
      <c r="F330" s="131"/>
      <c r="G330" s="132"/>
      <c r="H330" s="120"/>
      <c r="I330" s="121"/>
      <c r="J330" s="122"/>
      <c r="K330" s="122"/>
      <c r="L330" s="122"/>
      <c r="M330" s="122"/>
      <c r="N330" s="121"/>
      <c r="O330" s="123"/>
      <c r="P330" s="123"/>
      <c r="Q330" s="123"/>
      <c r="R330" s="123"/>
      <c r="S330" s="133" t="s">
        <v>660</v>
      </c>
      <c r="T330" s="125"/>
      <c r="U330" s="126"/>
      <c r="V330" s="182"/>
    </row>
    <row r="331" spans="2:22" ht="14.25" customHeight="1">
      <c r="B331" s="140"/>
      <c r="C331" s="159"/>
      <c r="D331" s="129"/>
      <c r="E331" s="117"/>
      <c r="F331" s="131"/>
      <c r="G331" s="132"/>
      <c r="H331" s="120"/>
      <c r="I331" s="121"/>
      <c r="J331" s="122"/>
      <c r="K331" s="122"/>
      <c r="L331" s="122"/>
      <c r="M331" s="122"/>
      <c r="N331" s="121"/>
      <c r="O331" s="123"/>
      <c r="P331" s="123"/>
      <c r="Q331" s="123"/>
      <c r="R331" s="123"/>
      <c r="S331" s="133" t="s">
        <v>661</v>
      </c>
      <c r="T331" s="125"/>
      <c r="U331" s="126"/>
      <c r="V331" s="182"/>
    </row>
    <row r="332" spans="2:22" ht="14.25" customHeight="1">
      <c r="B332" s="140"/>
      <c r="C332" s="159"/>
      <c r="D332" s="129"/>
      <c r="E332" s="117"/>
      <c r="F332" s="131"/>
      <c r="G332" s="132"/>
      <c r="H332" s="120"/>
      <c r="I332" s="121"/>
      <c r="J332" s="122"/>
      <c r="K332" s="122"/>
      <c r="L332" s="122"/>
      <c r="M332" s="122"/>
      <c r="N332" s="121"/>
      <c r="O332" s="123"/>
      <c r="P332" s="123"/>
      <c r="Q332" s="123"/>
      <c r="R332" s="123"/>
      <c r="S332" s="133"/>
      <c r="T332" s="125"/>
      <c r="U332" s="126"/>
      <c r="V332" s="182"/>
    </row>
    <row r="333" spans="2:22" ht="14.25" customHeight="1">
      <c r="B333" s="140"/>
      <c r="C333" s="159"/>
      <c r="D333" s="129"/>
      <c r="E333" s="117"/>
      <c r="F333" s="131">
        <f>+F328+1</f>
        <v>51</v>
      </c>
      <c r="G333" s="132"/>
      <c r="H333" s="120" t="s">
        <v>662</v>
      </c>
      <c r="I333" s="121">
        <v>289490000</v>
      </c>
      <c r="J333" s="122">
        <v>289490000</v>
      </c>
      <c r="K333" s="122"/>
      <c r="L333" s="122">
        <v>0</v>
      </c>
      <c r="M333" s="122">
        <f>+I333-SUM(J333:L333)</f>
        <v>0</v>
      </c>
      <c r="N333" s="121">
        <v>279575000</v>
      </c>
      <c r="O333" s="123">
        <v>279575000</v>
      </c>
      <c r="P333" s="123">
        <v>0</v>
      </c>
      <c r="Q333" s="123">
        <v>0</v>
      </c>
      <c r="R333" s="123">
        <f>+N333-SUM(O333:Q333)</f>
        <v>0</v>
      </c>
      <c r="S333" s="138" t="s">
        <v>272</v>
      </c>
      <c r="T333" s="184"/>
      <c r="U333" s="139"/>
      <c r="V333" s="182"/>
    </row>
    <row r="334" spans="2:22" ht="14.25" customHeight="1">
      <c r="B334" s="140"/>
      <c r="C334" s="159"/>
      <c r="D334" s="129"/>
      <c r="E334" s="117"/>
      <c r="F334" s="131"/>
      <c r="G334" s="132"/>
      <c r="H334" s="120"/>
      <c r="I334" s="121"/>
      <c r="J334" s="122"/>
      <c r="K334" s="122"/>
      <c r="L334" s="122"/>
      <c r="M334" s="122"/>
      <c r="N334" s="121"/>
      <c r="O334" s="123"/>
      <c r="P334" s="123"/>
      <c r="Q334" s="123"/>
      <c r="R334" s="123"/>
      <c r="S334" s="133" t="s">
        <v>663</v>
      </c>
      <c r="T334" s="125"/>
      <c r="U334" s="126"/>
      <c r="V334" s="182"/>
    </row>
    <row r="335" spans="2:22" ht="14.25" customHeight="1">
      <c r="B335" s="140"/>
      <c r="C335" s="159"/>
      <c r="D335" s="129"/>
      <c r="E335" s="117"/>
      <c r="F335" s="131"/>
      <c r="G335" s="132"/>
      <c r="H335" s="120"/>
      <c r="I335" s="121"/>
      <c r="J335" s="122"/>
      <c r="K335" s="122"/>
      <c r="L335" s="122"/>
      <c r="M335" s="122"/>
      <c r="N335" s="121"/>
      <c r="O335" s="123"/>
      <c r="P335" s="123"/>
      <c r="Q335" s="123"/>
      <c r="R335" s="123"/>
      <c r="S335" s="133"/>
      <c r="T335" s="125"/>
      <c r="U335" s="126"/>
      <c r="V335" s="182"/>
    </row>
    <row r="336" spans="2:22" ht="14.25" customHeight="1">
      <c r="B336" s="140"/>
      <c r="C336" s="159"/>
      <c r="D336" s="129"/>
      <c r="E336" s="117"/>
      <c r="F336" s="131">
        <f>+F333+1</f>
        <v>52</v>
      </c>
      <c r="G336" s="132"/>
      <c r="H336" s="120" t="s">
        <v>271</v>
      </c>
      <c r="I336" s="121">
        <v>-927000</v>
      </c>
      <c r="J336" s="122">
        <v>0</v>
      </c>
      <c r="K336" s="122">
        <v>0</v>
      </c>
      <c r="L336" s="122">
        <v>0</v>
      </c>
      <c r="M336" s="122">
        <f>+I336-SUM(J336:L336)</f>
        <v>-927000</v>
      </c>
      <c r="N336" s="121">
        <v>0</v>
      </c>
      <c r="O336" s="123">
        <v>0</v>
      </c>
      <c r="P336" s="123">
        <v>0</v>
      </c>
      <c r="Q336" s="123">
        <v>0</v>
      </c>
      <c r="R336" s="123">
        <f>+N336-SUM(O336:Q336)</f>
        <v>0</v>
      </c>
      <c r="S336" s="138" t="s">
        <v>272</v>
      </c>
      <c r="T336" s="125"/>
      <c r="U336" s="126"/>
      <c r="V336" s="127"/>
    </row>
    <row r="337" spans="2:22" ht="14.25" customHeight="1" thickBot="1">
      <c r="B337" s="147"/>
      <c r="C337" s="148"/>
      <c r="D337" s="148"/>
      <c r="E337" s="190"/>
      <c r="F337" s="150"/>
      <c r="G337" s="151"/>
      <c r="H337" s="191"/>
      <c r="I337" s="192"/>
      <c r="J337" s="193"/>
      <c r="K337" s="193"/>
      <c r="L337" s="193"/>
      <c r="M337" s="193"/>
      <c r="N337" s="192"/>
      <c r="O337" s="194"/>
      <c r="P337" s="194"/>
      <c r="Q337" s="194"/>
      <c r="R337" s="194"/>
      <c r="S337" s="221"/>
      <c r="T337" s="157"/>
      <c r="U337" s="158"/>
      <c r="V337" s="135"/>
    </row>
    <row r="338" spans="2:22" ht="14.25" customHeight="1">
      <c r="B338" s="168"/>
      <c r="C338" s="169"/>
      <c r="D338" s="170"/>
      <c r="E338" s="171"/>
      <c r="F338" s="172"/>
      <c r="G338" s="173"/>
      <c r="H338" s="174"/>
      <c r="I338" s="175"/>
      <c r="J338" s="176"/>
      <c r="K338" s="176"/>
      <c r="L338" s="176"/>
      <c r="M338" s="176"/>
      <c r="N338" s="175"/>
      <c r="O338" s="177"/>
      <c r="P338" s="177"/>
      <c r="Q338" s="177"/>
      <c r="R338" s="177"/>
      <c r="S338" s="178"/>
      <c r="T338" s="222"/>
      <c r="U338" s="180"/>
      <c r="V338" s="135"/>
    </row>
    <row r="339" spans="2:22" ht="14.25" customHeight="1">
      <c r="B339" s="115" t="s">
        <v>58</v>
      </c>
      <c r="C339" s="129">
        <f>SUM(I339:I411)</f>
        <v>1591517000</v>
      </c>
      <c r="D339" s="129">
        <f>SUM(N339:N411)</f>
        <v>1450180548</v>
      </c>
      <c r="E339" s="117" t="s">
        <v>664</v>
      </c>
      <c r="F339" s="131">
        <v>1</v>
      </c>
      <c r="G339" s="132"/>
      <c r="H339" s="120" t="s">
        <v>665</v>
      </c>
      <c r="I339" s="121">
        <v>30943000</v>
      </c>
      <c r="J339" s="122">
        <v>30943000</v>
      </c>
      <c r="K339" s="122">
        <v>0</v>
      </c>
      <c r="L339" s="122">
        <v>0</v>
      </c>
      <c r="M339" s="122">
        <f>+I339-SUM(J339:L339)</f>
        <v>0</v>
      </c>
      <c r="N339" s="121">
        <v>6310750</v>
      </c>
      <c r="O339" s="123">
        <v>6310750</v>
      </c>
      <c r="P339" s="123">
        <v>0</v>
      </c>
      <c r="Q339" s="123">
        <v>0</v>
      </c>
      <c r="R339" s="123">
        <f>+N339-SUM(O339:Q339)</f>
        <v>0</v>
      </c>
      <c r="S339" s="138" t="s">
        <v>272</v>
      </c>
      <c r="T339" s="184"/>
      <c r="U339" s="139"/>
      <c r="V339" s="135"/>
    </row>
    <row r="340" spans="2:22" ht="14.25" customHeight="1">
      <c r="B340" s="115" t="s">
        <v>61</v>
      </c>
      <c r="C340" s="129"/>
      <c r="D340" s="116"/>
      <c r="E340" s="117" t="s">
        <v>666</v>
      </c>
      <c r="F340" s="131"/>
      <c r="G340" s="132"/>
      <c r="H340" s="120"/>
      <c r="I340" s="121"/>
      <c r="J340" s="122"/>
      <c r="K340" s="122"/>
      <c r="L340" s="122"/>
      <c r="M340" s="122"/>
      <c r="N340" s="121"/>
      <c r="O340" s="123"/>
      <c r="P340" s="123"/>
      <c r="Q340" s="123"/>
      <c r="R340" s="123"/>
      <c r="S340" s="133"/>
      <c r="T340" s="125"/>
      <c r="U340" s="126"/>
      <c r="V340" s="135"/>
    </row>
    <row r="341" spans="2:22" ht="14.25" customHeight="1">
      <c r="B341" s="115"/>
      <c r="C341" s="129" t="s">
        <v>26</v>
      </c>
      <c r="D341" s="129" t="s">
        <v>26</v>
      </c>
      <c r="E341" s="117"/>
      <c r="F341" s="131">
        <f>+F339+1</f>
        <v>2</v>
      </c>
      <c r="G341" s="132"/>
      <c r="H341" s="120" t="s">
        <v>667</v>
      </c>
      <c r="I341" s="160">
        <v>1378000</v>
      </c>
      <c r="J341" s="161">
        <v>0</v>
      </c>
      <c r="K341" s="161">
        <v>0</v>
      </c>
      <c r="L341" s="161">
        <v>0</v>
      </c>
      <c r="M341" s="161">
        <f>+I341-SUM(J341:L341)</f>
        <v>1378000</v>
      </c>
      <c r="N341" s="160">
        <v>1300000</v>
      </c>
      <c r="O341" s="162">
        <v>0</v>
      </c>
      <c r="P341" s="162">
        <v>0</v>
      </c>
      <c r="Q341" s="162">
        <v>0</v>
      </c>
      <c r="R341" s="162">
        <f>+N341-SUM(O341:Q341)</f>
        <v>1300000</v>
      </c>
      <c r="S341" s="133" t="s">
        <v>668</v>
      </c>
      <c r="T341" s="125" t="s">
        <v>669</v>
      </c>
      <c r="U341" s="126" t="s">
        <v>670</v>
      </c>
      <c r="V341" s="127"/>
    </row>
    <row r="342" spans="2:22" ht="14.25" customHeight="1">
      <c r="B342" s="140"/>
      <c r="C342" s="129">
        <f>SUM(J339:J411)</f>
        <v>618325000</v>
      </c>
      <c r="D342" s="129">
        <f>SUM(O339:O411)</f>
        <v>561042287</v>
      </c>
      <c r="E342" s="117" t="s">
        <v>58</v>
      </c>
      <c r="F342" s="131"/>
      <c r="G342" s="132"/>
      <c r="H342" s="120"/>
      <c r="I342" s="121"/>
      <c r="J342" s="122"/>
      <c r="K342" s="122"/>
      <c r="L342" s="122"/>
      <c r="M342" s="122"/>
      <c r="N342" s="121"/>
      <c r="O342" s="123"/>
      <c r="P342" s="123"/>
      <c r="Q342" s="123"/>
      <c r="R342" s="123"/>
      <c r="S342" s="133" t="s">
        <v>671</v>
      </c>
      <c r="T342" s="125"/>
      <c r="U342" s="126"/>
      <c r="V342" s="182"/>
    </row>
    <row r="343" spans="2:22" ht="14.25" customHeight="1">
      <c r="B343" s="140"/>
      <c r="C343" s="129" t="s">
        <v>41</v>
      </c>
      <c r="D343" s="129" t="s">
        <v>41</v>
      </c>
      <c r="E343" s="117" t="s">
        <v>666</v>
      </c>
      <c r="F343" s="131"/>
      <c r="G343" s="132"/>
      <c r="H343" s="120"/>
      <c r="I343" s="121"/>
      <c r="J343" s="122"/>
      <c r="K343" s="122"/>
      <c r="L343" s="122"/>
      <c r="M343" s="122"/>
      <c r="N343" s="121"/>
      <c r="O343" s="123"/>
      <c r="P343" s="123"/>
      <c r="Q343" s="123"/>
      <c r="R343" s="123"/>
      <c r="S343" s="133" t="s">
        <v>672</v>
      </c>
      <c r="T343" s="125"/>
      <c r="U343" s="126"/>
      <c r="V343" s="182"/>
    </row>
    <row r="344" spans="2:22" ht="14.25" customHeight="1">
      <c r="B344" s="140"/>
      <c r="C344" s="129">
        <f>SUM(K338:K411)</f>
        <v>54000000</v>
      </c>
      <c r="D344" s="129">
        <f>SUM(P338:P411)</f>
        <v>53000000</v>
      </c>
      <c r="E344" s="117"/>
      <c r="F344" s="131"/>
      <c r="G344" s="132"/>
      <c r="H344" s="120"/>
      <c r="I344" s="121"/>
      <c r="J344" s="122"/>
      <c r="K344" s="122"/>
      <c r="L344" s="122"/>
      <c r="M344" s="122"/>
      <c r="N344" s="121"/>
      <c r="O344" s="123"/>
      <c r="P344" s="123"/>
      <c r="Q344" s="123"/>
      <c r="R344" s="123"/>
      <c r="S344" s="133"/>
      <c r="T344" s="184"/>
      <c r="U344" s="139"/>
      <c r="V344" s="182"/>
    </row>
    <row r="345" spans="2:22" ht="14.25" customHeight="1">
      <c r="B345" s="140"/>
      <c r="C345" s="129" t="s">
        <v>15</v>
      </c>
      <c r="D345" s="129" t="s">
        <v>15</v>
      </c>
      <c r="E345" s="117"/>
      <c r="F345" s="131">
        <f>+F341+1</f>
        <v>3</v>
      </c>
      <c r="G345" s="132"/>
      <c r="H345" s="120" t="s">
        <v>673</v>
      </c>
      <c r="I345" s="160">
        <v>19585000</v>
      </c>
      <c r="J345" s="161">
        <v>0</v>
      </c>
      <c r="K345" s="161">
        <v>0</v>
      </c>
      <c r="L345" s="161">
        <v>0</v>
      </c>
      <c r="M345" s="161">
        <f>+I345-SUM(J345:L345)</f>
        <v>19585000</v>
      </c>
      <c r="N345" s="160">
        <v>16248828</v>
      </c>
      <c r="O345" s="162">
        <v>0</v>
      </c>
      <c r="P345" s="162">
        <v>0</v>
      </c>
      <c r="Q345" s="162">
        <v>0</v>
      </c>
      <c r="R345" s="162">
        <f>+N345-SUM(O345:Q345)</f>
        <v>16248828</v>
      </c>
      <c r="S345" s="133" t="s">
        <v>674</v>
      </c>
      <c r="T345" s="125" t="s">
        <v>675</v>
      </c>
      <c r="U345" s="126" t="s">
        <v>676</v>
      </c>
      <c r="V345" s="182"/>
    </row>
    <row r="346" spans="2:22" ht="14.25" customHeight="1">
      <c r="B346" s="140"/>
      <c r="C346" s="129">
        <f>SUM(L330:L411)</f>
        <v>200702000</v>
      </c>
      <c r="D346" s="129">
        <f>SUM(Q330:Q411)</f>
        <v>586541424</v>
      </c>
      <c r="E346" s="117"/>
      <c r="F346" s="131"/>
      <c r="G346" s="132"/>
      <c r="H346" s="120"/>
      <c r="I346" s="121"/>
      <c r="J346" s="122"/>
      <c r="K346" s="122"/>
      <c r="L346" s="122"/>
      <c r="M346" s="122"/>
      <c r="N346" s="121"/>
      <c r="O346" s="123"/>
      <c r="P346" s="123"/>
      <c r="Q346" s="123"/>
      <c r="R346" s="123"/>
      <c r="S346" s="133" t="s">
        <v>677</v>
      </c>
      <c r="T346" s="125"/>
      <c r="U346" s="126"/>
      <c r="V346" s="182"/>
    </row>
    <row r="347" spans="2:22" ht="14.25" customHeight="1">
      <c r="B347" s="140"/>
      <c r="C347" s="129" t="s">
        <v>18</v>
      </c>
      <c r="D347" s="129" t="s">
        <v>18</v>
      </c>
      <c r="E347" s="117"/>
      <c r="F347" s="131"/>
      <c r="G347" s="132"/>
      <c r="H347" s="120"/>
      <c r="I347" s="121"/>
      <c r="J347" s="122"/>
      <c r="K347" s="122"/>
      <c r="L347" s="122"/>
      <c r="M347" s="122"/>
      <c r="N347" s="121"/>
      <c r="O347" s="123"/>
      <c r="P347" s="123"/>
      <c r="Q347" s="123"/>
      <c r="R347" s="123"/>
      <c r="S347" s="133" t="s">
        <v>678</v>
      </c>
      <c r="T347" s="125"/>
      <c r="U347" s="126"/>
      <c r="V347" s="182"/>
    </row>
    <row r="348" spans="2:22" ht="14.25" customHeight="1">
      <c r="B348" s="140"/>
      <c r="C348" s="129">
        <f>C339-C342-C344-C346</f>
        <v>718490000</v>
      </c>
      <c r="D348" s="129">
        <f>D339-D342-D344-D346</f>
        <v>249596837</v>
      </c>
      <c r="E348" s="117"/>
      <c r="F348" s="131"/>
      <c r="G348" s="132"/>
      <c r="H348" s="120"/>
      <c r="I348" s="160"/>
      <c r="J348" s="161"/>
      <c r="K348" s="161"/>
      <c r="L348" s="161"/>
      <c r="M348" s="161"/>
      <c r="N348" s="160"/>
      <c r="O348" s="162"/>
      <c r="P348" s="162"/>
      <c r="Q348" s="162"/>
      <c r="R348" s="162"/>
      <c r="S348" s="133"/>
      <c r="T348" s="125"/>
      <c r="U348" s="126"/>
      <c r="V348" s="182"/>
    </row>
    <row r="349" spans="2:22" ht="14.25" customHeight="1">
      <c r="B349" s="140"/>
      <c r="C349" s="129"/>
      <c r="D349" s="129"/>
      <c r="E349" s="223"/>
      <c r="F349" s="131">
        <f>+F345+1</f>
        <v>4</v>
      </c>
      <c r="G349" s="132"/>
      <c r="H349" s="120" t="s">
        <v>679</v>
      </c>
      <c r="I349" s="160">
        <v>159853000</v>
      </c>
      <c r="J349" s="161">
        <v>2310000</v>
      </c>
      <c r="K349" s="161">
        <v>0</v>
      </c>
      <c r="L349" s="161">
        <v>127190000</v>
      </c>
      <c r="M349" s="161">
        <f>+I349-SUM(J349:L349)</f>
        <v>30353000</v>
      </c>
      <c r="N349" s="160">
        <v>138949909</v>
      </c>
      <c r="O349" s="162">
        <v>2300000</v>
      </c>
      <c r="P349" s="162">
        <v>0</v>
      </c>
      <c r="Q349" s="162">
        <f>9379000+99561634+1542660</f>
        <v>110483294</v>
      </c>
      <c r="R349" s="162">
        <f>+N349-SUM(O349:Q349)</f>
        <v>26166615</v>
      </c>
      <c r="S349" s="133" t="s">
        <v>668</v>
      </c>
      <c r="T349" s="125" t="s">
        <v>680</v>
      </c>
      <c r="U349" s="126" t="s">
        <v>681</v>
      </c>
      <c r="V349" s="182"/>
    </row>
    <row r="350" spans="2:22" ht="14.25" customHeight="1">
      <c r="B350" s="140"/>
      <c r="C350" s="129"/>
      <c r="D350" s="129"/>
      <c r="E350" s="117"/>
      <c r="F350" s="131"/>
      <c r="G350" s="132"/>
      <c r="H350" s="120"/>
      <c r="I350" s="121"/>
      <c r="J350" s="122"/>
      <c r="K350" s="122"/>
      <c r="L350" s="122"/>
      <c r="M350" s="122"/>
      <c r="N350" s="121"/>
      <c r="O350" s="123"/>
      <c r="P350" s="123"/>
      <c r="Q350" s="123"/>
      <c r="R350" s="123"/>
      <c r="S350" s="133" t="s">
        <v>682</v>
      </c>
      <c r="T350" s="125"/>
      <c r="U350" s="126"/>
      <c r="V350" s="182"/>
    </row>
    <row r="351" spans="2:22" ht="14.25" customHeight="1">
      <c r="B351" s="140"/>
      <c r="C351" s="129"/>
      <c r="D351" s="129"/>
      <c r="E351" s="117"/>
      <c r="F351" s="131"/>
      <c r="G351" s="132"/>
      <c r="H351" s="120"/>
      <c r="I351" s="121"/>
      <c r="J351" s="122"/>
      <c r="K351" s="122"/>
      <c r="L351" s="122"/>
      <c r="M351" s="122"/>
      <c r="N351" s="121"/>
      <c r="O351" s="123"/>
      <c r="P351" s="123"/>
      <c r="Q351" s="123"/>
      <c r="R351" s="123"/>
      <c r="S351" s="133" t="s">
        <v>683</v>
      </c>
      <c r="T351" s="125"/>
      <c r="U351" s="126"/>
      <c r="V351" s="182"/>
    </row>
    <row r="352" spans="2:22" ht="14.25" customHeight="1">
      <c r="B352" s="140"/>
      <c r="C352" s="129"/>
      <c r="D352" s="129"/>
      <c r="E352" s="117"/>
      <c r="F352" s="131"/>
      <c r="G352" s="132"/>
      <c r="H352" s="120"/>
      <c r="I352" s="121"/>
      <c r="J352" s="122"/>
      <c r="K352" s="122"/>
      <c r="L352" s="122"/>
      <c r="M352" s="122"/>
      <c r="N352" s="121"/>
      <c r="O352" s="123"/>
      <c r="P352" s="123"/>
      <c r="Q352" s="123"/>
      <c r="R352" s="123"/>
      <c r="S352" s="133" t="s">
        <v>684</v>
      </c>
      <c r="T352" s="184"/>
      <c r="U352" s="139"/>
      <c r="V352" s="182"/>
    </row>
    <row r="353" spans="2:21" ht="14.25" customHeight="1">
      <c r="B353" s="140"/>
      <c r="C353" s="129"/>
      <c r="D353" s="129"/>
      <c r="E353" s="117"/>
      <c r="F353" s="131"/>
      <c r="G353" s="132"/>
      <c r="H353" s="120"/>
      <c r="I353" s="121"/>
      <c r="J353" s="122"/>
      <c r="K353" s="122"/>
      <c r="L353" s="122"/>
      <c r="M353" s="122"/>
      <c r="N353" s="121"/>
      <c r="O353" s="123"/>
      <c r="P353" s="123"/>
      <c r="Q353" s="123"/>
      <c r="R353" s="123"/>
      <c r="S353" s="133" t="s">
        <v>685</v>
      </c>
      <c r="T353" s="125"/>
      <c r="U353" s="126"/>
    </row>
    <row r="354" spans="2:21" ht="14.25" customHeight="1">
      <c r="B354" s="140"/>
      <c r="C354" s="129"/>
      <c r="D354" s="129"/>
      <c r="E354" s="117"/>
      <c r="F354" s="131"/>
      <c r="G354" s="132"/>
      <c r="H354" s="120"/>
      <c r="I354" s="121"/>
      <c r="J354" s="122"/>
      <c r="K354" s="122"/>
      <c r="L354" s="122"/>
      <c r="M354" s="122"/>
      <c r="N354" s="121"/>
      <c r="O354" s="123"/>
      <c r="P354" s="123"/>
      <c r="Q354" s="123"/>
      <c r="R354" s="123"/>
      <c r="S354" s="133"/>
      <c r="T354" s="125"/>
      <c r="U354" s="126"/>
    </row>
    <row r="355" spans="2:21" ht="14.25" customHeight="1">
      <c r="B355" s="140"/>
      <c r="C355" s="129"/>
      <c r="D355" s="129"/>
      <c r="E355" s="117"/>
      <c r="F355" s="131">
        <f>+F349+1</f>
        <v>5</v>
      </c>
      <c r="G355" s="132"/>
      <c r="H355" s="120" t="s">
        <v>686</v>
      </c>
      <c r="I355" s="160">
        <v>8000000</v>
      </c>
      <c r="J355" s="161">
        <v>8000000</v>
      </c>
      <c r="K355" s="161">
        <v>0</v>
      </c>
      <c r="L355" s="161">
        <v>0</v>
      </c>
      <c r="M355" s="161">
        <f>+I355-SUM(J355:L355)</f>
        <v>0</v>
      </c>
      <c r="N355" s="160">
        <v>0</v>
      </c>
      <c r="O355" s="162">
        <v>0</v>
      </c>
      <c r="P355" s="162">
        <v>0</v>
      </c>
      <c r="Q355" s="162">
        <v>0</v>
      </c>
      <c r="R355" s="162">
        <f>+N355-SUM(O355:Q355)</f>
        <v>0</v>
      </c>
      <c r="S355" s="138" t="s">
        <v>272</v>
      </c>
      <c r="T355" s="138"/>
      <c r="U355" s="139"/>
    </row>
    <row r="356" spans="2:21" ht="14.25" customHeight="1">
      <c r="B356" s="140"/>
      <c r="C356" s="129"/>
      <c r="D356" s="129"/>
      <c r="E356" s="117"/>
      <c r="F356" s="131"/>
      <c r="G356" s="132"/>
      <c r="H356" s="120"/>
      <c r="I356" s="121"/>
      <c r="J356" s="122"/>
      <c r="K356" s="122"/>
      <c r="L356" s="122"/>
      <c r="M356" s="122"/>
      <c r="N356" s="121"/>
      <c r="O356" s="123"/>
      <c r="P356" s="123"/>
      <c r="Q356" s="123"/>
      <c r="R356" s="123"/>
      <c r="S356" s="133" t="s">
        <v>687</v>
      </c>
      <c r="T356" s="184"/>
      <c r="U356" s="139"/>
    </row>
    <row r="357" spans="2:21" ht="14.25" customHeight="1">
      <c r="B357" s="140"/>
      <c r="C357" s="129"/>
      <c r="D357" s="129"/>
      <c r="E357" s="117"/>
      <c r="F357" s="131"/>
      <c r="G357" s="132"/>
      <c r="H357" s="120"/>
      <c r="I357" s="121"/>
      <c r="J357" s="122"/>
      <c r="K357" s="122"/>
      <c r="L357" s="122"/>
      <c r="M357" s="122"/>
      <c r="N357" s="121"/>
      <c r="O357" s="123"/>
      <c r="P357" s="123"/>
      <c r="Q357" s="123"/>
      <c r="R357" s="123"/>
      <c r="S357" s="133"/>
      <c r="T357" s="184"/>
      <c r="U357" s="139"/>
    </row>
    <row r="358" spans="2:21" ht="14.25" customHeight="1">
      <c r="B358" s="140"/>
      <c r="C358" s="129"/>
      <c r="D358" s="129"/>
      <c r="E358" s="117"/>
      <c r="F358" s="131"/>
      <c r="G358" s="132"/>
      <c r="H358" s="120"/>
      <c r="I358" s="121"/>
      <c r="J358" s="122"/>
      <c r="K358" s="122"/>
      <c r="L358" s="122"/>
      <c r="M358" s="122"/>
      <c r="N358" s="121"/>
      <c r="O358" s="123"/>
      <c r="P358" s="123"/>
      <c r="Q358" s="123"/>
      <c r="R358" s="123"/>
      <c r="S358" s="133"/>
      <c r="T358" s="184"/>
      <c r="U358" s="139"/>
    </row>
    <row r="359" spans="2:22" ht="14.25" customHeight="1" thickBot="1">
      <c r="B359" s="147"/>
      <c r="C359" s="148"/>
      <c r="D359" s="148"/>
      <c r="E359" s="190"/>
      <c r="F359" s="150"/>
      <c r="G359" s="151"/>
      <c r="H359" s="191"/>
      <c r="I359" s="192"/>
      <c r="J359" s="193"/>
      <c r="K359" s="193"/>
      <c r="L359" s="193"/>
      <c r="M359" s="193"/>
      <c r="N359" s="192"/>
      <c r="O359" s="194"/>
      <c r="P359" s="194"/>
      <c r="Q359" s="194"/>
      <c r="R359" s="194"/>
      <c r="S359" s="225"/>
      <c r="T359" s="157"/>
      <c r="U359" s="158"/>
      <c r="V359" s="127"/>
    </row>
    <row r="360" spans="2:22" ht="14.25" customHeight="1">
      <c r="B360" s="140"/>
      <c r="C360" s="129"/>
      <c r="D360" s="129"/>
      <c r="E360" s="117"/>
      <c r="F360" s="131">
        <f>+F355+1</f>
        <v>6</v>
      </c>
      <c r="G360" s="132"/>
      <c r="H360" s="120" t="s">
        <v>688</v>
      </c>
      <c r="I360" s="121">
        <v>77315000</v>
      </c>
      <c r="J360" s="122">
        <v>77315000</v>
      </c>
      <c r="K360" s="122">
        <v>0</v>
      </c>
      <c r="L360" s="122">
        <v>0</v>
      </c>
      <c r="M360" s="122">
        <f>+I360-SUM(J360:L360)</f>
        <v>0</v>
      </c>
      <c r="N360" s="121">
        <v>68345810</v>
      </c>
      <c r="O360" s="123">
        <v>68284537</v>
      </c>
      <c r="P360" s="123">
        <v>0</v>
      </c>
      <c r="Q360" s="123">
        <v>0</v>
      </c>
      <c r="R360" s="123">
        <f>+N360-SUM(O360:Q360)</f>
        <v>61273</v>
      </c>
      <c r="S360" s="133" t="s">
        <v>689</v>
      </c>
      <c r="T360" s="125" t="s">
        <v>690</v>
      </c>
      <c r="U360" s="126" t="s">
        <v>690</v>
      </c>
      <c r="V360" s="127"/>
    </row>
    <row r="361" spans="2:22" ht="14.25" customHeight="1">
      <c r="B361" s="140"/>
      <c r="C361" s="129"/>
      <c r="D361" s="129"/>
      <c r="E361" s="117"/>
      <c r="F361" s="131"/>
      <c r="G361" s="132"/>
      <c r="H361" s="120"/>
      <c r="I361" s="121"/>
      <c r="J361" s="122"/>
      <c r="K361" s="122"/>
      <c r="L361" s="122"/>
      <c r="M361" s="122"/>
      <c r="N361" s="121"/>
      <c r="O361" s="123"/>
      <c r="P361" s="123"/>
      <c r="Q361" s="123"/>
      <c r="R361" s="123"/>
      <c r="S361" s="181" t="s">
        <v>691</v>
      </c>
      <c r="T361" s="184"/>
      <c r="U361" s="139"/>
      <c r="V361" s="127"/>
    </row>
    <row r="362" spans="2:22" ht="14.25" customHeight="1">
      <c r="B362" s="140"/>
      <c r="C362" s="129"/>
      <c r="D362" s="129"/>
      <c r="E362" s="117"/>
      <c r="F362" s="131"/>
      <c r="G362" s="132"/>
      <c r="H362" s="120"/>
      <c r="I362" s="121"/>
      <c r="J362" s="122"/>
      <c r="K362" s="122"/>
      <c r="L362" s="122"/>
      <c r="M362" s="122"/>
      <c r="N362" s="121"/>
      <c r="O362" s="123"/>
      <c r="P362" s="123"/>
      <c r="Q362" s="123"/>
      <c r="R362" s="123"/>
      <c r="S362" s="226" t="s">
        <v>692</v>
      </c>
      <c r="T362" s="184"/>
      <c r="U362" s="139"/>
      <c r="V362" s="127"/>
    </row>
    <row r="363" spans="2:22" ht="14.25" customHeight="1">
      <c r="B363" s="140"/>
      <c r="C363" s="129"/>
      <c r="D363" s="129"/>
      <c r="E363" s="117"/>
      <c r="F363" s="131"/>
      <c r="G363" s="132"/>
      <c r="H363" s="120"/>
      <c r="I363" s="121"/>
      <c r="J363" s="122"/>
      <c r="K363" s="122"/>
      <c r="L363" s="122"/>
      <c r="M363" s="122"/>
      <c r="N363" s="121"/>
      <c r="O363" s="123"/>
      <c r="P363" s="123"/>
      <c r="Q363" s="123"/>
      <c r="R363" s="123"/>
      <c r="S363" s="181" t="s">
        <v>693</v>
      </c>
      <c r="T363" s="184"/>
      <c r="U363" s="139"/>
      <c r="V363" s="127"/>
    </row>
    <row r="364" spans="2:22" ht="14.25" customHeight="1">
      <c r="B364" s="140"/>
      <c r="C364" s="129"/>
      <c r="D364" s="129"/>
      <c r="E364" s="117"/>
      <c r="F364" s="131"/>
      <c r="G364" s="132"/>
      <c r="H364" s="120"/>
      <c r="I364" s="121"/>
      <c r="J364" s="122"/>
      <c r="K364" s="122"/>
      <c r="L364" s="122"/>
      <c r="M364" s="122"/>
      <c r="N364" s="121"/>
      <c r="O364" s="123"/>
      <c r="P364" s="123"/>
      <c r="Q364" s="123"/>
      <c r="R364" s="123"/>
      <c r="S364" s="181" t="s">
        <v>694</v>
      </c>
      <c r="T364" s="125"/>
      <c r="U364" s="126"/>
      <c r="V364" s="127"/>
    </row>
    <row r="365" spans="2:22" ht="14.25" customHeight="1">
      <c r="B365" s="140"/>
      <c r="C365" s="185"/>
      <c r="D365" s="186"/>
      <c r="E365" s="117"/>
      <c r="F365" s="131"/>
      <c r="G365" s="132"/>
      <c r="H365" s="120"/>
      <c r="I365" s="121"/>
      <c r="J365" s="122"/>
      <c r="K365" s="122"/>
      <c r="L365" s="122"/>
      <c r="M365" s="122"/>
      <c r="N365" s="121"/>
      <c r="O365" s="123"/>
      <c r="P365" s="123"/>
      <c r="Q365" s="123"/>
      <c r="R365" s="123"/>
      <c r="S365" s="133"/>
      <c r="T365" s="125"/>
      <c r="U365" s="126"/>
      <c r="V365" s="127"/>
    </row>
    <row r="366" spans="2:22" ht="14.25" customHeight="1">
      <c r="B366" s="140"/>
      <c r="C366" s="185"/>
      <c r="D366" s="186"/>
      <c r="E366" s="117"/>
      <c r="F366" s="131">
        <f>+F360+1</f>
        <v>7</v>
      </c>
      <c r="G366" s="132"/>
      <c r="H366" s="120" t="s">
        <v>695</v>
      </c>
      <c r="I366" s="121">
        <v>76343000</v>
      </c>
      <c r="J366" s="122">
        <v>0</v>
      </c>
      <c r="K366" s="122">
        <v>0</v>
      </c>
      <c r="L366" s="122">
        <v>10819000</v>
      </c>
      <c r="M366" s="122">
        <f>+I366-SUM(J366:L366)</f>
        <v>65524000</v>
      </c>
      <c r="N366" s="121">
        <v>72186075</v>
      </c>
      <c r="O366" s="123">
        <v>0</v>
      </c>
      <c r="P366" s="123">
        <v>0</v>
      </c>
      <c r="Q366" s="123">
        <v>5432700</v>
      </c>
      <c r="R366" s="123">
        <f>+N366-SUM(O366:Q366)</f>
        <v>66753375</v>
      </c>
      <c r="S366" s="133" t="s">
        <v>696</v>
      </c>
      <c r="T366" s="125" t="s">
        <v>697</v>
      </c>
      <c r="U366" s="126" t="s">
        <v>698</v>
      </c>
      <c r="V366" s="127"/>
    </row>
    <row r="367" spans="2:22" ht="14.25" customHeight="1">
      <c r="B367" s="140"/>
      <c r="C367" s="185"/>
      <c r="D367" s="186"/>
      <c r="E367" s="117"/>
      <c r="F367" s="131"/>
      <c r="G367" s="132"/>
      <c r="H367" s="120"/>
      <c r="I367" s="121"/>
      <c r="J367" s="122"/>
      <c r="K367" s="122"/>
      <c r="L367" s="122"/>
      <c r="M367" s="122"/>
      <c r="N367" s="121"/>
      <c r="O367" s="123"/>
      <c r="P367" s="123"/>
      <c r="Q367" s="123"/>
      <c r="R367" s="123"/>
      <c r="S367" s="133"/>
      <c r="T367" s="125"/>
      <c r="U367" s="126"/>
      <c r="V367" s="127"/>
    </row>
    <row r="368" spans="2:22" ht="14.25" customHeight="1">
      <c r="B368" s="140"/>
      <c r="C368" s="129"/>
      <c r="D368" s="129"/>
      <c r="E368" s="117"/>
      <c r="F368" s="131">
        <f>+F366+1</f>
        <v>8</v>
      </c>
      <c r="G368" s="132"/>
      <c r="H368" s="120" t="s">
        <v>699</v>
      </c>
      <c r="I368" s="121">
        <v>82574000</v>
      </c>
      <c r="J368" s="122">
        <v>49353000</v>
      </c>
      <c r="K368" s="122">
        <v>18000000</v>
      </c>
      <c r="L368" s="122">
        <v>2583000</v>
      </c>
      <c r="M368" s="122">
        <f>+I368-SUM(J368:L368)</f>
        <v>12638000</v>
      </c>
      <c r="N368" s="121">
        <v>81925042</v>
      </c>
      <c r="O368" s="123">
        <v>49130000</v>
      </c>
      <c r="P368" s="123">
        <v>18000000</v>
      </c>
      <c r="Q368" s="123">
        <v>2520000</v>
      </c>
      <c r="R368" s="123">
        <f>+N368-SUM(O368:Q368)</f>
        <v>12275042</v>
      </c>
      <c r="S368" s="202" t="s">
        <v>700</v>
      </c>
      <c r="T368" s="125" t="s">
        <v>701</v>
      </c>
      <c r="U368" s="126" t="s">
        <v>701</v>
      </c>
      <c r="V368" s="127"/>
    </row>
    <row r="369" spans="2:22" ht="14.25" customHeight="1">
      <c r="B369" s="140"/>
      <c r="C369" s="129"/>
      <c r="D369" s="129"/>
      <c r="E369" s="117"/>
      <c r="F369" s="131"/>
      <c r="G369" s="132"/>
      <c r="H369" s="120"/>
      <c r="I369" s="121"/>
      <c r="J369" s="122"/>
      <c r="K369" s="122"/>
      <c r="L369" s="122"/>
      <c r="M369" s="122"/>
      <c r="N369" s="121"/>
      <c r="O369" s="123"/>
      <c r="P369" s="123"/>
      <c r="Q369" s="123"/>
      <c r="R369" s="123"/>
      <c r="S369" s="202" t="s">
        <v>702</v>
      </c>
      <c r="T369" s="125"/>
      <c r="U369" s="126"/>
      <c r="V369" s="127"/>
    </row>
    <row r="370" spans="2:22" ht="14.25" customHeight="1">
      <c r="B370" s="140"/>
      <c r="C370" s="129"/>
      <c r="D370" s="129"/>
      <c r="E370" s="117"/>
      <c r="F370" s="131"/>
      <c r="G370" s="132"/>
      <c r="H370" s="120"/>
      <c r="I370" s="121"/>
      <c r="J370" s="122"/>
      <c r="K370" s="122"/>
      <c r="L370" s="122"/>
      <c r="M370" s="122"/>
      <c r="N370" s="121"/>
      <c r="O370" s="123"/>
      <c r="P370" s="123"/>
      <c r="Q370" s="123"/>
      <c r="R370" s="123"/>
      <c r="S370" s="133" t="s">
        <v>703</v>
      </c>
      <c r="T370" s="125"/>
      <c r="U370" s="126"/>
      <c r="V370" s="127"/>
    </row>
    <row r="371" spans="2:22" ht="14.25" customHeight="1">
      <c r="B371" s="140"/>
      <c r="C371" s="129"/>
      <c r="D371" s="129"/>
      <c r="E371" s="117"/>
      <c r="F371" s="131"/>
      <c r="G371" s="132"/>
      <c r="H371" s="120"/>
      <c r="I371" s="121"/>
      <c r="J371" s="122"/>
      <c r="K371" s="122"/>
      <c r="L371" s="122"/>
      <c r="M371" s="122"/>
      <c r="N371" s="121"/>
      <c r="O371" s="123"/>
      <c r="P371" s="123"/>
      <c r="Q371" s="123"/>
      <c r="R371" s="123"/>
      <c r="S371" s="133" t="s">
        <v>704</v>
      </c>
      <c r="T371" s="125"/>
      <c r="U371" s="126"/>
      <c r="V371" s="127"/>
    </row>
    <row r="372" spans="2:22" ht="14.25" customHeight="1">
      <c r="B372" s="140"/>
      <c r="C372" s="227"/>
      <c r="D372" s="129"/>
      <c r="E372" s="117"/>
      <c r="F372" s="131"/>
      <c r="G372" s="132"/>
      <c r="H372" s="120"/>
      <c r="I372" s="121"/>
      <c r="J372" s="122"/>
      <c r="K372" s="122"/>
      <c r="L372" s="122"/>
      <c r="M372" s="122"/>
      <c r="N372" s="121"/>
      <c r="O372" s="123"/>
      <c r="P372" s="123"/>
      <c r="Q372" s="123"/>
      <c r="R372" s="123"/>
      <c r="S372" s="133"/>
      <c r="T372" s="125"/>
      <c r="U372" s="126"/>
      <c r="V372" s="127"/>
    </row>
    <row r="373" spans="2:22" ht="14.25" customHeight="1">
      <c r="B373" s="140"/>
      <c r="C373" s="227"/>
      <c r="D373" s="129"/>
      <c r="E373" s="117"/>
      <c r="F373" s="131">
        <f>+F368+1</f>
        <v>9</v>
      </c>
      <c r="G373" s="132"/>
      <c r="H373" s="120" t="s">
        <v>705</v>
      </c>
      <c r="I373" s="121">
        <v>242763000</v>
      </c>
      <c r="J373" s="122">
        <v>0</v>
      </c>
      <c r="K373" s="122">
        <v>0</v>
      </c>
      <c r="L373" s="122">
        <v>4826000</v>
      </c>
      <c r="M373" s="122">
        <f>+I373-SUM(J373:L373)</f>
        <v>237937000</v>
      </c>
      <c r="N373" s="121">
        <v>242149920</v>
      </c>
      <c r="O373" s="123">
        <v>0</v>
      </c>
      <c r="P373" s="123">
        <v>0</v>
      </c>
      <c r="Q373" s="123">
        <v>4638400</v>
      </c>
      <c r="R373" s="123">
        <f>+N373-SUM(O373:Q373)</f>
        <v>237511520</v>
      </c>
      <c r="S373" s="133" t="s">
        <v>706</v>
      </c>
      <c r="T373" s="125" t="s">
        <v>707</v>
      </c>
      <c r="U373" s="126" t="s">
        <v>708</v>
      </c>
      <c r="V373" s="127"/>
    </row>
    <row r="374" spans="2:22" ht="14.25" customHeight="1">
      <c r="B374" s="140"/>
      <c r="C374" s="227"/>
      <c r="D374" s="129"/>
      <c r="E374" s="117"/>
      <c r="F374" s="131"/>
      <c r="G374" s="132"/>
      <c r="H374" s="120"/>
      <c r="I374" s="121"/>
      <c r="J374" s="122"/>
      <c r="K374" s="122"/>
      <c r="L374" s="122"/>
      <c r="M374" s="122"/>
      <c r="N374" s="121"/>
      <c r="O374" s="123"/>
      <c r="P374" s="123"/>
      <c r="Q374" s="123"/>
      <c r="R374" s="123"/>
      <c r="S374" s="133"/>
      <c r="T374" s="125"/>
      <c r="U374" s="126"/>
      <c r="V374" s="127"/>
    </row>
    <row r="375" spans="2:22" ht="14.25" customHeight="1">
      <c r="B375" s="140"/>
      <c r="C375" s="185"/>
      <c r="D375" s="186"/>
      <c r="E375" s="117"/>
      <c r="F375" s="131">
        <f>+F373+1</f>
        <v>10</v>
      </c>
      <c r="G375" s="132"/>
      <c r="H375" s="120" t="s">
        <v>709</v>
      </c>
      <c r="I375" s="121">
        <v>222685000</v>
      </c>
      <c r="J375" s="122">
        <v>222685000</v>
      </c>
      <c r="K375" s="122">
        <v>0</v>
      </c>
      <c r="L375" s="122">
        <v>0</v>
      </c>
      <c r="M375" s="122">
        <f>+I375-SUM(J375:L375)</f>
        <v>0</v>
      </c>
      <c r="N375" s="121">
        <v>213525969</v>
      </c>
      <c r="O375" s="123">
        <v>213551000</v>
      </c>
      <c r="P375" s="123">
        <v>0</v>
      </c>
      <c r="Q375" s="123">
        <v>0</v>
      </c>
      <c r="R375" s="123">
        <f>+N375-SUM(O375:Q375)</f>
        <v>-25031</v>
      </c>
      <c r="S375" s="133" t="s">
        <v>710</v>
      </c>
      <c r="T375" s="125" t="s">
        <v>711</v>
      </c>
      <c r="U375" s="126" t="s">
        <v>711</v>
      </c>
      <c r="V375" s="127"/>
    </row>
    <row r="376" spans="2:22" ht="14.25" customHeight="1">
      <c r="B376" s="140"/>
      <c r="C376" s="185"/>
      <c r="D376" s="186"/>
      <c r="E376" s="117"/>
      <c r="F376" s="131"/>
      <c r="G376" s="132"/>
      <c r="H376" s="120"/>
      <c r="I376" s="121"/>
      <c r="J376" s="122"/>
      <c r="K376" s="122"/>
      <c r="L376" s="122"/>
      <c r="M376" s="122"/>
      <c r="N376" s="121"/>
      <c r="O376" s="123"/>
      <c r="P376" s="123"/>
      <c r="Q376" s="123"/>
      <c r="R376" s="123"/>
      <c r="S376" s="202" t="s">
        <v>712</v>
      </c>
      <c r="T376" s="125"/>
      <c r="U376" s="126"/>
      <c r="V376" s="127"/>
    </row>
    <row r="377" spans="2:22" ht="14.25" customHeight="1">
      <c r="B377" s="140"/>
      <c r="C377" s="185"/>
      <c r="D377" s="186"/>
      <c r="E377" s="117"/>
      <c r="F377" s="131"/>
      <c r="G377" s="132"/>
      <c r="H377" s="120"/>
      <c r="I377" s="121"/>
      <c r="J377" s="122"/>
      <c r="K377" s="122"/>
      <c r="L377" s="122"/>
      <c r="M377" s="122"/>
      <c r="N377" s="121"/>
      <c r="O377" s="123"/>
      <c r="P377" s="123"/>
      <c r="Q377" s="123"/>
      <c r="R377" s="123"/>
      <c r="S377" s="202" t="s">
        <v>713</v>
      </c>
      <c r="T377" s="125"/>
      <c r="U377" s="126"/>
      <c r="V377" s="127"/>
    </row>
    <row r="378" spans="2:22" ht="14.25" customHeight="1">
      <c r="B378" s="140"/>
      <c r="C378" s="185"/>
      <c r="D378" s="186"/>
      <c r="E378" s="117"/>
      <c r="F378" s="131"/>
      <c r="G378" s="132"/>
      <c r="H378" s="120"/>
      <c r="I378" s="121"/>
      <c r="J378" s="122"/>
      <c r="K378" s="122"/>
      <c r="L378" s="122"/>
      <c r="M378" s="122"/>
      <c r="N378" s="121"/>
      <c r="O378" s="123"/>
      <c r="P378" s="123"/>
      <c r="Q378" s="123"/>
      <c r="R378" s="123"/>
      <c r="S378" s="202" t="s">
        <v>714</v>
      </c>
      <c r="T378" s="125"/>
      <c r="U378" s="126"/>
      <c r="V378" s="127"/>
    </row>
    <row r="379" spans="2:22" ht="14.25" customHeight="1">
      <c r="B379" s="140"/>
      <c r="C379" s="185"/>
      <c r="D379" s="186"/>
      <c r="E379" s="117"/>
      <c r="F379" s="131"/>
      <c r="G379" s="132"/>
      <c r="H379" s="120"/>
      <c r="I379" s="121"/>
      <c r="J379" s="122"/>
      <c r="K379" s="122"/>
      <c r="L379" s="122"/>
      <c r="M379" s="122"/>
      <c r="N379" s="121"/>
      <c r="O379" s="123"/>
      <c r="P379" s="123"/>
      <c r="Q379" s="123"/>
      <c r="R379" s="123"/>
      <c r="S379" s="202" t="s">
        <v>715</v>
      </c>
      <c r="T379" s="125"/>
      <c r="U379" s="126"/>
      <c r="V379" s="127"/>
    </row>
    <row r="380" spans="2:22" ht="14.25" customHeight="1">
      <c r="B380" s="140"/>
      <c r="C380" s="185"/>
      <c r="D380" s="186"/>
      <c r="E380" s="117"/>
      <c r="F380" s="131"/>
      <c r="G380" s="132"/>
      <c r="H380" s="120"/>
      <c r="I380" s="121"/>
      <c r="J380" s="122"/>
      <c r="K380" s="122"/>
      <c r="L380" s="122"/>
      <c r="M380" s="122"/>
      <c r="N380" s="121"/>
      <c r="O380" s="123"/>
      <c r="P380" s="123"/>
      <c r="Q380" s="123"/>
      <c r="R380" s="123"/>
      <c r="S380" s="228"/>
      <c r="T380" s="165"/>
      <c r="U380" s="166"/>
      <c r="V380" s="127"/>
    </row>
    <row r="381" spans="2:22" ht="14.25" customHeight="1">
      <c r="B381" s="140"/>
      <c r="C381" s="185"/>
      <c r="D381" s="186"/>
      <c r="E381" s="117"/>
      <c r="F381" s="131">
        <f>+F375+1</f>
        <v>11</v>
      </c>
      <c r="G381" s="132"/>
      <c r="H381" s="120" t="s">
        <v>716</v>
      </c>
      <c r="I381" s="121">
        <v>112508000</v>
      </c>
      <c r="J381" s="122">
        <v>46573000</v>
      </c>
      <c r="K381" s="122">
        <v>36000000</v>
      </c>
      <c r="L381" s="122">
        <v>13000000</v>
      </c>
      <c r="M381" s="122">
        <f>+I381-SUM(J381:L381)</f>
        <v>16935000</v>
      </c>
      <c r="N381" s="121">
        <v>110155635</v>
      </c>
      <c r="O381" s="123">
        <v>40320000</v>
      </c>
      <c r="P381" s="123">
        <v>35000000</v>
      </c>
      <c r="Q381" s="123">
        <v>13000000</v>
      </c>
      <c r="R381" s="123">
        <f>+N381-SUM(O381:Q381)</f>
        <v>21835635</v>
      </c>
      <c r="S381" s="202" t="s">
        <v>717</v>
      </c>
      <c r="T381" s="125" t="s">
        <v>718</v>
      </c>
      <c r="U381" s="126" t="s">
        <v>718</v>
      </c>
      <c r="V381" s="127"/>
    </row>
    <row r="382" spans="2:22" ht="14.25" customHeight="1">
      <c r="B382" s="140"/>
      <c r="C382" s="185"/>
      <c r="D382" s="186"/>
      <c r="E382" s="117"/>
      <c r="F382" s="131"/>
      <c r="G382" s="132"/>
      <c r="H382" s="120"/>
      <c r="I382" s="121"/>
      <c r="J382" s="122"/>
      <c r="K382" s="122"/>
      <c r="L382" s="122"/>
      <c r="M382" s="122"/>
      <c r="N382" s="121"/>
      <c r="O382" s="123"/>
      <c r="P382" s="123"/>
      <c r="Q382" s="123"/>
      <c r="R382" s="123"/>
      <c r="S382" s="202" t="s">
        <v>719</v>
      </c>
      <c r="T382" s="125"/>
      <c r="U382" s="126"/>
      <c r="V382" s="127"/>
    </row>
    <row r="383" spans="2:22" ht="14.25" customHeight="1">
      <c r="B383" s="140"/>
      <c r="C383" s="185"/>
      <c r="D383" s="186"/>
      <c r="E383" s="117"/>
      <c r="F383" s="131"/>
      <c r="G383" s="132"/>
      <c r="H383" s="120"/>
      <c r="I383" s="121"/>
      <c r="J383" s="122"/>
      <c r="K383" s="122"/>
      <c r="L383" s="122"/>
      <c r="M383" s="122"/>
      <c r="N383" s="121"/>
      <c r="O383" s="123"/>
      <c r="P383" s="123"/>
      <c r="Q383" s="123"/>
      <c r="R383" s="123"/>
      <c r="S383" s="133" t="s">
        <v>720</v>
      </c>
      <c r="T383" s="125"/>
      <c r="U383" s="126"/>
      <c r="V383" s="127"/>
    </row>
    <row r="384" spans="2:22" ht="14.25" customHeight="1">
      <c r="B384" s="140"/>
      <c r="C384" s="185"/>
      <c r="D384" s="186"/>
      <c r="E384" s="117"/>
      <c r="F384" s="131"/>
      <c r="G384" s="132"/>
      <c r="H384" s="120"/>
      <c r="I384" s="121"/>
      <c r="J384" s="122"/>
      <c r="K384" s="122"/>
      <c r="L384" s="122"/>
      <c r="M384" s="122"/>
      <c r="N384" s="121"/>
      <c r="O384" s="123"/>
      <c r="P384" s="123"/>
      <c r="Q384" s="123"/>
      <c r="R384" s="123"/>
      <c r="S384" s="133" t="s">
        <v>721</v>
      </c>
      <c r="T384" s="125"/>
      <c r="U384" s="126"/>
      <c r="V384" s="127"/>
    </row>
    <row r="385" spans="2:22" ht="14.25" customHeight="1">
      <c r="B385" s="140"/>
      <c r="C385" s="185"/>
      <c r="D385" s="186"/>
      <c r="E385" s="117"/>
      <c r="F385" s="131"/>
      <c r="G385" s="132"/>
      <c r="H385" s="120"/>
      <c r="I385" s="121"/>
      <c r="J385" s="122"/>
      <c r="K385" s="122"/>
      <c r="L385" s="122"/>
      <c r="M385" s="122"/>
      <c r="N385" s="121"/>
      <c r="O385" s="123"/>
      <c r="P385" s="123"/>
      <c r="Q385" s="123"/>
      <c r="R385" s="123"/>
      <c r="S385" s="133" t="s">
        <v>722</v>
      </c>
      <c r="T385" s="125"/>
      <c r="U385" s="126"/>
      <c r="V385" s="127"/>
    </row>
    <row r="386" spans="2:22" ht="14.25" customHeight="1">
      <c r="B386" s="140"/>
      <c r="C386" s="185"/>
      <c r="D386" s="186"/>
      <c r="E386" s="117"/>
      <c r="F386" s="131"/>
      <c r="G386" s="132"/>
      <c r="H386" s="120"/>
      <c r="I386" s="121"/>
      <c r="J386" s="122"/>
      <c r="K386" s="122"/>
      <c r="L386" s="122"/>
      <c r="M386" s="122"/>
      <c r="N386" s="121"/>
      <c r="O386" s="123"/>
      <c r="P386" s="123"/>
      <c r="Q386" s="123"/>
      <c r="R386" s="123"/>
      <c r="S386" s="133"/>
      <c r="T386" s="125"/>
      <c r="U386" s="126"/>
      <c r="V386" s="127"/>
    </row>
    <row r="387" spans="2:22" ht="14.25" customHeight="1">
      <c r="B387" s="140"/>
      <c r="C387" s="185"/>
      <c r="D387" s="186"/>
      <c r="E387" s="117"/>
      <c r="F387" s="131">
        <f>+F381+1</f>
        <v>12</v>
      </c>
      <c r="G387" s="132"/>
      <c r="H387" s="120" t="s">
        <v>723</v>
      </c>
      <c r="I387" s="121">
        <v>160000</v>
      </c>
      <c r="J387" s="122">
        <v>0</v>
      </c>
      <c r="K387" s="122">
        <v>0</v>
      </c>
      <c r="L387" s="122">
        <v>0</v>
      </c>
      <c r="M387" s="122">
        <f>+I387-SUM(J387:L387)</f>
        <v>160000</v>
      </c>
      <c r="N387" s="121">
        <v>160000</v>
      </c>
      <c r="O387" s="123">
        <v>0</v>
      </c>
      <c r="P387" s="123">
        <v>0</v>
      </c>
      <c r="Q387" s="123">
        <v>0</v>
      </c>
      <c r="R387" s="123">
        <f>+N387-SUM(O387:Q387)</f>
        <v>160000</v>
      </c>
      <c r="S387" s="133" t="s">
        <v>724</v>
      </c>
      <c r="T387" s="125" t="s">
        <v>725</v>
      </c>
      <c r="U387" s="126" t="s">
        <v>725</v>
      </c>
      <c r="V387" s="127"/>
    </row>
    <row r="388" spans="2:22" ht="14.25" customHeight="1">
      <c r="B388" s="140"/>
      <c r="C388" s="185"/>
      <c r="D388" s="186"/>
      <c r="E388" s="117"/>
      <c r="F388" s="131"/>
      <c r="G388" s="132"/>
      <c r="H388" s="120"/>
      <c r="I388" s="121"/>
      <c r="J388" s="122"/>
      <c r="K388" s="122"/>
      <c r="L388" s="122"/>
      <c r="M388" s="122"/>
      <c r="N388" s="121"/>
      <c r="O388" s="123"/>
      <c r="P388" s="123"/>
      <c r="Q388" s="123"/>
      <c r="R388" s="123"/>
      <c r="S388" s="133" t="s">
        <v>726</v>
      </c>
      <c r="T388" s="125"/>
      <c r="U388" s="126"/>
      <c r="V388" s="127"/>
    </row>
    <row r="389" spans="2:22" ht="14.25" customHeight="1">
      <c r="B389" s="140"/>
      <c r="C389" s="185"/>
      <c r="D389" s="186"/>
      <c r="E389" s="117"/>
      <c r="F389" s="131"/>
      <c r="G389" s="132"/>
      <c r="H389" s="120"/>
      <c r="I389" s="121"/>
      <c r="J389" s="122"/>
      <c r="K389" s="122"/>
      <c r="L389" s="122"/>
      <c r="M389" s="122"/>
      <c r="N389" s="121"/>
      <c r="O389" s="123"/>
      <c r="P389" s="123"/>
      <c r="Q389" s="123"/>
      <c r="R389" s="123"/>
      <c r="S389" s="133" t="s">
        <v>727</v>
      </c>
      <c r="T389" s="125"/>
      <c r="U389" s="126"/>
      <c r="V389" s="127"/>
    </row>
    <row r="390" spans="2:22" ht="14.25" customHeight="1">
      <c r="B390" s="140"/>
      <c r="C390" s="185"/>
      <c r="D390" s="186"/>
      <c r="E390" s="117"/>
      <c r="F390" s="131"/>
      <c r="G390" s="132"/>
      <c r="H390" s="120"/>
      <c r="I390" s="121"/>
      <c r="J390" s="122"/>
      <c r="K390" s="122"/>
      <c r="L390" s="122"/>
      <c r="M390" s="122"/>
      <c r="N390" s="121"/>
      <c r="O390" s="123"/>
      <c r="P390" s="123"/>
      <c r="Q390" s="123"/>
      <c r="R390" s="123"/>
      <c r="S390" s="133"/>
      <c r="T390" s="125"/>
      <c r="U390" s="126"/>
      <c r="V390" s="127"/>
    </row>
    <row r="391" spans="2:22" ht="14.25" customHeight="1">
      <c r="B391" s="140"/>
      <c r="C391" s="129"/>
      <c r="D391" s="129"/>
      <c r="E391" s="117"/>
      <c r="F391" s="131">
        <f>+F387+1</f>
        <v>13</v>
      </c>
      <c r="G391" s="132"/>
      <c r="H391" s="120" t="s">
        <v>728</v>
      </c>
      <c r="I391" s="121">
        <v>32838000</v>
      </c>
      <c r="J391" s="122">
        <v>500000</v>
      </c>
      <c r="K391" s="122">
        <v>0</v>
      </c>
      <c r="L391" s="122">
        <v>0</v>
      </c>
      <c r="M391" s="122">
        <f>+I391-SUM(J391:L391)</f>
        <v>32338000</v>
      </c>
      <c r="N391" s="121">
        <v>32693722</v>
      </c>
      <c r="O391" s="123">
        <v>500000</v>
      </c>
      <c r="P391" s="123">
        <v>0</v>
      </c>
      <c r="Q391" s="123">
        <v>0</v>
      </c>
      <c r="R391" s="123">
        <f>+N391-SUM(O391:Q391)</f>
        <v>32193722</v>
      </c>
      <c r="S391" s="133" t="s">
        <v>729</v>
      </c>
      <c r="T391" s="125" t="s">
        <v>730</v>
      </c>
      <c r="U391" s="126" t="s">
        <v>730</v>
      </c>
      <c r="V391" s="127"/>
    </row>
    <row r="392" spans="2:22" ht="14.25" customHeight="1">
      <c r="B392" s="140"/>
      <c r="C392" s="129"/>
      <c r="D392" s="129"/>
      <c r="E392" s="117"/>
      <c r="F392" s="131"/>
      <c r="G392" s="132"/>
      <c r="H392" s="120"/>
      <c r="I392" s="121"/>
      <c r="J392" s="122"/>
      <c r="K392" s="122"/>
      <c r="L392" s="122"/>
      <c r="M392" s="122"/>
      <c r="N392" s="121"/>
      <c r="O392" s="123"/>
      <c r="P392" s="123"/>
      <c r="Q392" s="123"/>
      <c r="R392" s="123"/>
      <c r="S392" s="202" t="s">
        <v>731</v>
      </c>
      <c r="T392" s="184"/>
      <c r="U392" s="139"/>
      <c r="V392" s="127"/>
    </row>
    <row r="393" spans="2:22" ht="14.25" customHeight="1">
      <c r="B393" s="140"/>
      <c r="C393" s="129"/>
      <c r="D393" s="129"/>
      <c r="E393" s="117"/>
      <c r="F393" s="131"/>
      <c r="G393" s="132"/>
      <c r="H393" s="120"/>
      <c r="I393" s="121"/>
      <c r="J393" s="122"/>
      <c r="K393" s="122"/>
      <c r="L393" s="122"/>
      <c r="M393" s="122"/>
      <c r="N393" s="121"/>
      <c r="O393" s="123"/>
      <c r="P393" s="123"/>
      <c r="Q393" s="123"/>
      <c r="R393" s="123"/>
      <c r="S393" s="133" t="s">
        <v>732</v>
      </c>
      <c r="T393" s="184"/>
      <c r="U393" s="139"/>
      <c r="V393" s="127"/>
    </row>
    <row r="394" spans="2:22" ht="14.25" customHeight="1">
      <c r="B394" s="140"/>
      <c r="C394" s="227"/>
      <c r="D394" s="129"/>
      <c r="E394" s="117"/>
      <c r="F394" s="131"/>
      <c r="G394" s="132"/>
      <c r="H394" s="120"/>
      <c r="I394" s="121"/>
      <c r="J394" s="122"/>
      <c r="K394" s="122"/>
      <c r="L394" s="122"/>
      <c r="M394" s="122"/>
      <c r="N394" s="121"/>
      <c r="O394" s="123"/>
      <c r="P394" s="123"/>
      <c r="Q394" s="123"/>
      <c r="R394" s="123"/>
      <c r="S394" s="133" t="s">
        <v>733</v>
      </c>
      <c r="T394" s="184"/>
      <c r="U394" s="139"/>
      <c r="V394" s="127"/>
    </row>
    <row r="395" spans="2:22" ht="14.25" customHeight="1">
      <c r="B395" s="140"/>
      <c r="C395" s="227"/>
      <c r="D395" s="129"/>
      <c r="E395" s="117"/>
      <c r="F395" s="131"/>
      <c r="G395" s="132"/>
      <c r="H395" s="120"/>
      <c r="I395" s="121"/>
      <c r="J395" s="122"/>
      <c r="K395" s="122"/>
      <c r="L395" s="122"/>
      <c r="M395" s="122"/>
      <c r="N395" s="121"/>
      <c r="O395" s="123"/>
      <c r="P395" s="123"/>
      <c r="Q395" s="123"/>
      <c r="R395" s="123"/>
      <c r="S395" s="133"/>
      <c r="T395" s="184"/>
      <c r="U395" s="139"/>
      <c r="V395" s="127"/>
    </row>
    <row r="396" spans="2:22" ht="14.25" customHeight="1">
      <c r="B396" s="140"/>
      <c r="C396" s="227"/>
      <c r="D396" s="129"/>
      <c r="E396" s="117"/>
      <c r="F396" s="131">
        <f>+F391+1</f>
        <v>14</v>
      </c>
      <c r="G396" s="132"/>
      <c r="H396" s="120" t="s">
        <v>734</v>
      </c>
      <c r="I396" s="160">
        <v>344630000</v>
      </c>
      <c r="J396" s="161">
        <v>0</v>
      </c>
      <c r="K396" s="161">
        <v>0</v>
      </c>
      <c r="L396" s="161">
        <v>42284000</v>
      </c>
      <c r="M396" s="161">
        <f>+I396-SUM(J396:L396)</f>
        <v>302346000</v>
      </c>
      <c r="N396" s="160">
        <v>307214305</v>
      </c>
      <c r="O396" s="162">
        <v>0</v>
      </c>
      <c r="P396" s="162">
        <v>0</v>
      </c>
      <c r="Q396" s="162">
        <v>450467030</v>
      </c>
      <c r="R396" s="162">
        <f>+N396-SUM(O396:Q396)</f>
        <v>-143252725</v>
      </c>
      <c r="S396" s="133" t="s">
        <v>735</v>
      </c>
      <c r="T396" s="125" t="s">
        <v>736</v>
      </c>
      <c r="U396" s="126" t="s">
        <v>737</v>
      </c>
      <c r="V396" s="127"/>
    </row>
    <row r="397" spans="2:22" ht="14.25" customHeight="1">
      <c r="B397" s="140"/>
      <c r="C397" s="185"/>
      <c r="D397" s="186"/>
      <c r="E397" s="117"/>
      <c r="F397" s="131"/>
      <c r="G397" s="132"/>
      <c r="H397" s="120"/>
      <c r="I397" s="121"/>
      <c r="J397" s="122"/>
      <c r="K397" s="122"/>
      <c r="L397" s="122"/>
      <c r="M397" s="122"/>
      <c r="N397" s="121"/>
      <c r="O397" s="123"/>
      <c r="P397" s="123"/>
      <c r="Q397" s="123"/>
      <c r="R397" s="123"/>
      <c r="S397" s="181" t="s">
        <v>738</v>
      </c>
      <c r="T397" s="125"/>
      <c r="U397" s="126"/>
      <c r="V397" s="127"/>
    </row>
    <row r="398" spans="2:22" ht="14.25" customHeight="1">
      <c r="B398" s="140"/>
      <c r="C398" s="185"/>
      <c r="D398" s="186"/>
      <c r="E398" s="117"/>
      <c r="F398" s="131"/>
      <c r="G398" s="132"/>
      <c r="H398" s="120"/>
      <c r="I398" s="121"/>
      <c r="J398" s="122"/>
      <c r="K398" s="122"/>
      <c r="L398" s="122"/>
      <c r="M398" s="122"/>
      <c r="N398" s="121"/>
      <c r="O398" s="123"/>
      <c r="P398" s="123"/>
      <c r="Q398" s="123"/>
      <c r="R398" s="123"/>
      <c r="S398" s="226" t="s">
        <v>739</v>
      </c>
      <c r="T398" s="125"/>
      <c r="U398" s="126"/>
      <c r="V398" s="127"/>
    </row>
    <row r="399" spans="2:22" ht="14.25" customHeight="1">
      <c r="B399" s="140"/>
      <c r="C399" s="185"/>
      <c r="D399" s="186"/>
      <c r="E399" s="117"/>
      <c r="F399" s="131"/>
      <c r="G399" s="132"/>
      <c r="H399" s="120"/>
      <c r="I399" s="121"/>
      <c r="J399" s="122"/>
      <c r="K399" s="122"/>
      <c r="L399" s="122"/>
      <c r="M399" s="122"/>
      <c r="N399" s="121"/>
      <c r="O399" s="123"/>
      <c r="P399" s="123"/>
      <c r="Q399" s="123"/>
      <c r="R399" s="123"/>
      <c r="S399" s="202" t="s">
        <v>740</v>
      </c>
      <c r="T399" s="125"/>
      <c r="U399" s="126"/>
      <c r="V399" s="127"/>
    </row>
    <row r="400" spans="2:22" ht="14.25" customHeight="1">
      <c r="B400" s="140"/>
      <c r="C400" s="185"/>
      <c r="D400" s="186"/>
      <c r="E400" s="117"/>
      <c r="F400" s="131"/>
      <c r="G400" s="132"/>
      <c r="H400" s="120"/>
      <c r="I400" s="121"/>
      <c r="J400" s="122"/>
      <c r="K400" s="122"/>
      <c r="L400" s="122"/>
      <c r="M400" s="122"/>
      <c r="N400" s="121"/>
      <c r="O400" s="123"/>
      <c r="P400" s="123"/>
      <c r="Q400" s="123"/>
      <c r="R400" s="123"/>
      <c r="S400" s="226" t="s">
        <v>741</v>
      </c>
      <c r="T400" s="125"/>
      <c r="U400" s="126"/>
      <c r="V400" s="127"/>
    </row>
    <row r="401" spans="2:22" ht="14.25" customHeight="1">
      <c r="B401" s="140"/>
      <c r="C401" s="185"/>
      <c r="D401" s="186"/>
      <c r="E401" s="117"/>
      <c r="F401" s="131"/>
      <c r="G401" s="132"/>
      <c r="H401" s="120"/>
      <c r="I401" s="121"/>
      <c r="J401" s="122"/>
      <c r="K401" s="122"/>
      <c r="L401" s="122"/>
      <c r="M401" s="122"/>
      <c r="N401" s="121"/>
      <c r="O401" s="123"/>
      <c r="P401" s="123"/>
      <c r="Q401" s="123"/>
      <c r="R401" s="123"/>
      <c r="S401" s="202" t="s">
        <v>742</v>
      </c>
      <c r="T401" s="125"/>
      <c r="U401" s="126"/>
      <c r="V401" s="127"/>
    </row>
    <row r="402" spans="2:22" ht="14.25" customHeight="1">
      <c r="B402" s="140"/>
      <c r="C402" s="185"/>
      <c r="D402" s="186"/>
      <c r="E402" s="117"/>
      <c r="F402" s="131"/>
      <c r="G402" s="132"/>
      <c r="H402" s="120"/>
      <c r="I402" s="121"/>
      <c r="J402" s="122"/>
      <c r="K402" s="122"/>
      <c r="L402" s="122"/>
      <c r="M402" s="122"/>
      <c r="N402" s="121"/>
      <c r="O402" s="123"/>
      <c r="P402" s="123"/>
      <c r="Q402" s="123"/>
      <c r="R402" s="123"/>
      <c r="S402" s="181" t="s">
        <v>743</v>
      </c>
      <c r="T402" s="125"/>
      <c r="U402" s="126"/>
      <c r="V402" s="127"/>
    </row>
    <row r="403" spans="2:22" ht="14.25" customHeight="1">
      <c r="B403" s="140"/>
      <c r="C403" s="185"/>
      <c r="D403" s="186"/>
      <c r="E403" s="117"/>
      <c r="F403" s="131"/>
      <c r="G403" s="132"/>
      <c r="H403" s="120"/>
      <c r="I403" s="121"/>
      <c r="J403" s="122"/>
      <c r="K403" s="122"/>
      <c r="L403" s="122"/>
      <c r="M403" s="122"/>
      <c r="N403" s="121"/>
      <c r="O403" s="123"/>
      <c r="P403" s="123"/>
      <c r="Q403" s="123"/>
      <c r="R403" s="123"/>
      <c r="S403" s="133"/>
      <c r="T403" s="125"/>
      <c r="U403" s="126"/>
      <c r="V403" s="127"/>
    </row>
    <row r="404" spans="2:22" ht="14.25" customHeight="1">
      <c r="B404" s="140"/>
      <c r="C404" s="185"/>
      <c r="D404" s="186"/>
      <c r="E404" s="117"/>
      <c r="F404" s="131">
        <f>+F396+1</f>
        <v>15</v>
      </c>
      <c r="G404" s="132"/>
      <c r="H404" s="120" t="s">
        <v>744</v>
      </c>
      <c r="I404" s="121">
        <v>180646000</v>
      </c>
      <c r="J404" s="122">
        <v>180646000</v>
      </c>
      <c r="K404" s="122">
        <v>0</v>
      </c>
      <c r="L404" s="122">
        <v>0</v>
      </c>
      <c r="M404" s="122">
        <f>+I404-SUM(J404:L404)</f>
        <v>0</v>
      </c>
      <c r="N404" s="121">
        <v>159014583</v>
      </c>
      <c r="O404" s="123">
        <v>180646000</v>
      </c>
      <c r="P404" s="123">
        <v>0</v>
      </c>
      <c r="Q404" s="123">
        <v>0</v>
      </c>
      <c r="R404" s="123">
        <f>+N404-SUM(O404:Q404)</f>
        <v>-21631417</v>
      </c>
      <c r="S404" s="133" t="s">
        <v>735</v>
      </c>
      <c r="T404" s="125" t="s">
        <v>745</v>
      </c>
      <c r="U404" s="126" t="s">
        <v>746</v>
      </c>
      <c r="V404" s="182"/>
    </row>
    <row r="405" spans="2:22" ht="14.25" customHeight="1">
      <c r="B405" s="140"/>
      <c r="C405" s="185"/>
      <c r="D405" s="186"/>
      <c r="E405" s="117"/>
      <c r="F405" s="131"/>
      <c r="G405" s="132"/>
      <c r="H405" s="120"/>
      <c r="I405" s="121"/>
      <c r="J405" s="122"/>
      <c r="K405" s="122"/>
      <c r="L405" s="122"/>
      <c r="M405" s="122"/>
      <c r="N405" s="121"/>
      <c r="O405" s="123"/>
      <c r="P405" s="123"/>
      <c r="Q405" s="123"/>
      <c r="R405" s="123"/>
      <c r="S405" s="181" t="s">
        <v>747</v>
      </c>
      <c r="T405" s="184"/>
      <c r="U405" s="139"/>
      <c r="V405" s="182"/>
    </row>
    <row r="406" spans="2:22" ht="14.25" customHeight="1">
      <c r="B406" s="140"/>
      <c r="C406" s="185"/>
      <c r="D406" s="186"/>
      <c r="E406" s="117"/>
      <c r="F406" s="131"/>
      <c r="G406" s="132"/>
      <c r="H406" s="120"/>
      <c r="I406" s="121"/>
      <c r="J406" s="122"/>
      <c r="K406" s="122"/>
      <c r="L406" s="122"/>
      <c r="M406" s="122"/>
      <c r="N406" s="121"/>
      <c r="O406" s="123"/>
      <c r="P406" s="123"/>
      <c r="Q406" s="123"/>
      <c r="R406" s="123"/>
      <c r="S406" s="181" t="s">
        <v>748</v>
      </c>
      <c r="T406" s="184"/>
      <c r="U406" s="139"/>
      <c r="V406" s="182"/>
    </row>
    <row r="407" spans="2:22" ht="14.25" customHeight="1">
      <c r="B407" s="140"/>
      <c r="C407" s="185"/>
      <c r="D407" s="186"/>
      <c r="E407" s="117"/>
      <c r="F407" s="131"/>
      <c r="G407" s="132"/>
      <c r="H407" s="120"/>
      <c r="I407" s="121"/>
      <c r="J407" s="122"/>
      <c r="K407" s="122"/>
      <c r="L407" s="122"/>
      <c r="M407" s="122"/>
      <c r="N407" s="121"/>
      <c r="O407" s="123"/>
      <c r="P407" s="123"/>
      <c r="Q407" s="123"/>
      <c r="R407" s="123"/>
      <c r="S407" s="226" t="s">
        <v>749</v>
      </c>
      <c r="T407" s="184"/>
      <c r="U407" s="139"/>
      <c r="V407" s="182"/>
    </row>
    <row r="408" spans="2:22" ht="14.25" customHeight="1">
      <c r="B408" s="140"/>
      <c r="C408" s="185"/>
      <c r="D408" s="186"/>
      <c r="E408" s="117"/>
      <c r="F408" s="131"/>
      <c r="G408" s="132"/>
      <c r="H408" s="120"/>
      <c r="I408" s="121"/>
      <c r="J408" s="122"/>
      <c r="K408" s="122"/>
      <c r="L408" s="122"/>
      <c r="M408" s="122"/>
      <c r="N408" s="121"/>
      <c r="O408" s="123"/>
      <c r="P408" s="123"/>
      <c r="Q408" s="123"/>
      <c r="R408" s="123"/>
      <c r="S408" s="181" t="s">
        <v>750</v>
      </c>
      <c r="T408" s="184"/>
      <c r="U408" s="139"/>
      <c r="V408" s="182"/>
    </row>
    <row r="409" spans="2:22" ht="14.25" customHeight="1">
      <c r="B409" s="140"/>
      <c r="C409" s="185"/>
      <c r="D409" s="186"/>
      <c r="E409" s="117"/>
      <c r="F409" s="131"/>
      <c r="G409" s="132"/>
      <c r="H409" s="120"/>
      <c r="I409" s="121"/>
      <c r="J409" s="122"/>
      <c r="K409" s="122"/>
      <c r="L409" s="122"/>
      <c r="M409" s="122"/>
      <c r="N409" s="121"/>
      <c r="O409" s="123"/>
      <c r="P409" s="123"/>
      <c r="Q409" s="123"/>
      <c r="R409" s="123"/>
      <c r="S409" s="181" t="s">
        <v>751</v>
      </c>
      <c r="T409" s="184"/>
      <c r="U409" s="139"/>
      <c r="V409" s="182"/>
    </row>
    <row r="410" spans="2:22" ht="14.25" customHeight="1" thickBot="1">
      <c r="B410" s="147"/>
      <c r="C410" s="188"/>
      <c r="D410" s="189"/>
      <c r="E410" s="190"/>
      <c r="F410" s="150"/>
      <c r="G410" s="151"/>
      <c r="H410" s="191"/>
      <c r="I410" s="192"/>
      <c r="J410" s="193"/>
      <c r="K410" s="193"/>
      <c r="L410" s="193"/>
      <c r="M410" s="193"/>
      <c r="N410" s="192"/>
      <c r="O410" s="194"/>
      <c r="P410" s="194"/>
      <c r="Q410" s="194"/>
      <c r="R410" s="194"/>
      <c r="S410" s="229"/>
      <c r="T410" s="214"/>
      <c r="U410" s="230"/>
      <c r="V410" s="182"/>
    </row>
    <row r="411" spans="2:22" ht="14.25" customHeight="1">
      <c r="B411" s="140"/>
      <c r="C411" s="185"/>
      <c r="D411" s="186"/>
      <c r="E411" s="117"/>
      <c r="F411" s="131">
        <f>+F404+1</f>
        <v>16</v>
      </c>
      <c r="G411" s="132"/>
      <c r="H411" s="120" t="s">
        <v>271</v>
      </c>
      <c r="I411" s="160">
        <v>-704000</v>
      </c>
      <c r="J411" s="161">
        <v>0</v>
      </c>
      <c r="K411" s="161">
        <v>0</v>
      </c>
      <c r="L411" s="161">
        <v>0</v>
      </c>
      <c r="M411" s="161">
        <f>+I411-SUM(J411:L411)</f>
        <v>-704000</v>
      </c>
      <c r="N411" s="160">
        <v>0</v>
      </c>
      <c r="O411" s="162">
        <v>0</v>
      </c>
      <c r="P411" s="162">
        <v>0</v>
      </c>
      <c r="Q411" s="162">
        <v>0</v>
      </c>
      <c r="R411" s="162">
        <f>+N411-SUM(O411:Q411)</f>
        <v>0</v>
      </c>
      <c r="S411" s="138" t="s">
        <v>272</v>
      </c>
      <c r="T411" s="125"/>
      <c r="U411" s="126"/>
      <c r="V411" s="127"/>
    </row>
    <row r="412" spans="2:22" ht="14.25" customHeight="1" thickBot="1">
      <c r="B412" s="147"/>
      <c r="C412" s="188"/>
      <c r="D412" s="189"/>
      <c r="E412" s="190"/>
      <c r="F412" s="150"/>
      <c r="G412" s="151"/>
      <c r="H412" s="191"/>
      <c r="I412" s="153"/>
      <c r="J412" s="154"/>
      <c r="K412" s="154"/>
      <c r="L412" s="154"/>
      <c r="M412" s="154"/>
      <c r="N412" s="153"/>
      <c r="O412" s="155"/>
      <c r="P412" s="155"/>
      <c r="Q412" s="155"/>
      <c r="R412" s="155"/>
      <c r="S412" s="203"/>
      <c r="T412" s="157"/>
      <c r="U412" s="158"/>
      <c r="V412" s="127"/>
    </row>
    <row r="413" spans="2:22" ht="14.25" customHeight="1">
      <c r="B413" s="140"/>
      <c r="C413" s="185"/>
      <c r="D413" s="186"/>
      <c r="E413" s="117"/>
      <c r="F413" s="131"/>
      <c r="G413" s="132"/>
      <c r="H413" s="120"/>
      <c r="I413" s="160"/>
      <c r="J413" s="161"/>
      <c r="K413" s="161"/>
      <c r="L413" s="161"/>
      <c r="M413" s="161"/>
      <c r="N413" s="160"/>
      <c r="O413" s="162"/>
      <c r="P413" s="162"/>
      <c r="Q413" s="162"/>
      <c r="R413" s="162"/>
      <c r="S413" s="138"/>
      <c r="T413" s="125"/>
      <c r="U413" s="126"/>
      <c r="V413" s="127"/>
    </row>
    <row r="414" spans="2:22" ht="14.25" customHeight="1">
      <c r="B414" s="115" t="s">
        <v>69</v>
      </c>
      <c r="C414" s="129">
        <f>SUM(I414:I469)</f>
        <v>1319094000</v>
      </c>
      <c r="D414" s="129">
        <f>SUM(N414:N469)</f>
        <v>1062715816</v>
      </c>
      <c r="E414" s="117" t="s">
        <v>752</v>
      </c>
      <c r="F414" s="131">
        <v>1</v>
      </c>
      <c r="G414" s="132"/>
      <c r="H414" s="120" t="s">
        <v>753</v>
      </c>
      <c r="I414" s="160">
        <v>42575000</v>
      </c>
      <c r="J414" s="161">
        <v>1428000</v>
      </c>
      <c r="K414" s="161">
        <v>10000000</v>
      </c>
      <c r="L414" s="161">
        <v>1933000</v>
      </c>
      <c r="M414" s="161">
        <f>+I414-SUM(J414:L414)</f>
        <v>29214000</v>
      </c>
      <c r="N414" s="160">
        <v>41896871</v>
      </c>
      <c r="O414" s="162">
        <v>1428000</v>
      </c>
      <c r="P414" s="162">
        <v>10000000</v>
      </c>
      <c r="Q414" s="162">
        <v>1476735</v>
      </c>
      <c r="R414" s="162">
        <f>+N414-SUM(O414:Q414)</f>
        <v>28992136</v>
      </c>
      <c r="S414" s="133" t="s">
        <v>754</v>
      </c>
      <c r="T414" s="125" t="s">
        <v>755</v>
      </c>
      <c r="U414" s="126" t="s">
        <v>730</v>
      </c>
      <c r="V414" s="135"/>
    </row>
    <row r="415" spans="2:22" ht="14.25" customHeight="1">
      <c r="B415" s="115" t="s">
        <v>72</v>
      </c>
      <c r="C415" s="129"/>
      <c r="D415" s="116"/>
      <c r="E415" s="117"/>
      <c r="F415" s="131"/>
      <c r="G415" s="132"/>
      <c r="H415" s="120"/>
      <c r="I415" s="121"/>
      <c r="J415" s="122"/>
      <c r="K415" s="122"/>
      <c r="L415" s="122"/>
      <c r="M415" s="122"/>
      <c r="N415" s="121"/>
      <c r="O415" s="123"/>
      <c r="P415" s="123"/>
      <c r="Q415" s="123"/>
      <c r="R415" s="123"/>
      <c r="S415" s="133" t="s">
        <v>756</v>
      </c>
      <c r="T415" s="125"/>
      <c r="U415" s="126"/>
      <c r="V415" s="135"/>
    </row>
    <row r="416" spans="2:22" ht="14.25" customHeight="1">
      <c r="B416" s="115"/>
      <c r="C416" s="129" t="s">
        <v>26</v>
      </c>
      <c r="D416" s="129" t="s">
        <v>26</v>
      </c>
      <c r="E416" s="117"/>
      <c r="F416" s="131"/>
      <c r="G416" s="132"/>
      <c r="H416" s="120"/>
      <c r="I416" s="121"/>
      <c r="J416" s="122"/>
      <c r="K416" s="122"/>
      <c r="L416" s="122"/>
      <c r="M416" s="122"/>
      <c r="N416" s="121"/>
      <c r="O416" s="123"/>
      <c r="P416" s="123"/>
      <c r="Q416" s="123"/>
      <c r="R416" s="123"/>
      <c r="S416" s="133" t="s">
        <v>757</v>
      </c>
      <c r="T416" s="125"/>
      <c r="U416" s="126"/>
      <c r="V416" s="127"/>
    </row>
    <row r="417" spans="2:22" ht="14.25" customHeight="1">
      <c r="B417" s="140"/>
      <c r="C417" s="129">
        <f>SUM(J414:J469)</f>
        <v>536382000</v>
      </c>
      <c r="D417" s="129">
        <f>SUM(O414:O469)</f>
        <v>396385283</v>
      </c>
      <c r="E417" s="117"/>
      <c r="F417" s="131"/>
      <c r="G417" s="132"/>
      <c r="H417" s="120"/>
      <c r="I417" s="160"/>
      <c r="J417" s="161"/>
      <c r="K417" s="161"/>
      <c r="L417" s="161"/>
      <c r="M417" s="161"/>
      <c r="N417" s="160"/>
      <c r="O417" s="162"/>
      <c r="P417" s="162"/>
      <c r="Q417" s="162"/>
      <c r="R417" s="162"/>
      <c r="S417" s="133" t="s">
        <v>758</v>
      </c>
      <c r="T417" s="125"/>
      <c r="U417" s="126"/>
      <c r="V417" s="182"/>
    </row>
    <row r="418" spans="2:22" ht="14.25" customHeight="1">
      <c r="B418" s="140"/>
      <c r="C418" s="129" t="s">
        <v>41</v>
      </c>
      <c r="D418" s="129" t="s">
        <v>41</v>
      </c>
      <c r="E418" s="117"/>
      <c r="F418" s="131"/>
      <c r="G418" s="132"/>
      <c r="H418" s="120"/>
      <c r="I418" s="121"/>
      <c r="J418" s="122"/>
      <c r="K418" s="122"/>
      <c r="L418" s="122"/>
      <c r="M418" s="122"/>
      <c r="N418" s="121"/>
      <c r="O418" s="123"/>
      <c r="P418" s="123"/>
      <c r="Q418" s="123"/>
      <c r="R418" s="123"/>
      <c r="S418" s="133" t="s">
        <v>759</v>
      </c>
      <c r="T418" s="125"/>
      <c r="U418" s="126"/>
      <c r="V418" s="182"/>
    </row>
    <row r="419" spans="2:22" ht="14.25" customHeight="1">
      <c r="B419" s="140"/>
      <c r="C419" s="129">
        <f>SUM(K414:K469)</f>
        <v>406000000</v>
      </c>
      <c r="D419" s="129">
        <f>SUM(P414:P469)</f>
        <v>310000000</v>
      </c>
      <c r="E419" s="117"/>
      <c r="F419" s="131"/>
      <c r="G419" s="132"/>
      <c r="H419" s="120"/>
      <c r="I419" s="121"/>
      <c r="J419" s="122"/>
      <c r="K419" s="122"/>
      <c r="L419" s="122"/>
      <c r="M419" s="122"/>
      <c r="N419" s="121"/>
      <c r="O419" s="123"/>
      <c r="P419" s="123"/>
      <c r="Q419" s="123"/>
      <c r="R419" s="123"/>
      <c r="S419" s="133"/>
      <c r="T419" s="125"/>
      <c r="U419" s="126"/>
      <c r="V419" s="182"/>
    </row>
    <row r="420" spans="2:22" ht="14.25" customHeight="1">
      <c r="B420" s="140"/>
      <c r="C420" s="129" t="s">
        <v>15</v>
      </c>
      <c r="D420" s="129" t="s">
        <v>15</v>
      </c>
      <c r="E420" s="117"/>
      <c r="F420" s="131">
        <f>+F414+1</f>
        <v>2</v>
      </c>
      <c r="G420" s="132"/>
      <c r="H420" s="120" t="s">
        <v>760</v>
      </c>
      <c r="I420" s="160">
        <v>7661000</v>
      </c>
      <c r="J420" s="161">
        <v>692000</v>
      </c>
      <c r="K420" s="161">
        <v>0</v>
      </c>
      <c r="L420" s="161">
        <v>0</v>
      </c>
      <c r="M420" s="161">
        <f>+I420-SUM(J420:L420)</f>
        <v>6969000</v>
      </c>
      <c r="N420" s="160">
        <v>7425115</v>
      </c>
      <c r="O420" s="162">
        <v>692000</v>
      </c>
      <c r="P420" s="162">
        <v>0</v>
      </c>
      <c r="Q420" s="162">
        <v>0</v>
      </c>
      <c r="R420" s="162">
        <f>+N420-SUM(O420:Q420)</f>
        <v>6733115</v>
      </c>
      <c r="S420" s="133" t="s">
        <v>761</v>
      </c>
      <c r="T420" s="125" t="s">
        <v>762</v>
      </c>
      <c r="U420" s="126" t="s">
        <v>763</v>
      </c>
      <c r="V420" s="127"/>
    </row>
    <row r="421" spans="2:22" ht="14.25" customHeight="1">
      <c r="B421" s="140"/>
      <c r="C421" s="129">
        <f>SUM(L414:L469)</f>
        <v>24933000</v>
      </c>
      <c r="D421" s="129">
        <f>SUM(Q414:Q469)</f>
        <v>46573735</v>
      </c>
      <c r="E421" s="117"/>
      <c r="F421" s="131"/>
      <c r="G421" s="132"/>
      <c r="H421" s="120"/>
      <c r="I421" s="121"/>
      <c r="J421" s="122"/>
      <c r="K421" s="122"/>
      <c r="L421" s="122"/>
      <c r="M421" s="122"/>
      <c r="N421" s="121"/>
      <c r="O421" s="123"/>
      <c r="P421" s="123"/>
      <c r="Q421" s="123"/>
      <c r="R421" s="123"/>
      <c r="S421" s="133" t="s">
        <v>764</v>
      </c>
      <c r="T421" s="125"/>
      <c r="U421" s="126"/>
      <c r="V421" s="127"/>
    </row>
    <row r="422" spans="2:22" ht="14.25" customHeight="1">
      <c r="B422" s="140"/>
      <c r="C422" s="129" t="s">
        <v>18</v>
      </c>
      <c r="D422" s="129" t="s">
        <v>18</v>
      </c>
      <c r="E422" s="117"/>
      <c r="F422" s="131"/>
      <c r="G422" s="132"/>
      <c r="H422" s="120"/>
      <c r="I422" s="121"/>
      <c r="J422" s="122"/>
      <c r="K422" s="122"/>
      <c r="L422" s="122"/>
      <c r="M422" s="122"/>
      <c r="N422" s="121"/>
      <c r="O422" s="123"/>
      <c r="P422" s="123"/>
      <c r="Q422" s="123"/>
      <c r="R422" s="123"/>
      <c r="S422" s="133" t="s">
        <v>765</v>
      </c>
      <c r="T422" s="125"/>
      <c r="U422" s="126"/>
      <c r="V422" s="127"/>
    </row>
    <row r="423" spans="2:22" ht="14.25" customHeight="1">
      <c r="B423" s="140"/>
      <c r="C423" s="129">
        <f>C414-C417-C419-C421</f>
        <v>351779000</v>
      </c>
      <c r="D423" s="129">
        <f>D414-D417-D419-D421</f>
        <v>309756798</v>
      </c>
      <c r="E423" s="117"/>
      <c r="F423" s="131"/>
      <c r="G423" s="132"/>
      <c r="H423" s="120"/>
      <c r="I423" s="121"/>
      <c r="J423" s="122"/>
      <c r="K423" s="122"/>
      <c r="L423" s="122"/>
      <c r="M423" s="122"/>
      <c r="N423" s="121"/>
      <c r="O423" s="123"/>
      <c r="P423" s="123"/>
      <c r="Q423" s="123"/>
      <c r="R423" s="123"/>
      <c r="S423" s="133" t="s">
        <v>766</v>
      </c>
      <c r="T423" s="125"/>
      <c r="U423" s="126"/>
      <c r="V423" s="127"/>
    </row>
    <row r="424" spans="2:22" ht="14.25" customHeight="1">
      <c r="B424" s="140"/>
      <c r="C424" s="185"/>
      <c r="D424" s="186"/>
      <c r="E424" s="117"/>
      <c r="F424" s="131"/>
      <c r="G424" s="132"/>
      <c r="H424" s="120"/>
      <c r="I424" s="121"/>
      <c r="J424" s="122"/>
      <c r="K424" s="122"/>
      <c r="L424" s="122"/>
      <c r="M424" s="122"/>
      <c r="N424" s="121"/>
      <c r="O424" s="123"/>
      <c r="P424" s="123"/>
      <c r="Q424" s="123"/>
      <c r="R424" s="123"/>
      <c r="S424" s="133" t="s">
        <v>767</v>
      </c>
      <c r="T424" s="125"/>
      <c r="U424" s="126"/>
      <c r="V424" s="127"/>
    </row>
    <row r="425" spans="2:22" ht="14.25" customHeight="1">
      <c r="B425" s="140"/>
      <c r="C425" s="185"/>
      <c r="D425" s="186"/>
      <c r="E425" s="117"/>
      <c r="F425" s="131"/>
      <c r="G425" s="132"/>
      <c r="H425" s="120"/>
      <c r="I425" s="121"/>
      <c r="J425" s="122"/>
      <c r="K425" s="122"/>
      <c r="L425" s="122"/>
      <c r="M425" s="122"/>
      <c r="N425" s="121"/>
      <c r="O425" s="123"/>
      <c r="P425" s="123"/>
      <c r="Q425" s="123"/>
      <c r="R425" s="123"/>
      <c r="S425" s="133" t="s">
        <v>768</v>
      </c>
      <c r="T425" s="125"/>
      <c r="U425" s="126"/>
      <c r="V425" s="127"/>
    </row>
    <row r="426" spans="2:22" ht="14.25" customHeight="1">
      <c r="B426" s="140"/>
      <c r="C426" s="185"/>
      <c r="D426" s="186"/>
      <c r="E426" s="117"/>
      <c r="F426" s="131"/>
      <c r="G426" s="132"/>
      <c r="H426" s="120"/>
      <c r="I426" s="121"/>
      <c r="J426" s="122"/>
      <c r="K426" s="122"/>
      <c r="L426" s="122"/>
      <c r="M426" s="122"/>
      <c r="N426" s="121"/>
      <c r="O426" s="123"/>
      <c r="P426" s="123"/>
      <c r="Q426" s="123"/>
      <c r="R426" s="123"/>
      <c r="S426" s="133"/>
      <c r="T426" s="125"/>
      <c r="U426" s="126"/>
      <c r="V426" s="127"/>
    </row>
    <row r="427" spans="2:22" ht="14.25" customHeight="1">
      <c r="B427" s="140"/>
      <c r="C427" s="185"/>
      <c r="D427" s="186"/>
      <c r="E427" s="117"/>
      <c r="F427" s="131">
        <f>+F420+1</f>
        <v>3</v>
      </c>
      <c r="G427" s="132"/>
      <c r="H427" s="120" t="s">
        <v>769</v>
      </c>
      <c r="I427" s="160">
        <v>64597000</v>
      </c>
      <c r="J427" s="161">
        <v>44897000</v>
      </c>
      <c r="K427" s="161">
        <v>0</v>
      </c>
      <c r="L427" s="161">
        <v>0</v>
      </c>
      <c r="M427" s="161">
        <f>+I427-SUM(J427:L427)</f>
        <v>19700000</v>
      </c>
      <c r="N427" s="160">
        <v>63183349</v>
      </c>
      <c r="O427" s="162">
        <v>44611838</v>
      </c>
      <c r="P427" s="162">
        <v>0</v>
      </c>
      <c r="Q427" s="162">
        <v>0</v>
      </c>
      <c r="R427" s="162">
        <f>+N427-SUM(O427:Q427)</f>
        <v>18571511</v>
      </c>
      <c r="S427" s="133" t="s">
        <v>770</v>
      </c>
      <c r="T427" s="125" t="s">
        <v>771</v>
      </c>
      <c r="U427" s="126" t="s">
        <v>772</v>
      </c>
      <c r="V427" s="127"/>
    </row>
    <row r="428" spans="2:22" ht="14.25" customHeight="1">
      <c r="B428" s="140"/>
      <c r="C428" s="185"/>
      <c r="D428" s="186"/>
      <c r="E428" s="117"/>
      <c r="F428" s="131"/>
      <c r="G428" s="132"/>
      <c r="H428" s="120"/>
      <c r="I428" s="121"/>
      <c r="J428" s="122"/>
      <c r="K428" s="122"/>
      <c r="L428" s="122"/>
      <c r="M428" s="122"/>
      <c r="N428" s="121"/>
      <c r="O428" s="123"/>
      <c r="P428" s="123"/>
      <c r="Q428" s="123"/>
      <c r="R428" s="123"/>
      <c r="S428" s="133" t="s">
        <v>773</v>
      </c>
      <c r="T428" s="125"/>
      <c r="U428" s="126"/>
      <c r="V428" s="127"/>
    </row>
    <row r="429" spans="2:22" ht="14.25" customHeight="1">
      <c r="B429" s="140"/>
      <c r="C429" s="185"/>
      <c r="D429" s="186"/>
      <c r="E429" s="117"/>
      <c r="F429" s="131"/>
      <c r="G429" s="132"/>
      <c r="H429" s="120"/>
      <c r="I429" s="121"/>
      <c r="J429" s="122"/>
      <c r="K429" s="122"/>
      <c r="L429" s="122"/>
      <c r="M429" s="122"/>
      <c r="N429" s="121"/>
      <c r="O429" s="123"/>
      <c r="P429" s="123"/>
      <c r="Q429" s="123"/>
      <c r="R429" s="123"/>
      <c r="S429" s="133" t="s">
        <v>774</v>
      </c>
      <c r="T429" s="125"/>
      <c r="U429" s="126"/>
      <c r="V429" s="127"/>
    </row>
    <row r="430" spans="2:22" ht="14.25" customHeight="1">
      <c r="B430" s="140"/>
      <c r="C430" s="185"/>
      <c r="D430" s="186"/>
      <c r="E430" s="117"/>
      <c r="F430" s="131"/>
      <c r="G430" s="132"/>
      <c r="H430" s="120"/>
      <c r="I430" s="121"/>
      <c r="J430" s="122"/>
      <c r="K430" s="122"/>
      <c r="L430" s="122"/>
      <c r="M430" s="122"/>
      <c r="N430" s="121"/>
      <c r="O430" s="123"/>
      <c r="P430" s="123"/>
      <c r="Q430" s="123"/>
      <c r="R430" s="123"/>
      <c r="S430" s="133"/>
      <c r="T430" s="125"/>
      <c r="U430" s="126"/>
      <c r="V430" s="127"/>
    </row>
    <row r="431" spans="2:22" ht="14.25" customHeight="1">
      <c r="B431" s="140"/>
      <c r="C431" s="185"/>
      <c r="D431" s="186"/>
      <c r="E431" s="117"/>
      <c r="F431" s="131">
        <f>+F427+1</f>
        <v>4</v>
      </c>
      <c r="G431" s="132"/>
      <c r="H431" s="120" t="s">
        <v>775</v>
      </c>
      <c r="I431" s="121">
        <v>249950000</v>
      </c>
      <c r="J431" s="122">
        <v>0</v>
      </c>
      <c r="K431" s="122">
        <v>0</v>
      </c>
      <c r="L431" s="122">
        <v>0</v>
      </c>
      <c r="M431" s="122">
        <f>+I431-SUM(J431:L431)</f>
        <v>249950000</v>
      </c>
      <c r="N431" s="121">
        <v>249344417</v>
      </c>
      <c r="O431" s="123">
        <v>0</v>
      </c>
      <c r="P431" s="123">
        <v>0</v>
      </c>
      <c r="Q431" s="123">
        <v>0</v>
      </c>
      <c r="R431" s="123">
        <f>+N431-SUM(O431:Q431)</f>
        <v>249344417</v>
      </c>
      <c r="S431" s="137" t="s">
        <v>776</v>
      </c>
      <c r="T431" s="125" t="s">
        <v>777</v>
      </c>
      <c r="U431" s="126" t="s">
        <v>778</v>
      </c>
      <c r="V431" s="127"/>
    </row>
    <row r="432" spans="2:22" ht="14.25" customHeight="1">
      <c r="B432" s="140"/>
      <c r="C432" s="185"/>
      <c r="D432" s="186"/>
      <c r="E432" s="117"/>
      <c r="F432" s="131"/>
      <c r="G432" s="132"/>
      <c r="H432" s="120"/>
      <c r="I432" s="121"/>
      <c r="J432" s="122"/>
      <c r="K432" s="122"/>
      <c r="L432" s="122"/>
      <c r="M432" s="122"/>
      <c r="N432" s="121"/>
      <c r="O432" s="123"/>
      <c r="P432" s="123"/>
      <c r="Q432" s="123"/>
      <c r="R432" s="123"/>
      <c r="S432" s="137" t="s">
        <v>779</v>
      </c>
      <c r="T432" s="125" t="s">
        <v>780</v>
      </c>
      <c r="U432" s="126" t="s">
        <v>781</v>
      </c>
      <c r="V432" s="127"/>
    </row>
    <row r="433" spans="2:22" ht="14.25" customHeight="1">
      <c r="B433" s="140"/>
      <c r="C433" s="185"/>
      <c r="D433" s="186"/>
      <c r="E433" s="117"/>
      <c r="F433" s="131"/>
      <c r="G433" s="132"/>
      <c r="H433" s="120"/>
      <c r="I433" s="121"/>
      <c r="J433" s="122"/>
      <c r="K433" s="122"/>
      <c r="L433" s="122"/>
      <c r="M433" s="122"/>
      <c r="N433" s="121"/>
      <c r="O433" s="123"/>
      <c r="P433" s="123"/>
      <c r="Q433" s="123"/>
      <c r="R433" s="123"/>
      <c r="S433" s="196" t="s">
        <v>782</v>
      </c>
      <c r="T433" s="125"/>
      <c r="U433" s="126"/>
      <c r="V433" s="127"/>
    </row>
    <row r="434" spans="2:22" ht="14.25" customHeight="1">
      <c r="B434" s="140"/>
      <c r="C434" s="185"/>
      <c r="D434" s="186"/>
      <c r="E434" s="117"/>
      <c r="F434" s="131"/>
      <c r="G434" s="132"/>
      <c r="H434" s="120"/>
      <c r="I434" s="121"/>
      <c r="J434" s="122"/>
      <c r="K434" s="122"/>
      <c r="L434" s="122"/>
      <c r="M434" s="122"/>
      <c r="N434" s="121"/>
      <c r="O434" s="123"/>
      <c r="P434" s="123"/>
      <c r="Q434" s="123"/>
      <c r="R434" s="123"/>
      <c r="S434" s="137"/>
      <c r="T434" s="125"/>
      <c r="U434" s="126"/>
      <c r="V434" s="127"/>
    </row>
    <row r="435" spans="2:22" ht="14.25" customHeight="1">
      <c r="B435" s="140"/>
      <c r="C435" s="185"/>
      <c r="D435" s="186"/>
      <c r="E435" s="117"/>
      <c r="F435" s="131">
        <f>+F431+1</f>
        <v>5</v>
      </c>
      <c r="G435" s="132"/>
      <c r="H435" s="120" t="s">
        <v>271</v>
      </c>
      <c r="I435" s="121">
        <f>-15000</f>
        <v>-15000</v>
      </c>
      <c r="J435" s="122">
        <v>0</v>
      </c>
      <c r="K435" s="122">
        <v>0</v>
      </c>
      <c r="L435" s="122">
        <v>0</v>
      </c>
      <c r="M435" s="122">
        <f>+I435-SUM(J435:L435)</f>
        <v>-15000</v>
      </c>
      <c r="N435" s="121">
        <v>0</v>
      </c>
      <c r="O435" s="123">
        <v>0</v>
      </c>
      <c r="P435" s="123">
        <v>0</v>
      </c>
      <c r="Q435" s="123">
        <v>0</v>
      </c>
      <c r="R435" s="123">
        <f>+N435-SUM(O435:Q435)</f>
        <v>0</v>
      </c>
      <c r="S435" s="138" t="s">
        <v>272</v>
      </c>
      <c r="T435" s="125"/>
      <c r="U435" s="126"/>
      <c r="V435" s="127"/>
    </row>
    <row r="436" spans="2:22" ht="14.25" customHeight="1">
      <c r="B436" s="140"/>
      <c r="C436" s="185"/>
      <c r="D436" s="186"/>
      <c r="E436" s="117"/>
      <c r="F436" s="131"/>
      <c r="G436" s="132"/>
      <c r="H436" s="120"/>
      <c r="I436" s="121"/>
      <c r="J436" s="122"/>
      <c r="K436" s="122"/>
      <c r="L436" s="122"/>
      <c r="M436" s="122"/>
      <c r="N436" s="121"/>
      <c r="O436" s="123"/>
      <c r="P436" s="123"/>
      <c r="Q436" s="123"/>
      <c r="R436" s="123"/>
      <c r="S436" s="133"/>
      <c r="T436" s="125"/>
      <c r="U436" s="126"/>
      <c r="V436" s="127"/>
    </row>
    <row r="437" spans="2:22" ht="14.25" customHeight="1">
      <c r="B437" s="140"/>
      <c r="C437" s="185"/>
      <c r="D437" s="186"/>
      <c r="E437" s="117" t="s">
        <v>783</v>
      </c>
      <c r="F437" s="131">
        <f>+F435+1</f>
        <v>6</v>
      </c>
      <c r="G437" s="132"/>
      <c r="H437" s="120" t="s">
        <v>784</v>
      </c>
      <c r="I437" s="121">
        <v>675280000</v>
      </c>
      <c r="J437" s="122">
        <v>318462000</v>
      </c>
      <c r="K437" s="122">
        <v>341000000</v>
      </c>
      <c r="L437" s="122">
        <v>0</v>
      </c>
      <c r="M437" s="122">
        <f>+I437-SUM(J437:L437)</f>
        <v>15818000</v>
      </c>
      <c r="N437" s="121">
        <v>620967259</v>
      </c>
      <c r="O437" s="123">
        <v>269382350</v>
      </c>
      <c r="P437" s="123">
        <v>300000000</v>
      </c>
      <c r="Q437" s="123">
        <v>45097000</v>
      </c>
      <c r="R437" s="123">
        <f>+N437-SUM(O437:Q437)</f>
        <v>6487909</v>
      </c>
      <c r="S437" s="137" t="s">
        <v>785</v>
      </c>
      <c r="T437" s="125" t="s">
        <v>786</v>
      </c>
      <c r="U437" s="126" t="s">
        <v>787</v>
      </c>
      <c r="V437" s="127"/>
    </row>
    <row r="438" spans="2:22" ht="14.25" customHeight="1">
      <c r="B438" s="140"/>
      <c r="C438" s="185"/>
      <c r="D438" s="186"/>
      <c r="E438" s="117"/>
      <c r="F438" s="131"/>
      <c r="G438" s="132"/>
      <c r="H438" s="120"/>
      <c r="I438" s="121"/>
      <c r="J438" s="122"/>
      <c r="K438" s="122"/>
      <c r="L438" s="122"/>
      <c r="M438" s="122"/>
      <c r="N438" s="121"/>
      <c r="O438" s="123"/>
      <c r="P438" s="123"/>
      <c r="Q438" s="123"/>
      <c r="R438" s="123"/>
      <c r="S438" s="137" t="s">
        <v>788</v>
      </c>
      <c r="T438" s="125"/>
      <c r="U438" s="126"/>
      <c r="V438" s="127"/>
    </row>
    <row r="439" spans="2:22" ht="14.25" customHeight="1">
      <c r="B439" s="140"/>
      <c r="C439" s="185"/>
      <c r="D439" s="186"/>
      <c r="E439" s="117"/>
      <c r="F439" s="131"/>
      <c r="G439" s="132"/>
      <c r="H439" s="120"/>
      <c r="I439" s="121"/>
      <c r="J439" s="122"/>
      <c r="K439" s="122"/>
      <c r="L439" s="122"/>
      <c r="M439" s="122"/>
      <c r="N439" s="121"/>
      <c r="O439" s="123"/>
      <c r="P439" s="123"/>
      <c r="Q439" s="123"/>
      <c r="R439" s="123"/>
      <c r="S439" s="137" t="s">
        <v>789</v>
      </c>
      <c r="T439" s="125"/>
      <c r="U439" s="126"/>
      <c r="V439" s="127"/>
    </row>
    <row r="440" spans="2:22" ht="14.25" customHeight="1">
      <c r="B440" s="140"/>
      <c r="C440" s="185"/>
      <c r="D440" s="186"/>
      <c r="E440" s="117"/>
      <c r="F440" s="131"/>
      <c r="G440" s="132"/>
      <c r="H440" s="120"/>
      <c r="I440" s="121"/>
      <c r="J440" s="122"/>
      <c r="K440" s="122"/>
      <c r="L440" s="122"/>
      <c r="M440" s="122"/>
      <c r="N440" s="121"/>
      <c r="O440" s="123"/>
      <c r="P440" s="123"/>
      <c r="Q440" s="123"/>
      <c r="R440" s="123"/>
      <c r="S440" s="137" t="s">
        <v>790</v>
      </c>
      <c r="T440" s="125"/>
      <c r="U440" s="126"/>
      <c r="V440" s="127"/>
    </row>
    <row r="441" spans="2:22" ht="14.25" customHeight="1">
      <c r="B441" s="140"/>
      <c r="C441" s="185"/>
      <c r="D441" s="186"/>
      <c r="E441" s="117"/>
      <c r="F441" s="131"/>
      <c r="G441" s="132"/>
      <c r="H441" s="120"/>
      <c r="I441" s="121"/>
      <c r="J441" s="122"/>
      <c r="K441" s="122"/>
      <c r="L441" s="122"/>
      <c r="M441" s="122"/>
      <c r="N441" s="121"/>
      <c r="O441" s="123"/>
      <c r="P441" s="123"/>
      <c r="Q441" s="123"/>
      <c r="R441" s="123"/>
      <c r="S441" s="137" t="s">
        <v>791</v>
      </c>
      <c r="T441" s="125"/>
      <c r="U441" s="126"/>
      <c r="V441" s="127"/>
    </row>
    <row r="442" spans="2:22" ht="14.25" customHeight="1">
      <c r="B442" s="140"/>
      <c r="C442" s="185"/>
      <c r="D442" s="186"/>
      <c r="E442" s="117"/>
      <c r="F442" s="131"/>
      <c r="G442" s="132"/>
      <c r="H442" s="120"/>
      <c r="I442" s="121"/>
      <c r="J442" s="122"/>
      <c r="K442" s="122"/>
      <c r="L442" s="122"/>
      <c r="M442" s="122"/>
      <c r="N442" s="121"/>
      <c r="O442" s="123"/>
      <c r="P442" s="123"/>
      <c r="Q442" s="123"/>
      <c r="R442" s="123"/>
      <c r="S442" s="196" t="s">
        <v>792</v>
      </c>
      <c r="T442" s="125"/>
      <c r="U442" s="126"/>
      <c r="V442" s="127"/>
    </row>
    <row r="443" spans="2:22" ht="14.25" customHeight="1">
      <c r="B443" s="140"/>
      <c r="C443" s="185"/>
      <c r="D443" s="186"/>
      <c r="E443" s="117"/>
      <c r="F443" s="131"/>
      <c r="G443" s="132"/>
      <c r="H443" s="120"/>
      <c r="I443" s="121"/>
      <c r="J443" s="122"/>
      <c r="K443" s="122"/>
      <c r="L443" s="122"/>
      <c r="M443" s="122"/>
      <c r="N443" s="121"/>
      <c r="O443" s="123"/>
      <c r="P443" s="123"/>
      <c r="Q443" s="123"/>
      <c r="R443" s="123"/>
      <c r="S443" s="137" t="s">
        <v>793</v>
      </c>
      <c r="T443" s="125"/>
      <c r="U443" s="126"/>
      <c r="V443" s="127"/>
    </row>
    <row r="444" spans="2:22" ht="14.25" customHeight="1">
      <c r="B444" s="140"/>
      <c r="C444" s="185"/>
      <c r="D444" s="186"/>
      <c r="E444" s="117"/>
      <c r="F444" s="131"/>
      <c r="G444" s="132"/>
      <c r="H444" s="120"/>
      <c r="I444" s="121"/>
      <c r="J444" s="122"/>
      <c r="K444" s="122"/>
      <c r="L444" s="122"/>
      <c r="M444" s="122"/>
      <c r="N444" s="121"/>
      <c r="O444" s="123"/>
      <c r="P444" s="123"/>
      <c r="Q444" s="123"/>
      <c r="R444" s="123"/>
      <c r="S444" s="137" t="s">
        <v>794</v>
      </c>
      <c r="T444" s="125"/>
      <c r="U444" s="126"/>
      <c r="V444" s="127"/>
    </row>
    <row r="445" spans="2:22" ht="14.25" customHeight="1">
      <c r="B445" s="140"/>
      <c r="C445" s="185"/>
      <c r="D445" s="186"/>
      <c r="E445" s="117"/>
      <c r="F445" s="131"/>
      <c r="G445" s="132"/>
      <c r="H445" s="120"/>
      <c r="I445" s="121"/>
      <c r="J445" s="122"/>
      <c r="K445" s="122"/>
      <c r="L445" s="122"/>
      <c r="M445" s="122"/>
      <c r="N445" s="121"/>
      <c r="O445" s="123"/>
      <c r="P445" s="123"/>
      <c r="Q445" s="123"/>
      <c r="R445" s="123"/>
      <c r="S445" s="137" t="s">
        <v>795</v>
      </c>
      <c r="T445" s="125"/>
      <c r="U445" s="126"/>
      <c r="V445" s="127"/>
    </row>
    <row r="446" spans="2:22" ht="14.25" customHeight="1">
      <c r="B446" s="140"/>
      <c r="C446" s="185"/>
      <c r="D446" s="186"/>
      <c r="E446" s="117"/>
      <c r="F446" s="131"/>
      <c r="G446" s="132"/>
      <c r="H446" s="120"/>
      <c r="I446" s="121"/>
      <c r="J446" s="122"/>
      <c r="K446" s="122"/>
      <c r="L446" s="122"/>
      <c r="M446" s="122"/>
      <c r="N446" s="121"/>
      <c r="O446" s="123"/>
      <c r="P446" s="123"/>
      <c r="Q446" s="123"/>
      <c r="R446" s="123"/>
      <c r="S446" s="137"/>
      <c r="T446" s="125"/>
      <c r="U446" s="126"/>
      <c r="V446" s="127"/>
    </row>
    <row r="447" spans="2:22" ht="14.25" customHeight="1">
      <c r="B447" s="140"/>
      <c r="C447" s="185"/>
      <c r="D447" s="186"/>
      <c r="E447" s="117"/>
      <c r="F447" s="131">
        <f>+F437+1</f>
        <v>7</v>
      </c>
      <c r="G447" s="132"/>
      <c r="H447" s="120" t="s">
        <v>796</v>
      </c>
      <c r="I447" s="121">
        <v>105000000</v>
      </c>
      <c r="J447" s="122">
        <v>50000000</v>
      </c>
      <c r="K447" s="122">
        <v>55000000</v>
      </c>
      <c r="L447" s="122">
        <v>0</v>
      </c>
      <c r="M447" s="122">
        <f>+I447-SUM(J447:L447)</f>
        <v>0</v>
      </c>
      <c r="N447" s="121">
        <v>0</v>
      </c>
      <c r="O447" s="123">
        <v>0</v>
      </c>
      <c r="P447" s="123">
        <v>0</v>
      </c>
      <c r="Q447" s="123">
        <v>0</v>
      </c>
      <c r="R447" s="123">
        <f>+N447-SUM(O447:Q447)</f>
        <v>0</v>
      </c>
      <c r="S447" s="138" t="s">
        <v>272</v>
      </c>
      <c r="T447" s="125"/>
      <c r="U447" s="126"/>
      <c r="V447" s="127"/>
    </row>
    <row r="448" spans="2:22" ht="14.25" customHeight="1">
      <c r="B448" s="140"/>
      <c r="C448" s="185"/>
      <c r="D448" s="186"/>
      <c r="E448" s="117"/>
      <c r="F448" s="131"/>
      <c r="G448" s="132"/>
      <c r="H448" s="120"/>
      <c r="I448" s="121"/>
      <c r="J448" s="122"/>
      <c r="K448" s="122"/>
      <c r="L448" s="122"/>
      <c r="M448" s="122"/>
      <c r="N448" s="121"/>
      <c r="O448" s="123"/>
      <c r="P448" s="123"/>
      <c r="Q448" s="123"/>
      <c r="R448" s="123"/>
      <c r="S448" s="137" t="s">
        <v>797</v>
      </c>
      <c r="T448" s="125"/>
      <c r="U448" s="126"/>
      <c r="V448" s="127"/>
    </row>
    <row r="449" spans="2:22" ht="14.25" customHeight="1">
      <c r="B449" s="140"/>
      <c r="C449" s="185"/>
      <c r="D449" s="186"/>
      <c r="E449" s="117"/>
      <c r="F449" s="131"/>
      <c r="G449" s="132"/>
      <c r="H449" s="120"/>
      <c r="I449" s="121"/>
      <c r="J449" s="122"/>
      <c r="K449" s="122"/>
      <c r="L449" s="122"/>
      <c r="M449" s="122"/>
      <c r="N449" s="121"/>
      <c r="O449" s="123"/>
      <c r="P449" s="123"/>
      <c r="Q449" s="123"/>
      <c r="R449" s="123"/>
      <c r="S449" s="137"/>
      <c r="T449" s="125"/>
      <c r="U449" s="126"/>
      <c r="V449" s="127"/>
    </row>
    <row r="450" spans="2:22" ht="14.25" customHeight="1">
      <c r="B450" s="140"/>
      <c r="C450" s="185"/>
      <c r="D450" s="186"/>
      <c r="E450" s="117"/>
      <c r="F450" s="131">
        <f>+F447+1</f>
        <v>8</v>
      </c>
      <c r="G450" s="132"/>
      <c r="H450" s="120" t="s">
        <v>798</v>
      </c>
      <c r="I450" s="160">
        <v>66700000</v>
      </c>
      <c r="J450" s="161">
        <v>66700000</v>
      </c>
      <c r="K450" s="161">
        <v>0</v>
      </c>
      <c r="L450" s="161">
        <v>0</v>
      </c>
      <c r="M450" s="161">
        <f>+I450-SUM(J450:L450)</f>
        <v>0</v>
      </c>
      <c r="N450" s="160">
        <v>0</v>
      </c>
      <c r="O450" s="162">
        <v>0</v>
      </c>
      <c r="P450" s="162">
        <v>0</v>
      </c>
      <c r="Q450" s="162">
        <v>0</v>
      </c>
      <c r="R450" s="162">
        <f>+N450-SUM(O450:Q450)</f>
        <v>0</v>
      </c>
      <c r="S450" s="138" t="s">
        <v>272</v>
      </c>
      <c r="T450" s="125"/>
      <c r="U450" s="126"/>
      <c r="V450" s="127"/>
    </row>
    <row r="451" spans="2:22" ht="14.25" customHeight="1">
      <c r="B451" s="140"/>
      <c r="C451" s="185"/>
      <c r="D451" s="186"/>
      <c r="E451" s="117"/>
      <c r="F451" s="131"/>
      <c r="G451" s="132"/>
      <c r="H451" s="120"/>
      <c r="I451" s="160"/>
      <c r="J451" s="161"/>
      <c r="K451" s="161"/>
      <c r="L451" s="161"/>
      <c r="M451" s="161"/>
      <c r="N451" s="160"/>
      <c r="O451" s="162"/>
      <c r="P451" s="162"/>
      <c r="Q451" s="162"/>
      <c r="R451" s="162"/>
      <c r="S451" s="137" t="s">
        <v>799</v>
      </c>
      <c r="T451" s="125"/>
      <c r="U451" s="126"/>
      <c r="V451" s="127"/>
    </row>
    <row r="452" spans="2:22" ht="14.25" customHeight="1">
      <c r="B452" s="140"/>
      <c r="C452" s="185"/>
      <c r="D452" s="186"/>
      <c r="E452" s="117"/>
      <c r="F452" s="131"/>
      <c r="G452" s="132"/>
      <c r="H452" s="120"/>
      <c r="I452" s="121"/>
      <c r="J452" s="122"/>
      <c r="K452" s="122"/>
      <c r="L452" s="122"/>
      <c r="M452" s="122"/>
      <c r="N452" s="121"/>
      <c r="O452" s="123"/>
      <c r="P452" s="123"/>
      <c r="Q452" s="123"/>
      <c r="R452" s="123"/>
      <c r="S452" s="137"/>
      <c r="T452" s="125"/>
      <c r="U452" s="126"/>
      <c r="V452" s="127"/>
    </row>
    <row r="453" spans="2:22" ht="14.25" customHeight="1">
      <c r="B453" s="140"/>
      <c r="C453" s="185"/>
      <c r="D453" s="186"/>
      <c r="E453" s="183"/>
      <c r="F453" s="131">
        <f>+F450+1</f>
        <v>9</v>
      </c>
      <c r="G453" s="132"/>
      <c r="H453" s="120" t="s">
        <v>800</v>
      </c>
      <c r="I453" s="160">
        <v>64575000</v>
      </c>
      <c r="J453" s="161">
        <v>38478000</v>
      </c>
      <c r="K453" s="161">
        <v>0</v>
      </c>
      <c r="L453" s="161">
        <v>23000000</v>
      </c>
      <c r="M453" s="161">
        <f>+I453-SUM(J453:L453)</f>
        <v>3097000</v>
      </c>
      <c r="N453" s="160">
        <v>37957500</v>
      </c>
      <c r="O453" s="162">
        <v>64575000</v>
      </c>
      <c r="P453" s="162">
        <v>0</v>
      </c>
      <c r="Q453" s="162">
        <v>0</v>
      </c>
      <c r="R453" s="162">
        <f>+N453-SUM(O453:Q453)</f>
        <v>-26617500</v>
      </c>
      <c r="S453" s="137" t="s">
        <v>801</v>
      </c>
      <c r="T453" s="125" t="s">
        <v>272</v>
      </c>
      <c r="U453" s="126" t="s">
        <v>802</v>
      </c>
      <c r="V453" s="127"/>
    </row>
    <row r="454" spans="2:22" ht="14.25" customHeight="1">
      <c r="B454" s="140"/>
      <c r="C454" s="185"/>
      <c r="D454" s="186"/>
      <c r="E454" s="183"/>
      <c r="F454" s="131"/>
      <c r="G454" s="132"/>
      <c r="H454" s="120"/>
      <c r="I454" s="160"/>
      <c r="J454" s="161"/>
      <c r="K454" s="161"/>
      <c r="L454" s="161"/>
      <c r="M454" s="161"/>
      <c r="N454" s="160"/>
      <c r="O454" s="162"/>
      <c r="P454" s="162"/>
      <c r="Q454" s="162"/>
      <c r="R454" s="162"/>
      <c r="S454" s="137"/>
      <c r="T454" s="125"/>
      <c r="U454" s="126"/>
      <c r="V454" s="127"/>
    </row>
    <row r="455" spans="2:22" ht="14.25" customHeight="1">
      <c r="B455" s="140"/>
      <c r="C455" s="185"/>
      <c r="D455" s="186"/>
      <c r="E455" s="117" t="s">
        <v>58</v>
      </c>
      <c r="F455" s="131">
        <f>+F453+1</f>
        <v>10</v>
      </c>
      <c r="G455" s="132"/>
      <c r="H455" s="120" t="s">
        <v>803</v>
      </c>
      <c r="I455" s="160">
        <v>24347000</v>
      </c>
      <c r="J455" s="161">
        <v>11676000</v>
      </c>
      <c r="K455" s="161">
        <v>0</v>
      </c>
      <c r="L455" s="161">
        <v>0</v>
      </c>
      <c r="M455" s="161">
        <f>+I455-SUM(J455:L455)</f>
        <v>12671000</v>
      </c>
      <c r="N455" s="160">
        <v>24165349</v>
      </c>
      <c r="O455" s="162">
        <v>11647095</v>
      </c>
      <c r="P455" s="162">
        <v>0</v>
      </c>
      <c r="Q455" s="162">
        <v>0</v>
      </c>
      <c r="R455" s="162">
        <f>+N455-SUM(O455:Q455)</f>
        <v>12518254</v>
      </c>
      <c r="S455" s="133" t="s">
        <v>785</v>
      </c>
      <c r="T455" s="125" t="s">
        <v>804</v>
      </c>
      <c r="U455" s="126" t="s">
        <v>805</v>
      </c>
      <c r="V455" s="127"/>
    </row>
    <row r="456" spans="2:22" ht="14.25" customHeight="1">
      <c r="B456" s="140"/>
      <c r="C456" s="185"/>
      <c r="D456" s="186"/>
      <c r="E456" s="117" t="s">
        <v>666</v>
      </c>
      <c r="F456" s="131"/>
      <c r="G456" s="132"/>
      <c r="H456" s="120"/>
      <c r="I456" s="160"/>
      <c r="J456" s="161"/>
      <c r="K456" s="161"/>
      <c r="L456" s="161"/>
      <c r="M456" s="161"/>
      <c r="N456" s="160"/>
      <c r="O456" s="162"/>
      <c r="P456" s="162"/>
      <c r="Q456" s="162"/>
      <c r="R456" s="162"/>
      <c r="S456" s="133" t="s">
        <v>806</v>
      </c>
      <c r="T456" s="125"/>
      <c r="U456" s="126"/>
      <c r="V456" s="127"/>
    </row>
    <row r="457" spans="2:22" ht="14.25" customHeight="1">
      <c r="B457" s="140"/>
      <c r="C457" s="185"/>
      <c r="D457" s="186"/>
      <c r="E457" s="117"/>
      <c r="F457" s="131"/>
      <c r="G457" s="132"/>
      <c r="H457" s="120"/>
      <c r="I457" s="160"/>
      <c r="J457" s="161"/>
      <c r="K457" s="161"/>
      <c r="L457" s="161"/>
      <c r="M457" s="161"/>
      <c r="N457" s="160"/>
      <c r="O457" s="162"/>
      <c r="P457" s="162"/>
      <c r="Q457" s="162"/>
      <c r="R457" s="162"/>
      <c r="S457" s="133" t="s">
        <v>807</v>
      </c>
      <c r="T457" s="125"/>
      <c r="U457" s="126"/>
      <c r="V457" s="127"/>
    </row>
    <row r="458" spans="2:22" ht="14.25" customHeight="1">
      <c r="B458" s="140"/>
      <c r="C458" s="185"/>
      <c r="D458" s="186"/>
      <c r="E458" s="117"/>
      <c r="F458" s="131"/>
      <c r="G458" s="132"/>
      <c r="H458" s="120"/>
      <c r="I458" s="160"/>
      <c r="J458" s="161"/>
      <c r="K458" s="161"/>
      <c r="L458" s="161"/>
      <c r="M458" s="161"/>
      <c r="N458" s="160"/>
      <c r="O458" s="162"/>
      <c r="P458" s="162"/>
      <c r="Q458" s="162"/>
      <c r="R458" s="162"/>
      <c r="S458" s="133"/>
      <c r="T458" s="125"/>
      <c r="U458" s="126"/>
      <c r="V458" s="127"/>
    </row>
    <row r="459" spans="2:22" ht="14.25" customHeight="1">
      <c r="B459" s="140"/>
      <c r="C459" s="185"/>
      <c r="D459" s="186"/>
      <c r="E459" s="117"/>
      <c r="F459" s="131"/>
      <c r="G459" s="132"/>
      <c r="H459" s="120"/>
      <c r="I459" s="160"/>
      <c r="J459" s="161"/>
      <c r="K459" s="161"/>
      <c r="L459" s="161"/>
      <c r="M459" s="161"/>
      <c r="N459" s="160"/>
      <c r="O459" s="162"/>
      <c r="P459" s="162"/>
      <c r="Q459" s="162"/>
      <c r="R459" s="162"/>
      <c r="S459" s="133"/>
      <c r="T459" s="125"/>
      <c r="U459" s="126"/>
      <c r="V459" s="127"/>
    </row>
    <row r="460" spans="2:22" ht="14.25" customHeight="1">
      <c r="B460" s="140"/>
      <c r="C460" s="185"/>
      <c r="D460" s="186"/>
      <c r="E460" s="117"/>
      <c r="F460" s="131"/>
      <c r="G460" s="132"/>
      <c r="H460" s="120"/>
      <c r="I460" s="160"/>
      <c r="J460" s="161"/>
      <c r="K460" s="161"/>
      <c r="L460" s="161"/>
      <c r="M460" s="161"/>
      <c r="N460" s="160"/>
      <c r="O460" s="162"/>
      <c r="P460" s="162"/>
      <c r="Q460" s="162"/>
      <c r="R460" s="162"/>
      <c r="S460" s="133"/>
      <c r="T460" s="125"/>
      <c r="U460" s="126"/>
      <c r="V460" s="127"/>
    </row>
    <row r="461" spans="2:22" ht="14.25" customHeight="1" thickBot="1">
      <c r="B461" s="147"/>
      <c r="C461" s="188"/>
      <c r="D461" s="189"/>
      <c r="E461" s="190"/>
      <c r="F461" s="150"/>
      <c r="G461" s="151"/>
      <c r="H461" s="191"/>
      <c r="I461" s="153"/>
      <c r="J461" s="154"/>
      <c r="K461" s="154"/>
      <c r="L461" s="154"/>
      <c r="M461" s="154"/>
      <c r="N461" s="153"/>
      <c r="O461" s="155"/>
      <c r="P461" s="155"/>
      <c r="Q461" s="155"/>
      <c r="R461" s="155"/>
      <c r="S461" s="195"/>
      <c r="T461" s="157"/>
      <c r="U461" s="158"/>
      <c r="V461" s="127"/>
    </row>
    <row r="462" spans="2:22" ht="14.25" customHeight="1">
      <c r="B462" s="140"/>
      <c r="C462" s="185"/>
      <c r="D462" s="186"/>
      <c r="E462" s="117"/>
      <c r="F462" s="131">
        <f>+F455+1</f>
        <v>11</v>
      </c>
      <c r="G462" s="132"/>
      <c r="H462" s="120" t="s">
        <v>808</v>
      </c>
      <c r="I462" s="121">
        <v>18424000</v>
      </c>
      <c r="J462" s="122">
        <v>4049000</v>
      </c>
      <c r="K462" s="122">
        <v>0</v>
      </c>
      <c r="L462" s="122">
        <v>0</v>
      </c>
      <c r="M462" s="122">
        <f>+I462-SUM(J462:L462)</f>
        <v>14375000</v>
      </c>
      <c r="N462" s="121">
        <v>17775956</v>
      </c>
      <c r="O462" s="123">
        <f>2545000+1482000+22000</f>
        <v>4049000</v>
      </c>
      <c r="P462" s="123">
        <v>0</v>
      </c>
      <c r="Q462" s="123">
        <v>0</v>
      </c>
      <c r="R462" s="123">
        <f>+N462-SUM(O462:Q462)</f>
        <v>13726956</v>
      </c>
      <c r="S462" s="133" t="s">
        <v>809</v>
      </c>
      <c r="T462" s="125" t="s">
        <v>810</v>
      </c>
      <c r="U462" s="126" t="s">
        <v>811</v>
      </c>
      <c r="V462" s="127"/>
    </row>
    <row r="463" spans="2:22" ht="14.25" customHeight="1">
      <c r="B463" s="140"/>
      <c r="C463" s="185"/>
      <c r="D463" s="186"/>
      <c r="E463" s="117"/>
      <c r="F463" s="131"/>
      <c r="G463" s="132"/>
      <c r="H463" s="120"/>
      <c r="I463" s="121"/>
      <c r="J463" s="122"/>
      <c r="K463" s="122"/>
      <c r="L463" s="122"/>
      <c r="M463" s="122"/>
      <c r="N463" s="121"/>
      <c r="O463" s="123"/>
      <c r="P463" s="123"/>
      <c r="Q463" s="123"/>
      <c r="R463" s="123"/>
      <c r="S463" s="133" t="s">
        <v>812</v>
      </c>
      <c r="T463" s="125" t="s">
        <v>813</v>
      </c>
      <c r="U463" s="126" t="s">
        <v>814</v>
      </c>
      <c r="V463" s="127"/>
    </row>
    <row r="464" spans="2:22" ht="14.25" customHeight="1">
      <c r="B464" s="140"/>
      <c r="C464" s="185"/>
      <c r="D464" s="186"/>
      <c r="E464" s="117"/>
      <c r="F464" s="131"/>
      <c r="G464" s="132"/>
      <c r="H464" s="120"/>
      <c r="I464" s="121"/>
      <c r="J464" s="122"/>
      <c r="K464" s="122"/>
      <c r="L464" s="122"/>
      <c r="M464" s="122"/>
      <c r="N464" s="121"/>
      <c r="O464" s="123"/>
      <c r="P464" s="123"/>
      <c r="Q464" s="123"/>
      <c r="R464" s="123"/>
      <c r="S464" s="133" t="s">
        <v>815</v>
      </c>
      <c r="T464" s="125"/>
      <c r="U464" s="126"/>
      <c r="V464" s="127"/>
    </row>
    <row r="465" spans="2:22" ht="14.25" customHeight="1">
      <c r="B465" s="140"/>
      <c r="C465" s="185"/>
      <c r="D465" s="186"/>
      <c r="E465" s="117"/>
      <c r="F465" s="131"/>
      <c r="G465" s="132"/>
      <c r="H465" s="120"/>
      <c r="I465" s="121"/>
      <c r="J465" s="122"/>
      <c r="K465" s="122"/>
      <c r="L465" s="122"/>
      <c r="M465" s="122"/>
      <c r="N465" s="121"/>
      <c r="O465" s="123"/>
      <c r="P465" s="123"/>
      <c r="Q465" s="123"/>
      <c r="R465" s="123"/>
      <c r="S465" s="133" t="s">
        <v>816</v>
      </c>
      <c r="T465" s="125"/>
      <c r="U465" s="126"/>
      <c r="V465" s="127"/>
    </row>
    <row r="466" spans="2:22" ht="14.25" customHeight="1">
      <c r="B466" s="140"/>
      <c r="C466" s="185"/>
      <c r="D466" s="186"/>
      <c r="E466" s="117"/>
      <c r="F466" s="131"/>
      <c r="G466" s="132"/>
      <c r="H466" s="120"/>
      <c r="I466" s="121"/>
      <c r="J466" s="122"/>
      <c r="K466" s="122"/>
      <c r="L466" s="122"/>
      <c r="M466" s="122"/>
      <c r="N466" s="121"/>
      <c r="O466" s="123"/>
      <c r="P466" s="123"/>
      <c r="Q466" s="123"/>
      <c r="R466" s="123"/>
      <c r="S466" s="133" t="s">
        <v>817</v>
      </c>
      <c r="T466" s="125"/>
      <c r="U466" s="126"/>
      <c r="V466" s="127"/>
    </row>
    <row r="467" spans="2:22" ht="14.25" customHeight="1">
      <c r="B467" s="140"/>
      <c r="C467" s="185"/>
      <c r="D467" s="186"/>
      <c r="E467" s="117"/>
      <c r="F467" s="131"/>
      <c r="G467" s="132"/>
      <c r="H467" s="120"/>
      <c r="I467" s="121"/>
      <c r="J467" s="122"/>
      <c r="K467" s="122"/>
      <c r="L467" s="122"/>
      <c r="M467" s="122"/>
      <c r="N467" s="121"/>
      <c r="O467" s="123"/>
      <c r="P467" s="123"/>
      <c r="Q467" s="123"/>
      <c r="R467" s="123"/>
      <c r="S467" s="133" t="s">
        <v>818</v>
      </c>
      <c r="T467" s="125"/>
      <c r="U467" s="126"/>
      <c r="V467" s="127"/>
    </row>
    <row r="468" spans="2:22" ht="14.25" customHeight="1">
      <c r="B468" s="140"/>
      <c r="C468" s="185"/>
      <c r="D468" s="186"/>
      <c r="E468" s="117"/>
      <c r="F468" s="131"/>
      <c r="G468" s="132"/>
      <c r="H468" s="120"/>
      <c r="I468" s="121"/>
      <c r="J468" s="122"/>
      <c r="K468" s="122"/>
      <c r="L468" s="122"/>
      <c r="M468" s="122"/>
      <c r="N468" s="121"/>
      <c r="O468" s="123"/>
      <c r="P468" s="123"/>
      <c r="Q468" s="123"/>
      <c r="R468" s="123"/>
      <c r="S468" s="133" t="s">
        <v>819</v>
      </c>
      <c r="T468" s="125"/>
      <c r="U468" s="126"/>
      <c r="V468" s="127"/>
    </row>
    <row r="469" spans="2:22" ht="14.25" customHeight="1" thickBot="1">
      <c r="B469" s="147"/>
      <c r="C469" s="188"/>
      <c r="D469" s="189"/>
      <c r="E469" s="190"/>
      <c r="F469" s="150"/>
      <c r="G469" s="151"/>
      <c r="H469" s="191"/>
      <c r="I469" s="192"/>
      <c r="J469" s="193"/>
      <c r="K469" s="193"/>
      <c r="L469" s="193"/>
      <c r="M469" s="193"/>
      <c r="N469" s="192"/>
      <c r="O469" s="194"/>
      <c r="P469" s="194"/>
      <c r="Q469" s="194"/>
      <c r="R469" s="194"/>
      <c r="S469" s="195"/>
      <c r="T469" s="157"/>
      <c r="U469" s="158"/>
      <c r="V469" s="127"/>
    </row>
    <row r="470" spans="2:22" ht="14.25" customHeight="1">
      <c r="B470" s="140"/>
      <c r="C470" s="185"/>
      <c r="D470" s="186"/>
      <c r="E470" s="117"/>
      <c r="F470" s="131"/>
      <c r="G470" s="132"/>
      <c r="H470" s="120"/>
      <c r="I470" s="121"/>
      <c r="J470" s="122"/>
      <c r="K470" s="122"/>
      <c r="L470" s="122"/>
      <c r="M470" s="122"/>
      <c r="N470" s="121"/>
      <c r="O470" s="123"/>
      <c r="P470" s="123"/>
      <c r="Q470" s="123"/>
      <c r="R470" s="123"/>
      <c r="S470" s="133"/>
      <c r="T470" s="125"/>
      <c r="U470" s="126"/>
      <c r="V470" s="135"/>
    </row>
    <row r="471" spans="2:22" ht="14.25" customHeight="1">
      <c r="B471" s="115" t="s">
        <v>820</v>
      </c>
      <c r="C471" s="129">
        <f>SUM(I471:I485)</f>
        <v>185611000</v>
      </c>
      <c r="D471" s="129">
        <f>SUM(N471:N485)</f>
        <v>181599621</v>
      </c>
      <c r="E471" s="117" t="s">
        <v>821</v>
      </c>
      <c r="F471" s="131">
        <v>1</v>
      </c>
      <c r="G471" s="132"/>
      <c r="H471" s="120" t="s">
        <v>822</v>
      </c>
      <c r="I471" s="160">
        <v>11175000</v>
      </c>
      <c r="J471" s="161">
        <v>6542000</v>
      </c>
      <c r="K471" s="161">
        <v>0</v>
      </c>
      <c r="L471" s="161">
        <v>50000</v>
      </c>
      <c r="M471" s="161">
        <f>+I471-SUM(J471:L471)</f>
        <v>4583000</v>
      </c>
      <c r="N471" s="160">
        <v>10824932</v>
      </c>
      <c r="O471" s="162">
        <f>600000+5157000+785000</f>
        <v>6542000</v>
      </c>
      <c r="P471" s="162">
        <v>0</v>
      </c>
      <c r="Q471" s="162">
        <v>35000</v>
      </c>
      <c r="R471" s="162">
        <f>+N471-SUM(O471:Q471)</f>
        <v>4247932</v>
      </c>
      <c r="S471" s="133" t="s">
        <v>823</v>
      </c>
      <c r="T471" s="125" t="s">
        <v>824</v>
      </c>
      <c r="U471" s="126" t="s">
        <v>824</v>
      </c>
      <c r="V471" s="135"/>
    </row>
    <row r="472" spans="2:22" ht="14.25" customHeight="1">
      <c r="B472" s="115" t="s">
        <v>280</v>
      </c>
      <c r="C472" s="129"/>
      <c r="D472" s="116"/>
      <c r="E472" s="117"/>
      <c r="F472" s="131"/>
      <c r="G472" s="132"/>
      <c r="H472" s="120"/>
      <c r="I472" s="121"/>
      <c r="J472" s="122"/>
      <c r="K472" s="122"/>
      <c r="L472" s="122"/>
      <c r="M472" s="122"/>
      <c r="N472" s="121"/>
      <c r="O472" s="123"/>
      <c r="P472" s="123"/>
      <c r="Q472" s="123"/>
      <c r="R472" s="123"/>
      <c r="S472" s="137" t="s">
        <v>825</v>
      </c>
      <c r="T472" s="125"/>
      <c r="U472" s="126"/>
      <c r="V472" s="135"/>
    </row>
    <row r="473" spans="2:22" ht="14.25" customHeight="1">
      <c r="B473" s="115"/>
      <c r="C473" s="129" t="s">
        <v>26</v>
      </c>
      <c r="D473" s="129" t="s">
        <v>26</v>
      </c>
      <c r="E473" s="117"/>
      <c r="F473" s="131"/>
      <c r="G473" s="132"/>
      <c r="H473" s="120"/>
      <c r="I473" s="160"/>
      <c r="J473" s="161"/>
      <c r="K473" s="161"/>
      <c r="L473" s="161"/>
      <c r="M473" s="161"/>
      <c r="N473" s="160"/>
      <c r="O473" s="162"/>
      <c r="P473" s="162"/>
      <c r="Q473" s="162"/>
      <c r="R473" s="162"/>
      <c r="S473" s="137" t="s">
        <v>826</v>
      </c>
      <c r="T473" s="125"/>
      <c r="U473" s="126"/>
      <c r="V473" s="127"/>
    </row>
    <row r="474" spans="2:22" ht="14.25" customHeight="1">
      <c r="B474" s="140"/>
      <c r="C474" s="129">
        <f>SUM(J471:J485)</f>
        <v>17173000</v>
      </c>
      <c r="D474" s="129">
        <f>SUM(O471:O485)</f>
        <v>17172000</v>
      </c>
      <c r="E474" s="117"/>
      <c r="F474" s="131"/>
      <c r="G474" s="132"/>
      <c r="H474" s="120"/>
      <c r="I474" s="121"/>
      <c r="J474" s="122"/>
      <c r="K474" s="122"/>
      <c r="L474" s="122"/>
      <c r="M474" s="122"/>
      <c r="N474" s="121"/>
      <c r="O474" s="123"/>
      <c r="P474" s="123"/>
      <c r="Q474" s="123"/>
      <c r="R474" s="123"/>
      <c r="S474" s="137" t="s">
        <v>827</v>
      </c>
      <c r="T474" s="125"/>
      <c r="U474" s="126"/>
      <c r="V474" s="182"/>
    </row>
    <row r="475" spans="2:22" ht="14.25" customHeight="1">
      <c r="B475" s="140"/>
      <c r="C475" s="129" t="s">
        <v>15</v>
      </c>
      <c r="D475" s="129" t="s">
        <v>15</v>
      </c>
      <c r="E475" s="117"/>
      <c r="F475" s="131"/>
      <c r="G475" s="132"/>
      <c r="H475" s="120"/>
      <c r="I475" s="121"/>
      <c r="J475" s="122"/>
      <c r="K475" s="122"/>
      <c r="L475" s="122"/>
      <c r="M475" s="122"/>
      <c r="N475" s="121"/>
      <c r="O475" s="123"/>
      <c r="P475" s="123"/>
      <c r="Q475" s="123"/>
      <c r="R475" s="123"/>
      <c r="S475" s="137" t="s">
        <v>828</v>
      </c>
      <c r="T475" s="125"/>
      <c r="U475" s="126"/>
      <c r="V475" s="182"/>
    </row>
    <row r="476" spans="2:22" ht="14.25" customHeight="1">
      <c r="B476" s="140"/>
      <c r="C476" s="129">
        <f>SUM(L471:L485)</f>
        <v>163889000</v>
      </c>
      <c r="D476" s="129">
        <f>SUM(Q471:Q485)</f>
        <v>214000</v>
      </c>
      <c r="E476" s="117"/>
      <c r="F476" s="131"/>
      <c r="G476" s="132"/>
      <c r="H476" s="120"/>
      <c r="I476" s="160"/>
      <c r="J476" s="161"/>
      <c r="K476" s="161"/>
      <c r="L476" s="161"/>
      <c r="M476" s="161"/>
      <c r="N476" s="160"/>
      <c r="O476" s="162"/>
      <c r="P476" s="162"/>
      <c r="Q476" s="162"/>
      <c r="R476" s="162"/>
      <c r="S476" s="137"/>
      <c r="T476" s="125"/>
      <c r="U476" s="126"/>
      <c r="V476" s="182"/>
    </row>
    <row r="477" spans="2:22" ht="14.25" customHeight="1">
      <c r="B477" s="140"/>
      <c r="C477" s="129" t="s">
        <v>18</v>
      </c>
      <c r="D477" s="129" t="s">
        <v>18</v>
      </c>
      <c r="E477" s="117"/>
      <c r="F477" s="131">
        <f>+F471+1</f>
        <v>2</v>
      </c>
      <c r="G477" s="132"/>
      <c r="H477" s="120" t="s">
        <v>829</v>
      </c>
      <c r="I477" s="160">
        <v>10631000</v>
      </c>
      <c r="J477" s="161">
        <v>10631000</v>
      </c>
      <c r="K477" s="161">
        <v>0</v>
      </c>
      <c r="L477" s="161">
        <v>0</v>
      </c>
      <c r="M477" s="161">
        <f>+I477-SUM(J477:L477)</f>
        <v>0</v>
      </c>
      <c r="N477" s="160">
        <v>10630000</v>
      </c>
      <c r="O477" s="162">
        <v>10630000</v>
      </c>
      <c r="P477" s="162">
        <v>0</v>
      </c>
      <c r="Q477" s="162">
        <v>0</v>
      </c>
      <c r="R477" s="162">
        <f>+N477-SUM(O477:Q477)</f>
        <v>0</v>
      </c>
      <c r="S477" s="133" t="s">
        <v>830</v>
      </c>
      <c r="T477" s="125" t="s">
        <v>831</v>
      </c>
      <c r="U477" s="126" t="s">
        <v>831</v>
      </c>
      <c r="V477" s="127"/>
    </row>
    <row r="478" spans="2:22" ht="14.25" customHeight="1">
      <c r="B478" s="140"/>
      <c r="C478" s="129">
        <f>C471-C474-C476</f>
        <v>4549000</v>
      </c>
      <c r="D478" s="129">
        <f>D471-D474-D476</f>
        <v>164213621</v>
      </c>
      <c r="E478" s="117"/>
      <c r="F478" s="131"/>
      <c r="G478" s="132"/>
      <c r="H478" s="120"/>
      <c r="I478" s="121"/>
      <c r="J478" s="122"/>
      <c r="K478" s="122"/>
      <c r="L478" s="122"/>
      <c r="M478" s="122"/>
      <c r="N478" s="121"/>
      <c r="O478" s="123"/>
      <c r="P478" s="123"/>
      <c r="Q478" s="123"/>
      <c r="R478" s="123"/>
      <c r="S478" s="137" t="s">
        <v>832</v>
      </c>
      <c r="T478" s="125"/>
      <c r="U478" s="126"/>
      <c r="V478" s="127"/>
    </row>
    <row r="479" spans="2:22" ht="14.25" customHeight="1">
      <c r="B479" s="140"/>
      <c r="C479" s="129"/>
      <c r="D479" s="129"/>
      <c r="E479" s="117"/>
      <c r="F479" s="131"/>
      <c r="G479" s="132"/>
      <c r="H479" s="120"/>
      <c r="I479" s="160"/>
      <c r="J479" s="161"/>
      <c r="K479" s="161"/>
      <c r="L479" s="161"/>
      <c r="M479" s="161"/>
      <c r="N479" s="160"/>
      <c r="O479" s="162"/>
      <c r="P479" s="162"/>
      <c r="Q479" s="162"/>
      <c r="R479" s="162"/>
      <c r="S479" s="133"/>
      <c r="T479" s="125"/>
      <c r="U479" s="126"/>
      <c r="V479" s="127"/>
    </row>
    <row r="480" spans="2:22" ht="14.25" customHeight="1">
      <c r="B480" s="140"/>
      <c r="C480" s="129"/>
      <c r="D480" s="129"/>
      <c r="E480" s="117"/>
      <c r="F480" s="131">
        <f>+F477+1</f>
        <v>3</v>
      </c>
      <c r="G480" s="132"/>
      <c r="H480" s="120" t="s">
        <v>833</v>
      </c>
      <c r="I480" s="160">
        <v>163839000</v>
      </c>
      <c r="J480" s="161">
        <v>0</v>
      </c>
      <c r="K480" s="161">
        <v>0</v>
      </c>
      <c r="L480" s="161">
        <v>163839000</v>
      </c>
      <c r="M480" s="161">
        <f>+I480-SUM(J480:L480)</f>
        <v>0</v>
      </c>
      <c r="N480" s="160">
        <v>160144689</v>
      </c>
      <c r="O480" s="162">
        <v>0</v>
      </c>
      <c r="P480" s="162">
        <v>0</v>
      </c>
      <c r="Q480" s="162">
        <v>179000</v>
      </c>
      <c r="R480" s="162">
        <f>+N480-SUM(O480:Q480)</f>
        <v>159965689</v>
      </c>
      <c r="S480" s="133" t="s">
        <v>834</v>
      </c>
      <c r="T480" s="125" t="s">
        <v>835</v>
      </c>
      <c r="U480" s="126" t="s">
        <v>835</v>
      </c>
      <c r="V480" s="127"/>
    </row>
    <row r="481" spans="2:22" ht="14.25" customHeight="1">
      <c r="B481" s="140"/>
      <c r="C481" s="129"/>
      <c r="D481" s="129"/>
      <c r="E481" s="117"/>
      <c r="F481" s="131"/>
      <c r="G481" s="132"/>
      <c r="H481" s="120"/>
      <c r="I481" s="121"/>
      <c r="J481" s="122"/>
      <c r="K481" s="122"/>
      <c r="L481" s="122"/>
      <c r="M481" s="122"/>
      <c r="N481" s="121"/>
      <c r="O481" s="123"/>
      <c r="P481" s="123"/>
      <c r="Q481" s="123"/>
      <c r="R481" s="123"/>
      <c r="S481" s="137" t="s">
        <v>836</v>
      </c>
      <c r="T481" s="125"/>
      <c r="U481" s="126"/>
      <c r="V481" s="127"/>
    </row>
    <row r="482" spans="2:22" ht="14.25" customHeight="1">
      <c r="B482" s="140"/>
      <c r="C482" s="129"/>
      <c r="D482" s="129"/>
      <c r="E482" s="117"/>
      <c r="F482" s="131"/>
      <c r="G482" s="132"/>
      <c r="H482" s="120"/>
      <c r="I482" s="121"/>
      <c r="J482" s="122"/>
      <c r="K482" s="122"/>
      <c r="L482" s="122"/>
      <c r="M482" s="122"/>
      <c r="N482" s="121"/>
      <c r="O482" s="123"/>
      <c r="P482" s="123"/>
      <c r="Q482" s="123"/>
      <c r="R482" s="123"/>
      <c r="S482" s="137" t="s">
        <v>837</v>
      </c>
      <c r="T482" s="125"/>
      <c r="U482" s="126"/>
      <c r="V482" s="127"/>
    </row>
    <row r="483" spans="2:22" ht="14.25" customHeight="1">
      <c r="B483" s="140"/>
      <c r="C483" s="129"/>
      <c r="D483" s="129"/>
      <c r="E483" s="117"/>
      <c r="F483" s="131"/>
      <c r="G483" s="132"/>
      <c r="H483" s="120"/>
      <c r="I483" s="121"/>
      <c r="J483" s="122"/>
      <c r="K483" s="122"/>
      <c r="L483" s="122"/>
      <c r="M483" s="122"/>
      <c r="N483" s="121"/>
      <c r="O483" s="123"/>
      <c r="P483" s="123"/>
      <c r="Q483" s="123"/>
      <c r="R483" s="123"/>
      <c r="S483" s="137"/>
      <c r="T483" s="125"/>
      <c r="U483" s="126"/>
      <c r="V483" s="127"/>
    </row>
    <row r="484" spans="2:22" ht="14.25" customHeight="1">
      <c r="B484" s="140"/>
      <c r="C484" s="129"/>
      <c r="D484" s="129"/>
      <c r="E484" s="117"/>
      <c r="F484" s="131">
        <f>+F480+1</f>
        <v>4</v>
      </c>
      <c r="G484" s="119"/>
      <c r="H484" s="120" t="s">
        <v>271</v>
      </c>
      <c r="I484" s="160">
        <v>-34000</v>
      </c>
      <c r="J484" s="161">
        <v>0</v>
      </c>
      <c r="K484" s="161">
        <v>0</v>
      </c>
      <c r="L484" s="161">
        <v>0</v>
      </c>
      <c r="M484" s="161">
        <f>+I484-SUM(J484:L484)</f>
        <v>-34000</v>
      </c>
      <c r="N484" s="160">
        <v>0</v>
      </c>
      <c r="O484" s="162">
        <v>0</v>
      </c>
      <c r="P484" s="162">
        <v>0</v>
      </c>
      <c r="Q484" s="162">
        <v>0</v>
      </c>
      <c r="R484" s="162">
        <f>+N484-SUM(O484:Q484)</f>
        <v>0</v>
      </c>
      <c r="S484" s="138" t="s">
        <v>838</v>
      </c>
      <c r="T484" s="125"/>
      <c r="U484" s="126"/>
      <c r="V484" s="127"/>
    </row>
    <row r="485" spans="2:22" ht="14.25" customHeight="1" thickBot="1">
      <c r="B485" s="147"/>
      <c r="C485" s="148"/>
      <c r="D485" s="148"/>
      <c r="E485" s="190"/>
      <c r="F485" s="150"/>
      <c r="G485" s="151"/>
      <c r="H485" s="191"/>
      <c r="I485" s="192"/>
      <c r="J485" s="193"/>
      <c r="K485" s="193"/>
      <c r="L485" s="193"/>
      <c r="M485" s="193"/>
      <c r="N485" s="192"/>
      <c r="O485" s="194"/>
      <c r="P485" s="194"/>
      <c r="Q485" s="194"/>
      <c r="R485" s="194"/>
      <c r="S485" s="221"/>
      <c r="T485" s="157"/>
      <c r="U485" s="158"/>
      <c r="V485" s="135"/>
    </row>
    <row r="486" spans="2:22" ht="14.25" customHeight="1">
      <c r="B486" s="168"/>
      <c r="C486" s="169"/>
      <c r="D486" s="170"/>
      <c r="E486" s="171"/>
      <c r="F486" s="172"/>
      <c r="G486" s="173"/>
      <c r="H486" s="174"/>
      <c r="I486" s="175"/>
      <c r="J486" s="176"/>
      <c r="K486" s="176"/>
      <c r="L486" s="176"/>
      <c r="M486" s="176"/>
      <c r="N486" s="175"/>
      <c r="O486" s="177"/>
      <c r="P486" s="177"/>
      <c r="Q486" s="177"/>
      <c r="R486" s="177"/>
      <c r="S486" s="178"/>
      <c r="T486" s="222"/>
      <c r="U486" s="180"/>
      <c r="V486" s="135"/>
    </row>
    <row r="487" spans="2:22" ht="14.25" customHeight="1">
      <c r="B487" s="115" t="s">
        <v>91</v>
      </c>
      <c r="C487" s="129">
        <f>SUM(I487:I493)</f>
        <v>7177000</v>
      </c>
      <c r="D487" s="129">
        <f>SUM(N487:N493)</f>
        <v>7132120</v>
      </c>
      <c r="E487" s="117" t="s">
        <v>91</v>
      </c>
      <c r="F487" s="131">
        <v>1</v>
      </c>
      <c r="G487" s="132"/>
      <c r="H487" s="120" t="s">
        <v>839</v>
      </c>
      <c r="I487" s="160">
        <v>7177000</v>
      </c>
      <c r="J487" s="161">
        <v>6981000</v>
      </c>
      <c r="K487" s="161">
        <v>0</v>
      </c>
      <c r="L487" s="161">
        <v>0</v>
      </c>
      <c r="M487" s="161">
        <f>+I487-SUM(J487:L487)</f>
        <v>196000</v>
      </c>
      <c r="N487" s="160">
        <v>7132120</v>
      </c>
      <c r="O487" s="162">
        <v>6981000</v>
      </c>
      <c r="P487" s="162"/>
      <c r="Q487" s="162"/>
      <c r="R487" s="162">
        <f>+N487-SUM(O487:Q487)</f>
        <v>151120</v>
      </c>
      <c r="S487" s="133" t="s">
        <v>840</v>
      </c>
      <c r="T487" s="125" t="s">
        <v>841</v>
      </c>
      <c r="U487" s="126" t="s">
        <v>842</v>
      </c>
      <c r="V487" s="135"/>
    </row>
    <row r="488" spans="2:22" ht="14.25" customHeight="1">
      <c r="B488" s="115" t="s">
        <v>94</v>
      </c>
      <c r="C488" s="129"/>
      <c r="D488" s="116"/>
      <c r="E488" s="117" t="s">
        <v>843</v>
      </c>
      <c r="F488" s="131"/>
      <c r="G488" s="132"/>
      <c r="H488" s="120"/>
      <c r="I488" s="160"/>
      <c r="J488" s="161"/>
      <c r="K488" s="161"/>
      <c r="L488" s="161"/>
      <c r="M488" s="161"/>
      <c r="N488" s="160"/>
      <c r="O488" s="162"/>
      <c r="P488" s="162"/>
      <c r="Q488" s="162"/>
      <c r="R488" s="162"/>
      <c r="S488" s="133" t="s">
        <v>844</v>
      </c>
      <c r="T488" s="125" t="s">
        <v>845</v>
      </c>
      <c r="U488" s="126" t="s">
        <v>845</v>
      </c>
      <c r="V488" s="135"/>
    </row>
    <row r="489" spans="2:22" ht="14.25" customHeight="1">
      <c r="B489" s="115"/>
      <c r="C489" s="129" t="s">
        <v>26</v>
      </c>
      <c r="D489" s="129" t="s">
        <v>26</v>
      </c>
      <c r="E489" s="117"/>
      <c r="F489" s="131"/>
      <c r="G489" s="132"/>
      <c r="H489" s="120"/>
      <c r="I489" s="160"/>
      <c r="J489" s="161"/>
      <c r="K489" s="161"/>
      <c r="L489" s="161"/>
      <c r="M489" s="161"/>
      <c r="N489" s="160"/>
      <c r="O489" s="162"/>
      <c r="P489" s="162"/>
      <c r="Q489" s="162"/>
      <c r="R489" s="162"/>
      <c r="S489" s="133" t="s">
        <v>846</v>
      </c>
      <c r="T489" s="125"/>
      <c r="U489" s="126"/>
      <c r="V489" s="127"/>
    </row>
    <row r="490" spans="2:22" ht="14.25" customHeight="1">
      <c r="B490" s="140"/>
      <c r="C490" s="129">
        <f>SUM(J487:J493)</f>
        <v>6981000</v>
      </c>
      <c r="D490" s="129">
        <f>SUM(O487:O493)</f>
        <v>6981000</v>
      </c>
      <c r="E490" s="117"/>
      <c r="F490" s="131"/>
      <c r="G490" s="119"/>
      <c r="H490" s="120"/>
      <c r="I490" s="160"/>
      <c r="J490" s="161"/>
      <c r="K490" s="161"/>
      <c r="L490" s="161"/>
      <c r="M490" s="161"/>
      <c r="N490" s="160"/>
      <c r="O490" s="162"/>
      <c r="P490" s="162"/>
      <c r="Q490" s="162"/>
      <c r="R490" s="162"/>
      <c r="S490" s="133" t="s">
        <v>847</v>
      </c>
      <c r="T490" s="125"/>
      <c r="U490" s="126"/>
      <c r="V490" s="182"/>
    </row>
    <row r="491" spans="2:22" ht="14.25" customHeight="1">
      <c r="B491" s="140"/>
      <c r="C491" s="129" t="s">
        <v>18</v>
      </c>
      <c r="D491" s="129" t="s">
        <v>18</v>
      </c>
      <c r="E491" s="117"/>
      <c r="F491" s="131"/>
      <c r="G491" s="132"/>
      <c r="H491" s="120"/>
      <c r="I491" s="121"/>
      <c r="J491" s="122"/>
      <c r="K491" s="122"/>
      <c r="L491" s="122"/>
      <c r="M491" s="122"/>
      <c r="N491" s="121"/>
      <c r="O491" s="123"/>
      <c r="P491" s="123"/>
      <c r="Q491" s="123"/>
      <c r="R491" s="123"/>
      <c r="S491" s="137"/>
      <c r="T491" s="125"/>
      <c r="U491" s="126"/>
      <c r="V491" s="182"/>
    </row>
    <row r="492" spans="2:22" ht="14.25" customHeight="1">
      <c r="B492" s="140"/>
      <c r="C492" s="129">
        <f>C487-C490</f>
        <v>196000</v>
      </c>
      <c r="D492" s="129">
        <f>D487-D490</f>
        <v>151120</v>
      </c>
      <c r="E492" s="117"/>
      <c r="F492" s="131"/>
      <c r="G492" s="132"/>
      <c r="H492" s="120"/>
      <c r="I492" s="121"/>
      <c r="J492" s="122"/>
      <c r="K492" s="122"/>
      <c r="L492" s="122"/>
      <c r="M492" s="122"/>
      <c r="N492" s="121"/>
      <c r="O492" s="123"/>
      <c r="P492" s="123"/>
      <c r="Q492" s="123"/>
      <c r="R492" s="123"/>
      <c r="S492" s="137"/>
      <c r="T492" s="125"/>
      <c r="U492" s="126"/>
      <c r="V492" s="182"/>
    </row>
    <row r="493" spans="2:22" ht="14.25" customHeight="1" thickBot="1">
      <c r="B493" s="140"/>
      <c r="C493" s="231"/>
      <c r="D493" s="231"/>
      <c r="E493" s="117"/>
      <c r="F493" s="131"/>
      <c r="G493" s="132"/>
      <c r="H493" s="120"/>
      <c r="I493" s="121"/>
      <c r="J493" s="122"/>
      <c r="K493" s="122"/>
      <c r="L493" s="122"/>
      <c r="M493" s="122"/>
      <c r="N493" s="121"/>
      <c r="O493" s="123"/>
      <c r="P493" s="123"/>
      <c r="Q493" s="123"/>
      <c r="R493" s="123"/>
      <c r="S493" s="137"/>
      <c r="T493" s="125"/>
      <c r="U493" s="126"/>
      <c r="V493" s="135"/>
    </row>
    <row r="494" spans="2:22" ht="14.25" customHeight="1">
      <c r="B494" s="168"/>
      <c r="C494" s="169"/>
      <c r="D494" s="170"/>
      <c r="E494" s="171"/>
      <c r="F494" s="172"/>
      <c r="G494" s="173"/>
      <c r="H494" s="174"/>
      <c r="I494" s="175"/>
      <c r="J494" s="176"/>
      <c r="K494" s="176"/>
      <c r="L494" s="176"/>
      <c r="M494" s="176"/>
      <c r="N494" s="175"/>
      <c r="O494" s="177"/>
      <c r="P494" s="177"/>
      <c r="Q494" s="177"/>
      <c r="R494" s="177"/>
      <c r="S494" s="178"/>
      <c r="T494" s="222"/>
      <c r="U494" s="180"/>
      <c r="V494" s="135"/>
    </row>
    <row r="495" spans="2:22" ht="14.25" customHeight="1">
      <c r="B495" s="115" t="s">
        <v>848</v>
      </c>
      <c r="C495" s="129">
        <f>SUM(I495:I563)</f>
        <v>533293000</v>
      </c>
      <c r="D495" s="129">
        <f>SUM(N495:N563)</f>
        <v>515674111</v>
      </c>
      <c r="E495" s="117" t="s">
        <v>849</v>
      </c>
      <c r="F495" s="131">
        <v>1</v>
      </c>
      <c r="G495" s="132"/>
      <c r="H495" s="120" t="s">
        <v>850</v>
      </c>
      <c r="I495" s="160">
        <v>161065000</v>
      </c>
      <c r="J495" s="161">
        <v>0</v>
      </c>
      <c r="K495" s="161">
        <v>0</v>
      </c>
      <c r="L495" s="161">
        <v>1000</v>
      </c>
      <c r="M495" s="161">
        <f>+I495-SUM(J495:L495)</f>
        <v>161064000</v>
      </c>
      <c r="N495" s="160">
        <v>159522315</v>
      </c>
      <c r="O495" s="162">
        <v>0</v>
      </c>
      <c r="P495" s="162">
        <v>0</v>
      </c>
      <c r="Q495" s="162">
        <v>1700</v>
      </c>
      <c r="R495" s="162">
        <f>+N495-SUM(O495:Q495)</f>
        <v>159520615</v>
      </c>
      <c r="S495" s="133" t="s">
        <v>851</v>
      </c>
      <c r="T495" s="125" t="s">
        <v>852</v>
      </c>
      <c r="U495" s="126" t="s">
        <v>853</v>
      </c>
      <c r="V495" s="135"/>
    </row>
    <row r="496" spans="2:22" ht="14.25" customHeight="1">
      <c r="B496" s="115" t="s">
        <v>280</v>
      </c>
      <c r="C496" s="129"/>
      <c r="D496" s="116"/>
      <c r="E496" s="117"/>
      <c r="F496" s="131"/>
      <c r="G496" s="132"/>
      <c r="H496" s="120"/>
      <c r="I496" s="160"/>
      <c r="J496" s="161"/>
      <c r="K496" s="161"/>
      <c r="L496" s="161"/>
      <c r="M496" s="161"/>
      <c r="N496" s="160"/>
      <c r="O496" s="162"/>
      <c r="P496" s="162"/>
      <c r="Q496" s="162"/>
      <c r="R496" s="162"/>
      <c r="S496" s="133" t="s">
        <v>854</v>
      </c>
      <c r="T496" s="125"/>
      <c r="U496" s="126"/>
      <c r="V496" s="135"/>
    </row>
    <row r="497" spans="2:22" ht="14.25" customHeight="1">
      <c r="B497" s="115"/>
      <c r="C497" s="129" t="s">
        <v>26</v>
      </c>
      <c r="D497" s="129" t="s">
        <v>26</v>
      </c>
      <c r="E497" s="117"/>
      <c r="F497" s="131"/>
      <c r="G497" s="132"/>
      <c r="H497" s="120"/>
      <c r="I497" s="160"/>
      <c r="J497" s="161"/>
      <c r="K497" s="161"/>
      <c r="L497" s="161"/>
      <c r="M497" s="161"/>
      <c r="N497" s="160"/>
      <c r="O497" s="162"/>
      <c r="P497" s="162"/>
      <c r="Q497" s="162"/>
      <c r="R497" s="162"/>
      <c r="S497" s="232" t="s">
        <v>855</v>
      </c>
      <c r="T497" s="125"/>
      <c r="U497" s="126"/>
      <c r="V497" s="127"/>
    </row>
    <row r="498" spans="2:22" ht="14.25" customHeight="1">
      <c r="B498" s="140"/>
      <c r="C498" s="129">
        <f>SUM(J495:J563)</f>
        <v>302425000</v>
      </c>
      <c r="D498" s="129">
        <f>SUM(O495:O563)</f>
        <v>280228269</v>
      </c>
      <c r="E498" s="117"/>
      <c r="F498" s="131"/>
      <c r="G498" s="132"/>
      <c r="H498" s="120"/>
      <c r="I498" s="160"/>
      <c r="J498" s="161"/>
      <c r="K498" s="161"/>
      <c r="L498" s="161"/>
      <c r="M498" s="161"/>
      <c r="N498" s="160"/>
      <c r="O498" s="162"/>
      <c r="P498" s="162"/>
      <c r="Q498" s="162"/>
      <c r="R498" s="162"/>
      <c r="S498" s="133"/>
      <c r="T498" s="125"/>
      <c r="U498" s="126"/>
      <c r="V498" s="182"/>
    </row>
    <row r="499" spans="2:22" ht="14.25" customHeight="1">
      <c r="B499" s="140"/>
      <c r="C499" s="129" t="s">
        <v>15</v>
      </c>
      <c r="D499" s="129" t="s">
        <v>15</v>
      </c>
      <c r="E499" s="117"/>
      <c r="F499" s="131">
        <f>+F495+1</f>
        <v>2</v>
      </c>
      <c r="G499" s="132"/>
      <c r="H499" s="120" t="s">
        <v>856</v>
      </c>
      <c r="I499" s="160">
        <v>2752000</v>
      </c>
      <c r="J499" s="161">
        <v>0</v>
      </c>
      <c r="K499" s="161">
        <v>0</v>
      </c>
      <c r="L499" s="161">
        <v>420000</v>
      </c>
      <c r="M499" s="161">
        <f>+I499-SUM(J499:L499)</f>
        <v>2332000</v>
      </c>
      <c r="N499" s="160">
        <v>1806974</v>
      </c>
      <c r="O499" s="162">
        <v>0</v>
      </c>
      <c r="P499" s="162">
        <v>0</v>
      </c>
      <c r="Q499" s="162">
        <v>0</v>
      </c>
      <c r="R499" s="162">
        <f>+N499-SUM(O499:Q499)</f>
        <v>1806974</v>
      </c>
      <c r="S499" s="133" t="s">
        <v>857</v>
      </c>
      <c r="T499" s="125" t="s">
        <v>858</v>
      </c>
      <c r="U499" s="126" t="s">
        <v>858</v>
      </c>
      <c r="V499" s="182"/>
    </row>
    <row r="500" spans="2:22" ht="14.25" customHeight="1">
      <c r="B500" s="140"/>
      <c r="C500" s="129">
        <f>SUM(L495:L563)</f>
        <v>1806000</v>
      </c>
      <c r="D500" s="129">
        <f>SUM(Q495:Q563)</f>
        <v>964500</v>
      </c>
      <c r="E500" s="117"/>
      <c r="F500" s="131"/>
      <c r="G500" s="132"/>
      <c r="H500" s="233"/>
      <c r="I500" s="160"/>
      <c r="J500" s="161"/>
      <c r="K500" s="161"/>
      <c r="L500" s="161"/>
      <c r="M500" s="161"/>
      <c r="N500" s="160"/>
      <c r="O500" s="162"/>
      <c r="P500" s="162"/>
      <c r="Q500" s="162"/>
      <c r="R500" s="162"/>
      <c r="S500" s="181" t="s">
        <v>859</v>
      </c>
      <c r="T500" s="125"/>
      <c r="U500" s="126"/>
      <c r="V500" s="182"/>
    </row>
    <row r="501" spans="2:22" ht="14.25" customHeight="1">
      <c r="B501" s="140"/>
      <c r="C501" s="129" t="s">
        <v>18</v>
      </c>
      <c r="D501" s="129" t="s">
        <v>18</v>
      </c>
      <c r="E501" s="117"/>
      <c r="F501" s="131"/>
      <c r="G501" s="132"/>
      <c r="H501" s="233"/>
      <c r="I501" s="234"/>
      <c r="J501" s="161"/>
      <c r="K501" s="161"/>
      <c r="L501" s="161"/>
      <c r="M501" s="161"/>
      <c r="N501" s="234"/>
      <c r="O501" s="162"/>
      <c r="P501" s="162"/>
      <c r="Q501" s="162"/>
      <c r="R501" s="162"/>
      <c r="S501" s="181" t="s">
        <v>860</v>
      </c>
      <c r="T501" s="134"/>
      <c r="U501" s="126"/>
      <c r="V501" s="182"/>
    </row>
    <row r="502" spans="2:22" ht="14.25" customHeight="1">
      <c r="B502" s="140"/>
      <c r="C502" s="129">
        <f>C495-C498-C500</f>
        <v>229062000</v>
      </c>
      <c r="D502" s="129">
        <f>D495-D498-D500</f>
        <v>234481342</v>
      </c>
      <c r="E502" s="117"/>
      <c r="F502" s="131"/>
      <c r="G502" s="119"/>
      <c r="H502" s="120"/>
      <c r="I502" s="160"/>
      <c r="J502" s="161"/>
      <c r="K502" s="161"/>
      <c r="L502" s="161"/>
      <c r="M502" s="161"/>
      <c r="N502" s="160"/>
      <c r="O502" s="162"/>
      <c r="P502" s="162"/>
      <c r="Q502" s="162"/>
      <c r="R502" s="162"/>
      <c r="S502" s="133"/>
      <c r="T502" s="125"/>
      <c r="U502" s="126"/>
      <c r="V502" s="182"/>
    </row>
    <row r="503" spans="2:22" ht="14.25" customHeight="1">
      <c r="B503" s="140"/>
      <c r="C503" s="129"/>
      <c r="D503" s="129"/>
      <c r="E503" s="235"/>
      <c r="F503" s="131">
        <f>+F499+1</f>
        <v>3</v>
      </c>
      <c r="G503" s="119"/>
      <c r="H503" s="120" t="s">
        <v>861</v>
      </c>
      <c r="I503" s="160">
        <v>13530000</v>
      </c>
      <c r="J503" s="161">
        <v>7585000</v>
      </c>
      <c r="K503" s="161">
        <v>0</v>
      </c>
      <c r="L503" s="161">
        <v>295000</v>
      </c>
      <c r="M503" s="161">
        <f>+I503-SUM(J503:L503)</f>
        <v>5650000</v>
      </c>
      <c r="N503" s="160">
        <v>11573070</v>
      </c>
      <c r="O503" s="162">
        <f>2935000+4650000+1000000</f>
        <v>8585000</v>
      </c>
      <c r="P503" s="162">
        <v>0</v>
      </c>
      <c r="Q503" s="162">
        <v>338800</v>
      </c>
      <c r="R503" s="162">
        <f>+N503-SUM(O503:Q503)</f>
        <v>2649270</v>
      </c>
      <c r="S503" s="133" t="s">
        <v>862</v>
      </c>
      <c r="T503" s="125" t="s">
        <v>863</v>
      </c>
      <c r="U503" s="126" t="s">
        <v>864</v>
      </c>
      <c r="V503" s="127"/>
    </row>
    <row r="504" spans="2:22" ht="14.25" customHeight="1">
      <c r="B504" s="140"/>
      <c r="C504" s="129"/>
      <c r="D504" s="129"/>
      <c r="E504" s="235"/>
      <c r="F504" s="131"/>
      <c r="G504" s="132"/>
      <c r="H504" s="120"/>
      <c r="I504" s="160"/>
      <c r="J504" s="161"/>
      <c r="K504" s="161"/>
      <c r="L504" s="161"/>
      <c r="M504" s="161"/>
      <c r="N504" s="160"/>
      <c r="O504" s="162"/>
      <c r="P504" s="162"/>
      <c r="Q504" s="162"/>
      <c r="R504" s="162"/>
      <c r="S504" s="133" t="s">
        <v>865</v>
      </c>
      <c r="T504" s="125"/>
      <c r="U504" s="126"/>
      <c r="V504" s="127"/>
    </row>
    <row r="505" spans="2:22" ht="14.25" customHeight="1">
      <c r="B505" s="140"/>
      <c r="C505" s="227"/>
      <c r="D505" s="129"/>
      <c r="E505" s="235"/>
      <c r="F505" s="131"/>
      <c r="G505" s="132"/>
      <c r="H505" s="120"/>
      <c r="I505" s="160"/>
      <c r="J505" s="161"/>
      <c r="K505" s="161"/>
      <c r="L505" s="161"/>
      <c r="M505" s="161"/>
      <c r="N505" s="160"/>
      <c r="O505" s="162"/>
      <c r="P505" s="162"/>
      <c r="Q505" s="162"/>
      <c r="R505" s="162"/>
      <c r="S505" s="133" t="s">
        <v>866</v>
      </c>
      <c r="T505" s="125"/>
      <c r="U505" s="126"/>
      <c r="V505" s="127"/>
    </row>
    <row r="506" spans="2:22" ht="14.25" customHeight="1">
      <c r="B506" s="140"/>
      <c r="C506" s="185"/>
      <c r="D506" s="186"/>
      <c r="E506" s="235"/>
      <c r="F506" s="131"/>
      <c r="G506" s="132"/>
      <c r="H506" s="120"/>
      <c r="I506" s="160"/>
      <c r="J506" s="161"/>
      <c r="K506" s="161"/>
      <c r="L506" s="161"/>
      <c r="M506" s="161"/>
      <c r="N506" s="160"/>
      <c r="O506" s="162"/>
      <c r="P506" s="162"/>
      <c r="Q506" s="162"/>
      <c r="R506" s="162"/>
      <c r="S506" s="133"/>
      <c r="T506" s="125"/>
      <c r="U506" s="126"/>
      <c r="V506" s="127"/>
    </row>
    <row r="507" spans="2:22" ht="14.25" customHeight="1">
      <c r="B507" s="140"/>
      <c r="C507" s="185"/>
      <c r="D507" s="186"/>
      <c r="E507" s="117"/>
      <c r="F507" s="131">
        <f>+F503+1</f>
        <v>4</v>
      </c>
      <c r="G507" s="132"/>
      <c r="H507" s="120" t="s">
        <v>867</v>
      </c>
      <c r="I507" s="121">
        <v>472000</v>
      </c>
      <c r="J507" s="122">
        <v>90000</v>
      </c>
      <c r="K507" s="122">
        <v>0</v>
      </c>
      <c r="L507" s="122">
        <v>0</v>
      </c>
      <c r="M507" s="161">
        <f>+I507-SUM(J507:L507)</f>
        <v>382000</v>
      </c>
      <c r="N507" s="121">
        <v>237040</v>
      </c>
      <c r="O507" s="123">
        <v>84340</v>
      </c>
      <c r="P507" s="123">
        <v>0</v>
      </c>
      <c r="Q507" s="123">
        <v>0</v>
      </c>
      <c r="R507" s="162">
        <f>+N507-SUM(O507:Q507)</f>
        <v>152700</v>
      </c>
      <c r="S507" s="133" t="s">
        <v>868</v>
      </c>
      <c r="T507" s="125" t="s">
        <v>869</v>
      </c>
      <c r="U507" s="126" t="s">
        <v>869</v>
      </c>
      <c r="V507" s="127"/>
    </row>
    <row r="508" spans="2:22" ht="14.25" customHeight="1">
      <c r="B508" s="140"/>
      <c r="C508" s="185"/>
      <c r="D508" s="186"/>
      <c r="E508" s="117"/>
      <c r="F508" s="131"/>
      <c r="G508" s="132"/>
      <c r="H508" s="120"/>
      <c r="I508" s="160"/>
      <c r="J508" s="161"/>
      <c r="K508" s="161"/>
      <c r="L508" s="161"/>
      <c r="M508" s="161"/>
      <c r="N508" s="160"/>
      <c r="O508" s="162"/>
      <c r="P508" s="162"/>
      <c r="Q508" s="162"/>
      <c r="R508" s="162"/>
      <c r="S508" s="133" t="s">
        <v>870</v>
      </c>
      <c r="T508" s="125" t="s">
        <v>871</v>
      </c>
      <c r="U508" s="126" t="s">
        <v>871</v>
      </c>
      <c r="V508" s="182"/>
    </row>
    <row r="509" spans="2:22" ht="14.25" customHeight="1">
      <c r="B509" s="140"/>
      <c r="C509" s="185"/>
      <c r="D509" s="186"/>
      <c r="E509" s="117"/>
      <c r="F509" s="131"/>
      <c r="G509" s="132"/>
      <c r="H509" s="120"/>
      <c r="I509" s="160"/>
      <c r="J509" s="161"/>
      <c r="K509" s="161"/>
      <c r="L509" s="161"/>
      <c r="M509" s="161"/>
      <c r="N509" s="160"/>
      <c r="O509" s="162"/>
      <c r="P509" s="162"/>
      <c r="Q509" s="162"/>
      <c r="R509" s="162"/>
      <c r="S509" s="133" t="s">
        <v>872</v>
      </c>
      <c r="T509" s="125" t="s">
        <v>873</v>
      </c>
      <c r="U509" s="126" t="s">
        <v>873</v>
      </c>
      <c r="V509" s="182"/>
    </row>
    <row r="510" spans="2:22" ht="14.25" customHeight="1">
      <c r="B510" s="140"/>
      <c r="C510" s="185"/>
      <c r="D510" s="186"/>
      <c r="E510" s="117"/>
      <c r="F510" s="131"/>
      <c r="G510" s="132"/>
      <c r="H510" s="120"/>
      <c r="I510" s="160"/>
      <c r="J510" s="161"/>
      <c r="K510" s="161"/>
      <c r="L510" s="161"/>
      <c r="M510" s="161"/>
      <c r="N510" s="160"/>
      <c r="O510" s="162"/>
      <c r="P510" s="162"/>
      <c r="Q510" s="162"/>
      <c r="R510" s="162"/>
      <c r="S510" s="133"/>
      <c r="T510" s="125"/>
      <c r="U510" s="126"/>
      <c r="V510" s="182"/>
    </row>
    <row r="511" spans="2:22" ht="14.25" customHeight="1">
      <c r="B511" s="140"/>
      <c r="C511" s="185"/>
      <c r="D511" s="186"/>
      <c r="E511" s="117"/>
      <c r="F511" s="131"/>
      <c r="G511" s="132"/>
      <c r="H511" s="120"/>
      <c r="I511" s="160"/>
      <c r="J511" s="161"/>
      <c r="K511" s="161"/>
      <c r="L511" s="161"/>
      <c r="M511" s="161"/>
      <c r="N511" s="160"/>
      <c r="O511" s="162"/>
      <c r="P511" s="162"/>
      <c r="Q511" s="162"/>
      <c r="R511" s="162"/>
      <c r="S511" s="133"/>
      <c r="T511" s="125"/>
      <c r="U511" s="126"/>
      <c r="V511" s="182"/>
    </row>
    <row r="512" spans="2:22" ht="14.25" customHeight="1" thickBot="1">
      <c r="B512" s="147"/>
      <c r="C512" s="188"/>
      <c r="D512" s="189"/>
      <c r="E512" s="190"/>
      <c r="F512" s="150"/>
      <c r="G512" s="151"/>
      <c r="H512" s="191"/>
      <c r="I512" s="153"/>
      <c r="J512" s="154"/>
      <c r="K512" s="154"/>
      <c r="L512" s="154"/>
      <c r="M512" s="154"/>
      <c r="N512" s="153"/>
      <c r="O512" s="155"/>
      <c r="P512" s="155"/>
      <c r="Q512" s="155"/>
      <c r="R512" s="155"/>
      <c r="S512" s="195"/>
      <c r="T512" s="157"/>
      <c r="U512" s="158"/>
      <c r="V512" s="182"/>
    </row>
    <row r="513" spans="2:22" ht="14.25" customHeight="1">
      <c r="B513" s="140"/>
      <c r="C513" s="185"/>
      <c r="D513" s="186"/>
      <c r="E513" s="117"/>
      <c r="F513" s="131">
        <f>+F507+1</f>
        <v>5</v>
      </c>
      <c r="G513" s="132"/>
      <c r="H513" s="120" t="s">
        <v>874</v>
      </c>
      <c r="I513" s="121">
        <v>14181000</v>
      </c>
      <c r="J513" s="122">
        <v>0</v>
      </c>
      <c r="K513" s="122">
        <v>0</v>
      </c>
      <c r="L513" s="122">
        <v>0</v>
      </c>
      <c r="M513" s="161">
        <f>+I513-SUM(J513:L513)</f>
        <v>14181000</v>
      </c>
      <c r="N513" s="121">
        <v>13658720</v>
      </c>
      <c r="O513" s="123">
        <v>0</v>
      </c>
      <c r="P513" s="123">
        <v>0</v>
      </c>
      <c r="Q513" s="123">
        <v>0</v>
      </c>
      <c r="R513" s="162">
        <f>+N513-SUM(O513:Q513)</f>
        <v>13658720</v>
      </c>
      <c r="S513" s="133" t="s">
        <v>875</v>
      </c>
      <c r="T513" s="125" t="s">
        <v>876</v>
      </c>
      <c r="U513" s="126" t="s">
        <v>877</v>
      </c>
      <c r="V513" s="182"/>
    </row>
    <row r="514" spans="2:22" ht="14.25" customHeight="1">
      <c r="B514" s="140"/>
      <c r="C514" s="185"/>
      <c r="D514" s="186"/>
      <c r="E514" s="117"/>
      <c r="F514" s="131"/>
      <c r="G514" s="119"/>
      <c r="H514" s="120"/>
      <c r="I514" s="160"/>
      <c r="J514" s="161"/>
      <c r="K514" s="161"/>
      <c r="L514" s="161"/>
      <c r="M514" s="161"/>
      <c r="N514" s="160"/>
      <c r="O514" s="123"/>
      <c r="P514" s="123"/>
      <c r="Q514" s="123"/>
      <c r="R514" s="162"/>
      <c r="S514" s="133" t="s">
        <v>878</v>
      </c>
      <c r="T514" s="125" t="s">
        <v>879</v>
      </c>
      <c r="U514" s="126" t="s">
        <v>880</v>
      </c>
      <c r="V514" s="182"/>
    </row>
    <row r="515" spans="2:22" ht="14.25" customHeight="1">
      <c r="B515" s="140"/>
      <c r="C515" s="185"/>
      <c r="D515" s="186"/>
      <c r="E515" s="117"/>
      <c r="F515" s="131"/>
      <c r="G515" s="119"/>
      <c r="H515" s="120"/>
      <c r="I515" s="160"/>
      <c r="J515" s="161"/>
      <c r="K515" s="161"/>
      <c r="L515" s="161"/>
      <c r="M515" s="161"/>
      <c r="N515" s="160"/>
      <c r="O515" s="123"/>
      <c r="P515" s="123"/>
      <c r="Q515" s="123"/>
      <c r="R515" s="162"/>
      <c r="S515" s="133" t="s">
        <v>881</v>
      </c>
      <c r="T515" s="125"/>
      <c r="U515" s="126"/>
      <c r="V515" s="208"/>
    </row>
    <row r="516" spans="2:22" ht="14.25" customHeight="1">
      <c r="B516" s="140"/>
      <c r="C516" s="185"/>
      <c r="D516" s="186"/>
      <c r="E516" s="117"/>
      <c r="F516" s="131"/>
      <c r="G516" s="119"/>
      <c r="H516" s="120"/>
      <c r="I516" s="160"/>
      <c r="J516" s="161"/>
      <c r="K516" s="161"/>
      <c r="L516" s="161"/>
      <c r="M516" s="161"/>
      <c r="N516" s="160"/>
      <c r="O516" s="123"/>
      <c r="P516" s="123"/>
      <c r="Q516" s="123"/>
      <c r="R516" s="162"/>
      <c r="S516" s="133" t="s">
        <v>882</v>
      </c>
      <c r="T516" s="125"/>
      <c r="U516" s="126"/>
      <c r="V516" s="208"/>
    </row>
    <row r="517" spans="2:22" ht="14.25" customHeight="1">
      <c r="B517" s="140"/>
      <c r="C517" s="185"/>
      <c r="D517" s="186"/>
      <c r="E517" s="117"/>
      <c r="F517" s="131"/>
      <c r="G517" s="119"/>
      <c r="H517" s="120"/>
      <c r="I517" s="160"/>
      <c r="J517" s="161"/>
      <c r="K517" s="161"/>
      <c r="L517" s="161"/>
      <c r="M517" s="161"/>
      <c r="N517" s="160"/>
      <c r="O517" s="123"/>
      <c r="P517" s="123"/>
      <c r="Q517" s="123"/>
      <c r="R517" s="162"/>
      <c r="S517" s="133"/>
      <c r="T517" s="125"/>
      <c r="U517" s="126"/>
      <c r="V517" s="182"/>
    </row>
    <row r="518" spans="2:22" ht="14.25" customHeight="1">
      <c r="B518" s="140"/>
      <c r="C518" s="185"/>
      <c r="D518" s="186"/>
      <c r="E518" s="117"/>
      <c r="F518" s="131">
        <f>+F513+1</f>
        <v>6</v>
      </c>
      <c r="G518" s="132"/>
      <c r="H518" s="120" t="s">
        <v>883</v>
      </c>
      <c r="I518" s="121">
        <v>11765000</v>
      </c>
      <c r="J518" s="122">
        <v>0</v>
      </c>
      <c r="K518" s="122">
        <v>0</v>
      </c>
      <c r="L518" s="122">
        <v>0</v>
      </c>
      <c r="M518" s="161">
        <f>+I518-SUM(J518:L518)</f>
        <v>11765000</v>
      </c>
      <c r="N518" s="121">
        <v>11715609</v>
      </c>
      <c r="O518" s="123">
        <v>0</v>
      </c>
      <c r="P518" s="123">
        <v>0</v>
      </c>
      <c r="Q518" s="123">
        <v>0</v>
      </c>
      <c r="R518" s="162">
        <f>+N518-SUM(O518:Q518)</f>
        <v>11715609</v>
      </c>
      <c r="S518" s="133" t="s">
        <v>884</v>
      </c>
      <c r="T518" s="125" t="s">
        <v>885</v>
      </c>
      <c r="U518" s="126" t="s">
        <v>885</v>
      </c>
      <c r="V518" s="182"/>
    </row>
    <row r="519" spans="2:22" ht="14.25" customHeight="1">
      <c r="B519" s="140"/>
      <c r="C519" s="159"/>
      <c r="D519" s="129"/>
      <c r="E519" s="117"/>
      <c r="F519" s="131"/>
      <c r="G519" s="132"/>
      <c r="H519" s="120"/>
      <c r="I519" s="121"/>
      <c r="J519" s="122"/>
      <c r="K519" s="122"/>
      <c r="L519" s="122"/>
      <c r="M519" s="161"/>
      <c r="N519" s="121"/>
      <c r="O519" s="123"/>
      <c r="P519" s="123"/>
      <c r="Q519" s="123"/>
      <c r="R519" s="162">
        <f>+N519-SUM(O519:Q519)</f>
        <v>0</v>
      </c>
      <c r="S519" s="137" t="s">
        <v>886</v>
      </c>
      <c r="T519" s="125"/>
      <c r="U519" s="126"/>
      <c r="V519" s="182"/>
    </row>
    <row r="520" spans="2:22" ht="14.25" customHeight="1">
      <c r="B520" s="140"/>
      <c r="C520" s="159"/>
      <c r="D520" s="129"/>
      <c r="E520" s="117"/>
      <c r="F520" s="131"/>
      <c r="G520" s="132"/>
      <c r="H520" s="120"/>
      <c r="I520" s="121"/>
      <c r="J520" s="122"/>
      <c r="K520" s="122"/>
      <c r="L520" s="122"/>
      <c r="M520" s="161"/>
      <c r="N520" s="121"/>
      <c r="O520" s="123"/>
      <c r="P520" s="123"/>
      <c r="Q520" s="123"/>
      <c r="R520" s="162">
        <f>+N520-SUM(O520:Q520)</f>
        <v>0</v>
      </c>
      <c r="S520" s="137" t="s">
        <v>887</v>
      </c>
      <c r="T520" s="125"/>
      <c r="U520" s="126"/>
      <c r="V520" s="182"/>
    </row>
    <row r="521" spans="2:22" ht="14.25" customHeight="1">
      <c r="B521" s="140"/>
      <c r="C521" s="159"/>
      <c r="D521" s="129"/>
      <c r="E521" s="117"/>
      <c r="F521" s="131"/>
      <c r="G521" s="132"/>
      <c r="H521" s="120"/>
      <c r="I521" s="121"/>
      <c r="J521" s="122"/>
      <c r="K521" s="122"/>
      <c r="L521" s="122"/>
      <c r="M521" s="161"/>
      <c r="N521" s="121"/>
      <c r="O521" s="123"/>
      <c r="P521" s="123"/>
      <c r="Q521" s="123"/>
      <c r="R521" s="162"/>
      <c r="S521" s="133"/>
      <c r="T521" s="125"/>
      <c r="U521" s="126"/>
      <c r="V521" s="182"/>
    </row>
    <row r="522" spans="2:22" ht="14.25" customHeight="1">
      <c r="B522" s="140"/>
      <c r="C522" s="159"/>
      <c r="D522" s="129"/>
      <c r="E522" s="117"/>
      <c r="F522" s="131">
        <f>+F518+1</f>
        <v>7</v>
      </c>
      <c r="G522" s="132"/>
      <c r="H522" s="120" t="s">
        <v>888</v>
      </c>
      <c r="I522" s="160">
        <v>246622000</v>
      </c>
      <c r="J522" s="161">
        <v>244000000</v>
      </c>
      <c r="K522" s="161">
        <v>0</v>
      </c>
      <c r="L522" s="161">
        <v>0</v>
      </c>
      <c r="M522" s="161">
        <f>+I522-SUM(J522:L522)</f>
        <v>2622000</v>
      </c>
      <c r="N522" s="160">
        <v>246158566</v>
      </c>
      <c r="O522" s="162">
        <f>241000+243759000</f>
        <v>244000000</v>
      </c>
      <c r="P522" s="162">
        <v>0</v>
      </c>
      <c r="Q522" s="162">
        <v>0</v>
      </c>
      <c r="R522" s="162">
        <f>+N522-SUM(O522:Q522)</f>
        <v>2158566</v>
      </c>
      <c r="S522" s="137" t="s">
        <v>889</v>
      </c>
      <c r="T522" s="125" t="s">
        <v>890</v>
      </c>
      <c r="U522" s="126" t="s">
        <v>890</v>
      </c>
      <c r="V522" s="182"/>
    </row>
    <row r="523" spans="2:22" ht="14.25" customHeight="1">
      <c r="B523" s="140"/>
      <c r="C523" s="159"/>
      <c r="D523" s="129"/>
      <c r="E523" s="117"/>
      <c r="F523" s="131"/>
      <c r="G523" s="132"/>
      <c r="H523" s="120"/>
      <c r="I523" s="160"/>
      <c r="J523" s="161"/>
      <c r="K523" s="161"/>
      <c r="L523" s="161"/>
      <c r="M523" s="161"/>
      <c r="N523" s="160"/>
      <c r="O523" s="162"/>
      <c r="P523" s="162"/>
      <c r="Q523" s="162"/>
      <c r="R523" s="162"/>
      <c r="S523" s="197" t="s">
        <v>891</v>
      </c>
      <c r="T523" s="125"/>
      <c r="U523" s="126"/>
      <c r="V523" s="182"/>
    </row>
    <row r="524" spans="2:22" ht="14.25" customHeight="1">
      <c r="B524" s="140"/>
      <c r="C524" s="159"/>
      <c r="D524" s="129"/>
      <c r="E524" s="117"/>
      <c r="F524" s="131"/>
      <c r="G524" s="132"/>
      <c r="H524" s="120"/>
      <c r="I524" s="160"/>
      <c r="J524" s="161"/>
      <c r="K524" s="161"/>
      <c r="L524" s="161"/>
      <c r="M524" s="161"/>
      <c r="N524" s="160"/>
      <c r="O524" s="162"/>
      <c r="P524" s="162"/>
      <c r="Q524" s="162"/>
      <c r="R524" s="162"/>
      <c r="S524" s="197"/>
      <c r="T524" s="125"/>
      <c r="U524" s="126"/>
      <c r="V524" s="182"/>
    </row>
    <row r="525" spans="2:22" ht="14.25" customHeight="1">
      <c r="B525" s="140"/>
      <c r="C525" s="159"/>
      <c r="D525" s="129"/>
      <c r="E525" s="117"/>
      <c r="F525" s="131">
        <f>+F522+1</f>
        <v>8</v>
      </c>
      <c r="G525" s="132"/>
      <c r="H525" s="120" t="s">
        <v>892</v>
      </c>
      <c r="I525" s="160">
        <v>47901000</v>
      </c>
      <c r="J525" s="161">
        <v>39190000</v>
      </c>
      <c r="K525" s="161">
        <v>0</v>
      </c>
      <c r="L525" s="161">
        <v>0</v>
      </c>
      <c r="M525" s="161">
        <f>+I525-SUM(J525:L525)</f>
        <v>8711000</v>
      </c>
      <c r="N525" s="160">
        <v>42900929</v>
      </c>
      <c r="O525" s="162">
        <v>16998929</v>
      </c>
      <c r="P525" s="162">
        <v>0</v>
      </c>
      <c r="Q525" s="162">
        <v>0</v>
      </c>
      <c r="R525" s="162">
        <f>+N525-SUM(O525:Q525)</f>
        <v>25902000</v>
      </c>
      <c r="S525" s="133" t="s">
        <v>893</v>
      </c>
      <c r="T525" s="125" t="s">
        <v>894</v>
      </c>
      <c r="U525" s="126" t="s">
        <v>894</v>
      </c>
      <c r="V525" s="182"/>
    </row>
    <row r="526" spans="2:22" ht="14.25" customHeight="1">
      <c r="B526" s="140"/>
      <c r="C526" s="159"/>
      <c r="D526" s="129"/>
      <c r="E526" s="117"/>
      <c r="F526" s="131"/>
      <c r="G526" s="132"/>
      <c r="H526" s="120"/>
      <c r="I526" s="160"/>
      <c r="J526" s="161"/>
      <c r="K526" s="161"/>
      <c r="L526" s="161"/>
      <c r="M526" s="161"/>
      <c r="N526" s="160"/>
      <c r="O526" s="162"/>
      <c r="P526" s="162"/>
      <c r="Q526" s="162"/>
      <c r="R526" s="162"/>
      <c r="S526" s="133" t="s">
        <v>895</v>
      </c>
      <c r="T526" s="125"/>
      <c r="U526" s="126"/>
      <c r="V526" s="182"/>
    </row>
    <row r="527" spans="2:22" ht="14.25" customHeight="1">
      <c r="B527" s="140"/>
      <c r="C527" s="159"/>
      <c r="D527" s="129"/>
      <c r="E527" s="117"/>
      <c r="F527" s="131"/>
      <c r="G527" s="132"/>
      <c r="H527" s="120"/>
      <c r="I527" s="160"/>
      <c r="J527" s="161"/>
      <c r="K527" s="161"/>
      <c r="L527" s="161"/>
      <c r="M527" s="161"/>
      <c r="N527" s="160"/>
      <c r="O527" s="162"/>
      <c r="P527" s="162"/>
      <c r="Q527" s="162"/>
      <c r="R527" s="162"/>
      <c r="S527" s="133" t="s">
        <v>896</v>
      </c>
      <c r="T527" s="125"/>
      <c r="U527" s="126"/>
      <c r="V527" s="182"/>
    </row>
    <row r="528" spans="2:22" ht="14.25" customHeight="1">
      <c r="B528" s="140"/>
      <c r="C528" s="159"/>
      <c r="D528" s="129"/>
      <c r="E528" s="117"/>
      <c r="F528" s="131"/>
      <c r="G528" s="132"/>
      <c r="H528" s="120"/>
      <c r="I528" s="160"/>
      <c r="J528" s="161"/>
      <c r="K528" s="161"/>
      <c r="L528" s="161"/>
      <c r="M528" s="161"/>
      <c r="N528" s="160"/>
      <c r="O528" s="162"/>
      <c r="P528" s="162"/>
      <c r="Q528" s="162"/>
      <c r="R528" s="162"/>
      <c r="S528" s="133" t="s">
        <v>897</v>
      </c>
      <c r="T528" s="125"/>
      <c r="U528" s="126"/>
      <c r="V528" s="182"/>
    </row>
    <row r="529" spans="2:22" ht="14.25" customHeight="1">
      <c r="B529" s="140"/>
      <c r="C529" s="159"/>
      <c r="D529" s="129"/>
      <c r="E529" s="117"/>
      <c r="F529" s="131"/>
      <c r="G529" s="132"/>
      <c r="H529" s="120"/>
      <c r="I529" s="160"/>
      <c r="J529" s="161"/>
      <c r="K529" s="161"/>
      <c r="L529" s="161"/>
      <c r="M529" s="161"/>
      <c r="N529" s="160"/>
      <c r="O529" s="162"/>
      <c r="P529" s="162"/>
      <c r="Q529" s="162"/>
      <c r="R529" s="162"/>
      <c r="S529" s="181" t="s">
        <v>898</v>
      </c>
      <c r="T529" s="125"/>
      <c r="U529" s="126"/>
      <c r="V529" s="182"/>
    </row>
    <row r="530" spans="2:22" ht="14.25" customHeight="1">
      <c r="B530" s="140"/>
      <c r="C530" s="159"/>
      <c r="D530" s="129"/>
      <c r="E530" s="117"/>
      <c r="F530" s="131"/>
      <c r="G530" s="132"/>
      <c r="H530" s="120"/>
      <c r="I530" s="160"/>
      <c r="J530" s="161"/>
      <c r="K530" s="161"/>
      <c r="L530" s="161"/>
      <c r="M530" s="161"/>
      <c r="N530" s="160"/>
      <c r="O530" s="162"/>
      <c r="P530" s="162"/>
      <c r="Q530" s="162"/>
      <c r="R530" s="162"/>
      <c r="S530" s="181" t="s">
        <v>899</v>
      </c>
      <c r="T530" s="125"/>
      <c r="U530" s="126"/>
      <c r="V530" s="182"/>
    </row>
    <row r="531" spans="2:22" ht="14.25" customHeight="1">
      <c r="B531" s="140"/>
      <c r="C531" s="159"/>
      <c r="D531" s="129"/>
      <c r="E531" s="117"/>
      <c r="F531" s="131"/>
      <c r="G531" s="132"/>
      <c r="H531" s="120"/>
      <c r="I531" s="160"/>
      <c r="J531" s="161"/>
      <c r="K531" s="161"/>
      <c r="L531" s="161"/>
      <c r="M531" s="161"/>
      <c r="N531" s="160"/>
      <c r="O531" s="162"/>
      <c r="P531" s="162"/>
      <c r="Q531" s="162"/>
      <c r="R531" s="162"/>
      <c r="S531" s="133" t="s">
        <v>900</v>
      </c>
      <c r="T531" s="125"/>
      <c r="U531" s="126"/>
      <c r="V531" s="182"/>
    </row>
    <row r="532" spans="2:22" ht="14.25" customHeight="1">
      <c r="B532" s="140"/>
      <c r="C532" s="159"/>
      <c r="D532" s="129"/>
      <c r="E532" s="117"/>
      <c r="F532" s="131"/>
      <c r="G532" s="132"/>
      <c r="H532" s="120"/>
      <c r="I532" s="160"/>
      <c r="J532" s="161"/>
      <c r="K532" s="161"/>
      <c r="L532" s="161"/>
      <c r="M532" s="161"/>
      <c r="N532" s="160"/>
      <c r="O532" s="162"/>
      <c r="P532" s="162"/>
      <c r="Q532" s="162"/>
      <c r="R532" s="162"/>
      <c r="S532" s="133"/>
      <c r="T532" s="125"/>
      <c r="U532" s="126"/>
      <c r="V532" s="182"/>
    </row>
    <row r="533" spans="2:22" ht="14.25" customHeight="1">
      <c r="B533" s="140"/>
      <c r="C533" s="159"/>
      <c r="D533" s="129"/>
      <c r="E533" s="117"/>
      <c r="F533" s="131">
        <f>+F525+1</f>
        <v>9</v>
      </c>
      <c r="G533" s="132"/>
      <c r="H533" s="120" t="s">
        <v>901</v>
      </c>
      <c r="I533" s="121">
        <v>7770000</v>
      </c>
      <c r="J533" s="122">
        <v>0</v>
      </c>
      <c r="K533" s="122">
        <v>0</v>
      </c>
      <c r="L533" s="122">
        <v>0</v>
      </c>
      <c r="M533" s="161">
        <f>+I533-SUM(J533:L533)</f>
        <v>7770000</v>
      </c>
      <c r="N533" s="121">
        <v>7298806</v>
      </c>
      <c r="O533" s="123">
        <v>0</v>
      </c>
      <c r="P533" s="123">
        <v>0</v>
      </c>
      <c r="Q533" s="123">
        <v>0</v>
      </c>
      <c r="R533" s="162">
        <f>+N533-SUM(O533:Q533)</f>
        <v>7298806</v>
      </c>
      <c r="S533" s="133" t="s">
        <v>902</v>
      </c>
      <c r="T533" s="125" t="s">
        <v>903</v>
      </c>
      <c r="U533" s="126" t="s">
        <v>904</v>
      </c>
      <c r="V533" s="182"/>
    </row>
    <row r="534" spans="2:22" ht="14.25" customHeight="1">
      <c r="B534" s="140"/>
      <c r="C534" s="159"/>
      <c r="D534" s="129"/>
      <c r="E534" s="117"/>
      <c r="F534" s="131"/>
      <c r="G534" s="132"/>
      <c r="H534" s="120"/>
      <c r="I534" s="121"/>
      <c r="J534" s="122"/>
      <c r="K534" s="122"/>
      <c r="L534" s="122"/>
      <c r="M534" s="161"/>
      <c r="N534" s="121"/>
      <c r="O534" s="123"/>
      <c r="P534" s="123"/>
      <c r="Q534" s="123"/>
      <c r="R534" s="162"/>
      <c r="S534" s="133" t="s">
        <v>905</v>
      </c>
      <c r="T534" s="125"/>
      <c r="U534" s="126"/>
      <c r="V534" s="182"/>
    </row>
    <row r="535" spans="2:22" ht="14.25" customHeight="1">
      <c r="B535" s="140"/>
      <c r="C535" s="159"/>
      <c r="D535" s="129"/>
      <c r="E535" s="117"/>
      <c r="F535" s="131"/>
      <c r="G535" s="132"/>
      <c r="H535" s="120"/>
      <c r="I535" s="121"/>
      <c r="J535" s="122"/>
      <c r="K535" s="122"/>
      <c r="L535" s="122"/>
      <c r="M535" s="161"/>
      <c r="N535" s="121"/>
      <c r="O535" s="123"/>
      <c r="P535" s="123"/>
      <c r="Q535" s="123"/>
      <c r="R535" s="162"/>
      <c r="S535" s="133" t="s">
        <v>906</v>
      </c>
      <c r="T535" s="125"/>
      <c r="U535" s="126"/>
      <c r="V535" s="182"/>
    </row>
    <row r="536" spans="2:22" ht="14.25" customHeight="1">
      <c r="B536" s="140"/>
      <c r="C536" s="159"/>
      <c r="D536" s="129"/>
      <c r="E536" s="117"/>
      <c r="F536" s="131"/>
      <c r="G536" s="132"/>
      <c r="H536" s="120"/>
      <c r="I536" s="160"/>
      <c r="J536" s="161"/>
      <c r="K536" s="161"/>
      <c r="L536" s="161"/>
      <c r="M536" s="161"/>
      <c r="N536" s="160"/>
      <c r="O536" s="162"/>
      <c r="P536" s="162"/>
      <c r="Q536" s="162"/>
      <c r="R536" s="162"/>
      <c r="S536" s="133"/>
      <c r="T536" s="125"/>
      <c r="U536" s="126"/>
      <c r="V536" s="182"/>
    </row>
    <row r="537" spans="2:22" ht="14.25" customHeight="1">
      <c r="B537" s="140"/>
      <c r="C537" s="159"/>
      <c r="D537" s="129"/>
      <c r="E537" s="117"/>
      <c r="F537" s="131">
        <f>+F533+1</f>
        <v>10</v>
      </c>
      <c r="G537" s="132"/>
      <c r="H537" s="120" t="s">
        <v>907</v>
      </c>
      <c r="I537" s="121">
        <v>-602000</v>
      </c>
      <c r="J537" s="122">
        <v>0</v>
      </c>
      <c r="K537" s="122">
        <v>0</v>
      </c>
      <c r="L537" s="122">
        <v>0</v>
      </c>
      <c r="M537" s="161">
        <f>+I537-SUM(J537:L537)</f>
        <v>-602000</v>
      </c>
      <c r="N537" s="121">
        <v>0</v>
      </c>
      <c r="O537" s="123">
        <v>0</v>
      </c>
      <c r="P537" s="123">
        <v>0</v>
      </c>
      <c r="Q537" s="123">
        <v>0</v>
      </c>
      <c r="R537" s="162">
        <f>+N537-SUM(O537:Q537)</f>
        <v>0</v>
      </c>
      <c r="S537" s="236" t="s">
        <v>272</v>
      </c>
      <c r="T537" s="210"/>
      <c r="U537" s="126"/>
      <c r="V537" s="182"/>
    </row>
    <row r="538" spans="2:22" ht="14.25" customHeight="1">
      <c r="B538" s="140"/>
      <c r="C538" s="159"/>
      <c r="D538" s="129"/>
      <c r="E538" s="117"/>
      <c r="F538" s="131"/>
      <c r="G538" s="132"/>
      <c r="H538" s="120"/>
      <c r="I538" s="160"/>
      <c r="J538" s="161"/>
      <c r="K538" s="161"/>
      <c r="L538" s="161"/>
      <c r="M538" s="161"/>
      <c r="N538" s="160"/>
      <c r="O538" s="162"/>
      <c r="P538" s="162"/>
      <c r="Q538" s="162"/>
      <c r="R538" s="162"/>
      <c r="S538" s="133"/>
      <c r="T538" s="125"/>
      <c r="U538" s="126"/>
      <c r="V538" s="182"/>
    </row>
    <row r="539" spans="2:22" ht="14.25" customHeight="1">
      <c r="B539" s="140"/>
      <c r="C539" s="159"/>
      <c r="D539" s="129"/>
      <c r="E539" s="117" t="s">
        <v>908</v>
      </c>
      <c r="F539" s="131">
        <f>+F537+1</f>
        <v>11</v>
      </c>
      <c r="G539" s="132"/>
      <c r="H539" s="120" t="s">
        <v>909</v>
      </c>
      <c r="I539" s="121">
        <v>24088000</v>
      </c>
      <c r="J539" s="122">
        <v>10789000</v>
      </c>
      <c r="K539" s="122">
        <v>0</v>
      </c>
      <c r="L539" s="122">
        <v>0</v>
      </c>
      <c r="M539" s="161">
        <f>+I539-SUM(J539:L539)</f>
        <v>13299000</v>
      </c>
      <c r="N539" s="121">
        <v>17661527</v>
      </c>
      <c r="O539" s="123">
        <v>10560000</v>
      </c>
      <c r="P539" s="123">
        <v>0</v>
      </c>
      <c r="Q539" s="123">
        <v>0</v>
      </c>
      <c r="R539" s="162">
        <f>+N539-SUM(O539:Q539)</f>
        <v>7101527</v>
      </c>
      <c r="S539" s="133" t="s">
        <v>910</v>
      </c>
      <c r="T539" s="210" t="s">
        <v>911</v>
      </c>
      <c r="U539" s="211" t="s">
        <v>912</v>
      </c>
      <c r="V539" s="182"/>
    </row>
    <row r="540" spans="2:22" ht="14.25" customHeight="1">
      <c r="B540" s="140"/>
      <c r="C540" s="159"/>
      <c r="D540" s="129"/>
      <c r="E540" s="117" t="s">
        <v>913</v>
      </c>
      <c r="F540" s="131"/>
      <c r="G540" s="132"/>
      <c r="H540" s="120"/>
      <c r="I540" s="121"/>
      <c r="J540" s="122"/>
      <c r="K540" s="122"/>
      <c r="L540" s="122"/>
      <c r="M540" s="161"/>
      <c r="N540" s="121"/>
      <c r="O540" s="123"/>
      <c r="P540" s="123"/>
      <c r="Q540" s="123"/>
      <c r="R540" s="162"/>
      <c r="S540" s="237"/>
      <c r="T540" s="238"/>
      <c r="U540" s="239"/>
      <c r="V540" s="182"/>
    </row>
    <row r="541" spans="2:22" ht="14.25" customHeight="1">
      <c r="B541" s="140"/>
      <c r="C541" s="159"/>
      <c r="D541" s="129"/>
      <c r="E541" s="117"/>
      <c r="F541" s="131">
        <f>+F539+1</f>
        <v>12</v>
      </c>
      <c r="G541" s="132"/>
      <c r="H541" s="120" t="s">
        <v>914</v>
      </c>
      <c r="I541" s="121">
        <v>4061000</v>
      </c>
      <c r="J541" s="122">
        <v>771000</v>
      </c>
      <c r="K541" s="122">
        <v>0</v>
      </c>
      <c r="L541" s="122">
        <v>1090000</v>
      </c>
      <c r="M541" s="161">
        <f>+I541-SUM(J541:L541)</f>
        <v>2200000</v>
      </c>
      <c r="N541" s="121">
        <v>3140555</v>
      </c>
      <c r="O541" s="123">
        <v>0</v>
      </c>
      <c r="P541" s="123">
        <v>0</v>
      </c>
      <c r="Q541" s="123">
        <v>624000</v>
      </c>
      <c r="R541" s="162">
        <f>+N541-SUM(O541:Q541)</f>
        <v>2516555</v>
      </c>
      <c r="S541" s="240" t="s">
        <v>915</v>
      </c>
      <c r="T541" s="125" t="s">
        <v>916</v>
      </c>
      <c r="U541" s="126" t="s">
        <v>917</v>
      </c>
      <c r="V541" s="182"/>
    </row>
    <row r="542" spans="2:22" ht="14.25" customHeight="1">
      <c r="B542" s="140"/>
      <c r="C542" s="159"/>
      <c r="D542" s="129"/>
      <c r="E542" s="117"/>
      <c r="F542" s="131"/>
      <c r="G542" s="132"/>
      <c r="H542" s="120"/>
      <c r="I542" s="121"/>
      <c r="J542" s="122"/>
      <c r="K542" s="122"/>
      <c r="L542" s="122"/>
      <c r="M542" s="161"/>
      <c r="N542" s="121"/>
      <c r="O542" s="123"/>
      <c r="P542" s="123"/>
      <c r="Q542" s="123"/>
      <c r="R542" s="162"/>
      <c r="S542" s="133" t="s">
        <v>918</v>
      </c>
      <c r="T542" s="125"/>
      <c r="U542" s="126"/>
      <c r="V542" s="182"/>
    </row>
    <row r="543" spans="2:22" ht="14.25" customHeight="1">
      <c r="B543" s="140"/>
      <c r="C543" s="159"/>
      <c r="D543" s="129"/>
      <c r="E543" s="117"/>
      <c r="F543" s="131"/>
      <c r="G543" s="132"/>
      <c r="H543" s="120"/>
      <c r="I543" s="121"/>
      <c r="J543" s="122"/>
      <c r="K543" s="122"/>
      <c r="L543" s="122"/>
      <c r="M543" s="161"/>
      <c r="N543" s="121"/>
      <c r="O543" s="123"/>
      <c r="P543" s="123"/>
      <c r="Q543" s="123"/>
      <c r="R543" s="162"/>
      <c r="S543" s="133" t="s">
        <v>919</v>
      </c>
      <c r="T543" s="125"/>
      <c r="U543" s="126"/>
      <c r="V543" s="182"/>
    </row>
    <row r="544" spans="2:22" ht="14.25" customHeight="1">
      <c r="B544" s="140"/>
      <c r="C544" s="159"/>
      <c r="D544" s="129"/>
      <c r="E544" s="117"/>
      <c r="F544" s="131"/>
      <c r="G544" s="132"/>
      <c r="H544" s="120"/>
      <c r="I544" s="121"/>
      <c r="J544" s="122"/>
      <c r="K544" s="122"/>
      <c r="L544" s="122"/>
      <c r="M544" s="161"/>
      <c r="N544" s="121"/>
      <c r="O544" s="123"/>
      <c r="P544" s="123"/>
      <c r="Q544" s="123"/>
      <c r="R544" s="162"/>
      <c r="S544" s="133" t="s">
        <v>920</v>
      </c>
      <c r="T544" s="125"/>
      <c r="U544" s="126"/>
      <c r="V544" s="182"/>
    </row>
    <row r="545" spans="2:22" ht="14.25" customHeight="1">
      <c r="B545" s="140"/>
      <c r="C545" s="159"/>
      <c r="D545" s="129"/>
      <c r="E545" s="117"/>
      <c r="F545" s="131"/>
      <c r="G545" s="132"/>
      <c r="H545" s="120"/>
      <c r="I545" s="121"/>
      <c r="J545" s="122"/>
      <c r="K545" s="122"/>
      <c r="L545" s="122"/>
      <c r="M545" s="161"/>
      <c r="N545" s="121"/>
      <c r="O545" s="123"/>
      <c r="P545" s="123"/>
      <c r="Q545" s="123"/>
      <c r="R545" s="162"/>
      <c r="S545" s="133" t="s">
        <v>921</v>
      </c>
      <c r="T545" s="125"/>
      <c r="U545" s="126"/>
      <c r="V545" s="182"/>
    </row>
    <row r="546" spans="2:22" ht="14.25" customHeight="1">
      <c r="B546" s="140"/>
      <c r="C546" s="159"/>
      <c r="D546" s="129"/>
      <c r="E546" s="117"/>
      <c r="F546" s="131"/>
      <c r="G546" s="132"/>
      <c r="H546" s="120"/>
      <c r="I546" s="121"/>
      <c r="J546" s="122"/>
      <c r="K546" s="122"/>
      <c r="L546" s="122"/>
      <c r="M546" s="161"/>
      <c r="N546" s="121"/>
      <c r="O546" s="123"/>
      <c r="P546" s="123"/>
      <c r="Q546" s="123"/>
      <c r="R546" s="162"/>
      <c r="S546" s="133"/>
      <c r="T546" s="125"/>
      <c r="U546" s="126"/>
      <c r="V546" s="182"/>
    </row>
    <row r="547" spans="2:22" ht="14.25" customHeight="1">
      <c r="B547" s="140"/>
      <c r="C547" s="159"/>
      <c r="D547" s="129"/>
      <c r="E547" s="117"/>
      <c r="F547" s="131">
        <f>+F541+1</f>
        <v>13</v>
      </c>
      <c r="G547" s="132"/>
      <c r="H547" s="120" t="s">
        <v>922</v>
      </c>
      <c r="I547" s="121">
        <v>-138000</v>
      </c>
      <c r="J547" s="122">
        <v>0</v>
      </c>
      <c r="K547" s="122">
        <v>0</v>
      </c>
      <c r="L547" s="122">
        <v>0</v>
      </c>
      <c r="M547" s="161">
        <f>+I547-SUM(J547:L547)</f>
        <v>-138000</v>
      </c>
      <c r="N547" s="121">
        <v>0</v>
      </c>
      <c r="O547" s="123">
        <v>0</v>
      </c>
      <c r="P547" s="123">
        <v>0</v>
      </c>
      <c r="Q547" s="123">
        <v>0</v>
      </c>
      <c r="R547" s="162">
        <f>+N547-SUM(O547:Q547)</f>
        <v>0</v>
      </c>
      <c r="S547" s="138" t="s">
        <v>272</v>
      </c>
      <c r="T547" s="125"/>
      <c r="U547" s="126"/>
      <c r="V547" s="182"/>
    </row>
    <row r="548" spans="2:22" ht="14.25" customHeight="1">
      <c r="B548" s="140"/>
      <c r="C548" s="159"/>
      <c r="D548" s="129"/>
      <c r="E548" s="117"/>
      <c r="F548" s="131"/>
      <c r="G548" s="132"/>
      <c r="H548" s="120"/>
      <c r="I548" s="121"/>
      <c r="J548" s="122"/>
      <c r="K548" s="122"/>
      <c r="L548" s="122"/>
      <c r="M548" s="161"/>
      <c r="N548" s="121"/>
      <c r="O548" s="123"/>
      <c r="P548" s="123"/>
      <c r="Q548" s="123"/>
      <c r="R548" s="162"/>
      <c r="S548" s="138"/>
      <c r="T548" s="125"/>
      <c r="U548" s="126"/>
      <c r="V548" s="182"/>
    </row>
    <row r="549" spans="2:22" ht="14.25" customHeight="1">
      <c r="B549" s="140"/>
      <c r="C549" s="159"/>
      <c r="D549" s="129"/>
      <c r="E549" s="117" t="s">
        <v>923</v>
      </c>
      <c r="F549" s="131">
        <f>+F547+1</f>
        <v>14</v>
      </c>
      <c r="G549" s="132"/>
      <c r="H549" s="120" t="s">
        <v>924</v>
      </c>
      <c r="I549" s="121">
        <v>-174000</v>
      </c>
      <c r="J549" s="122">
        <v>0</v>
      </c>
      <c r="K549" s="122">
        <v>0</v>
      </c>
      <c r="L549" s="122">
        <v>0</v>
      </c>
      <c r="M549" s="161">
        <f>+I549-SUM(J549:L549)</f>
        <v>-174000</v>
      </c>
      <c r="N549" s="121">
        <v>0</v>
      </c>
      <c r="O549" s="123">
        <v>0</v>
      </c>
      <c r="P549" s="123">
        <v>0</v>
      </c>
      <c r="Q549" s="123">
        <v>0</v>
      </c>
      <c r="R549" s="162">
        <f>+N549-SUM(O549:Q549)</f>
        <v>0</v>
      </c>
      <c r="S549" s="138" t="s">
        <v>272</v>
      </c>
      <c r="T549" s="184"/>
      <c r="U549" s="139"/>
      <c r="V549" s="182"/>
    </row>
    <row r="550" spans="2:22" ht="14.25" customHeight="1">
      <c r="B550" s="140"/>
      <c r="C550" s="159"/>
      <c r="D550" s="129"/>
      <c r="E550" s="117" t="s">
        <v>925</v>
      </c>
      <c r="F550" s="131"/>
      <c r="G550" s="132"/>
      <c r="H550" s="120"/>
      <c r="I550" s="121"/>
      <c r="J550" s="122"/>
      <c r="K550" s="122"/>
      <c r="L550" s="122"/>
      <c r="M550" s="161"/>
      <c r="N550" s="121"/>
      <c r="O550" s="123"/>
      <c r="P550" s="123"/>
      <c r="Q550" s="123"/>
      <c r="R550" s="162"/>
      <c r="S550" s="138"/>
      <c r="T550" s="184"/>
      <c r="U550" s="139"/>
      <c r="V550" s="182"/>
    </row>
    <row r="551" spans="2:22" ht="14.25" customHeight="1">
      <c r="B551" s="140"/>
      <c r="C551" s="159"/>
      <c r="D551" s="129"/>
      <c r="E551" s="117"/>
      <c r="F551" s="131"/>
      <c r="G551" s="132"/>
      <c r="H551" s="120"/>
      <c r="I551" s="121"/>
      <c r="J551" s="122"/>
      <c r="K551" s="122"/>
      <c r="L551" s="122"/>
      <c r="M551" s="161"/>
      <c r="N551" s="121"/>
      <c r="O551" s="123"/>
      <c r="P551" s="123"/>
      <c r="Q551" s="123"/>
      <c r="R551" s="162"/>
      <c r="S551" s="138"/>
      <c r="T551" s="184"/>
      <c r="U551" s="139"/>
      <c r="V551" s="182"/>
    </row>
    <row r="552" spans="2:22" ht="14.25" customHeight="1">
      <c r="B552" s="140"/>
      <c r="C552" s="159"/>
      <c r="D552" s="129"/>
      <c r="E552" s="117"/>
      <c r="F552" s="131"/>
      <c r="G552" s="132"/>
      <c r="H552" s="120"/>
      <c r="I552" s="121"/>
      <c r="J552" s="122"/>
      <c r="K552" s="122"/>
      <c r="L552" s="122"/>
      <c r="M552" s="161"/>
      <c r="N552" s="121"/>
      <c r="O552" s="123"/>
      <c r="P552" s="123"/>
      <c r="Q552" s="123"/>
      <c r="R552" s="162"/>
      <c r="S552" s="138"/>
      <c r="T552" s="184"/>
      <c r="U552" s="139"/>
      <c r="V552" s="182"/>
    </row>
    <row r="553" spans="2:22" ht="14.25" customHeight="1">
      <c r="B553" s="140"/>
      <c r="C553" s="159"/>
      <c r="D553" s="129"/>
      <c r="E553" s="117"/>
      <c r="F553" s="131"/>
      <c r="G553" s="132"/>
      <c r="H553" s="120"/>
      <c r="I553" s="121"/>
      <c r="J553" s="122"/>
      <c r="K553" s="122"/>
      <c r="L553" s="122"/>
      <c r="M553" s="161"/>
      <c r="N553" s="121"/>
      <c r="O553" s="123"/>
      <c r="P553" s="123"/>
      <c r="Q553" s="123"/>
      <c r="R553" s="162"/>
      <c r="S553" s="138"/>
      <c r="T553" s="184"/>
      <c r="U553" s="139"/>
      <c r="V553" s="182"/>
    </row>
    <row r="554" spans="2:22" ht="14.25" customHeight="1">
      <c r="B554" s="140"/>
      <c r="C554" s="159"/>
      <c r="D554" s="129"/>
      <c r="E554" s="117"/>
      <c r="F554" s="131"/>
      <c r="G554" s="132"/>
      <c r="H554" s="120"/>
      <c r="I554" s="121"/>
      <c r="J554" s="122"/>
      <c r="K554" s="122"/>
      <c r="L554" s="122"/>
      <c r="M554" s="161"/>
      <c r="N554" s="121"/>
      <c r="O554" s="123"/>
      <c r="P554" s="123"/>
      <c r="Q554" s="123"/>
      <c r="R554" s="162"/>
      <c r="S554" s="138"/>
      <c r="T554" s="184"/>
      <c r="U554" s="139"/>
      <c r="V554" s="182"/>
    </row>
    <row r="555" spans="2:22" ht="14.25" customHeight="1">
      <c r="B555" s="140"/>
      <c r="C555" s="159"/>
      <c r="D555" s="129"/>
      <c r="E555" s="117"/>
      <c r="F555" s="131"/>
      <c r="G555" s="132"/>
      <c r="H555" s="120"/>
      <c r="I555" s="121"/>
      <c r="J555" s="122"/>
      <c r="K555" s="122"/>
      <c r="L555" s="122"/>
      <c r="M555" s="161"/>
      <c r="N555" s="121"/>
      <c r="O555" s="123"/>
      <c r="P555" s="123"/>
      <c r="Q555" s="123"/>
      <c r="R555" s="162"/>
      <c r="S555" s="138"/>
      <c r="T555" s="184"/>
      <c r="U555" s="139"/>
      <c r="V555" s="182"/>
    </row>
    <row r="556" spans="2:22" ht="14.25" customHeight="1">
      <c r="B556" s="140"/>
      <c r="C556" s="159"/>
      <c r="D556" s="129"/>
      <c r="E556" s="117"/>
      <c r="F556" s="131"/>
      <c r="G556" s="132"/>
      <c r="H556" s="120"/>
      <c r="I556" s="121"/>
      <c r="J556" s="122"/>
      <c r="K556" s="122"/>
      <c r="L556" s="122"/>
      <c r="M556" s="161"/>
      <c r="N556" s="121"/>
      <c r="O556" s="123"/>
      <c r="P556" s="123"/>
      <c r="Q556" s="123"/>
      <c r="R556" s="162"/>
      <c r="S556" s="138"/>
      <c r="T556" s="184"/>
      <c r="U556" s="139"/>
      <c r="V556" s="182"/>
    </row>
    <row r="557" spans="2:22" ht="14.25" customHeight="1">
      <c r="B557" s="140"/>
      <c r="C557" s="159"/>
      <c r="D557" s="129"/>
      <c r="E557" s="117"/>
      <c r="F557" s="131"/>
      <c r="G557" s="132"/>
      <c r="H557" s="120"/>
      <c r="I557" s="121"/>
      <c r="J557" s="122"/>
      <c r="K557" s="122"/>
      <c r="L557" s="122"/>
      <c r="M557" s="161"/>
      <c r="N557" s="121"/>
      <c r="O557" s="123"/>
      <c r="P557" s="123"/>
      <c r="Q557" s="123"/>
      <c r="R557" s="162"/>
      <c r="S557" s="138"/>
      <c r="T557" s="184"/>
      <c r="U557" s="139"/>
      <c r="V557" s="182"/>
    </row>
    <row r="558" spans="2:22" ht="14.25" customHeight="1">
      <c r="B558" s="140"/>
      <c r="C558" s="159"/>
      <c r="D558" s="129"/>
      <c r="E558" s="117"/>
      <c r="F558" s="131"/>
      <c r="G558" s="132"/>
      <c r="H558" s="120"/>
      <c r="I558" s="121"/>
      <c r="J558" s="122"/>
      <c r="K558" s="122"/>
      <c r="L558" s="122"/>
      <c r="M558" s="161"/>
      <c r="N558" s="121"/>
      <c r="O558" s="123"/>
      <c r="P558" s="123"/>
      <c r="Q558" s="123"/>
      <c r="R558" s="162"/>
      <c r="S558" s="138"/>
      <c r="T558" s="184"/>
      <c r="U558" s="139"/>
      <c r="V558" s="182"/>
    </row>
    <row r="559" spans="2:22" ht="14.25" customHeight="1">
      <c r="B559" s="140"/>
      <c r="C559" s="159"/>
      <c r="D559" s="129"/>
      <c r="E559" s="117"/>
      <c r="F559" s="131"/>
      <c r="G559" s="132"/>
      <c r="H559" s="120"/>
      <c r="I559" s="121"/>
      <c r="J559" s="122"/>
      <c r="K559" s="122"/>
      <c r="L559" s="122"/>
      <c r="M559" s="161"/>
      <c r="N559" s="121"/>
      <c r="O559" s="123"/>
      <c r="P559" s="123"/>
      <c r="Q559" s="123"/>
      <c r="R559" s="162"/>
      <c r="S559" s="138"/>
      <c r="T559" s="184"/>
      <c r="U559" s="139"/>
      <c r="V559" s="182"/>
    </row>
    <row r="560" spans="2:22" ht="14.25" customHeight="1">
      <c r="B560" s="140"/>
      <c r="C560" s="159"/>
      <c r="D560" s="129"/>
      <c r="E560" s="117"/>
      <c r="F560" s="131"/>
      <c r="G560" s="132"/>
      <c r="H560" s="120"/>
      <c r="I560" s="121"/>
      <c r="J560" s="122"/>
      <c r="K560" s="122"/>
      <c r="L560" s="122"/>
      <c r="M560" s="161"/>
      <c r="N560" s="121"/>
      <c r="O560" s="123"/>
      <c r="P560" s="123"/>
      <c r="Q560" s="123"/>
      <c r="R560" s="162"/>
      <c r="S560" s="138"/>
      <c r="T560" s="184"/>
      <c r="U560" s="139"/>
      <c r="V560" s="182"/>
    </row>
    <row r="561" spans="2:22" ht="14.25" customHeight="1">
      <c r="B561" s="140"/>
      <c r="C561" s="159"/>
      <c r="D561" s="129"/>
      <c r="E561" s="117"/>
      <c r="F561" s="131"/>
      <c r="G561" s="132"/>
      <c r="H561" s="120"/>
      <c r="I561" s="121"/>
      <c r="J561" s="122"/>
      <c r="K561" s="122"/>
      <c r="L561" s="122"/>
      <c r="M561" s="161"/>
      <c r="N561" s="121"/>
      <c r="O561" s="123"/>
      <c r="P561" s="123"/>
      <c r="Q561" s="123"/>
      <c r="R561" s="162"/>
      <c r="S561" s="138"/>
      <c r="T561" s="184"/>
      <c r="U561" s="139"/>
      <c r="V561" s="182"/>
    </row>
    <row r="562" spans="2:22" ht="14.25" customHeight="1">
      <c r="B562" s="140"/>
      <c r="C562" s="159"/>
      <c r="D562" s="129"/>
      <c r="E562" s="117"/>
      <c r="F562" s="131"/>
      <c r="G562" s="132"/>
      <c r="H562" s="120"/>
      <c r="I562" s="121"/>
      <c r="J562" s="122"/>
      <c r="K562" s="122"/>
      <c r="L562" s="122"/>
      <c r="M562" s="161"/>
      <c r="N562" s="121"/>
      <c r="O562" s="123"/>
      <c r="P562" s="123"/>
      <c r="Q562" s="123"/>
      <c r="R562" s="162"/>
      <c r="S562" s="138"/>
      <c r="T562" s="184"/>
      <c r="U562" s="139"/>
      <c r="V562" s="182"/>
    </row>
    <row r="563" spans="2:22" ht="14.25" customHeight="1" thickBot="1">
      <c r="B563" s="147"/>
      <c r="C563" s="213"/>
      <c r="D563" s="148"/>
      <c r="E563" s="190"/>
      <c r="F563" s="150"/>
      <c r="G563" s="151"/>
      <c r="H563" s="191"/>
      <c r="I563" s="192"/>
      <c r="J563" s="193"/>
      <c r="K563" s="193"/>
      <c r="L563" s="193"/>
      <c r="M563" s="154"/>
      <c r="N563" s="192"/>
      <c r="O563" s="194"/>
      <c r="P563" s="194"/>
      <c r="Q563" s="194"/>
      <c r="R563" s="155"/>
      <c r="S563" s="195"/>
      <c r="T563" s="157"/>
      <c r="U563" s="158"/>
      <c r="V563" s="182"/>
    </row>
    <row r="564" spans="2:22" ht="14.25" customHeight="1">
      <c r="B564" s="140"/>
      <c r="C564" s="159"/>
      <c r="D564" s="129"/>
      <c r="E564" s="117"/>
      <c r="F564" s="131"/>
      <c r="G564" s="132"/>
      <c r="H564" s="120"/>
      <c r="I564" s="121"/>
      <c r="J564" s="122"/>
      <c r="K564" s="122"/>
      <c r="L564" s="122"/>
      <c r="M564" s="161"/>
      <c r="N564" s="121"/>
      <c r="O564" s="123"/>
      <c r="P564" s="123"/>
      <c r="Q564" s="123"/>
      <c r="R564" s="162"/>
      <c r="S564" s="133"/>
      <c r="T564" s="125"/>
      <c r="U564" s="126"/>
      <c r="V564" s="182"/>
    </row>
    <row r="565" spans="2:22" ht="14.25" customHeight="1">
      <c r="B565" s="115" t="s">
        <v>926</v>
      </c>
      <c r="C565" s="129">
        <f>SUM(I565:I672)</f>
        <v>4134598000</v>
      </c>
      <c r="D565" s="129">
        <f>SUM(N565:N672)</f>
        <v>3178339653</v>
      </c>
      <c r="E565" s="117" t="s">
        <v>927</v>
      </c>
      <c r="F565" s="131">
        <v>1</v>
      </c>
      <c r="G565" s="132"/>
      <c r="H565" s="120" t="s">
        <v>928</v>
      </c>
      <c r="I565" s="160">
        <v>138383000</v>
      </c>
      <c r="J565" s="161">
        <v>99807000</v>
      </c>
      <c r="K565" s="161">
        <v>0</v>
      </c>
      <c r="L565" s="161">
        <v>0</v>
      </c>
      <c r="M565" s="161">
        <f>+I565-SUM(J565:L565)</f>
        <v>38576000</v>
      </c>
      <c r="N565" s="160">
        <v>134165286</v>
      </c>
      <c r="O565" s="162">
        <f>95835286+18536000</f>
        <v>114371286</v>
      </c>
      <c r="P565" s="162">
        <v>0</v>
      </c>
      <c r="Q565" s="162">
        <v>0</v>
      </c>
      <c r="R565" s="162">
        <f>+N565-SUM(O565:Q565)</f>
        <v>19794000</v>
      </c>
      <c r="S565" s="133" t="s">
        <v>929</v>
      </c>
      <c r="T565" s="125" t="s">
        <v>930</v>
      </c>
      <c r="U565" s="126" t="s">
        <v>930</v>
      </c>
      <c r="V565" s="182"/>
    </row>
    <row r="566" spans="2:22" ht="14.25" customHeight="1">
      <c r="B566" s="115" t="s">
        <v>931</v>
      </c>
      <c r="C566" s="129"/>
      <c r="D566" s="116"/>
      <c r="E566" s="117"/>
      <c r="F566" s="131"/>
      <c r="G566" s="132"/>
      <c r="H566" s="120"/>
      <c r="I566" s="160"/>
      <c r="J566" s="161"/>
      <c r="K566" s="161"/>
      <c r="L566" s="161"/>
      <c r="M566" s="161"/>
      <c r="N566" s="160"/>
      <c r="O566" s="162"/>
      <c r="P566" s="162"/>
      <c r="Q566" s="162"/>
      <c r="R566" s="162"/>
      <c r="S566" s="133" t="s">
        <v>932</v>
      </c>
      <c r="T566" s="125"/>
      <c r="U566" s="126"/>
      <c r="V566" s="182"/>
    </row>
    <row r="567" spans="2:22" ht="14.25" customHeight="1">
      <c r="B567" s="115"/>
      <c r="C567" s="129" t="s">
        <v>26</v>
      </c>
      <c r="D567" s="129" t="s">
        <v>26</v>
      </c>
      <c r="E567" s="117"/>
      <c r="F567" s="131"/>
      <c r="G567" s="132"/>
      <c r="H567" s="120"/>
      <c r="I567" s="160"/>
      <c r="J567" s="161"/>
      <c r="K567" s="161"/>
      <c r="L567" s="161"/>
      <c r="M567" s="161"/>
      <c r="N567" s="160"/>
      <c r="O567" s="162"/>
      <c r="P567" s="162"/>
      <c r="Q567" s="162"/>
      <c r="R567" s="162"/>
      <c r="S567" s="137" t="s">
        <v>933</v>
      </c>
      <c r="T567" s="125"/>
      <c r="U567" s="126"/>
      <c r="V567" s="182"/>
    </row>
    <row r="568" spans="2:22" ht="14.25" customHeight="1">
      <c r="B568" s="140"/>
      <c r="C568" s="129">
        <f>SUM(J565:J672)</f>
        <v>1730053000</v>
      </c>
      <c r="D568" s="129">
        <f>SUM(O565:O672)</f>
        <v>1234526941</v>
      </c>
      <c r="E568" s="117" t="s">
        <v>934</v>
      </c>
      <c r="F568" s="131">
        <f>+F565+1</f>
        <v>2</v>
      </c>
      <c r="G568" s="132"/>
      <c r="H568" s="120" t="s">
        <v>935</v>
      </c>
      <c r="I568" s="160">
        <v>1042369000</v>
      </c>
      <c r="J568" s="161">
        <v>529716000</v>
      </c>
      <c r="K568" s="161">
        <v>205000000</v>
      </c>
      <c r="L568" s="161">
        <v>232937000</v>
      </c>
      <c r="M568" s="161">
        <f>+I568-SUM(J568:L568)</f>
        <v>74716000</v>
      </c>
      <c r="N568" s="160">
        <v>1007080887</v>
      </c>
      <c r="O568" s="162">
        <f>500048049+149087000</f>
        <v>649135049</v>
      </c>
      <c r="P568" s="162">
        <v>189000000</v>
      </c>
      <c r="Q568" s="162">
        <v>272846879</v>
      </c>
      <c r="R568" s="162">
        <f>+N568-SUM(O568:Q568)</f>
        <v>-103901041</v>
      </c>
      <c r="S568" s="133" t="s">
        <v>936</v>
      </c>
      <c r="T568" s="125" t="s">
        <v>937</v>
      </c>
      <c r="U568" s="126" t="s">
        <v>937</v>
      </c>
      <c r="V568" s="182"/>
    </row>
    <row r="569" spans="2:22" ht="14.25" customHeight="1">
      <c r="B569" s="140"/>
      <c r="C569" s="129" t="s">
        <v>41</v>
      </c>
      <c r="D569" s="129" t="s">
        <v>41</v>
      </c>
      <c r="E569" s="117"/>
      <c r="F569" s="131"/>
      <c r="G569" s="132"/>
      <c r="H569" s="120"/>
      <c r="I569" s="121"/>
      <c r="J569" s="122"/>
      <c r="K569" s="122"/>
      <c r="L569" s="122"/>
      <c r="M569" s="122"/>
      <c r="N569" s="121"/>
      <c r="O569" s="123"/>
      <c r="P569" s="123"/>
      <c r="Q569" s="123"/>
      <c r="R569" s="123"/>
      <c r="S569" s="124" t="s">
        <v>938</v>
      </c>
      <c r="T569" s="125"/>
      <c r="U569" s="126"/>
      <c r="V569" s="182"/>
    </row>
    <row r="570" spans="2:22" ht="14.25" customHeight="1">
      <c r="B570" s="140"/>
      <c r="C570" s="129">
        <f>SUM(K565:K672)</f>
        <v>592000000</v>
      </c>
      <c r="D570" s="129">
        <f>SUM(P565:P672)</f>
        <v>372000000</v>
      </c>
      <c r="E570" s="117"/>
      <c r="F570" s="131"/>
      <c r="G570" s="132"/>
      <c r="H570" s="120"/>
      <c r="I570" s="121"/>
      <c r="J570" s="122"/>
      <c r="K570" s="122"/>
      <c r="L570" s="122"/>
      <c r="M570" s="122"/>
      <c r="N570" s="121"/>
      <c r="O570" s="123"/>
      <c r="P570" s="123"/>
      <c r="Q570" s="123"/>
      <c r="R570" s="123"/>
      <c r="S570" s="124" t="s">
        <v>939</v>
      </c>
      <c r="T570" s="125"/>
      <c r="U570" s="126"/>
      <c r="V570" s="127"/>
    </row>
    <row r="571" spans="2:22" ht="14.25" customHeight="1">
      <c r="B571" s="140"/>
      <c r="C571" s="129" t="s">
        <v>15</v>
      </c>
      <c r="D571" s="129" t="s">
        <v>15</v>
      </c>
      <c r="E571" s="117"/>
      <c r="F571" s="131"/>
      <c r="G571" s="132"/>
      <c r="H571" s="120"/>
      <c r="I571" s="121"/>
      <c r="J571" s="122"/>
      <c r="K571" s="122"/>
      <c r="L571" s="122"/>
      <c r="M571" s="122"/>
      <c r="N571" s="121"/>
      <c r="O571" s="123"/>
      <c r="P571" s="123"/>
      <c r="Q571" s="123"/>
      <c r="R571" s="123"/>
      <c r="S571" s="124" t="s">
        <v>940</v>
      </c>
      <c r="T571" s="125"/>
      <c r="U571" s="126"/>
      <c r="V571" s="135"/>
    </row>
    <row r="572" spans="2:22" ht="14.25" customHeight="1">
      <c r="B572" s="140"/>
      <c r="C572" s="129">
        <f>SUM(L565:L672)</f>
        <v>1129780000</v>
      </c>
      <c r="D572" s="129">
        <f>SUM(Q565:Q672)</f>
        <v>966853908</v>
      </c>
      <c r="E572" s="117"/>
      <c r="F572" s="131"/>
      <c r="G572" s="132"/>
      <c r="H572" s="120"/>
      <c r="I572" s="121"/>
      <c r="J572" s="122"/>
      <c r="K572" s="122"/>
      <c r="L572" s="122"/>
      <c r="M572" s="122"/>
      <c r="N572" s="121"/>
      <c r="O572" s="123"/>
      <c r="P572" s="123"/>
      <c r="Q572" s="123"/>
      <c r="R572" s="123"/>
      <c r="S572" s="124" t="s">
        <v>941</v>
      </c>
      <c r="T572" s="125"/>
      <c r="U572" s="126"/>
      <c r="V572" s="135"/>
    </row>
    <row r="573" spans="2:22" ht="14.25" customHeight="1">
      <c r="B573" s="140"/>
      <c r="C573" s="129" t="s">
        <v>18</v>
      </c>
      <c r="D573" s="129" t="s">
        <v>18</v>
      </c>
      <c r="E573" s="117"/>
      <c r="F573" s="131"/>
      <c r="G573" s="132"/>
      <c r="H573" s="120"/>
      <c r="I573" s="121"/>
      <c r="J573" s="122"/>
      <c r="K573" s="122"/>
      <c r="L573" s="122"/>
      <c r="M573" s="122"/>
      <c r="N573" s="121"/>
      <c r="O573" s="123"/>
      <c r="P573" s="123"/>
      <c r="Q573" s="123"/>
      <c r="R573" s="123"/>
      <c r="S573" s="124" t="s">
        <v>942</v>
      </c>
      <c r="T573" s="125"/>
      <c r="U573" s="126"/>
      <c r="V573" s="135"/>
    </row>
    <row r="574" spans="2:22" ht="14.25" customHeight="1">
      <c r="B574" s="140"/>
      <c r="C574" s="129">
        <f>C565-C568-C570-C572</f>
        <v>682765000</v>
      </c>
      <c r="D574" s="129">
        <f>D565-D568-D570-D572</f>
        <v>604958804</v>
      </c>
      <c r="E574" s="117"/>
      <c r="F574" s="131"/>
      <c r="G574" s="132"/>
      <c r="H574" s="120"/>
      <c r="I574" s="121"/>
      <c r="J574" s="122"/>
      <c r="K574" s="122"/>
      <c r="L574" s="122"/>
      <c r="M574" s="122"/>
      <c r="N574" s="121"/>
      <c r="O574" s="123"/>
      <c r="P574" s="123"/>
      <c r="Q574" s="123"/>
      <c r="R574" s="123"/>
      <c r="S574" s="124" t="s">
        <v>943</v>
      </c>
      <c r="T574" s="125"/>
      <c r="U574" s="126"/>
      <c r="V574" s="135"/>
    </row>
    <row r="575" spans="2:22" ht="14.25" customHeight="1">
      <c r="B575" s="140"/>
      <c r="C575" s="185"/>
      <c r="D575" s="186"/>
      <c r="E575" s="117"/>
      <c r="F575" s="131"/>
      <c r="G575" s="132"/>
      <c r="H575" s="120"/>
      <c r="I575" s="121"/>
      <c r="J575" s="122"/>
      <c r="K575" s="122"/>
      <c r="L575" s="122"/>
      <c r="M575" s="122"/>
      <c r="N575" s="121"/>
      <c r="O575" s="123"/>
      <c r="P575" s="123"/>
      <c r="Q575" s="123"/>
      <c r="R575" s="123"/>
      <c r="S575" s="124" t="s">
        <v>944</v>
      </c>
      <c r="T575" s="125"/>
      <c r="U575" s="126"/>
      <c r="V575" s="182"/>
    </row>
    <row r="576" spans="2:22" ht="14.25" customHeight="1">
      <c r="B576" s="140"/>
      <c r="C576" s="185"/>
      <c r="D576" s="186"/>
      <c r="E576" s="117"/>
      <c r="F576" s="131"/>
      <c r="G576" s="132"/>
      <c r="H576" s="120"/>
      <c r="I576" s="121"/>
      <c r="J576" s="122"/>
      <c r="K576" s="122"/>
      <c r="L576" s="122"/>
      <c r="M576" s="122"/>
      <c r="N576" s="121"/>
      <c r="O576" s="123"/>
      <c r="P576" s="123"/>
      <c r="Q576" s="123"/>
      <c r="R576" s="123"/>
      <c r="S576" s="124" t="s">
        <v>945</v>
      </c>
      <c r="T576" s="125"/>
      <c r="U576" s="126"/>
      <c r="V576" s="182"/>
    </row>
    <row r="577" spans="2:22" ht="14.25" customHeight="1">
      <c r="B577" s="140"/>
      <c r="C577" s="185"/>
      <c r="D577" s="186"/>
      <c r="E577" s="117"/>
      <c r="F577" s="131"/>
      <c r="G577" s="132"/>
      <c r="H577" s="120"/>
      <c r="I577" s="121"/>
      <c r="J577" s="122"/>
      <c r="K577" s="122"/>
      <c r="L577" s="122"/>
      <c r="M577" s="122"/>
      <c r="N577" s="121"/>
      <c r="O577" s="123"/>
      <c r="P577" s="123"/>
      <c r="Q577" s="123"/>
      <c r="R577" s="123"/>
      <c r="S577" s="124" t="s">
        <v>946</v>
      </c>
      <c r="T577" s="125"/>
      <c r="U577" s="126"/>
      <c r="V577" s="127"/>
    </row>
    <row r="578" spans="2:22" ht="14.25" customHeight="1">
      <c r="B578" s="140"/>
      <c r="C578" s="159"/>
      <c r="D578" s="129"/>
      <c r="E578" s="117"/>
      <c r="F578" s="131"/>
      <c r="G578" s="132"/>
      <c r="H578" s="120"/>
      <c r="I578" s="121"/>
      <c r="J578" s="122"/>
      <c r="K578" s="122"/>
      <c r="L578" s="122"/>
      <c r="M578" s="122"/>
      <c r="N578" s="121"/>
      <c r="O578" s="123"/>
      <c r="P578" s="123"/>
      <c r="Q578" s="123"/>
      <c r="R578" s="123"/>
      <c r="S578" s="124"/>
      <c r="T578" s="125"/>
      <c r="U578" s="126"/>
      <c r="V578" s="127"/>
    </row>
    <row r="579" spans="2:22" ht="14.25" customHeight="1">
      <c r="B579" s="140"/>
      <c r="C579" s="159"/>
      <c r="D579" s="129"/>
      <c r="E579" s="117"/>
      <c r="F579" s="131">
        <f>+F568+1</f>
        <v>3</v>
      </c>
      <c r="G579" s="132"/>
      <c r="H579" s="120" t="s">
        <v>947</v>
      </c>
      <c r="I579" s="160">
        <v>582820000</v>
      </c>
      <c r="J579" s="161">
        <v>310300000</v>
      </c>
      <c r="K579" s="161">
        <v>144000000</v>
      </c>
      <c r="L579" s="161">
        <v>127645000</v>
      </c>
      <c r="M579" s="161">
        <f>+I579-SUM(J579:L579)</f>
        <v>875000</v>
      </c>
      <c r="N579" s="160">
        <v>0</v>
      </c>
      <c r="O579" s="162">
        <v>0</v>
      </c>
      <c r="P579" s="162">
        <v>0</v>
      </c>
      <c r="Q579" s="162">
        <v>0</v>
      </c>
      <c r="R579" s="162">
        <f>+N579-SUM(O579:Q579)</f>
        <v>0</v>
      </c>
      <c r="S579" s="133" t="s">
        <v>948</v>
      </c>
      <c r="T579" s="125" t="s">
        <v>949</v>
      </c>
      <c r="U579" s="126" t="s">
        <v>950</v>
      </c>
      <c r="V579" s="127"/>
    </row>
    <row r="580" spans="2:22" ht="14.25" customHeight="1">
      <c r="B580" s="140"/>
      <c r="C580" s="159"/>
      <c r="D580" s="129"/>
      <c r="E580" s="117"/>
      <c r="F580" s="131"/>
      <c r="G580" s="132"/>
      <c r="H580" s="120"/>
      <c r="I580" s="121"/>
      <c r="J580" s="122"/>
      <c r="K580" s="122"/>
      <c r="L580" s="122"/>
      <c r="M580" s="122"/>
      <c r="N580" s="121"/>
      <c r="O580" s="123"/>
      <c r="P580" s="123"/>
      <c r="Q580" s="123"/>
      <c r="R580" s="123"/>
      <c r="S580" s="124" t="s">
        <v>951</v>
      </c>
      <c r="T580" s="125"/>
      <c r="U580" s="126"/>
      <c r="V580" s="127"/>
    </row>
    <row r="581" spans="2:22" ht="14.25" customHeight="1">
      <c r="B581" s="140"/>
      <c r="C581" s="159"/>
      <c r="D581" s="129"/>
      <c r="E581" s="117"/>
      <c r="F581" s="131"/>
      <c r="G581" s="132"/>
      <c r="H581" s="120"/>
      <c r="I581" s="121"/>
      <c r="J581" s="122"/>
      <c r="K581" s="122"/>
      <c r="L581" s="122"/>
      <c r="M581" s="122"/>
      <c r="N581" s="121"/>
      <c r="O581" s="123"/>
      <c r="P581" s="123"/>
      <c r="Q581" s="123"/>
      <c r="R581" s="123"/>
      <c r="S581" s="124"/>
      <c r="T581" s="125"/>
      <c r="U581" s="126"/>
      <c r="V581" s="127"/>
    </row>
    <row r="582" spans="2:22" ht="14.25" customHeight="1">
      <c r="B582" s="140"/>
      <c r="C582" s="159"/>
      <c r="D582" s="129"/>
      <c r="E582" s="117"/>
      <c r="F582" s="131">
        <f>+F579+1</f>
        <v>4</v>
      </c>
      <c r="G582" s="132"/>
      <c r="H582" s="120" t="s">
        <v>952</v>
      </c>
      <c r="I582" s="160">
        <v>53168000</v>
      </c>
      <c r="J582" s="161">
        <v>40374000</v>
      </c>
      <c r="K582" s="161">
        <v>0</v>
      </c>
      <c r="L582" s="161">
        <v>0</v>
      </c>
      <c r="M582" s="161">
        <f>+I582-SUM(J582:L582)</f>
        <v>12794000</v>
      </c>
      <c r="N582" s="160">
        <v>51037838</v>
      </c>
      <c r="O582" s="162">
        <f>996050+37374000</f>
        <v>38370050</v>
      </c>
      <c r="P582" s="162">
        <v>0</v>
      </c>
      <c r="Q582" s="162">
        <v>0</v>
      </c>
      <c r="R582" s="162">
        <f>+N582-SUM(O582:Q582)</f>
        <v>12667788</v>
      </c>
      <c r="S582" s="133" t="s">
        <v>953</v>
      </c>
      <c r="T582" s="241" t="s">
        <v>954</v>
      </c>
      <c r="U582" s="242" t="s">
        <v>955</v>
      </c>
      <c r="V582" s="127"/>
    </row>
    <row r="583" spans="2:22" ht="14.25" customHeight="1">
      <c r="B583" s="140"/>
      <c r="C583" s="159"/>
      <c r="D583" s="129"/>
      <c r="E583" s="117"/>
      <c r="F583" s="131"/>
      <c r="G583" s="132"/>
      <c r="H583" s="120"/>
      <c r="I583" s="160"/>
      <c r="J583" s="161"/>
      <c r="K583" s="161"/>
      <c r="L583" s="161"/>
      <c r="M583" s="161"/>
      <c r="N583" s="160"/>
      <c r="O583" s="162"/>
      <c r="P583" s="162"/>
      <c r="Q583" s="162"/>
      <c r="R583" s="162"/>
      <c r="S583" s="133"/>
      <c r="T583" s="241" t="s">
        <v>956</v>
      </c>
      <c r="U583" s="242" t="s">
        <v>957</v>
      </c>
      <c r="V583" s="182"/>
    </row>
    <row r="584" spans="2:22" ht="14.25" customHeight="1">
      <c r="B584" s="140"/>
      <c r="C584" s="129"/>
      <c r="D584" s="129"/>
      <c r="E584" s="117"/>
      <c r="F584" s="131"/>
      <c r="G584" s="132"/>
      <c r="H584" s="120"/>
      <c r="I584" s="160"/>
      <c r="J584" s="161"/>
      <c r="K584" s="161"/>
      <c r="L584" s="161"/>
      <c r="M584" s="161"/>
      <c r="N584" s="243"/>
      <c r="O584" s="162"/>
      <c r="P584" s="162"/>
      <c r="Q584" s="162"/>
      <c r="R584" s="162"/>
      <c r="S584" s="181" t="s">
        <v>958</v>
      </c>
      <c r="T584" s="125"/>
      <c r="U584" s="126"/>
      <c r="V584" s="127"/>
    </row>
    <row r="585" spans="2:22" ht="14.25" customHeight="1">
      <c r="B585" s="140"/>
      <c r="C585" s="159"/>
      <c r="D585" s="129"/>
      <c r="E585" s="117"/>
      <c r="F585" s="131"/>
      <c r="G585" s="132"/>
      <c r="H585" s="120"/>
      <c r="I585" s="160"/>
      <c r="J585" s="161"/>
      <c r="K585" s="161"/>
      <c r="L585" s="161"/>
      <c r="M585" s="161"/>
      <c r="N585" s="243"/>
      <c r="O585" s="162"/>
      <c r="P585" s="162"/>
      <c r="Q585" s="162"/>
      <c r="R585" s="162"/>
      <c r="S585" s="181" t="s">
        <v>959</v>
      </c>
      <c r="T585" s="125"/>
      <c r="U585" s="126"/>
      <c r="V585" s="127"/>
    </row>
    <row r="586" spans="2:22" ht="14.25" customHeight="1">
      <c r="B586" s="140"/>
      <c r="C586" s="159"/>
      <c r="D586" s="129"/>
      <c r="E586" s="117"/>
      <c r="F586" s="131"/>
      <c r="G586" s="132"/>
      <c r="H586" s="120"/>
      <c r="I586" s="160"/>
      <c r="J586" s="161"/>
      <c r="K586" s="161"/>
      <c r="L586" s="161"/>
      <c r="M586" s="161"/>
      <c r="N586" s="243"/>
      <c r="O586" s="162"/>
      <c r="P586" s="162"/>
      <c r="Q586" s="162"/>
      <c r="R586" s="162"/>
      <c r="S586" s="181" t="s">
        <v>960</v>
      </c>
      <c r="T586" s="125"/>
      <c r="U586" s="126"/>
      <c r="V586" s="127"/>
    </row>
    <row r="587" spans="2:22" ht="14.25" customHeight="1">
      <c r="B587" s="140"/>
      <c r="C587" s="159"/>
      <c r="D587" s="129"/>
      <c r="E587" s="117"/>
      <c r="F587" s="131"/>
      <c r="G587" s="132"/>
      <c r="H587" s="120"/>
      <c r="I587" s="160"/>
      <c r="J587" s="161"/>
      <c r="K587" s="161"/>
      <c r="L587" s="161"/>
      <c r="M587" s="161"/>
      <c r="N587" s="243"/>
      <c r="O587" s="162"/>
      <c r="P587" s="162"/>
      <c r="Q587" s="162"/>
      <c r="R587" s="162"/>
      <c r="S587" s="133" t="s">
        <v>961</v>
      </c>
      <c r="T587" s="125"/>
      <c r="U587" s="126"/>
      <c r="V587" s="127"/>
    </row>
    <row r="588" spans="2:22" ht="14.25" customHeight="1">
      <c r="B588" s="140"/>
      <c r="C588" s="159"/>
      <c r="D588" s="129"/>
      <c r="E588" s="117"/>
      <c r="F588" s="131"/>
      <c r="G588" s="132"/>
      <c r="H588" s="120"/>
      <c r="I588" s="160"/>
      <c r="J588" s="161"/>
      <c r="K588" s="161"/>
      <c r="L588" s="161"/>
      <c r="M588" s="161"/>
      <c r="N588" s="243"/>
      <c r="O588" s="162"/>
      <c r="P588" s="162"/>
      <c r="Q588" s="162"/>
      <c r="R588" s="162"/>
      <c r="S588" s="133" t="s">
        <v>962</v>
      </c>
      <c r="T588" s="125"/>
      <c r="U588" s="126"/>
      <c r="V588" s="127"/>
    </row>
    <row r="589" spans="2:22" ht="14.25" customHeight="1">
      <c r="B589" s="140"/>
      <c r="C589" s="159"/>
      <c r="D589" s="129"/>
      <c r="E589" s="117"/>
      <c r="F589" s="131"/>
      <c r="G589" s="132"/>
      <c r="H589" s="244"/>
      <c r="I589" s="121"/>
      <c r="J589" s="122"/>
      <c r="K589" s="122"/>
      <c r="L589" s="122"/>
      <c r="M589" s="122"/>
      <c r="N589" s="121"/>
      <c r="O589" s="123"/>
      <c r="P589" s="123"/>
      <c r="Q589" s="123"/>
      <c r="R589" s="123"/>
      <c r="S589" s="124"/>
      <c r="T589" s="125"/>
      <c r="U589" s="126"/>
      <c r="V589" s="127"/>
    </row>
    <row r="590" spans="2:22" ht="14.25" customHeight="1">
      <c r="B590" s="140"/>
      <c r="C590" s="159"/>
      <c r="D590" s="129"/>
      <c r="E590" s="117"/>
      <c r="F590" s="131">
        <f>+F582+1</f>
        <v>5</v>
      </c>
      <c r="G590" s="132"/>
      <c r="H590" s="120" t="s">
        <v>963</v>
      </c>
      <c r="I590" s="160">
        <v>867091000</v>
      </c>
      <c r="J590" s="161">
        <v>0</v>
      </c>
      <c r="K590" s="161">
        <v>0</v>
      </c>
      <c r="L590" s="161">
        <v>474353000</v>
      </c>
      <c r="M590" s="161">
        <f>+I590-SUM(J590:L590)</f>
        <v>392738000</v>
      </c>
      <c r="N590" s="160">
        <v>866589507</v>
      </c>
      <c r="O590" s="162">
        <v>0</v>
      </c>
      <c r="P590" s="162">
        <v>0</v>
      </c>
      <c r="Q590" s="162">
        <v>473910051</v>
      </c>
      <c r="R590" s="162">
        <f>+N590-SUM(O590:Q590)</f>
        <v>392679456</v>
      </c>
      <c r="S590" s="133" t="s">
        <v>964</v>
      </c>
      <c r="T590" s="125" t="s">
        <v>718</v>
      </c>
      <c r="U590" s="126" t="s">
        <v>950</v>
      </c>
      <c r="V590" s="127"/>
    </row>
    <row r="591" spans="2:22" ht="14.25" customHeight="1">
      <c r="B591" s="140"/>
      <c r="C591" s="159"/>
      <c r="D591" s="129"/>
      <c r="E591" s="117"/>
      <c r="F591" s="131"/>
      <c r="G591" s="132"/>
      <c r="H591" s="120"/>
      <c r="I591" s="160"/>
      <c r="J591" s="161"/>
      <c r="K591" s="161"/>
      <c r="L591" s="161"/>
      <c r="M591" s="161"/>
      <c r="N591" s="160"/>
      <c r="O591" s="162"/>
      <c r="P591" s="162"/>
      <c r="Q591" s="162"/>
      <c r="R591" s="162"/>
      <c r="S591" s="133" t="s">
        <v>965</v>
      </c>
      <c r="T591" s="125"/>
      <c r="U591" s="126"/>
      <c r="V591" s="127"/>
    </row>
    <row r="592" spans="2:22" ht="14.25" customHeight="1">
      <c r="B592" s="140"/>
      <c r="C592" s="159"/>
      <c r="D592" s="129"/>
      <c r="E592" s="117"/>
      <c r="F592" s="131"/>
      <c r="G592" s="132"/>
      <c r="H592" s="120"/>
      <c r="I592" s="160"/>
      <c r="J592" s="161"/>
      <c r="K592" s="161"/>
      <c r="L592" s="161"/>
      <c r="M592" s="161"/>
      <c r="N592" s="160"/>
      <c r="O592" s="162"/>
      <c r="P592" s="162"/>
      <c r="Q592" s="162"/>
      <c r="R592" s="162"/>
      <c r="S592" s="133" t="s">
        <v>966</v>
      </c>
      <c r="T592" s="125"/>
      <c r="U592" s="126"/>
      <c r="V592" s="127"/>
    </row>
    <row r="593" spans="2:22" ht="14.25" customHeight="1">
      <c r="B593" s="140"/>
      <c r="C593" s="159"/>
      <c r="D593" s="129"/>
      <c r="E593" s="117"/>
      <c r="F593" s="131"/>
      <c r="G593" s="132"/>
      <c r="H593" s="120"/>
      <c r="I593" s="160"/>
      <c r="J593" s="161"/>
      <c r="K593" s="161"/>
      <c r="L593" s="161"/>
      <c r="M593" s="161"/>
      <c r="N593" s="160"/>
      <c r="O593" s="162"/>
      <c r="P593" s="162"/>
      <c r="Q593" s="162"/>
      <c r="R593" s="162"/>
      <c r="S593" s="133" t="s">
        <v>967</v>
      </c>
      <c r="T593" s="125"/>
      <c r="U593" s="126"/>
      <c r="V593" s="127"/>
    </row>
    <row r="594" spans="2:22" ht="14.25" customHeight="1">
      <c r="B594" s="140"/>
      <c r="C594" s="159"/>
      <c r="D594" s="129"/>
      <c r="E594" s="117"/>
      <c r="F594" s="131"/>
      <c r="G594" s="132"/>
      <c r="H594" s="120"/>
      <c r="I594" s="160"/>
      <c r="J594" s="161"/>
      <c r="K594" s="161"/>
      <c r="L594" s="161"/>
      <c r="M594" s="161"/>
      <c r="N594" s="160"/>
      <c r="O594" s="162"/>
      <c r="P594" s="162"/>
      <c r="Q594" s="162"/>
      <c r="R594" s="162"/>
      <c r="S594" s="133" t="s">
        <v>968</v>
      </c>
      <c r="T594" s="125"/>
      <c r="U594" s="126"/>
      <c r="V594" s="127"/>
    </row>
    <row r="595" spans="2:22" ht="14.25" customHeight="1">
      <c r="B595" s="140"/>
      <c r="C595" s="159"/>
      <c r="D595" s="129"/>
      <c r="E595" s="117"/>
      <c r="F595" s="131"/>
      <c r="G595" s="132"/>
      <c r="H595" s="120"/>
      <c r="I595" s="160"/>
      <c r="J595" s="161"/>
      <c r="K595" s="161"/>
      <c r="L595" s="161"/>
      <c r="M595" s="161"/>
      <c r="N595" s="160"/>
      <c r="O595" s="162"/>
      <c r="P595" s="162"/>
      <c r="Q595" s="162"/>
      <c r="R595" s="162"/>
      <c r="S595" s="133"/>
      <c r="T595" s="125"/>
      <c r="U595" s="126"/>
      <c r="V595" s="127"/>
    </row>
    <row r="596" spans="2:22" ht="14.25" customHeight="1">
      <c r="B596" s="140"/>
      <c r="C596" s="159"/>
      <c r="D596" s="129"/>
      <c r="E596" s="117"/>
      <c r="F596" s="131">
        <f>+F590+1</f>
        <v>6</v>
      </c>
      <c r="G596" s="119"/>
      <c r="H596" s="120" t="s">
        <v>969</v>
      </c>
      <c r="I596" s="160">
        <v>12691000</v>
      </c>
      <c r="J596" s="161">
        <v>2294000</v>
      </c>
      <c r="K596" s="161">
        <v>0</v>
      </c>
      <c r="L596" s="161">
        <v>0</v>
      </c>
      <c r="M596" s="161">
        <f>+I596-SUM(J596:L596)</f>
        <v>10397000</v>
      </c>
      <c r="N596" s="160">
        <v>12691000</v>
      </c>
      <c r="O596" s="162">
        <v>2294000</v>
      </c>
      <c r="P596" s="162">
        <v>0</v>
      </c>
      <c r="Q596" s="162">
        <v>0</v>
      </c>
      <c r="R596" s="162">
        <f>+N596-SUM(O596:Q596)</f>
        <v>10397000</v>
      </c>
      <c r="S596" s="133" t="s">
        <v>970</v>
      </c>
      <c r="T596" s="125" t="s">
        <v>971</v>
      </c>
      <c r="U596" s="126" t="s">
        <v>972</v>
      </c>
      <c r="V596" s="127"/>
    </row>
    <row r="597" spans="2:22" ht="14.25" customHeight="1">
      <c r="B597" s="140"/>
      <c r="C597" s="159"/>
      <c r="D597" s="129"/>
      <c r="E597" s="117"/>
      <c r="F597" s="131"/>
      <c r="G597" s="119"/>
      <c r="H597" s="120"/>
      <c r="I597" s="160"/>
      <c r="J597" s="161"/>
      <c r="K597" s="161"/>
      <c r="L597" s="161"/>
      <c r="M597" s="161"/>
      <c r="N597" s="160"/>
      <c r="O597" s="162"/>
      <c r="P597" s="162"/>
      <c r="Q597" s="162"/>
      <c r="R597" s="162"/>
      <c r="S597" s="133" t="s">
        <v>973</v>
      </c>
      <c r="T597" s="125"/>
      <c r="U597" s="126"/>
      <c r="V597" s="127"/>
    </row>
    <row r="598" spans="2:22" ht="14.25" customHeight="1">
      <c r="B598" s="140"/>
      <c r="C598" s="159"/>
      <c r="D598" s="129"/>
      <c r="E598" s="117"/>
      <c r="F598" s="131"/>
      <c r="G598" s="119"/>
      <c r="H598" s="120"/>
      <c r="I598" s="160"/>
      <c r="J598" s="161"/>
      <c r="K598" s="161"/>
      <c r="L598" s="161"/>
      <c r="M598" s="161"/>
      <c r="N598" s="160"/>
      <c r="O598" s="162"/>
      <c r="P598" s="162"/>
      <c r="Q598" s="162"/>
      <c r="R598" s="162"/>
      <c r="S598" s="133" t="s">
        <v>974</v>
      </c>
      <c r="T598" s="125"/>
      <c r="U598" s="126"/>
      <c r="V598" s="127"/>
    </row>
    <row r="599" spans="2:22" ht="14.25" customHeight="1">
      <c r="B599" s="140"/>
      <c r="C599" s="159"/>
      <c r="D599" s="129"/>
      <c r="E599" s="117"/>
      <c r="F599" s="131"/>
      <c r="G599" s="119"/>
      <c r="H599" s="120"/>
      <c r="I599" s="160"/>
      <c r="J599" s="161"/>
      <c r="K599" s="161"/>
      <c r="L599" s="161"/>
      <c r="M599" s="161"/>
      <c r="N599" s="160"/>
      <c r="O599" s="162"/>
      <c r="P599" s="162"/>
      <c r="Q599" s="162"/>
      <c r="R599" s="162"/>
      <c r="S599" s="133"/>
      <c r="T599" s="125"/>
      <c r="U599" s="126"/>
      <c r="V599" s="127"/>
    </row>
    <row r="600" spans="2:22" ht="14.25" customHeight="1">
      <c r="B600" s="140"/>
      <c r="C600" s="159"/>
      <c r="D600" s="129"/>
      <c r="E600" s="117"/>
      <c r="F600" s="131">
        <f>+F596+1</f>
        <v>7</v>
      </c>
      <c r="G600" s="132"/>
      <c r="H600" s="120" t="s">
        <v>975</v>
      </c>
      <c r="I600" s="121">
        <v>85767000</v>
      </c>
      <c r="J600" s="122">
        <v>2975000</v>
      </c>
      <c r="K600" s="122">
        <v>29000000</v>
      </c>
      <c r="L600" s="122">
        <v>2071000</v>
      </c>
      <c r="M600" s="122">
        <f>+I600-SUM(J600:L600)</f>
        <v>51721000</v>
      </c>
      <c r="N600" s="121">
        <v>80645407</v>
      </c>
      <c r="O600" s="123">
        <f>290000+2668000</f>
        <v>2958000</v>
      </c>
      <c r="P600" s="123">
        <v>25000000</v>
      </c>
      <c r="Q600" s="123">
        <v>2071000</v>
      </c>
      <c r="R600" s="123">
        <f>+N600-SUM(O600:Q600)</f>
        <v>50616407</v>
      </c>
      <c r="S600" s="137" t="s">
        <v>976</v>
      </c>
      <c r="T600" s="125" t="s">
        <v>804</v>
      </c>
      <c r="U600" s="126" t="s">
        <v>977</v>
      </c>
      <c r="V600" s="127"/>
    </row>
    <row r="601" spans="2:22" ht="14.25" customHeight="1">
      <c r="B601" s="140"/>
      <c r="C601" s="159"/>
      <c r="D601" s="129"/>
      <c r="E601" s="117"/>
      <c r="F601" s="131"/>
      <c r="G601" s="132"/>
      <c r="H601" s="120"/>
      <c r="I601" s="121"/>
      <c r="J601" s="122"/>
      <c r="K601" s="122"/>
      <c r="L601" s="122"/>
      <c r="M601" s="122"/>
      <c r="N601" s="218"/>
      <c r="O601" s="123"/>
      <c r="P601" s="123"/>
      <c r="Q601" s="123"/>
      <c r="R601" s="123"/>
      <c r="S601" s="137" t="s">
        <v>978</v>
      </c>
      <c r="T601" s="125"/>
      <c r="U601" s="126"/>
      <c r="V601" s="127"/>
    </row>
    <row r="602" spans="2:22" ht="14.25" customHeight="1">
      <c r="B602" s="140"/>
      <c r="C602" s="159"/>
      <c r="D602" s="129"/>
      <c r="E602" s="117"/>
      <c r="F602" s="131"/>
      <c r="G602" s="132"/>
      <c r="H602" s="120"/>
      <c r="I602" s="121"/>
      <c r="J602" s="122"/>
      <c r="K602" s="122"/>
      <c r="L602" s="122"/>
      <c r="M602" s="122"/>
      <c r="N602" s="218"/>
      <c r="O602" s="123"/>
      <c r="P602" s="123"/>
      <c r="Q602" s="123"/>
      <c r="R602" s="123"/>
      <c r="S602" s="137" t="s">
        <v>979</v>
      </c>
      <c r="T602" s="125"/>
      <c r="U602" s="126"/>
      <c r="V602" s="127"/>
    </row>
    <row r="603" spans="2:22" ht="14.25" customHeight="1">
      <c r="B603" s="140"/>
      <c r="C603" s="159"/>
      <c r="D603" s="129"/>
      <c r="E603" s="117"/>
      <c r="F603" s="131"/>
      <c r="G603" s="132"/>
      <c r="H603" s="120"/>
      <c r="I603" s="121"/>
      <c r="J603" s="122"/>
      <c r="K603" s="122"/>
      <c r="L603" s="122"/>
      <c r="M603" s="122"/>
      <c r="N603" s="218"/>
      <c r="O603" s="123"/>
      <c r="P603" s="123"/>
      <c r="Q603" s="123"/>
      <c r="R603" s="123"/>
      <c r="S603" s="137"/>
      <c r="T603" s="125"/>
      <c r="U603" s="126"/>
      <c r="V603" s="127"/>
    </row>
    <row r="604" spans="2:22" ht="14.25" customHeight="1">
      <c r="B604" s="140"/>
      <c r="C604" s="159"/>
      <c r="D604" s="129"/>
      <c r="E604" s="117"/>
      <c r="F604" s="131">
        <f>+F600+1</f>
        <v>8</v>
      </c>
      <c r="G604" s="132"/>
      <c r="H604" s="120" t="s">
        <v>980</v>
      </c>
      <c r="I604" s="160">
        <v>255300000</v>
      </c>
      <c r="J604" s="161">
        <v>213450000</v>
      </c>
      <c r="K604" s="161">
        <v>0</v>
      </c>
      <c r="L604" s="161">
        <v>36413000</v>
      </c>
      <c r="M604" s="161">
        <f>+I604-SUM(J604:L604)</f>
        <v>5437000</v>
      </c>
      <c r="N604" s="160">
        <v>149996700</v>
      </c>
      <c r="O604" s="162">
        <v>0</v>
      </c>
      <c r="P604" s="162">
        <v>0</v>
      </c>
      <c r="Q604" s="162">
        <v>0</v>
      </c>
      <c r="R604" s="162">
        <f>+N604-SUM(O604:Q604)</f>
        <v>149996700</v>
      </c>
      <c r="S604" s="133" t="s">
        <v>981</v>
      </c>
      <c r="T604" s="125" t="s">
        <v>890</v>
      </c>
      <c r="U604" s="126" t="s">
        <v>890</v>
      </c>
      <c r="V604" s="127"/>
    </row>
    <row r="605" spans="2:22" ht="14.25" customHeight="1">
      <c r="B605" s="140"/>
      <c r="C605" s="159"/>
      <c r="D605" s="129"/>
      <c r="E605" s="117"/>
      <c r="F605" s="131"/>
      <c r="G605" s="132"/>
      <c r="H605" s="120"/>
      <c r="I605" s="121"/>
      <c r="J605" s="122"/>
      <c r="K605" s="122"/>
      <c r="L605" s="122"/>
      <c r="M605" s="122"/>
      <c r="N605" s="218"/>
      <c r="O605" s="123"/>
      <c r="P605" s="123"/>
      <c r="Q605" s="123"/>
      <c r="R605" s="123"/>
      <c r="S605" s="245" t="s">
        <v>982</v>
      </c>
      <c r="T605" s="125"/>
      <c r="U605" s="126"/>
      <c r="V605" s="127"/>
    </row>
    <row r="606" spans="2:22" ht="14.25" customHeight="1">
      <c r="B606" s="140"/>
      <c r="C606" s="159"/>
      <c r="D606" s="129"/>
      <c r="E606" s="117"/>
      <c r="F606" s="131"/>
      <c r="G606" s="132"/>
      <c r="H606" s="120"/>
      <c r="I606" s="121"/>
      <c r="J606" s="122"/>
      <c r="K606" s="122"/>
      <c r="L606" s="122"/>
      <c r="M606" s="122"/>
      <c r="N606" s="218"/>
      <c r="O606" s="123"/>
      <c r="P606" s="123"/>
      <c r="Q606" s="123"/>
      <c r="R606" s="123"/>
      <c r="S606" s="245" t="s">
        <v>983</v>
      </c>
      <c r="T606" s="125"/>
      <c r="U606" s="126"/>
      <c r="V606" s="127"/>
    </row>
    <row r="607" spans="2:22" ht="14.25" customHeight="1">
      <c r="B607" s="140"/>
      <c r="C607" s="159"/>
      <c r="D607" s="129"/>
      <c r="E607" s="117"/>
      <c r="F607" s="131"/>
      <c r="G607" s="132"/>
      <c r="H607" s="120"/>
      <c r="I607" s="121"/>
      <c r="J607" s="122"/>
      <c r="K607" s="122"/>
      <c r="L607" s="122"/>
      <c r="M607" s="122"/>
      <c r="N607" s="218"/>
      <c r="O607" s="123"/>
      <c r="P607" s="123"/>
      <c r="Q607" s="123"/>
      <c r="R607" s="123"/>
      <c r="S607" s="124" t="s">
        <v>984</v>
      </c>
      <c r="T607" s="125"/>
      <c r="U607" s="126"/>
      <c r="V607" s="127"/>
    </row>
    <row r="608" spans="2:22" ht="14.25" customHeight="1">
      <c r="B608" s="140"/>
      <c r="C608" s="159"/>
      <c r="D608" s="129"/>
      <c r="E608" s="117"/>
      <c r="F608" s="131"/>
      <c r="G608" s="132"/>
      <c r="H608" s="120"/>
      <c r="I608" s="121"/>
      <c r="J608" s="122"/>
      <c r="K608" s="122"/>
      <c r="L608" s="122"/>
      <c r="M608" s="122"/>
      <c r="N608" s="218"/>
      <c r="O608" s="123"/>
      <c r="P608" s="123"/>
      <c r="Q608" s="123"/>
      <c r="R608" s="123"/>
      <c r="S608" s="181" t="s">
        <v>985</v>
      </c>
      <c r="T608" s="125"/>
      <c r="U608" s="126"/>
      <c r="V608" s="127"/>
    </row>
    <row r="609" spans="2:22" ht="14.25" customHeight="1">
      <c r="B609" s="140"/>
      <c r="C609" s="159"/>
      <c r="D609" s="129"/>
      <c r="E609" s="117"/>
      <c r="F609" s="131"/>
      <c r="G609" s="132"/>
      <c r="H609" s="120"/>
      <c r="I609" s="121"/>
      <c r="J609" s="122"/>
      <c r="K609" s="122"/>
      <c r="L609" s="122"/>
      <c r="M609" s="122"/>
      <c r="N609" s="218"/>
      <c r="O609" s="123"/>
      <c r="P609" s="123"/>
      <c r="Q609" s="123"/>
      <c r="R609" s="123"/>
      <c r="S609" s="137"/>
      <c r="T609" s="125"/>
      <c r="U609" s="126"/>
      <c r="V609" s="127"/>
    </row>
    <row r="610" spans="2:22" ht="14.25" customHeight="1">
      <c r="B610" s="140"/>
      <c r="C610" s="159"/>
      <c r="D610" s="129"/>
      <c r="E610" s="117"/>
      <c r="F610" s="131">
        <f>+F604+1</f>
        <v>9</v>
      </c>
      <c r="G610" s="132"/>
      <c r="H610" s="120" t="s">
        <v>986</v>
      </c>
      <c r="I610" s="160">
        <v>-109000</v>
      </c>
      <c r="J610" s="161">
        <v>0</v>
      </c>
      <c r="K610" s="161">
        <v>0</v>
      </c>
      <c r="L610" s="161">
        <v>0</v>
      </c>
      <c r="M610" s="161">
        <f>+I610-SUM(J610:L610)</f>
        <v>-109000</v>
      </c>
      <c r="N610" s="160">
        <v>0</v>
      </c>
      <c r="O610" s="162">
        <v>0</v>
      </c>
      <c r="P610" s="162">
        <v>0</v>
      </c>
      <c r="Q610" s="162">
        <v>0</v>
      </c>
      <c r="R610" s="162">
        <f>+N610-SUM(O610:Q610)</f>
        <v>0</v>
      </c>
      <c r="S610" s="246" t="s">
        <v>272</v>
      </c>
      <c r="T610" s="125"/>
      <c r="U610" s="126"/>
      <c r="V610" s="127"/>
    </row>
    <row r="611" spans="2:22" ht="14.25" customHeight="1">
      <c r="B611" s="140"/>
      <c r="C611" s="159"/>
      <c r="D611" s="129"/>
      <c r="E611" s="117"/>
      <c r="F611" s="131"/>
      <c r="G611" s="132"/>
      <c r="H611" s="120"/>
      <c r="I611" s="160"/>
      <c r="J611" s="161"/>
      <c r="K611" s="161"/>
      <c r="L611" s="161"/>
      <c r="M611" s="161"/>
      <c r="N611" s="160"/>
      <c r="O611" s="162"/>
      <c r="P611" s="162"/>
      <c r="Q611" s="162"/>
      <c r="R611" s="162"/>
      <c r="S611" s="246"/>
      <c r="T611" s="125"/>
      <c r="U611" s="126"/>
      <c r="V611" s="127"/>
    </row>
    <row r="612" spans="2:22" ht="14.25" customHeight="1">
      <c r="B612" s="140"/>
      <c r="C612" s="159"/>
      <c r="D612" s="129"/>
      <c r="E612" s="117"/>
      <c r="F612" s="131"/>
      <c r="G612" s="132"/>
      <c r="H612" s="120"/>
      <c r="I612" s="160"/>
      <c r="J612" s="161"/>
      <c r="K612" s="161"/>
      <c r="L612" s="161"/>
      <c r="M612" s="161"/>
      <c r="N612" s="160"/>
      <c r="O612" s="162"/>
      <c r="P612" s="162"/>
      <c r="Q612" s="162"/>
      <c r="R612" s="162"/>
      <c r="S612" s="246"/>
      <c r="T612" s="125"/>
      <c r="U612" s="126"/>
      <c r="V612" s="127"/>
    </row>
    <row r="613" spans="2:22" ht="14.25" customHeight="1">
      <c r="B613" s="140"/>
      <c r="C613" s="159"/>
      <c r="D613" s="129"/>
      <c r="E613" s="117"/>
      <c r="F613" s="131"/>
      <c r="G613" s="132"/>
      <c r="H613" s="120"/>
      <c r="I613" s="160"/>
      <c r="J613" s="161"/>
      <c r="K613" s="161"/>
      <c r="L613" s="161"/>
      <c r="M613" s="161"/>
      <c r="N613" s="160"/>
      <c r="O613" s="162"/>
      <c r="P613" s="162"/>
      <c r="Q613" s="162"/>
      <c r="R613" s="162"/>
      <c r="S613" s="246"/>
      <c r="T613" s="125"/>
      <c r="U613" s="126"/>
      <c r="V613" s="127"/>
    </row>
    <row r="614" spans="2:22" ht="14.25" customHeight="1" thickBot="1">
      <c r="B614" s="147"/>
      <c r="C614" s="213"/>
      <c r="D614" s="148"/>
      <c r="E614" s="190"/>
      <c r="F614" s="150"/>
      <c r="G614" s="151"/>
      <c r="H614" s="191"/>
      <c r="I614" s="153"/>
      <c r="J614" s="154"/>
      <c r="K614" s="154"/>
      <c r="L614" s="154"/>
      <c r="M614" s="154"/>
      <c r="N614" s="153"/>
      <c r="O614" s="155"/>
      <c r="P614" s="155"/>
      <c r="Q614" s="155"/>
      <c r="R614" s="155"/>
      <c r="S614" s="195"/>
      <c r="T614" s="157"/>
      <c r="U614" s="158"/>
      <c r="V614" s="127"/>
    </row>
    <row r="615" spans="2:22" ht="14.25" customHeight="1">
      <c r="B615" s="140"/>
      <c r="C615" s="159"/>
      <c r="D615" s="129"/>
      <c r="E615" s="117" t="s">
        <v>987</v>
      </c>
      <c r="F615" s="131">
        <f>+F610+1</f>
        <v>10</v>
      </c>
      <c r="G615" s="132"/>
      <c r="H615" s="120" t="s">
        <v>988</v>
      </c>
      <c r="I615" s="121">
        <v>15224000</v>
      </c>
      <c r="J615" s="122">
        <v>15224000</v>
      </c>
      <c r="K615" s="122">
        <v>0</v>
      </c>
      <c r="L615" s="122">
        <v>0</v>
      </c>
      <c r="M615" s="122">
        <f>+I615-SUM(J615:L615)</f>
        <v>0</v>
      </c>
      <c r="N615" s="121">
        <v>12102314</v>
      </c>
      <c r="O615" s="123">
        <v>12929000</v>
      </c>
      <c r="P615" s="123">
        <v>0</v>
      </c>
      <c r="Q615" s="123">
        <v>0</v>
      </c>
      <c r="R615" s="123">
        <f>+N615-SUM(O615:Q615)</f>
        <v>-826686</v>
      </c>
      <c r="S615" s="133" t="s">
        <v>989</v>
      </c>
      <c r="T615" s="247" t="s">
        <v>990</v>
      </c>
      <c r="U615" s="248" t="s">
        <v>991</v>
      </c>
      <c r="V615" s="127"/>
    </row>
    <row r="616" spans="2:22" ht="14.25" customHeight="1">
      <c r="B616" s="140"/>
      <c r="C616" s="159"/>
      <c r="D616" s="129"/>
      <c r="E616" s="117"/>
      <c r="F616" s="131"/>
      <c r="G616" s="132"/>
      <c r="H616" s="120"/>
      <c r="I616" s="121"/>
      <c r="J616" s="122"/>
      <c r="K616" s="122"/>
      <c r="L616" s="122"/>
      <c r="M616" s="122"/>
      <c r="N616" s="121"/>
      <c r="O616" s="123"/>
      <c r="P616" s="123"/>
      <c r="Q616" s="123"/>
      <c r="R616" s="123"/>
      <c r="S616" s="133" t="s">
        <v>992</v>
      </c>
      <c r="T616" s="125" t="s">
        <v>993</v>
      </c>
      <c r="U616" s="126" t="s">
        <v>994</v>
      </c>
      <c r="V616" s="127"/>
    </row>
    <row r="617" spans="2:22" ht="14.25" customHeight="1">
      <c r="B617" s="140"/>
      <c r="C617" s="159"/>
      <c r="D617" s="129"/>
      <c r="E617" s="117"/>
      <c r="F617" s="131"/>
      <c r="G617" s="132"/>
      <c r="H617" s="120"/>
      <c r="I617" s="121"/>
      <c r="J617" s="122"/>
      <c r="K617" s="122"/>
      <c r="L617" s="122"/>
      <c r="M617" s="122"/>
      <c r="N617" s="121"/>
      <c r="O617" s="123"/>
      <c r="P617" s="123"/>
      <c r="Q617" s="123"/>
      <c r="R617" s="123"/>
      <c r="S617" s="133" t="s">
        <v>995</v>
      </c>
      <c r="T617" s="125"/>
      <c r="U617" s="126"/>
      <c r="V617" s="127"/>
    </row>
    <row r="618" spans="2:22" ht="14.25" customHeight="1">
      <c r="B618" s="140"/>
      <c r="C618" s="159"/>
      <c r="D618" s="129"/>
      <c r="E618" s="117"/>
      <c r="F618" s="131"/>
      <c r="G618" s="132"/>
      <c r="H618" s="120"/>
      <c r="I618" s="121"/>
      <c r="J618" s="122"/>
      <c r="K618" s="122"/>
      <c r="L618" s="122"/>
      <c r="M618" s="122"/>
      <c r="N618" s="121"/>
      <c r="O618" s="123"/>
      <c r="P618" s="123"/>
      <c r="Q618" s="123"/>
      <c r="R618" s="123"/>
      <c r="S618" s="133" t="s">
        <v>996</v>
      </c>
      <c r="T618" s="125"/>
      <c r="U618" s="126"/>
      <c r="V618" s="127"/>
    </row>
    <row r="619" spans="2:22" ht="14.25" customHeight="1">
      <c r="B619" s="140"/>
      <c r="C619" s="159"/>
      <c r="D619" s="129"/>
      <c r="E619" s="117"/>
      <c r="F619" s="131"/>
      <c r="G619" s="132"/>
      <c r="H619" s="120"/>
      <c r="I619" s="160"/>
      <c r="J619" s="161"/>
      <c r="K619" s="161"/>
      <c r="L619" s="161"/>
      <c r="M619" s="161"/>
      <c r="N619" s="160"/>
      <c r="O619" s="162"/>
      <c r="P619" s="162"/>
      <c r="Q619" s="162"/>
      <c r="R619" s="162"/>
      <c r="S619" s="133" t="s">
        <v>997</v>
      </c>
      <c r="T619" s="125"/>
      <c r="U619" s="126"/>
      <c r="V619" s="127"/>
    </row>
    <row r="620" spans="2:22" ht="14.25" customHeight="1">
      <c r="B620" s="140"/>
      <c r="C620" s="159"/>
      <c r="D620" s="129"/>
      <c r="E620" s="117"/>
      <c r="F620" s="131"/>
      <c r="G620" s="132"/>
      <c r="H620" s="120"/>
      <c r="I620" s="160"/>
      <c r="J620" s="161"/>
      <c r="K620" s="161"/>
      <c r="L620" s="161"/>
      <c r="M620" s="161"/>
      <c r="N620" s="160"/>
      <c r="O620" s="162"/>
      <c r="P620" s="162"/>
      <c r="Q620" s="162"/>
      <c r="R620" s="162"/>
      <c r="S620" s="137" t="s">
        <v>998</v>
      </c>
      <c r="T620" s="125"/>
      <c r="U620" s="126"/>
      <c r="V620" s="127"/>
    </row>
    <row r="621" spans="2:22" ht="14.25" customHeight="1">
      <c r="B621" s="140"/>
      <c r="C621" s="159"/>
      <c r="D621" s="129"/>
      <c r="E621" s="117"/>
      <c r="F621" s="131"/>
      <c r="G621" s="132"/>
      <c r="H621" s="120"/>
      <c r="I621" s="160"/>
      <c r="J621" s="161"/>
      <c r="K621" s="161"/>
      <c r="L621" s="161"/>
      <c r="M621" s="161"/>
      <c r="N621" s="160"/>
      <c r="O621" s="162"/>
      <c r="P621" s="162"/>
      <c r="Q621" s="162"/>
      <c r="R621" s="162"/>
      <c r="S621" s="196" t="s">
        <v>999</v>
      </c>
      <c r="T621" s="125"/>
      <c r="U621" s="126"/>
      <c r="V621" s="127"/>
    </row>
    <row r="622" spans="2:22" ht="14.25" customHeight="1">
      <c r="B622" s="140"/>
      <c r="C622" s="159"/>
      <c r="D622" s="129"/>
      <c r="E622" s="117"/>
      <c r="F622" s="131"/>
      <c r="G622" s="132"/>
      <c r="H622" s="120"/>
      <c r="I622" s="160"/>
      <c r="J622" s="161"/>
      <c r="K622" s="161"/>
      <c r="L622" s="161"/>
      <c r="M622" s="161"/>
      <c r="N622" s="160"/>
      <c r="O622" s="162"/>
      <c r="P622" s="162"/>
      <c r="Q622" s="162"/>
      <c r="R622" s="162"/>
      <c r="S622" s="196" t="s">
        <v>1000</v>
      </c>
      <c r="T622" s="125"/>
      <c r="U622" s="126"/>
      <c r="V622" s="127"/>
    </row>
    <row r="623" spans="2:22" ht="14.25" customHeight="1">
      <c r="B623" s="140"/>
      <c r="C623" s="159"/>
      <c r="D623" s="129"/>
      <c r="E623" s="117"/>
      <c r="F623" s="131"/>
      <c r="G623" s="132"/>
      <c r="H623" s="120"/>
      <c r="I623" s="160"/>
      <c r="J623" s="161"/>
      <c r="K623" s="161"/>
      <c r="L623" s="161"/>
      <c r="M623" s="161"/>
      <c r="N623" s="160"/>
      <c r="O623" s="162"/>
      <c r="P623" s="162"/>
      <c r="Q623" s="162"/>
      <c r="R623" s="162"/>
      <c r="S623" s="137" t="s">
        <v>1001</v>
      </c>
      <c r="T623" s="125"/>
      <c r="U623" s="126"/>
      <c r="V623" s="127"/>
    </row>
    <row r="624" spans="2:22" ht="14.25" customHeight="1">
      <c r="B624" s="140"/>
      <c r="C624" s="159"/>
      <c r="D624" s="129"/>
      <c r="E624" s="117"/>
      <c r="F624" s="131"/>
      <c r="G624" s="132"/>
      <c r="H624" s="120"/>
      <c r="I624" s="160"/>
      <c r="J624" s="161"/>
      <c r="K624" s="161"/>
      <c r="L624" s="161"/>
      <c r="M624" s="161"/>
      <c r="N624" s="160"/>
      <c r="O624" s="162"/>
      <c r="P624" s="162"/>
      <c r="Q624" s="162"/>
      <c r="R624" s="162"/>
      <c r="S624" s="137"/>
      <c r="T624" s="125"/>
      <c r="U624" s="126"/>
      <c r="V624" s="127"/>
    </row>
    <row r="625" spans="2:22" ht="14.25" customHeight="1">
      <c r="B625" s="140"/>
      <c r="C625" s="159"/>
      <c r="D625" s="129"/>
      <c r="E625" s="117"/>
      <c r="F625" s="131">
        <f>+F615+1</f>
        <v>11</v>
      </c>
      <c r="G625" s="132"/>
      <c r="H625" s="120" t="s">
        <v>1002</v>
      </c>
      <c r="I625" s="121">
        <v>2654000</v>
      </c>
      <c r="J625" s="122">
        <v>393000</v>
      </c>
      <c r="K625" s="122">
        <v>0</v>
      </c>
      <c r="L625" s="122">
        <v>0</v>
      </c>
      <c r="M625" s="122">
        <f>+I625-SUM(J625:L625)</f>
        <v>2261000</v>
      </c>
      <c r="N625" s="121">
        <v>1868625</v>
      </c>
      <c r="O625" s="123">
        <v>393000</v>
      </c>
      <c r="P625" s="123">
        <v>0</v>
      </c>
      <c r="Q625" s="123">
        <v>0</v>
      </c>
      <c r="R625" s="123">
        <f>+N625-SUM(O625:Q625)</f>
        <v>1475625</v>
      </c>
      <c r="S625" s="133" t="s">
        <v>1003</v>
      </c>
      <c r="T625" s="125" t="s">
        <v>1004</v>
      </c>
      <c r="U625" s="126" t="s">
        <v>1005</v>
      </c>
      <c r="V625" s="127"/>
    </row>
    <row r="626" spans="2:22" ht="14.25" customHeight="1">
      <c r="B626" s="140"/>
      <c r="C626" s="159"/>
      <c r="D626" s="129"/>
      <c r="E626" s="117"/>
      <c r="F626" s="131"/>
      <c r="G626" s="132"/>
      <c r="H626" s="120"/>
      <c r="I626" s="160"/>
      <c r="J626" s="161"/>
      <c r="K626" s="161"/>
      <c r="L626" s="161"/>
      <c r="M626" s="161"/>
      <c r="N626" s="160"/>
      <c r="O626" s="162"/>
      <c r="P626" s="162"/>
      <c r="Q626" s="162"/>
      <c r="R626" s="162"/>
      <c r="S626" s="137"/>
      <c r="T626" s="125"/>
      <c r="U626" s="126"/>
      <c r="V626" s="127"/>
    </row>
    <row r="627" spans="2:22" ht="14.25" customHeight="1">
      <c r="B627" s="140"/>
      <c r="C627" s="159"/>
      <c r="D627" s="129"/>
      <c r="E627" s="117"/>
      <c r="F627" s="131">
        <f>+F625+1</f>
        <v>12</v>
      </c>
      <c r="G627" s="132"/>
      <c r="H627" s="120" t="s">
        <v>1006</v>
      </c>
      <c r="I627" s="121">
        <v>-21000</v>
      </c>
      <c r="J627" s="122">
        <v>0</v>
      </c>
      <c r="K627" s="122">
        <v>0</v>
      </c>
      <c r="L627" s="122">
        <v>0</v>
      </c>
      <c r="M627" s="122">
        <f>+I627-SUM(J627:L627)</f>
        <v>-21000</v>
      </c>
      <c r="N627" s="121">
        <v>0</v>
      </c>
      <c r="O627" s="123">
        <v>0</v>
      </c>
      <c r="P627" s="123">
        <v>0</v>
      </c>
      <c r="Q627" s="123">
        <v>0</v>
      </c>
      <c r="R627" s="123">
        <f>+N627-SUM(O627:Q627)</f>
        <v>0</v>
      </c>
      <c r="S627" s="138" t="s">
        <v>272</v>
      </c>
      <c r="T627" s="125"/>
      <c r="U627" s="126"/>
      <c r="V627" s="127"/>
    </row>
    <row r="628" spans="2:22" ht="14.25" customHeight="1">
      <c r="B628" s="140"/>
      <c r="C628" s="159"/>
      <c r="D628" s="129"/>
      <c r="E628" s="117"/>
      <c r="F628" s="131"/>
      <c r="G628" s="132"/>
      <c r="H628" s="120"/>
      <c r="I628" s="160"/>
      <c r="J628" s="161"/>
      <c r="K628" s="161"/>
      <c r="L628" s="161"/>
      <c r="M628" s="161"/>
      <c r="N628" s="160"/>
      <c r="O628" s="162"/>
      <c r="P628" s="162"/>
      <c r="Q628" s="162"/>
      <c r="R628" s="162"/>
      <c r="S628" s="137"/>
      <c r="T628" s="125"/>
      <c r="U628" s="126"/>
      <c r="V628" s="127"/>
    </row>
    <row r="629" spans="2:22" ht="14.25" customHeight="1">
      <c r="B629" s="140"/>
      <c r="C629" s="159"/>
      <c r="D629" s="129"/>
      <c r="E629" s="117" t="s">
        <v>1007</v>
      </c>
      <c r="F629" s="131">
        <f>+F627+1</f>
        <v>13</v>
      </c>
      <c r="G629" s="132"/>
      <c r="H629" s="120" t="s">
        <v>1008</v>
      </c>
      <c r="I629" s="160">
        <v>25148000</v>
      </c>
      <c r="J629" s="161">
        <v>0</v>
      </c>
      <c r="K629" s="161">
        <v>0</v>
      </c>
      <c r="L629" s="161">
        <v>12770000</v>
      </c>
      <c r="M629" s="122">
        <f>+I629-SUM(J629:L629)</f>
        <v>12378000</v>
      </c>
      <c r="N629" s="160">
        <v>24202895</v>
      </c>
      <c r="O629" s="162">
        <v>0</v>
      </c>
      <c r="P629" s="162">
        <v>0</v>
      </c>
      <c r="Q629" s="162">
        <v>12771490</v>
      </c>
      <c r="R629" s="123">
        <f>+N629-SUM(O629:Q629)</f>
        <v>11431405</v>
      </c>
      <c r="S629" s="138" t="s">
        <v>272</v>
      </c>
      <c r="T629" s="184"/>
      <c r="U629" s="139"/>
      <c r="V629" s="127"/>
    </row>
    <row r="630" spans="2:22" ht="14.25" customHeight="1">
      <c r="B630" s="140"/>
      <c r="C630" s="159"/>
      <c r="D630" s="129"/>
      <c r="E630" s="117" t="s">
        <v>1009</v>
      </c>
      <c r="F630" s="131"/>
      <c r="G630" s="132"/>
      <c r="H630" s="120"/>
      <c r="I630" s="160"/>
      <c r="J630" s="161"/>
      <c r="K630" s="161"/>
      <c r="L630" s="161"/>
      <c r="M630" s="161"/>
      <c r="N630" s="160"/>
      <c r="O630" s="162"/>
      <c r="P630" s="162"/>
      <c r="Q630" s="162"/>
      <c r="R630" s="162"/>
      <c r="S630" s="133" t="s">
        <v>1010</v>
      </c>
      <c r="T630" s="184"/>
      <c r="U630" s="139"/>
      <c r="V630" s="127"/>
    </row>
    <row r="631" spans="2:22" ht="14.25" customHeight="1">
      <c r="B631" s="140"/>
      <c r="C631" s="159"/>
      <c r="D631" s="129"/>
      <c r="E631" s="117"/>
      <c r="F631" s="131"/>
      <c r="G631" s="132"/>
      <c r="H631" s="120"/>
      <c r="I631" s="160"/>
      <c r="J631" s="161"/>
      <c r="K631" s="161"/>
      <c r="L631" s="161"/>
      <c r="M631" s="161"/>
      <c r="N631" s="160"/>
      <c r="O631" s="162"/>
      <c r="P631" s="162"/>
      <c r="Q631" s="162"/>
      <c r="R631" s="162"/>
      <c r="S631" s="233" t="s">
        <v>1011</v>
      </c>
      <c r="T631" s="184"/>
      <c r="U631" s="139"/>
      <c r="V631" s="127"/>
    </row>
    <row r="632" spans="2:22" ht="14.25" customHeight="1">
      <c r="B632" s="140"/>
      <c r="C632" s="159"/>
      <c r="D632" s="129"/>
      <c r="E632" s="117"/>
      <c r="F632" s="131"/>
      <c r="G632" s="132"/>
      <c r="H632" s="120"/>
      <c r="I632" s="160"/>
      <c r="J632" s="161"/>
      <c r="K632" s="161"/>
      <c r="L632" s="161"/>
      <c r="M632" s="161"/>
      <c r="N632" s="160"/>
      <c r="O632" s="162"/>
      <c r="P632" s="162"/>
      <c r="Q632" s="162"/>
      <c r="R632" s="162"/>
      <c r="S632" s="133" t="s">
        <v>1012</v>
      </c>
      <c r="T632" s="184"/>
      <c r="U632" s="139"/>
      <c r="V632" s="127"/>
    </row>
    <row r="633" spans="2:22" ht="14.25" customHeight="1">
      <c r="B633" s="140"/>
      <c r="C633" s="159"/>
      <c r="D633" s="129"/>
      <c r="E633" s="117"/>
      <c r="F633" s="131"/>
      <c r="G633" s="132"/>
      <c r="H633" s="120"/>
      <c r="I633" s="160"/>
      <c r="J633" s="161"/>
      <c r="K633" s="161"/>
      <c r="L633" s="161"/>
      <c r="M633" s="161"/>
      <c r="N633" s="160"/>
      <c r="O633" s="162"/>
      <c r="P633" s="162"/>
      <c r="Q633" s="162"/>
      <c r="R633" s="162"/>
      <c r="S633" s="133" t="s">
        <v>1013</v>
      </c>
      <c r="T633" s="184"/>
      <c r="U633" s="139"/>
      <c r="V633" s="127"/>
    </row>
    <row r="634" spans="2:22" ht="14.25" customHeight="1">
      <c r="B634" s="140"/>
      <c r="C634" s="159"/>
      <c r="D634" s="129"/>
      <c r="E634" s="117"/>
      <c r="F634" s="131"/>
      <c r="G634" s="132"/>
      <c r="H634" s="120"/>
      <c r="I634" s="160"/>
      <c r="J634" s="161"/>
      <c r="K634" s="161"/>
      <c r="L634" s="161"/>
      <c r="M634" s="161"/>
      <c r="N634" s="160"/>
      <c r="O634" s="162"/>
      <c r="P634" s="162"/>
      <c r="Q634" s="162"/>
      <c r="R634" s="162"/>
      <c r="S634" s="133"/>
      <c r="T634" s="184"/>
      <c r="U634" s="139"/>
      <c r="V634" s="127"/>
    </row>
    <row r="635" spans="2:22" ht="14.25" customHeight="1">
      <c r="B635" s="140"/>
      <c r="C635" s="159"/>
      <c r="D635" s="129"/>
      <c r="E635" s="117"/>
      <c r="F635" s="131">
        <f>+F629+1</f>
        <v>14</v>
      </c>
      <c r="G635" s="132"/>
      <c r="H635" s="120" t="s">
        <v>1014</v>
      </c>
      <c r="I635" s="121">
        <v>18893000</v>
      </c>
      <c r="J635" s="122">
        <v>0</v>
      </c>
      <c r="K635" s="122">
        <v>0</v>
      </c>
      <c r="L635" s="122">
        <v>10300000</v>
      </c>
      <c r="M635" s="122">
        <f>+I635-SUM(J635:L635)</f>
        <v>8593000</v>
      </c>
      <c r="N635" s="121">
        <v>18285635</v>
      </c>
      <c r="O635" s="123">
        <v>0</v>
      </c>
      <c r="P635" s="123">
        <v>0</v>
      </c>
      <c r="Q635" s="123">
        <f>8101000+2199988</f>
        <v>10300988</v>
      </c>
      <c r="R635" s="123">
        <f>+N635-SUM(O635:Q635)</f>
        <v>7984647</v>
      </c>
      <c r="S635" s="133" t="s">
        <v>1015</v>
      </c>
      <c r="T635" s="125" t="s">
        <v>1016</v>
      </c>
      <c r="U635" s="126" t="s">
        <v>1016</v>
      </c>
      <c r="V635" s="127"/>
    </row>
    <row r="636" spans="2:22" ht="14.25" customHeight="1">
      <c r="B636" s="140"/>
      <c r="C636" s="159"/>
      <c r="D636" s="129"/>
      <c r="E636" s="117"/>
      <c r="F636" s="131"/>
      <c r="G636" s="132"/>
      <c r="H636" s="120"/>
      <c r="I636" s="121"/>
      <c r="J636" s="122"/>
      <c r="K636" s="122"/>
      <c r="L636" s="122"/>
      <c r="M636" s="122"/>
      <c r="N636" s="121"/>
      <c r="O636" s="123"/>
      <c r="P636" s="123"/>
      <c r="Q636" s="123"/>
      <c r="R636" s="123"/>
      <c r="S636" s="133" t="s">
        <v>1017</v>
      </c>
      <c r="T636" s="125"/>
      <c r="U636" s="126"/>
      <c r="V636" s="127"/>
    </row>
    <row r="637" spans="2:22" ht="14.25" customHeight="1">
      <c r="B637" s="140"/>
      <c r="C637" s="159"/>
      <c r="D637" s="129"/>
      <c r="E637" s="117"/>
      <c r="F637" s="131"/>
      <c r="G637" s="132"/>
      <c r="H637" s="120"/>
      <c r="I637" s="121"/>
      <c r="J637" s="122"/>
      <c r="K637" s="122"/>
      <c r="L637" s="122"/>
      <c r="M637" s="122"/>
      <c r="N637" s="121"/>
      <c r="O637" s="123"/>
      <c r="P637" s="123"/>
      <c r="Q637" s="123"/>
      <c r="R637" s="123"/>
      <c r="S637" s="133" t="s">
        <v>1018</v>
      </c>
      <c r="T637" s="125"/>
      <c r="U637" s="126"/>
      <c r="V637" s="127"/>
    </row>
    <row r="638" spans="2:22" ht="14.25" customHeight="1">
      <c r="B638" s="140"/>
      <c r="C638" s="159"/>
      <c r="D638" s="129"/>
      <c r="E638" s="117"/>
      <c r="F638" s="131"/>
      <c r="G638" s="132"/>
      <c r="H638" s="120"/>
      <c r="I638" s="121"/>
      <c r="J638" s="122"/>
      <c r="K638" s="122"/>
      <c r="L638" s="122"/>
      <c r="M638" s="122"/>
      <c r="N638" s="121"/>
      <c r="O638" s="123"/>
      <c r="P638" s="123"/>
      <c r="Q638" s="123"/>
      <c r="R638" s="123"/>
      <c r="S638" s="133"/>
      <c r="T638" s="125"/>
      <c r="U638" s="126"/>
      <c r="V638" s="127"/>
    </row>
    <row r="639" spans="2:22" ht="14.25" customHeight="1">
      <c r="B639" s="140"/>
      <c r="C639" s="159"/>
      <c r="D639" s="129"/>
      <c r="E639" s="117"/>
      <c r="F639" s="131">
        <f>+F635+1</f>
        <v>15</v>
      </c>
      <c r="G639" s="132"/>
      <c r="H639" s="120" t="s">
        <v>1019</v>
      </c>
      <c r="I639" s="121">
        <v>508154000</v>
      </c>
      <c r="J639" s="122">
        <v>252457000</v>
      </c>
      <c r="K639" s="122">
        <v>110000000</v>
      </c>
      <c r="L639" s="122">
        <v>114069000</v>
      </c>
      <c r="M639" s="122">
        <f>+I639-SUM(J639:L639)</f>
        <v>31628000</v>
      </c>
      <c r="N639" s="121">
        <v>485442235</v>
      </c>
      <c r="O639" s="123">
        <v>242480056</v>
      </c>
      <c r="P639" s="123">
        <v>106000000</v>
      </c>
      <c r="Q639" s="123">
        <v>116069000</v>
      </c>
      <c r="R639" s="123">
        <f>+N639-SUM(O639:Q639)</f>
        <v>20893179</v>
      </c>
      <c r="S639" s="133" t="s">
        <v>1020</v>
      </c>
      <c r="T639" s="125" t="s">
        <v>1021</v>
      </c>
      <c r="U639" s="126" t="s">
        <v>1021</v>
      </c>
      <c r="V639" s="127"/>
    </row>
    <row r="640" spans="2:22" ht="14.25" customHeight="1">
      <c r="B640" s="140"/>
      <c r="C640" s="159"/>
      <c r="D640" s="129"/>
      <c r="E640" s="117"/>
      <c r="F640" s="131"/>
      <c r="G640" s="132"/>
      <c r="H640" s="120"/>
      <c r="I640" s="121"/>
      <c r="J640" s="122"/>
      <c r="K640" s="122"/>
      <c r="L640" s="122"/>
      <c r="M640" s="122"/>
      <c r="N640" s="121"/>
      <c r="O640" s="123"/>
      <c r="P640" s="123"/>
      <c r="Q640" s="123"/>
      <c r="R640" s="123"/>
      <c r="S640" s="133" t="s">
        <v>1022</v>
      </c>
      <c r="T640" s="125"/>
      <c r="U640" s="126"/>
      <c r="V640" s="127"/>
    </row>
    <row r="641" spans="2:22" ht="14.25" customHeight="1">
      <c r="B641" s="140"/>
      <c r="C641" s="159"/>
      <c r="D641" s="129"/>
      <c r="E641" s="117"/>
      <c r="F641" s="131"/>
      <c r="G641" s="132"/>
      <c r="H641" s="120"/>
      <c r="I641" s="121"/>
      <c r="J641" s="122"/>
      <c r="K641" s="122"/>
      <c r="L641" s="122"/>
      <c r="M641" s="122"/>
      <c r="N641" s="121"/>
      <c r="O641" s="123"/>
      <c r="P641" s="123"/>
      <c r="Q641" s="123"/>
      <c r="R641" s="123"/>
      <c r="S641" s="133" t="s">
        <v>1023</v>
      </c>
      <c r="T641" s="125"/>
      <c r="U641" s="126"/>
      <c r="V641" s="127"/>
    </row>
    <row r="642" spans="2:22" ht="14.25" customHeight="1">
      <c r="B642" s="140"/>
      <c r="C642" s="159"/>
      <c r="D642" s="129"/>
      <c r="E642" s="117"/>
      <c r="F642" s="131"/>
      <c r="G642" s="132"/>
      <c r="H642" s="120"/>
      <c r="I642" s="121"/>
      <c r="J642" s="122"/>
      <c r="K642" s="122"/>
      <c r="L642" s="122"/>
      <c r="M642" s="122"/>
      <c r="N642" s="121"/>
      <c r="O642" s="123"/>
      <c r="P642" s="123"/>
      <c r="Q642" s="123"/>
      <c r="R642" s="123"/>
      <c r="S642" s="133" t="s">
        <v>1024</v>
      </c>
      <c r="T642" s="125"/>
      <c r="U642" s="126"/>
      <c r="V642" s="127"/>
    </row>
    <row r="643" spans="2:22" ht="14.25" customHeight="1">
      <c r="B643" s="140"/>
      <c r="C643" s="159"/>
      <c r="D643" s="129"/>
      <c r="E643" s="117"/>
      <c r="F643" s="131"/>
      <c r="G643" s="132"/>
      <c r="H643" s="120"/>
      <c r="I643" s="121"/>
      <c r="J643" s="122"/>
      <c r="K643" s="122"/>
      <c r="L643" s="122"/>
      <c r="M643" s="122"/>
      <c r="N643" s="121"/>
      <c r="O643" s="123"/>
      <c r="P643" s="123"/>
      <c r="Q643" s="123"/>
      <c r="R643" s="123"/>
      <c r="S643" s="133" t="s">
        <v>1025</v>
      </c>
      <c r="T643" s="125"/>
      <c r="U643" s="126"/>
      <c r="V643" s="127"/>
    </row>
    <row r="644" spans="2:22" ht="14.25" customHeight="1">
      <c r="B644" s="140"/>
      <c r="C644" s="159"/>
      <c r="D644" s="129"/>
      <c r="E644" s="117"/>
      <c r="F644" s="131"/>
      <c r="G644" s="132"/>
      <c r="H644" s="120"/>
      <c r="I644" s="121"/>
      <c r="J644" s="122"/>
      <c r="K644" s="122"/>
      <c r="L644" s="122"/>
      <c r="M644" s="122"/>
      <c r="N644" s="121"/>
      <c r="O644" s="123"/>
      <c r="P644" s="123"/>
      <c r="Q644" s="123"/>
      <c r="R644" s="123"/>
      <c r="S644" s="133" t="s">
        <v>1026</v>
      </c>
      <c r="T644" s="125"/>
      <c r="U644" s="126"/>
      <c r="V644" s="127"/>
    </row>
    <row r="645" spans="2:22" ht="14.25" customHeight="1">
      <c r="B645" s="140"/>
      <c r="C645" s="159"/>
      <c r="D645" s="129"/>
      <c r="E645" s="117"/>
      <c r="F645" s="131"/>
      <c r="G645" s="132"/>
      <c r="H645" s="120"/>
      <c r="I645" s="121"/>
      <c r="J645" s="122"/>
      <c r="K645" s="122"/>
      <c r="L645" s="122"/>
      <c r="M645" s="122"/>
      <c r="N645" s="121"/>
      <c r="O645" s="123"/>
      <c r="P645" s="123"/>
      <c r="Q645" s="123"/>
      <c r="R645" s="123"/>
      <c r="S645" s="133" t="s">
        <v>1027</v>
      </c>
      <c r="T645" s="125"/>
      <c r="U645" s="126"/>
      <c r="V645" s="127"/>
    </row>
    <row r="646" spans="2:22" ht="14.25" customHeight="1">
      <c r="B646" s="140"/>
      <c r="C646" s="159"/>
      <c r="D646" s="129"/>
      <c r="E646" s="117"/>
      <c r="F646" s="131"/>
      <c r="G646" s="132"/>
      <c r="H646" s="120"/>
      <c r="I646" s="121"/>
      <c r="J646" s="122"/>
      <c r="K646" s="122"/>
      <c r="L646" s="122"/>
      <c r="M646" s="122"/>
      <c r="N646" s="121"/>
      <c r="O646" s="123"/>
      <c r="P646" s="123"/>
      <c r="Q646" s="123"/>
      <c r="R646" s="123"/>
      <c r="S646" s="124" t="s">
        <v>1028</v>
      </c>
      <c r="T646" s="125"/>
      <c r="U646" s="126"/>
      <c r="V646" s="127"/>
    </row>
    <row r="647" spans="2:22" ht="14.25" customHeight="1">
      <c r="B647" s="140"/>
      <c r="C647" s="159"/>
      <c r="D647" s="129"/>
      <c r="E647" s="117"/>
      <c r="F647" s="131"/>
      <c r="G647" s="132"/>
      <c r="H647" s="120"/>
      <c r="I647" s="121"/>
      <c r="J647" s="122"/>
      <c r="K647" s="122"/>
      <c r="L647" s="122"/>
      <c r="M647" s="122"/>
      <c r="N647" s="121"/>
      <c r="O647" s="123"/>
      <c r="P647" s="123"/>
      <c r="Q647" s="123"/>
      <c r="R647" s="123"/>
      <c r="S647" s="124"/>
      <c r="T647" s="125"/>
      <c r="U647" s="126"/>
      <c r="V647" s="127"/>
    </row>
    <row r="648" spans="2:22" ht="14.25" customHeight="1">
      <c r="B648" s="140"/>
      <c r="C648" s="159"/>
      <c r="D648" s="129"/>
      <c r="E648" s="117"/>
      <c r="F648" s="131">
        <f>+F639+1</f>
        <v>16</v>
      </c>
      <c r="G648" s="132"/>
      <c r="H648" s="120" t="s">
        <v>1029</v>
      </c>
      <c r="I648" s="121">
        <v>172966000</v>
      </c>
      <c r="J648" s="122">
        <v>83965000</v>
      </c>
      <c r="K648" s="122">
        <v>49000000</v>
      </c>
      <c r="L648" s="122">
        <v>39582000</v>
      </c>
      <c r="M648" s="122">
        <f>+I648-SUM(J648:L648)</f>
        <v>419000</v>
      </c>
      <c r="N648" s="121">
        <v>0</v>
      </c>
      <c r="O648" s="123">
        <v>0</v>
      </c>
      <c r="P648" s="123">
        <v>0</v>
      </c>
      <c r="Q648" s="123">
        <v>0</v>
      </c>
      <c r="R648" s="123">
        <f>+N648-SUM(O648:Q648)</f>
        <v>0</v>
      </c>
      <c r="S648" s="249" t="s">
        <v>272</v>
      </c>
      <c r="T648" s="125" t="s">
        <v>701</v>
      </c>
      <c r="U648" s="126" t="s">
        <v>950</v>
      </c>
      <c r="V648" s="127"/>
    </row>
    <row r="649" spans="2:22" ht="14.25" customHeight="1">
      <c r="B649" s="140"/>
      <c r="C649" s="159"/>
      <c r="D649" s="129"/>
      <c r="E649" s="117"/>
      <c r="F649" s="131"/>
      <c r="G649" s="132"/>
      <c r="H649" s="120"/>
      <c r="I649" s="121"/>
      <c r="J649" s="122"/>
      <c r="K649" s="122"/>
      <c r="L649" s="122"/>
      <c r="M649" s="122"/>
      <c r="N649" s="121"/>
      <c r="O649" s="123"/>
      <c r="P649" s="123"/>
      <c r="Q649" s="123"/>
      <c r="R649" s="123"/>
      <c r="S649" s="124" t="s">
        <v>1030</v>
      </c>
      <c r="T649" s="125"/>
      <c r="U649" s="126"/>
      <c r="V649" s="127"/>
    </row>
    <row r="650" spans="2:22" ht="14.25" customHeight="1">
      <c r="B650" s="140"/>
      <c r="C650" s="159"/>
      <c r="D650" s="129"/>
      <c r="E650" s="117"/>
      <c r="F650" s="131"/>
      <c r="G650" s="132"/>
      <c r="H650" s="120"/>
      <c r="I650" s="121"/>
      <c r="J650" s="122"/>
      <c r="K650" s="122"/>
      <c r="L650" s="122"/>
      <c r="M650" s="122"/>
      <c r="N650" s="121"/>
      <c r="O650" s="123"/>
      <c r="P650" s="123"/>
      <c r="Q650" s="123"/>
      <c r="R650" s="123"/>
      <c r="S650" s="124"/>
      <c r="T650" s="125"/>
      <c r="U650" s="126"/>
      <c r="V650" s="127"/>
    </row>
    <row r="651" spans="2:22" ht="14.25" customHeight="1">
      <c r="B651" s="140"/>
      <c r="C651" s="159"/>
      <c r="D651" s="129"/>
      <c r="E651" s="117"/>
      <c r="F651" s="131">
        <f>+F648+1</f>
        <v>17</v>
      </c>
      <c r="G651" s="132"/>
      <c r="H651" s="120" t="s">
        <v>1031</v>
      </c>
      <c r="I651" s="121">
        <v>17124000</v>
      </c>
      <c r="J651" s="122">
        <v>8242000</v>
      </c>
      <c r="K651" s="122">
        <v>0</v>
      </c>
      <c r="L651" s="122">
        <v>4121000</v>
      </c>
      <c r="M651" s="122">
        <f>+I651-SUM(J651:L651)</f>
        <v>4761000</v>
      </c>
      <c r="N651" s="121">
        <v>17076988</v>
      </c>
      <c r="O651" s="123">
        <v>8242500</v>
      </c>
      <c r="P651" s="123">
        <v>0</v>
      </c>
      <c r="Q651" s="123">
        <v>4121000</v>
      </c>
      <c r="R651" s="123">
        <f>+N651-SUM(O651:Q651)</f>
        <v>4713488</v>
      </c>
      <c r="S651" s="133" t="s">
        <v>1032</v>
      </c>
      <c r="T651" s="125" t="s">
        <v>890</v>
      </c>
      <c r="U651" s="126" t="s">
        <v>890</v>
      </c>
      <c r="V651" s="127"/>
    </row>
    <row r="652" spans="2:22" ht="14.25" customHeight="1">
      <c r="B652" s="140"/>
      <c r="C652" s="159"/>
      <c r="D652" s="129"/>
      <c r="E652" s="117"/>
      <c r="F652" s="131"/>
      <c r="G652" s="132"/>
      <c r="H652" s="120"/>
      <c r="I652" s="121"/>
      <c r="J652" s="122"/>
      <c r="K652" s="122"/>
      <c r="L652" s="122"/>
      <c r="M652" s="122"/>
      <c r="N652" s="121"/>
      <c r="O652" s="123"/>
      <c r="P652" s="123"/>
      <c r="Q652" s="123"/>
      <c r="R652" s="123"/>
      <c r="S652" s="133" t="s">
        <v>1033</v>
      </c>
      <c r="T652" s="125"/>
      <c r="U652" s="126"/>
      <c r="V652" s="127"/>
    </row>
    <row r="653" spans="2:22" ht="14.25" customHeight="1">
      <c r="B653" s="140"/>
      <c r="C653" s="159"/>
      <c r="D653" s="129"/>
      <c r="E653" s="117"/>
      <c r="F653" s="131"/>
      <c r="G653" s="132"/>
      <c r="H653" s="120"/>
      <c r="I653" s="121"/>
      <c r="J653" s="122"/>
      <c r="K653" s="122"/>
      <c r="L653" s="122"/>
      <c r="M653" s="122"/>
      <c r="N653" s="121"/>
      <c r="O653" s="123"/>
      <c r="P653" s="123"/>
      <c r="Q653" s="123"/>
      <c r="R653" s="123"/>
      <c r="S653" s="133"/>
      <c r="T653" s="125"/>
      <c r="U653" s="126"/>
      <c r="V653" s="127"/>
    </row>
    <row r="654" spans="2:22" ht="14.25" customHeight="1">
      <c r="B654" s="140"/>
      <c r="C654" s="159"/>
      <c r="D654" s="129"/>
      <c r="E654" s="117"/>
      <c r="F654" s="131">
        <f>+F651+1</f>
        <v>18</v>
      </c>
      <c r="G654" s="132"/>
      <c r="H654" s="120" t="s">
        <v>1034</v>
      </c>
      <c r="I654" s="121">
        <v>67161000</v>
      </c>
      <c r="J654" s="122">
        <v>34775000</v>
      </c>
      <c r="K654" s="122">
        <v>6000000</v>
      </c>
      <c r="L654" s="122">
        <v>16031000</v>
      </c>
      <c r="M654" s="122">
        <f>+I654-SUM(J654:L654)</f>
        <v>10355000</v>
      </c>
      <c r="N654" s="121">
        <v>66517711</v>
      </c>
      <c r="O654" s="123">
        <v>34775000</v>
      </c>
      <c r="P654" s="123">
        <v>6000000</v>
      </c>
      <c r="Q654" s="123">
        <f>16031000</f>
        <v>16031000</v>
      </c>
      <c r="R654" s="123">
        <f>+N654-SUM(O654:Q654)</f>
        <v>9711711</v>
      </c>
      <c r="S654" s="133" t="s">
        <v>1035</v>
      </c>
      <c r="T654" s="125" t="s">
        <v>718</v>
      </c>
      <c r="U654" s="126" t="s">
        <v>718</v>
      </c>
      <c r="V654" s="127"/>
    </row>
    <row r="655" spans="2:22" ht="14.25" customHeight="1">
      <c r="B655" s="140"/>
      <c r="C655" s="159"/>
      <c r="D655" s="129"/>
      <c r="E655" s="117"/>
      <c r="F655" s="131"/>
      <c r="G655" s="132"/>
      <c r="H655" s="120"/>
      <c r="I655" s="121"/>
      <c r="J655" s="122"/>
      <c r="K655" s="122"/>
      <c r="L655" s="122"/>
      <c r="M655" s="122"/>
      <c r="N655" s="121"/>
      <c r="O655" s="123"/>
      <c r="P655" s="123"/>
      <c r="Q655" s="123"/>
      <c r="R655" s="123"/>
      <c r="S655" s="133" t="s">
        <v>1036</v>
      </c>
      <c r="T655" s="125"/>
      <c r="U655" s="126"/>
      <c r="V655" s="127"/>
    </row>
    <row r="656" spans="2:22" ht="14.25" customHeight="1">
      <c r="B656" s="140"/>
      <c r="C656" s="159"/>
      <c r="D656" s="129"/>
      <c r="E656" s="117"/>
      <c r="F656" s="131"/>
      <c r="G656" s="132"/>
      <c r="H656" s="120"/>
      <c r="I656" s="121"/>
      <c r="J656" s="122"/>
      <c r="K656" s="122"/>
      <c r="L656" s="122"/>
      <c r="M656" s="122"/>
      <c r="N656" s="121"/>
      <c r="O656" s="123"/>
      <c r="P656" s="123"/>
      <c r="Q656" s="123"/>
      <c r="R656" s="123"/>
      <c r="S656" s="133" t="s">
        <v>1037</v>
      </c>
      <c r="T656" s="125"/>
      <c r="U656" s="126"/>
      <c r="V656" s="127"/>
    </row>
    <row r="657" spans="2:22" ht="14.25" customHeight="1">
      <c r="B657" s="140"/>
      <c r="C657" s="159"/>
      <c r="D657" s="129"/>
      <c r="E657" s="117"/>
      <c r="F657" s="131"/>
      <c r="G657" s="132"/>
      <c r="H657" s="120"/>
      <c r="I657" s="121"/>
      <c r="J657" s="122"/>
      <c r="K657" s="122"/>
      <c r="L657" s="122"/>
      <c r="M657" s="122"/>
      <c r="N657" s="121"/>
      <c r="O657" s="123"/>
      <c r="P657" s="123"/>
      <c r="Q657" s="123"/>
      <c r="R657" s="123"/>
      <c r="S657" s="133" t="s">
        <v>1038</v>
      </c>
      <c r="T657" s="125"/>
      <c r="U657" s="126"/>
      <c r="V657" s="127"/>
    </row>
    <row r="658" spans="2:22" ht="14.25" customHeight="1">
      <c r="B658" s="140"/>
      <c r="C658" s="159"/>
      <c r="D658" s="129"/>
      <c r="E658" s="117"/>
      <c r="F658" s="131"/>
      <c r="G658" s="132"/>
      <c r="H658" s="120"/>
      <c r="I658" s="121"/>
      <c r="J658" s="122"/>
      <c r="K658" s="122"/>
      <c r="L658" s="122"/>
      <c r="M658" s="122"/>
      <c r="N658" s="121"/>
      <c r="O658" s="123"/>
      <c r="P658" s="123"/>
      <c r="Q658" s="123"/>
      <c r="R658" s="123"/>
      <c r="S658" s="133" t="s">
        <v>1039</v>
      </c>
      <c r="T658" s="125"/>
      <c r="U658" s="126"/>
      <c r="V658" s="127"/>
    </row>
    <row r="659" spans="2:22" ht="14.25" customHeight="1">
      <c r="B659" s="140"/>
      <c r="C659" s="159"/>
      <c r="D659" s="129"/>
      <c r="E659" s="117"/>
      <c r="F659" s="131"/>
      <c r="G659" s="132"/>
      <c r="H659" s="120"/>
      <c r="I659" s="121"/>
      <c r="J659" s="122"/>
      <c r="K659" s="122"/>
      <c r="L659" s="122"/>
      <c r="M659" s="122"/>
      <c r="N659" s="121"/>
      <c r="O659" s="123"/>
      <c r="P659" s="123"/>
      <c r="Q659" s="123"/>
      <c r="R659" s="123"/>
      <c r="S659" s="133"/>
      <c r="T659" s="125"/>
      <c r="U659" s="126"/>
      <c r="V659" s="127"/>
    </row>
    <row r="660" spans="2:22" ht="14.25" customHeight="1">
      <c r="B660" s="140"/>
      <c r="C660" s="159"/>
      <c r="D660" s="129"/>
      <c r="E660" s="117"/>
      <c r="F660" s="131"/>
      <c r="G660" s="132"/>
      <c r="H660" s="120"/>
      <c r="I660" s="121"/>
      <c r="J660" s="122"/>
      <c r="K660" s="122"/>
      <c r="L660" s="122"/>
      <c r="M660" s="122"/>
      <c r="N660" s="121"/>
      <c r="O660" s="123"/>
      <c r="P660" s="123"/>
      <c r="Q660" s="123"/>
      <c r="R660" s="123"/>
      <c r="S660" s="133"/>
      <c r="T660" s="125"/>
      <c r="U660" s="126"/>
      <c r="V660" s="127"/>
    </row>
    <row r="661" spans="2:22" ht="14.25" customHeight="1">
      <c r="B661" s="140"/>
      <c r="C661" s="159"/>
      <c r="D661" s="129"/>
      <c r="E661" s="117"/>
      <c r="F661" s="131"/>
      <c r="G661" s="132"/>
      <c r="H661" s="120"/>
      <c r="I661" s="121"/>
      <c r="J661" s="122"/>
      <c r="K661" s="122"/>
      <c r="L661" s="122"/>
      <c r="M661" s="122"/>
      <c r="N661" s="121"/>
      <c r="O661" s="123"/>
      <c r="P661" s="123"/>
      <c r="Q661" s="123"/>
      <c r="R661" s="123"/>
      <c r="S661" s="133"/>
      <c r="T661" s="125"/>
      <c r="U661" s="126"/>
      <c r="V661" s="127"/>
    </row>
    <row r="662" spans="2:22" ht="14.25" customHeight="1">
      <c r="B662" s="140"/>
      <c r="C662" s="159"/>
      <c r="D662" s="129"/>
      <c r="E662" s="117"/>
      <c r="F662" s="131"/>
      <c r="G662" s="132"/>
      <c r="H662" s="120"/>
      <c r="I662" s="121"/>
      <c r="J662" s="122"/>
      <c r="K662" s="122"/>
      <c r="L662" s="122"/>
      <c r="M662" s="122"/>
      <c r="N662" s="121"/>
      <c r="O662" s="123"/>
      <c r="P662" s="123"/>
      <c r="Q662" s="123"/>
      <c r="R662" s="123"/>
      <c r="S662" s="133"/>
      <c r="T662" s="125"/>
      <c r="U662" s="126"/>
      <c r="V662" s="127"/>
    </row>
    <row r="663" spans="2:22" ht="14.25" customHeight="1">
      <c r="B663" s="140"/>
      <c r="C663" s="159"/>
      <c r="D663" s="129"/>
      <c r="E663" s="117"/>
      <c r="F663" s="131"/>
      <c r="G663" s="132"/>
      <c r="H663" s="120"/>
      <c r="I663" s="121"/>
      <c r="J663" s="122"/>
      <c r="K663" s="122"/>
      <c r="L663" s="122"/>
      <c r="M663" s="122"/>
      <c r="N663" s="121"/>
      <c r="O663" s="123"/>
      <c r="P663" s="123"/>
      <c r="Q663" s="123"/>
      <c r="R663" s="123"/>
      <c r="S663" s="133"/>
      <c r="T663" s="125"/>
      <c r="U663" s="126"/>
      <c r="V663" s="127"/>
    </row>
    <row r="664" spans="2:22" ht="14.25" customHeight="1">
      <c r="B664" s="140"/>
      <c r="C664" s="159"/>
      <c r="D664" s="129"/>
      <c r="E664" s="117"/>
      <c r="F664" s="131"/>
      <c r="G664" s="132"/>
      <c r="H664" s="120"/>
      <c r="I664" s="121"/>
      <c r="J664" s="122"/>
      <c r="K664" s="122"/>
      <c r="L664" s="122"/>
      <c r="M664" s="122"/>
      <c r="N664" s="121"/>
      <c r="O664" s="123"/>
      <c r="P664" s="123"/>
      <c r="Q664" s="123"/>
      <c r="R664" s="123"/>
      <c r="S664" s="133"/>
      <c r="T664" s="125"/>
      <c r="U664" s="126"/>
      <c r="V664" s="127"/>
    </row>
    <row r="665" spans="2:22" ht="14.25" customHeight="1" thickBot="1">
      <c r="B665" s="147"/>
      <c r="C665" s="213"/>
      <c r="D665" s="148"/>
      <c r="E665" s="190"/>
      <c r="F665" s="150"/>
      <c r="G665" s="151"/>
      <c r="H665" s="191"/>
      <c r="I665" s="192"/>
      <c r="J665" s="193"/>
      <c r="K665" s="193"/>
      <c r="L665" s="193"/>
      <c r="M665" s="193"/>
      <c r="N665" s="192"/>
      <c r="O665" s="194"/>
      <c r="P665" s="194"/>
      <c r="Q665" s="194"/>
      <c r="R665" s="194"/>
      <c r="S665" s="195"/>
      <c r="T665" s="157"/>
      <c r="U665" s="158"/>
      <c r="V665" s="127"/>
    </row>
    <row r="666" spans="2:22" ht="14.25" customHeight="1">
      <c r="B666" s="140"/>
      <c r="C666" s="159"/>
      <c r="D666" s="129"/>
      <c r="E666" s="117"/>
      <c r="F666" s="131">
        <f>+F654+1</f>
        <v>19</v>
      </c>
      <c r="G666" s="132"/>
      <c r="H666" s="120" t="s">
        <v>1040</v>
      </c>
      <c r="I666" s="121">
        <v>269815000</v>
      </c>
      <c r="J666" s="122">
        <v>136081000</v>
      </c>
      <c r="K666" s="122">
        <v>49000000</v>
      </c>
      <c r="L666" s="122">
        <v>59488000</v>
      </c>
      <c r="M666" s="122">
        <f>+I666-SUM(J666:L666)</f>
        <v>25246000</v>
      </c>
      <c r="N666" s="121">
        <v>250636625</v>
      </c>
      <c r="O666" s="123">
        <v>128579000</v>
      </c>
      <c r="P666" s="123">
        <v>46000000</v>
      </c>
      <c r="Q666" s="123">
        <v>58732500</v>
      </c>
      <c r="R666" s="123">
        <f>+N666-SUM(O666:Q666)</f>
        <v>17325125</v>
      </c>
      <c r="S666" s="202" t="s">
        <v>1041</v>
      </c>
      <c r="T666" s="125" t="s">
        <v>1042</v>
      </c>
      <c r="U666" s="126" t="s">
        <v>1042</v>
      </c>
      <c r="V666" s="127"/>
    </row>
    <row r="667" spans="2:22" ht="14.25" customHeight="1">
      <c r="B667" s="140"/>
      <c r="C667" s="159"/>
      <c r="D667" s="129"/>
      <c r="E667" s="117"/>
      <c r="F667" s="131"/>
      <c r="G667" s="132"/>
      <c r="H667" s="120"/>
      <c r="I667" s="121"/>
      <c r="J667" s="122"/>
      <c r="K667" s="122"/>
      <c r="L667" s="122"/>
      <c r="M667" s="122"/>
      <c r="N667" s="121"/>
      <c r="O667" s="123"/>
      <c r="P667" s="123"/>
      <c r="Q667" s="123"/>
      <c r="R667" s="123"/>
      <c r="S667" s="181" t="s">
        <v>1043</v>
      </c>
      <c r="T667" s="125"/>
      <c r="U667" s="126"/>
      <c r="V667" s="127"/>
    </row>
    <row r="668" spans="2:22" ht="14.25" customHeight="1">
      <c r="B668" s="140"/>
      <c r="C668" s="159"/>
      <c r="D668" s="129"/>
      <c r="E668" s="117"/>
      <c r="F668" s="131"/>
      <c r="G668" s="132"/>
      <c r="H668" s="120"/>
      <c r="I668" s="121"/>
      <c r="J668" s="122"/>
      <c r="K668" s="122"/>
      <c r="L668" s="122"/>
      <c r="M668" s="122"/>
      <c r="N668" s="121"/>
      <c r="O668" s="123"/>
      <c r="P668" s="123"/>
      <c r="Q668" s="123"/>
      <c r="R668" s="123"/>
      <c r="S668" s="181" t="s">
        <v>1044</v>
      </c>
      <c r="T668" s="125"/>
      <c r="U668" s="126"/>
      <c r="V668" s="127"/>
    </row>
    <row r="669" spans="2:22" ht="14.25" customHeight="1">
      <c r="B669" s="140"/>
      <c r="C669" s="159"/>
      <c r="D669" s="129"/>
      <c r="E669" s="117"/>
      <c r="F669" s="131"/>
      <c r="G669" s="132"/>
      <c r="H669" s="120"/>
      <c r="I669" s="121"/>
      <c r="J669" s="122"/>
      <c r="K669" s="122"/>
      <c r="L669" s="122"/>
      <c r="M669" s="122"/>
      <c r="N669" s="121"/>
      <c r="O669" s="123"/>
      <c r="P669" s="123"/>
      <c r="Q669" s="123"/>
      <c r="R669" s="123"/>
      <c r="S669" s="133" t="s">
        <v>1045</v>
      </c>
      <c r="T669" s="125"/>
      <c r="U669" s="126"/>
      <c r="V669" s="127"/>
    </row>
    <row r="670" spans="2:22" ht="14.25" customHeight="1">
      <c r="B670" s="140"/>
      <c r="C670" s="159"/>
      <c r="D670" s="129"/>
      <c r="E670" s="117"/>
      <c r="F670" s="131"/>
      <c r="G670" s="132"/>
      <c r="H670" s="120"/>
      <c r="I670" s="121"/>
      <c r="J670" s="122"/>
      <c r="K670" s="122"/>
      <c r="L670" s="122"/>
      <c r="M670" s="122"/>
      <c r="N670" s="121"/>
      <c r="O670" s="123"/>
      <c r="P670" s="123"/>
      <c r="Q670" s="123"/>
      <c r="R670" s="123"/>
      <c r="S670" s="133" t="s">
        <v>1046</v>
      </c>
      <c r="T670" s="125"/>
      <c r="U670" s="126"/>
      <c r="V670" s="127"/>
    </row>
    <row r="671" spans="2:22" ht="14.25" customHeight="1">
      <c r="B671" s="140"/>
      <c r="C671" s="159"/>
      <c r="D671" s="129"/>
      <c r="E671" s="117"/>
      <c r="F671" s="131"/>
      <c r="G671" s="132"/>
      <c r="H671" s="120"/>
      <c r="I671" s="121"/>
      <c r="J671" s="122"/>
      <c r="K671" s="122"/>
      <c r="L671" s="122"/>
      <c r="M671" s="122"/>
      <c r="N671" s="121"/>
      <c r="O671" s="123"/>
      <c r="P671" s="123"/>
      <c r="Q671" s="123"/>
      <c r="R671" s="123"/>
      <c r="S671" s="133" t="s">
        <v>1047</v>
      </c>
      <c r="T671" s="125"/>
      <c r="U671" s="126"/>
      <c r="V671" s="127"/>
    </row>
    <row r="672" spans="2:22" ht="14.25" customHeight="1">
      <c r="B672" s="140"/>
      <c r="C672" s="159"/>
      <c r="D672" s="129"/>
      <c r="E672" s="117"/>
      <c r="F672" s="131"/>
      <c r="G672" s="132"/>
      <c r="H672" s="120"/>
      <c r="I672" s="121"/>
      <c r="J672" s="122"/>
      <c r="K672" s="122"/>
      <c r="L672" s="122"/>
      <c r="M672" s="122"/>
      <c r="N672" s="121"/>
      <c r="O672" s="123"/>
      <c r="P672" s="123"/>
      <c r="Q672" s="123"/>
      <c r="R672" s="123"/>
      <c r="S672" s="133" t="s">
        <v>1048</v>
      </c>
      <c r="T672" s="125"/>
      <c r="U672" s="126"/>
      <c r="V672" s="135"/>
    </row>
    <row r="673" spans="2:22" ht="14.25" customHeight="1">
      <c r="B673" s="115"/>
      <c r="C673" s="159"/>
      <c r="D673" s="129"/>
      <c r="E673" s="117"/>
      <c r="F673" s="131"/>
      <c r="G673" s="132"/>
      <c r="H673" s="120"/>
      <c r="I673" s="160"/>
      <c r="J673" s="161"/>
      <c r="K673" s="161"/>
      <c r="L673" s="161"/>
      <c r="M673" s="161"/>
      <c r="N673" s="160"/>
      <c r="O673" s="162"/>
      <c r="P673" s="162"/>
      <c r="Q673" s="162"/>
      <c r="R673" s="162"/>
      <c r="S673" s="124" t="s">
        <v>1049</v>
      </c>
      <c r="T673" s="125"/>
      <c r="U673" s="126"/>
      <c r="V673" s="135"/>
    </row>
    <row r="674" spans="2:22" ht="14.25" customHeight="1" thickBot="1">
      <c r="B674" s="250"/>
      <c r="C674" s="213"/>
      <c r="D674" s="148"/>
      <c r="E674" s="190"/>
      <c r="F674" s="150"/>
      <c r="G674" s="151"/>
      <c r="H674" s="191"/>
      <c r="I674" s="153"/>
      <c r="J674" s="154"/>
      <c r="K674" s="154"/>
      <c r="L674" s="154"/>
      <c r="M674" s="154"/>
      <c r="N674" s="153"/>
      <c r="O674" s="155"/>
      <c r="P674" s="155"/>
      <c r="Q674" s="155"/>
      <c r="R674" s="155"/>
      <c r="S674" s="221"/>
      <c r="T674" s="157"/>
      <c r="U674" s="158"/>
      <c r="V674" s="135"/>
    </row>
    <row r="675" spans="2:22" ht="14.25" customHeight="1">
      <c r="B675" s="115"/>
      <c r="C675" s="159"/>
      <c r="D675" s="129"/>
      <c r="E675" s="117"/>
      <c r="F675" s="131"/>
      <c r="G675" s="132"/>
      <c r="H675" s="120"/>
      <c r="I675" s="160"/>
      <c r="J675" s="161"/>
      <c r="K675" s="161"/>
      <c r="L675" s="161"/>
      <c r="M675" s="161"/>
      <c r="N675" s="160"/>
      <c r="O675" s="162"/>
      <c r="P675" s="162"/>
      <c r="Q675" s="162"/>
      <c r="R675" s="162"/>
      <c r="S675" s="124"/>
      <c r="T675" s="125"/>
      <c r="U675" s="126"/>
      <c r="V675" s="135"/>
    </row>
    <row r="676" spans="2:22" ht="14.25" customHeight="1">
      <c r="B676" s="115" t="s">
        <v>129</v>
      </c>
      <c r="C676" s="129">
        <f>SUM(I676:I686)</f>
        <v>151220000</v>
      </c>
      <c r="D676" s="129">
        <f>SUM(N676:N686)</f>
        <v>114337954</v>
      </c>
      <c r="E676" s="117" t="s">
        <v>1050</v>
      </c>
      <c r="F676" s="131">
        <v>1</v>
      </c>
      <c r="G676" s="132"/>
      <c r="H676" s="120" t="s">
        <v>1051</v>
      </c>
      <c r="I676" s="121">
        <v>115257000</v>
      </c>
      <c r="J676" s="122">
        <v>106757000</v>
      </c>
      <c r="K676" s="122">
        <v>2000000</v>
      </c>
      <c r="L676" s="122">
        <v>3906000</v>
      </c>
      <c r="M676" s="122">
        <f>+I676-SUM(J676:L676)</f>
        <v>2594000</v>
      </c>
      <c r="N676" s="121">
        <v>83010050</v>
      </c>
      <c r="O676" s="123">
        <v>106358067</v>
      </c>
      <c r="P676" s="123">
        <v>2000000</v>
      </c>
      <c r="Q676" s="123">
        <v>3686000</v>
      </c>
      <c r="R676" s="123">
        <f>+N676-SUM(O676:Q676)</f>
        <v>-29034017</v>
      </c>
      <c r="S676" s="133" t="s">
        <v>1052</v>
      </c>
      <c r="T676" s="125" t="s">
        <v>1053</v>
      </c>
      <c r="U676" s="126" t="s">
        <v>1053</v>
      </c>
      <c r="V676" s="135"/>
    </row>
    <row r="677" spans="2:22" ht="14.25" customHeight="1">
      <c r="B677" s="115" t="s">
        <v>132</v>
      </c>
      <c r="C677" s="129"/>
      <c r="D677" s="116"/>
      <c r="E677" s="117" t="s">
        <v>1054</v>
      </c>
      <c r="F677" s="131"/>
      <c r="G677" s="132"/>
      <c r="H677" s="120"/>
      <c r="I677" s="160"/>
      <c r="J677" s="161"/>
      <c r="K677" s="161"/>
      <c r="L677" s="161"/>
      <c r="M677" s="161"/>
      <c r="N677" s="160"/>
      <c r="O677" s="162"/>
      <c r="P677" s="162"/>
      <c r="Q677" s="162"/>
      <c r="R677" s="162"/>
      <c r="S677" s="133" t="s">
        <v>1055</v>
      </c>
      <c r="T677" s="125"/>
      <c r="U677" s="126"/>
      <c r="V677" s="135"/>
    </row>
    <row r="678" spans="2:22" ht="14.25" customHeight="1">
      <c r="B678" s="115"/>
      <c r="C678" s="129" t="s">
        <v>26</v>
      </c>
      <c r="D678" s="129" t="s">
        <v>26</v>
      </c>
      <c r="E678" s="117"/>
      <c r="F678" s="131"/>
      <c r="G678" s="132"/>
      <c r="H678" s="120"/>
      <c r="I678" s="160"/>
      <c r="J678" s="161"/>
      <c r="K678" s="161"/>
      <c r="L678" s="161"/>
      <c r="M678" s="161"/>
      <c r="N678" s="160"/>
      <c r="O678" s="162"/>
      <c r="P678" s="162"/>
      <c r="Q678" s="162"/>
      <c r="R678" s="162"/>
      <c r="S678" s="133" t="s">
        <v>1056</v>
      </c>
      <c r="T678" s="125"/>
      <c r="U678" s="126"/>
      <c r="V678" s="135"/>
    </row>
    <row r="679" spans="2:22" ht="14.25" customHeight="1">
      <c r="B679" s="140"/>
      <c r="C679" s="129">
        <f>SUM(J676:J686)</f>
        <v>142575000</v>
      </c>
      <c r="D679" s="129">
        <f>SUM(O676:O686)</f>
        <v>106358067</v>
      </c>
      <c r="E679" s="117"/>
      <c r="F679" s="131"/>
      <c r="G679" s="119"/>
      <c r="H679" s="120"/>
      <c r="I679" s="160"/>
      <c r="J679" s="161"/>
      <c r="K679" s="161"/>
      <c r="L679" s="161"/>
      <c r="M679" s="161"/>
      <c r="N679" s="160"/>
      <c r="O679" s="162"/>
      <c r="P679" s="162"/>
      <c r="Q679" s="162"/>
      <c r="R679" s="162"/>
      <c r="S679" s="133" t="s">
        <v>1057</v>
      </c>
      <c r="T679" s="125"/>
      <c r="U679" s="126"/>
      <c r="V679" s="135"/>
    </row>
    <row r="680" spans="2:22" ht="14.25" customHeight="1">
      <c r="B680" s="140"/>
      <c r="C680" s="129" t="s">
        <v>41</v>
      </c>
      <c r="D680" s="129" t="s">
        <v>41</v>
      </c>
      <c r="E680" s="117"/>
      <c r="F680" s="131"/>
      <c r="G680" s="119"/>
      <c r="H680" s="120"/>
      <c r="I680" s="160"/>
      <c r="J680" s="161"/>
      <c r="K680" s="161"/>
      <c r="L680" s="161"/>
      <c r="M680" s="161"/>
      <c r="N680" s="160"/>
      <c r="O680" s="162"/>
      <c r="P680" s="162"/>
      <c r="Q680" s="162"/>
      <c r="R680" s="162"/>
      <c r="S680" s="133" t="s">
        <v>1058</v>
      </c>
      <c r="T680" s="125"/>
      <c r="U680" s="126"/>
      <c r="V680" s="135"/>
    </row>
    <row r="681" spans="2:22" ht="14.25" customHeight="1">
      <c r="B681" s="140"/>
      <c r="C681" s="129">
        <f>SUM(K672:K685)</f>
        <v>2000000</v>
      </c>
      <c r="D681" s="129">
        <f>SUM(P672:P685)</f>
        <v>2000000</v>
      </c>
      <c r="E681" s="117"/>
      <c r="F681" s="131"/>
      <c r="G681" s="119"/>
      <c r="H681" s="120"/>
      <c r="I681" s="160"/>
      <c r="J681" s="161"/>
      <c r="K681" s="161"/>
      <c r="L681" s="161"/>
      <c r="M681" s="161"/>
      <c r="N681" s="160"/>
      <c r="O681" s="162"/>
      <c r="P681" s="162"/>
      <c r="Q681" s="162"/>
      <c r="R681" s="162"/>
      <c r="S681" s="133" t="s">
        <v>1059</v>
      </c>
      <c r="T681" s="125"/>
      <c r="U681" s="126"/>
      <c r="V681" s="135"/>
    </row>
    <row r="682" spans="2:22" ht="14.25" customHeight="1">
      <c r="B682" s="140"/>
      <c r="C682" s="129" t="s">
        <v>15</v>
      </c>
      <c r="D682" s="129" t="s">
        <v>15</v>
      </c>
      <c r="E682" s="117"/>
      <c r="F682" s="131"/>
      <c r="G682" s="119"/>
      <c r="H682" s="120"/>
      <c r="I682" s="160"/>
      <c r="J682" s="161"/>
      <c r="K682" s="161"/>
      <c r="L682" s="161"/>
      <c r="M682" s="161"/>
      <c r="N682" s="160"/>
      <c r="O682" s="162"/>
      <c r="P682" s="162"/>
      <c r="Q682" s="162"/>
      <c r="R682" s="162"/>
      <c r="S682" s="133"/>
      <c r="T682" s="125"/>
      <c r="U682" s="126"/>
      <c r="V682" s="135"/>
    </row>
    <row r="683" spans="2:22" ht="14.25" customHeight="1">
      <c r="B683" s="140"/>
      <c r="C683" s="129">
        <f>SUM(L672:L685)</f>
        <v>3906000</v>
      </c>
      <c r="D683" s="129">
        <f>SUM(Q672:Q685)</f>
        <v>3686000</v>
      </c>
      <c r="E683" s="117"/>
      <c r="F683" s="131">
        <f>+F676+1</f>
        <v>2</v>
      </c>
      <c r="G683" s="132"/>
      <c r="H683" s="120" t="s">
        <v>1060</v>
      </c>
      <c r="I683" s="121">
        <v>35963000</v>
      </c>
      <c r="J683" s="122">
        <v>35818000</v>
      </c>
      <c r="K683" s="122">
        <v>0</v>
      </c>
      <c r="L683" s="122">
        <v>0</v>
      </c>
      <c r="M683" s="122">
        <f>+I683-SUM(J683:L683)</f>
        <v>145000</v>
      </c>
      <c r="N683" s="121">
        <v>31327904</v>
      </c>
      <c r="O683" s="123">
        <v>0</v>
      </c>
      <c r="P683" s="123">
        <v>0</v>
      </c>
      <c r="Q683" s="123">
        <v>0</v>
      </c>
      <c r="R683" s="123">
        <f>+N683-SUM(O683:Q683)</f>
        <v>31327904</v>
      </c>
      <c r="S683" s="133" t="s">
        <v>1061</v>
      </c>
      <c r="T683" s="125" t="s">
        <v>1062</v>
      </c>
      <c r="U683" s="126" t="s">
        <v>1062</v>
      </c>
      <c r="V683" s="135"/>
    </row>
    <row r="684" spans="2:22" ht="14.25" customHeight="1">
      <c r="B684" s="140"/>
      <c r="C684" s="129" t="s">
        <v>18</v>
      </c>
      <c r="D684" s="129" t="s">
        <v>18</v>
      </c>
      <c r="E684" s="117"/>
      <c r="F684" s="131"/>
      <c r="G684" s="132"/>
      <c r="H684" s="120"/>
      <c r="I684" s="121"/>
      <c r="J684" s="122"/>
      <c r="K684" s="122"/>
      <c r="L684" s="122"/>
      <c r="M684" s="122"/>
      <c r="N684" s="121"/>
      <c r="O684" s="123"/>
      <c r="P684" s="123"/>
      <c r="Q684" s="123"/>
      <c r="R684" s="123"/>
      <c r="S684" s="133" t="s">
        <v>1063</v>
      </c>
      <c r="T684" s="125"/>
      <c r="U684" s="126"/>
      <c r="V684" s="135"/>
    </row>
    <row r="685" spans="2:22" ht="14.25" customHeight="1">
      <c r="B685" s="140"/>
      <c r="C685" s="129">
        <f>C676-C679-C681-C683</f>
        <v>2739000</v>
      </c>
      <c r="D685" s="129">
        <f>D676-D679-D681-D683</f>
        <v>2293887</v>
      </c>
      <c r="E685" s="117"/>
      <c r="F685" s="131"/>
      <c r="G685" s="132"/>
      <c r="H685" s="120"/>
      <c r="I685" s="121"/>
      <c r="J685" s="122"/>
      <c r="K685" s="122"/>
      <c r="L685" s="122"/>
      <c r="M685" s="122"/>
      <c r="N685" s="121"/>
      <c r="O685" s="123"/>
      <c r="P685" s="123"/>
      <c r="Q685" s="123"/>
      <c r="R685" s="123"/>
      <c r="S685" s="133" t="s">
        <v>1064</v>
      </c>
      <c r="T685" s="125"/>
      <c r="U685" s="126"/>
      <c r="V685" s="135"/>
    </row>
    <row r="686" spans="2:22" ht="14.25" customHeight="1" thickBot="1">
      <c r="B686" s="115"/>
      <c r="C686" s="159"/>
      <c r="D686" s="129"/>
      <c r="E686" s="117"/>
      <c r="F686" s="131"/>
      <c r="G686" s="132"/>
      <c r="H686" s="120"/>
      <c r="I686" s="121"/>
      <c r="J686" s="122"/>
      <c r="K686" s="122"/>
      <c r="L686" s="122"/>
      <c r="M686" s="161"/>
      <c r="N686" s="121"/>
      <c r="O686" s="123"/>
      <c r="P686" s="123"/>
      <c r="Q686" s="123"/>
      <c r="R686" s="162"/>
      <c r="S686" s="137"/>
      <c r="T686" s="125"/>
      <c r="U686" s="126"/>
      <c r="V686" s="135"/>
    </row>
    <row r="687" spans="2:22" ht="14.25" customHeight="1">
      <c r="B687" s="168"/>
      <c r="C687" s="169"/>
      <c r="D687" s="170"/>
      <c r="E687" s="171"/>
      <c r="F687" s="172"/>
      <c r="G687" s="173"/>
      <c r="H687" s="174"/>
      <c r="I687" s="175"/>
      <c r="J687" s="176"/>
      <c r="K687" s="176"/>
      <c r="L687" s="176"/>
      <c r="M687" s="176"/>
      <c r="N687" s="175"/>
      <c r="O687" s="177"/>
      <c r="P687" s="177"/>
      <c r="Q687" s="177"/>
      <c r="R687" s="177"/>
      <c r="S687" s="178"/>
      <c r="T687" s="222"/>
      <c r="U687" s="180"/>
      <c r="V687" s="135"/>
    </row>
    <row r="688" spans="2:22" ht="14.25" customHeight="1">
      <c r="B688" s="115" t="s">
        <v>1065</v>
      </c>
      <c r="C688" s="129">
        <f>SUM(I688:I718)</f>
        <v>717563000</v>
      </c>
      <c r="D688" s="129">
        <f>SUM(N688:N718)</f>
        <v>714887170</v>
      </c>
      <c r="E688" s="117" t="s">
        <v>1066</v>
      </c>
      <c r="F688" s="131">
        <v>1</v>
      </c>
      <c r="G688" s="132"/>
      <c r="H688" s="120" t="s">
        <v>1067</v>
      </c>
      <c r="I688" s="160">
        <v>115000000</v>
      </c>
      <c r="J688" s="161">
        <v>0</v>
      </c>
      <c r="K688" s="161">
        <v>0</v>
      </c>
      <c r="L688" s="161">
        <v>0</v>
      </c>
      <c r="M688" s="122">
        <f>+I688-SUM(J688:L688)</f>
        <v>115000000</v>
      </c>
      <c r="N688" s="160">
        <v>115000000</v>
      </c>
      <c r="O688" s="162">
        <v>0</v>
      </c>
      <c r="P688" s="162">
        <v>0</v>
      </c>
      <c r="Q688" s="162">
        <v>0</v>
      </c>
      <c r="R688" s="123">
        <f>+N688-SUM(O688:Q688)</f>
        <v>115000000</v>
      </c>
      <c r="S688" s="138" t="s">
        <v>272</v>
      </c>
      <c r="T688" s="184"/>
      <c r="U688" s="139"/>
      <c r="V688" s="135"/>
    </row>
    <row r="689" spans="2:22" ht="14.25" customHeight="1">
      <c r="B689" s="115" t="s">
        <v>280</v>
      </c>
      <c r="C689" s="129"/>
      <c r="D689" s="116"/>
      <c r="E689" s="117"/>
      <c r="F689" s="131"/>
      <c r="G689" s="132"/>
      <c r="H689" s="120"/>
      <c r="I689" s="160"/>
      <c r="J689" s="161"/>
      <c r="K689" s="161"/>
      <c r="L689" s="161"/>
      <c r="M689" s="161"/>
      <c r="N689" s="160"/>
      <c r="O689" s="162"/>
      <c r="P689" s="162"/>
      <c r="Q689" s="162"/>
      <c r="R689" s="162"/>
      <c r="S689" s="133" t="s">
        <v>1068</v>
      </c>
      <c r="T689" s="125"/>
      <c r="U689" s="126"/>
      <c r="V689" s="135"/>
    </row>
    <row r="690" spans="2:22" ht="14.25" customHeight="1">
      <c r="B690" s="115"/>
      <c r="C690" s="129" t="s">
        <v>26</v>
      </c>
      <c r="D690" s="129" t="s">
        <v>26</v>
      </c>
      <c r="E690" s="117"/>
      <c r="F690" s="131"/>
      <c r="G690" s="132"/>
      <c r="H690" s="120"/>
      <c r="I690" s="160"/>
      <c r="J690" s="161"/>
      <c r="K690" s="161"/>
      <c r="L690" s="161"/>
      <c r="M690" s="161"/>
      <c r="N690" s="160"/>
      <c r="O690" s="162"/>
      <c r="P690" s="162"/>
      <c r="Q690" s="162"/>
      <c r="R690" s="162"/>
      <c r="S690" s="133" t="s">
        <v>1069</v>
      </c>
      <c r="T690" s="125"/>
      <c r="U690" s="126"/>
      <c r="V690" s="135"/>
    </row>
    <row r="691" spans="2:22" ht="14.25" customHeight="1">
      <c r="B691" s="115"/>
      <c r="C691" s="129">
        <f>SUM(J688:J718)</f>
        <v>570371000</v>
      </c>
      <c r="D691" s="129">
        <f>SUM(O688:O718)</f>
        <v>570371000</v>
      </c>
      <c r="E691" s="117"/>
      <c r="F691" s="131"/>
      <c r="G691" s="132"/>
      <c r="H691" s="120"/>
      <c r="I691" s="160"/>
      <c r="J691" s="161"/>
      <c r="K691" s="161"/>
      <c r="L691" s="161"/>
      <c r="M691" s="161"/>
      <c r="N691" s="160"/>
      <c r="O691" s="162"/>
      <c r="P691" s="162"/>
      <c r="Q691" s="162"/>
      <c r="R691" s="162"/>
      <c r="S691" s="133" t="s">
        <v>1070</v>
      </c>
      <c r="T691" s="125"/>
      <c r="U691" s="126"/>
      <c r="V691" s="135"/>
    </row>
    <row r="692" spans="2:22" ht="14.25" customHeight="1">
      <c r="B692" s="115"/>
      <c r="C692" s="129" t="s">
        <v>15</v>
      </c>
      <c r="D692" s="129" t="s">
        <v>15</v>
      </c>
      <c r="E692" s="117"/>
      <c r="F692" s="131"/>
      <c r="G692" s="132"/>
      <c r="H692" s="120"/>
      <c r="I692" s="160"/>
      <c r="J692" s="161"/>
      <c r="K692" s="161"/>
      <c r="L692" s="161"/>
      <c r="M692" s="161"/>
      <c r="N692" s="160"/>
      <c r="O692" s="162"/>
      <c r="P692" s="162"/>
      <c r="Q692" s="162"/>
      <c r="R692" s="162"/>
      <c r="S692" s="134"/>
      <c r="T692" s="125"/>
      <c r="U692" s="126"/>
      <c r="V692" s="135"/>
    </row>
    <row r="693" spans="2:22" ht="14.25" customHeight="1">
      <c r="B693" s="115"/>
      <c r="C693" s="129">
        <f>SUM(L688:L718)</f>
        <v>22546000</v>
      </c>
      <c r="D693" s="129">
        <f>SUM(Q688:Q718)</f>
        <v>21960683</v>
      </c>
      <c r="E693" s="117"/>
      <c r="F693" s="131">
        <f>+F688+1</f>
        <v>2</v>
      </c>
      <c r="G693" s="132"/>
      <c r="H693" s="120" t="s">
        <v>1071</v>
      </c>
      <c r="I693" s="160">
        <v>3038000</v>
      </c>
      <c r="J693" s="161">
        <v>0</v>
      </c>
      <c r="K693" s="161">
        <v>0</v>
      </c>
      <c r="L693" s="161">
        <v>36000</v>
      </c>
      <c r="M693" s="122">
        <f>+I693-SUM(J693:L693)</f>
        <v>3002000</v>
      </c>
      <c r="N693" s="160">
        <v>2349102</v>
      </c>
      <c r="O693" s="162">
        <v>0</v>
      </c>
      <c r="P693" s="162">
        <v>0</v>
      </c>
      <c r="Q693" s="162">
        <v>0</v>
      </c>
      <c r="R693" s="123">
        <f>+N693-SUM(O693:Q693)</f>
        <v>2349102</v>
      </c>
      <c r="S693" s="133" t="s">
        <v>1072</v>
      </c>
      <c r="T693" s="125" t="s">
        <v>1073</v>
      </c>
      <c r="U693" s="126" t="s">
        <v>1073</v>
      </c>
      <c r="V693" s="135"/>
    </row>
    <row r="694" spans="2:22" ht="14.25" customHeight="1">
      <c r="B694" s="115"/>
      <c r="C694" s="129" t="s">
        <v>18</v>
      </c>
      <c r="D694" s="129" t="s">
        <v>18</v>
      </c>
      <c r="E694" s="117"/>
      <c r="F694" s="131"/>
      <c r="G694" s="132"/>
      <c r="H694" s="120"/>
      <c r="I694" s="160"/>
      <c r="J694" s="161"/>
      <c r="K694" s="161"/>
      <c r="L694" s="161"/>
      <c r="M694" s="161"/>
      <c r="N694" s="160"/>
      <c r="O694" s="162"/>
      <c r="P694" s="162"/>
      <c r="Q694" s="162"/>
      <c r="R694" s="162"/>
      <c r="S694" s="133"/>
      <c r="T694" s="125"/>
      <c r="U694" s="126"/>
      <c r="V694" s="135"/>
    </row>
    <row r="695" spans="2:22" ht="14.25" customHeight="1">
      <c r="B695" s="115"/>
      <c r="C695" s="129">
        <f>C688-C691-C693</f>
        <v>124646000</v>
      </c>
      <c r="D695" s="129">
        <f>D688-D691-D693</f>
        <v>122555487</v>
      </c>
      <c r="E695" s="117"/>
      <c r="F695" s="131">
        <f>+F693+1</f>
        <v>3</v>
      </c>
      <c r="G695" s="132"/>
      <c r="H695" s="120" t="s">
        <v>1074</v>
      </c>
      <c r="I695" s="160">
        <v>570371000</v>
      </c>
      <c r="J695" s="161">
        <v>570371000</v>
      </c>
      <c r="K695" s="161">
        <v>0</v>
      </c>
      <c r="L695" s="161">
        <v>0</v>
      </c>
      <c r="M695" s="122">
        <f>+I695-SUM(J695:L695)</f>
        <v>0</v>
      </c>
      <c r="N695" s="160">
        <v>570371000</v>
      </c>
      <c r="O695" s="162">
        <v>570371000</v>
      </c>
      <c r="P695" s="162">
        <v>0</v>
      </c>
      <c r="Q695" s="162">
        <v>0</v>
      </c>
      <c r="R695" s="123">
        <f>+N695-SUM(O695:Q695)</f>
        <v>0</v>
      </c>
      <c r="S695" s="138" t="s">
        <v>272</v>
      </c>
      <c r="T695" s="184"/>
      <c r="U695" s="139"/>
      <c r="V695" s="135"/>
    </row>
    <row r="696" spans="2:22" ht="14.25" customHeight="1">
      <c r="B696" s="115"/>
      <c r="C696" s="129"/>
      <c r="D696" s="129"/>
      <c r="E696" s="117"/>
      <c r="F696" s="131"/>
      <c r="G696" s="132"/>
      <c r="H696" s="120"/>
      <c r="I696" s="160"/>
      <c r="J696" s="161"/>
      <c r="K696" s="161"/>
      <c r="L696" s="161"/>
      <c r="M696" s="161"/>
      <c r="N696" s="160"/>
      <c r="O696" s="162"/>
      <c r="P696" s="162"/>
      <c r="Q696" s="162"/>
      <c r="R696" s="162"/>
      <c r="S696" s="181" t="s">
        <v>1075</v>
      </c>
      <c r="T696" s="125"/>
      <c r="U696" s="126"/>
      <c r="V696" s="135"/>
    </row>
    <row r="697" spans="2:22" ht="14.25" customHeight="1">
      <c r="B697" s="115"/>
      <c r="C697" s="129"/>
      <c r="D697" s="129"/>
      <c r="E697" s="117"/>
      <c r="F697" s="131"/>
      <c r="G697" s="132"/>
      <c r="H697" s="120"/>
      <c r="I697" s="160"/>
      <c r="J697" s="161"/>
      <c r="K697" s="161"/>
      <c r="L697" s="161"/>
      <c r="M697" s="161"/>
      <c r="N697" s="160"/>
      <c r="O697" s="162"/>
      <c r="P697" s="162"/>
      <c r="Q697" s="162"/>
      <c r="R697" s="162"/>
      <c r="S697" s="181" t="s">
        <v>1076</v>
      </c>
      <c r="T697" s="125"/>
      <c r="U697" s="126"/>
      <c r="V697" s="135"/>
    </row>
    <row r="698" spans="2:22" ht="14.25" customHeight="1">
      <c r="B698" s="115"/>
      <c r="C698" s="129"/>
      <c r="D698" s="129"/>
      <c r="E698" s="117"/>
      <c r="F698" s="131"/>
      <c r="G698" s="132"/>
      <c r="H698" s="120"/>
      <c r="I698" s="160"/>
      <c r="J698" s="161"/>
      <c r="K698" s="161"/>
      <c r="L698" s="161"/>
      <c r="M698" s="161"/>
      <c r="N698" s="160"/>
      <c r="O698" s="162"/>
      <c r="P698" s="162"/>
      <c r="Q698" s="162"/>
      <c r="R698" s="162"/>
      <c r="S698" s="137"/>
      <c r="T698" s="125"/>
      <c r="U698" s="126"/>
      <c r="V698" s="135"/>
    </row>
    <row r="699" spans="2:22" ht="14.25" customHeight="1">
      <c r="B699" s="115"/>
      <c r="C699" s="185"/>
      <c r="D699" s="186"/>
      <c r="E699" s="117"/>
      <c r="F699" s="131">
        <f>+F695+1</f>
        <v>4</v>
      </c>
      <c r="G699" s="132"/>
      <c r="H699" s="120" t="s">
        <v>1077</v>
      </c>
      <c r="I699" s="160">
        <v>657000</v>
      </c>
      <c r="J699" s="161">
        <v>0</v>
      </c>
      <c r="K699" s="161">
        <v>0</v>
      </c>
      <c r="L699" s="161">
        <v>0</v>
      </c>
      <c r="M699" s="122">
        <f>+I699-SUM(J699:L699)</f>
        <v>657000</v>
      </c>
      <c r="N699" s="160">
        <v>550235</v>
      </c>
      <c r="O699" s="162">
        <v>0</v>
      </c>
      <c r="P699" s="162">
        <v>0</v>
      </c>
      <c r="Q699" s="162">
        <v>0</v>
      </c>
      <c r="R699" s="123">
        <f>+N699-SUM(O699:Q699)</f>
        <v>550235</v>
      </c>
      <c r="S699" s="181" t="s">
        <v>1078</v>
      </c>
      <c r="T699" s="184" t="s">
        <v>272</v>
      </c>
      <c r="U699" s="126" t="s">
        <v>1079</v>
      </c>
      <c r="V699" s="135"/>
    </row>
    <row r="700" spans="2:22" ht="14.25" customHeight="1">
      <c r="B700" s="115"/>
      <c r="C700" s="159"/>
      <c r="D700" s="129"/>
      <c r="E700" s="117"/>
      <c r="F700" s="131"/>
      <c r="G700" s="132"/>
      <c r="H700" s="120"/>
      <c r="I700" s="160"/>
      <c r="J700" s="161"/>
      <c r="K700" s="161"/>
      <c r="L700" s="161"/>
      <c r="M700" s="161"/>
      <c r="N700" s="160"/>
      <c r="O700" s="162"/>
      <c r="P700" s="162"/>
      <c r="Q700" s="162"/>
      <c r="R700" s="162"/>
      <c r="S700" s="181" t="s">
        <v>1080</v>
      </c>
      <c r="T700" s="125"/>
      <c r="U700" s="126"/>
      <c r="V700" s="135"/>
    </row>
    <row r="701" spans="2:22" ht="14.25" customHeight="1">
      <c r="B701" s="115"/>
      <c r="C701" s="159"/>
      <c r="D701" s="129"/>
      <c r="E701" s="117"/>
      <c r="F701" s="131"/>
      <c r="G701" s="132"/>
      <c r="H701" s="120"/>
      <c r="I701" s="160"/>
      <c r="J701" s="161"/>
      <c r="K701" s="161"/>
      <c r="L701" s="161"/>
      <c r="M701" s="161"/>
      <c r="N701" s="160"/>
      <c r="O701" s="162"/>
      <c r="P701" s="162"/>
      <c r="Q701" s="162"/>
      <c r="R701" s="162"/>
      <c r="S701" s="137"/>
      <c r="T701" s="125"/>
      <c r="U701" s="126"/>
      <c r="V701" s="182"/>
    </row>
    <row r="702" spans="2:22" ht="14.25" customHeight="1">
      <c r="B702" s="115"/>
      <c r="C702" s="129"/>
      <c r="D702" s="129"/>
      <c r="E702" s="117"/>
      <c r="F702" s="131">
        <f>+F699+1</f>
        <v>5</v>
      </c>
      <c r="G702" s="119"/>
      <c r="H702" s="120" t="s">
        <v>1081</v>
      </c>
      <c r="I702" s="160">
        <v>2486000</v>
      </c>
      <c r="J702" s="161">
        <v>0</v>
      </c>
      <c r="K702" s="161">
        <v>0</v>
      </c>
      <c r="L702" s="161">
        <v>2486000</v>
      </c>
      <c r="M702" s="122">
        <f>+I702-SUM(J702:L702)</f>
        <v>0</v>
      </c>
      <c r="N702" s="160">
        <v>2485879</v>
      </c>
      <c r="O702" s="162">
        <v>0</v>
      </c>
      <c r="P702" s="162">
        <v>0</v>
      </c>
      <c r="Q702" s="162">
        <v>2485879</v>
      </c>
      <c r="R702" s="123">
        <f>+N702-SUM(O702:Q702)</f>
        <v>0</v>
      </c>
      <c r="S702" s="133" t="s">
        <v>1082</v>
      </c>
      <c r="T702" s="125" t="s">
        <v>1083</v>
      </c>
      <c r="U702" s="126" t="s">
        <v>1083</v>
      </c>
      <c r="V702" s="135"/>
    </row>
    <row r="703" spans="2:22" ht="14.25" customHeight="1">
      <c r="B703" s="115"/>
      <c r="C703" s="159"/>
      <c r="D703" s="129"/>
      <c r="E703" s="117"/>
      <c r="F703" s="131"/>
      <c r="G703" s="119"/>
      <c r="H703" s="120"/>
      <c r="I703" s="160"/>
      <c r="J703" s="161"/>
      <c r="K703" s="161"/>
      <c r="L703" s="161"/>
      <c r="M703" s="161"/>
      <c r="N703" s="160"/>
      <c r="O703" s="162"/>
      <c r="P703" s="162"/>
      <c r="Q703" s="162"/>
      <c r="R703" s="162"/>
      <c r="S703" s="133" t="s">
        <v>1084</v>
      </c>
      <c r="T703" s="125"/>
      <c r="U703" s="126"/>
      <c r="V703" s="135"/>
    </row>
    <row r="704" spans="2:22" ht="14.25" customHeight="1">
      <c r="B704" s="115"/>
      <c r="C704" s="159"/>
      <c r="D704" s="129"/>
      <c r="E704" s="117"/>
      <c r="F704" s="131"/>
      <c r="G704" s="119"/>
      <c r="H704" s="120"/>
      <c r="I704" s="160"/>
      <c r="J704" s="161"/>
      <c r="K704" s="161"/>
      <c r="L704" s="161"/>
      <c r="M704" s="161"/>
      <c r="N704" s="160"/>
      <c r="O704" s="162"/>
      <c r="P704" s="162"/>
      <c r="Q704" s="162"/>
      <c r="R704" s="162"/>
      <c r="S704" s="133"/>
      <c r="T704" s="125"/>
      <c r="U704" s="126"/>
      <c r="V704" s="135"/>
    </row>
    <row r="705" spans="2:22" ht="14.25" customHeight="1">
      <c r="B705" s="115"/>
      <c r="C705" s="159"/>
      <c r="D705" s="129"/>
      <c r="E705" s="117"/>
      <c r="F705" s="131">
        <f>+F702+1</f>
        <v>6</v>
      </c>
      <c r="G705" s="132"/>
      <c r="H705" s="120" t="s">
        <v>1085</v>
      </c>
      <c r="I705" s="121">
        <v>1024000</v>
      </c>
      <c r="J705" s="122">
        <v>0</v>
      </c>
      <c r="K705" s="122">
        <v>0</v>
      </c>
      <c r="L705" s="122">
        <v>1024000</v>
      </c>
      <c r="M705" s="122">
        <f>+I705-SUM(J705:L705)</f>
        <v>0</v>
      </c>
      <c r="N705" s="121">
        <v>516854</v>
      </c>
      <c r="O705" s="123">
        <v>0</v>
      </c>
      <c r="P705" s="123">
        <v>0</v>
      </c>
      <c r="Q705" s="123">
        <v>474804</v>
      </c>
      <c r="R705" s="123">
        <f>+N705-SUM(O705:Q705)</f>
        <v>42050</v>
      </c>
      <c r="S705" s="137" t="s">
        <v>1086</v>
      </c>
      <c r="T705" s="125" t="s">
        <v>1087</v>
      </c>
      <c r="U705" s="126" t="s">
        <v>1088</v>
      </c>
      <c r="V705" s="135"/>
    </row>
    <row r="706" spans="2:22" ht="14.25" customHeight="1">
      <c r="B706" s="115"/>
      <c r="C706" s="159"/>
      <c r="D706" s="129"/>
      <c r="E706" s="117"/>
      <c r="F706" s="131"/>
      <c r="G706" s="132"/>
      <c r="H706" s="120"/>
      <c r="I706" s="121"/>
      <c r="J706" s="122"/>
      <c r="K706" s="122"/>
      <c r="L706" s="122"/>
      <c r="M706" s="161"/>
      <c r="N706" s="121"/>
      <c r="O706" s="123"/>
      <c r="P706" s="123"/>
      <c r="Q706" s="123"/>
      <c r="R706" s="162"/>
      <c r="S706" s="137"/>
      <c r="T706" s="125" t="s">
        <v>1089</v>
      </c>
      <c r="U706" s="126" t="s">
        <v>1089</v>
      </c>
      <c r="V706" s="135"/>
    </row>
    <row r="707" spans="2:22" ht="14.25" customHeight="1">
      <c r="B707" s="115"/>
      <c r="C707" s="159"/>
      <c r="D707" s="129"/>
      <c r="E707" s="117"/>
      <c r="F707" s="131"/>
      <c r="G707" s="132"/>
      <c r="H707" s="120"/>
      <c r="I707" s="121"/>
      <c r="J707" s="122"/>
      <c r="K707" s="122"/>
      <c r="L707" s="122"/>
      <c r="M707" s="161"/>
      <c r="N707" s="121"/>
      <c r="O707" s="123"/>
      <c r="P707" s="123"/>
      <c r="Q707" s="123"/>
      <c r="R707" s="162"/>
      <c r="S707" s="137"/>
      <c r="T707" s="125"/>
      <c r="U707" s="126"/>
      <c r="V707" s="135"/>
    </row>
    <row r="708" spans="2:22" ht="14.25" customHeight="1">
      <c r="B708" s="115"/>
      <c r="C708" s="159"/>
      <c r="D708" s="129"/>
      <c r="E708" s="117"/>
      <c r="F708" s="131">
        <f>+F590+1</f>
        <v>6</v>
      </c>
      <c r="G708" s="132"/>
      <c r="H708" s="120" t="s">
        <v>1090</v>
      </c>
      <c r="I708" s="121">
        <v>19000000</v>
      </c>
      <c r="J708" s="122">
        <v>0</v>
      </c>
      <c r="K708" s="122">
        <v>0</v>
      </c>
      <c r="L708" s="122">
        <v>19000000</v>
      </c>
      <c r="M708" s="122">
        <f>+I708-SUM(J708:L708)</f>
        <v>0</v>
      </c>
      <c r="N708" s="121">
        <v>19000000</v>
      </c>
      <c r="O708" s="123">
        <v>0</v>
      </c>
      <c r="P708" s="123">
        <v>0</v>
      </c>
      <c r="Q708" s="123">
        <v>19000000</v>
      </c>
      <c r="R708" s="123">
        <f>+N708-SUM(O708:Q708)</f>
        <v>0</v>
      </c>
      <c r="S708" s="138" t="s">
        <v>272</v>
      </c>
      <c r="T708" s="184"/>
      <c r="U708" s="139"/>
      <c r="V708" s="127"/>
    </row>
    <row r="709" spans="2:22" ht="14.25" customHeight="1">
      <c r="B709" s="115"/>
      <c r="C709" s="159"/>
      <c r="D709" s="129"/>
      <c r="E709" s="117"/>
      <c r="F709" s="131"/>
      <c r="G709" s="132"/>
      <c r="H709" s="120"/>
      <c r="I709" s="121"/>
      <c r="J709" s="122"/>
      <c r="K709" s="122"/>
      <c r="L709" s="122"/>
      <c r="M709" s="122"/>
      <c r="N709" s="121"/>
      <c r="O709" s="123"/>
      <c r="P709" s="123"/>
      <c r="Q709" s="123"/>
      <c r="R709" s="123"/>
      <c r="S709" s="138"/>
      <c r="T709" s="184"/>
      <c r="U709" s="139"/>
      <c r="V709" s="127"/>
    </row>
    <row r="710" spans="2:22" ht="14.25" customHeight="1">
      <c r="B710" s="115"/>
      <c r="C710" s="159"/>
      <c r="D710" s="129"/>
      <c r="E710" s="117"/>
      <c r="F710" s="131">
        <f>+F708+1</f>
        <v>7</v>
      </c>
      <c r="G710" s="132"/>
      <c r="H710" s="144" t="s">
        <v>1091</v>
      </c>
      <c r="I710" s="121">
        <v>5908000</v>
      </c>
      <c r="J710" s="122">
        <v>0</v>
      </c>
      <c r="K710" s="122">
        <v>0</v>
      </c>
      <c r="L710" s="122">
        <v>0</v>
      </c>
      <c r="M710" s="122">
        <f>+I710-SUM(J710:L710)</f>
        <v>5908000</v>
      </c>
      <c r="N710" s="121">
        <v>4258316</v>
      </c>
      <c r="O710" s="123">
        <v>0</v>
      </c>
      <c r="P710" s="123">
        <v>0</v>
      </c>
      <c r="Q710" s="123">
        <v>0</v>
      </c>
      <c r="R710" s="123">
        <f>+N710-SUM(O710:Q710)</f>
        <v>4258316</v>
      </c>
      <c r="S710" s="137" t="s">
        <v>1092</v>
      </c>
      <c r="T710" s="125" t="s">
        <v>1093</v>
      </c>
      <c r="U710" s="126" t="s">
        <v>1094</v>
      </c>
      <c r="V710" s="127"/>
    </row>
    <row r="711" spans="2:22" ht="14.25" customHeight="1">
      <c r="B711" s="115"/>
      <c r="C711" s="159"/>
      <c r="D711" s="129"/>
      <c r="E711" s="117"/>
      <c r="F711" s="131"/>
      <c r="G711" s="132"/>
      <c r="H711" s="144" t="s">
        <v>1095</v>
      </c>
      <c r="I711" s="160"/>
      <c r="J711" s="161"/>
      <c r="K711" s="161"/>
      <c r="L711" s="161"/>
      <c r="M711" s="161"/>
      <c r="N711" s="160"/>
      <c r="O711" s="162"/>
      <c r="P711" s="162"/>
      <c r="Q711" s="162"/>
      <c r="R711" s="162"/>
      <c r="S711" s="133" t="s">
        <v>1096</v>
      </c>
      <c r="T711" s="125"/>
      <c r="U711" s="126"/>
      <c r="V711" s="127"/>
    </row>
    <row r="712" spans="2:22" ht="14.25" customHeight="1">
      <c r="B712" s="115"/>
      <c r="C712" s="159"/>
      <c r="D712" s="129"/>
      <c r="E712" s="117"/>
      <c r="F712" s="131"/>
      <c r="G712" s="132"/>
      <c r="H712" s="120"/>
      <c r="I712" s="160"/>
      <c r="J712" s="161"/>
      <c r="K712" s="161"/>
      <c r="L712" s="161"/>
      <c r="M712" s="161"/>
      <c r="N712" s="160"/>
      <c r="O712" s="162"/>
      <c r="P712" s="162"/>
      <c r="Q712" s="162"/>
      <c r="R712" s="162"/>
      <c r="S712" s="133"/>
      <c r="T712" s="125"/>
      <c r="U712" s="126"/>
      <c r="V712" s="127"/>
    </row>
    <row r="713" spans="2:22" ht="14.25" customHeight="1">
      <c r="B713" s="115"/>
      <c r="C713" s="159"/>
      <c r="D713" s="129"/>
      <c r="E713" s="117"/>
      <c r="F713" s="131">
        <f>+F710+1</f>
        <v>8</v>
      </c>
      <c r="G713" s="132"/>
      <c r="H713" s="120" t="s">
        <v>1097</v>
      </c>
      <c r="I713" s="160">
        <v>555000</v>
      </c>
      <c r="J713" s="161">
        <v>0</v>
      </c>
      <c r="K713" s="161">
        <v>0</v>
      </c>
      <c r="L713" s="161">
        <v>0</v>
      </c>
      <c r="M713" s="122">
        <f>+I713-SUM(J713:L713)</f>
        <v>555000</v>
      </c>
      <c r="N713" s="160">
        <v>355784</v>
      </c>
      <c r="O713" s="162">
        <v>0</v>
      </c>
      <c r="P713" s="162">
        <v>0</v>
      </c>
      <c r="Q713" s="162">
        <v>0</v>
      </c>
      <c r="R713" s="123">
        <f>+N713-SUM(O713:Q713)</f>
        <v>355784</v>
      </c>
      <c r="S713" s="197" t="s">
        <v>1098</v>
      </c>
      <c r="T713" s="125" t="s">
        <v>1099</v>
      </c>
      <c r="U713" s="126" t="s">
        <v>1100</v>
      </c>
      <c r="V713" s="127"/>
    </row>
    <row r="714" spans="2:22" ht="14.25" customHeight="1">
      <c r="B714" s="115"/>
      <c r="C714" s="159"/>
      <c r="D714" s="129"/>
      <c r="E714" s="117"/>
      <c r="F714" s="131"/>
      <c r="G714" s="132"/>
      <c r="H714" s="120"/>
      <c r="I714" s="160"/>
      <c r="J714" s="161"/>
      <c r="K714" s="161"/>
      <c r="L714" s="161"/>
      <c r="M714" s="122"/>
      <c r="N714" s="160"/>
      <c r="O714" s="162"/>
      <c r="P714" s="162"/>
      <c r="Q714" s="162"/>
      <c r="R714" s="123"/>
      <c r="S714" s="197"/>
      <c r="T714" s="125"/>
      <c r="U714" s="126"/>
      <c r="V714" s="127"/>
    </row>
    <row r="715" spans="2:22" ht="14.25" customHeight="1">
      <c r="B715" s="115"/>
      <c r="C715" s="159"/>
      <c r="D715" s="129"/>
      <c r="E715" s="117"/>
      <c r="F715" s="131"/>
      <c r="G715" s="132"/>
      <c r="H715" s="120"/>
      <c r="I715" s="160"/>
      <c r="J715" s="161"/>
      <c r="K715" s="161"/>
      <c r="L715" s="161"/>
      <c r="M715" s="122"/>
      <c r="N715" s="160"/>
      <c r="O715" s="162"/>
      <c r="P715" s="162"/>
      <c r="Q715" s="162"/>
      <c r="R715" s="123"/>
      <c r="S715" s="197"/>
      <c r="T715" s="125"/>
      <c r="U715" s="126"/>
      <c r="V715" s="127"/>
    </row>
    <row r="716" spans="2:22" ht="14.25" customHeight="1" thickBot="1">
      <c r="B716" s="250"/>
      <c r="C716" s="213"/>
      <c r="D716" s="148"/>
      <c r="E716" s="190"/>
      <c r="F716" s="150"/>
      <c r="G716" s="151"/>
      <c r="H716" s="191"/>
      <c r="I716" s="192"/>
      <c r="J716" s="193"/>
      <c r="K716" s="193"/>
      <c r="L716" s="193"/>
      <c r="M716" s="193"/>
      <c r="N716" s="192"/>
      <c r="O716" s="194"/>
      <c r="P716" s="194"/>
      <c r="Q716" s="194"/>
      <c r="R716" s="194"/>
      <c r="S716" s="203"/>
      <c r="T716" s="214"/>
      <c r="U716" s="230"/>
      <c r="V716" s="127"/>
    </row>
    <row r="717" spans="2:22" ht="14.25" customHeight="1">
      <c r="B717" s="115"/>
      <c r="C717" s="159"/>
      <c r="D717" s="129"/>
      <c r="E717" s="117"/>
      <c r="F717" s="131">
        <f>+F713+1</f>
        <v>9</v>
      </c>
      <c r="G717" s="132"/>
      <c r="H717" s="120" t="s">
        <v>271</v>
      </c>
      <c r="I717" s="121">
        <v>-476000</v>
      </c>
      <c r="J717" s="122">
        <v>0</v>
      </c>
      <c r="K717" s="122">
        <v>0</v>
      </c>
      <c r="L717" s="122">
        <v>0</v>
      </c>
      <c r="M717" s="122">
        <f>+I717-SUM(J717:L717)</f>
        <v>-476000</v>
      </c>
      <c r="N717" s="121">
        <v>0</v>
      </c>
      <c r="O717" s="123">
        <v>0</v>
      </c>
      <c r="P717" s="123">
        <v>0</v>
      </c>
      <c r="Q717" s="123">
        <v>0</v>
      </c>
      <c r="R717" s="123">
        <f>+N717-SUM(O717:Q717)</f>
        <v>0</v>
      </c>
      <c r="S717" s="138" t="s">
        <v>272</v>
      </c>
      <c r="T717" s="125"/>
      <c r="U717" s="126"/>
      <c r="V717" s="127"/>
    </row>
    <row r="718" spans="2:22" ht="14.25" customHeight="1" thickBot="1">
      <c r="B718" s="250"/>
      <c r="C718" s="213"/>
      <c r="D718" s="148"/>
      <c r="E718" s="190"/>
      <c r="F718" s="150"/>
      <c r="G718" s="151"/>
      <c r="H718" s="191"/>
      <c r="I718" s="192"/>
      <c r="J718" s="193"/>
      <c r="K718" s="193"/>
      <c r="L718" s="193"/>
      <c r="M718" s="193"/>
      <c r="N718" s="192"/>
      <c r="O718" s="194"/>
      <c r="P718" s="194"/>
      <c r="Q718" s="194"/>
      <c r="R718" s="194"/>
      <c r="S718" s="203"/>
      <c r="T718" s="157"/>
      <c r="U718" s="158"/>
      <c r="V718" s="208"/>
    </row>
    <row r="719" spans="2:22" ht="14.25" customHeight="1">
      <c r="B719" s="115"/>
      <c r="C719" s="159"/>
      <c r="D719" s="129"/>
      <c r="E719" s="117"/>
      <c r="F719" s="131"/>
      <c r="G719" s="132"/>
      <c r="H719" s="120"/>
      <c r="I719" s="160"/>
      <c r="J719" s="161"/>
      <c r="K719" s="161"/>
      <c r="L719" s="161"/>
      <c r="M719" s="161"/>
      <c r="N719" s="160"/>
      <c r="O719" s="162"/>
      <c r="P719" s="162"/>
      <c r="Q719" s="162"/>
      <c r="R719" s="162"/>
      <c r="S719" s="133"/>
      <c r="T719" s="125"/>
      <c r="U719" s="126"/>
      <c r="V719" s="182"/>
    </row>
    <row r="720" spans="2:22" ht="14.25" customHeight="1">
      <c r="B720" s="115" t="s">
        <v>1101</v>
      </c>
      <c r="C720" s="129">
        <f>SUM(I720:I779)</f>
        <v>529395650</v>
      </c>
      <c r="D720" s="129">
        <f>SUM(N720:N779)</f>
        <v>475088452</v>
      </c>
      <c r="E720" s="117" t="s">
        <v>1101</v>
      </c>
      <c r="F720" s="131">
        <v>1</v>
      </c>
      <c r="G720" s="132"/>
      <c r="H720" s="120" t="s">
        <v>1102</v>
      </c>
      <c r="I720" s="160">
        <v>16093000</v>
      </c>
      <c r="J720" s="161">
        <v>2957000</v>
      </c>
      <c r="K720" s="161">
        <v>0</v>
      </c>
      <c r="L720" s="161">
        <v>0</v>
      </c>
      <c r="M720" s="122">
        <f>+I720-SUM(J720:L720)</f>
        <v>13136000</v>
      </c>
      <c r="N720" s="160">
        <v>14867121</v>
      </c>
      <c r="O720" s="162">
        <v>2957000</v>
      </c>
      <c r="P720" s="162">
        <v>0</v>
      </c>
      <c r="Q720" s="162">
        <v>0</v>
      </c>
      <c r="R720" s="123">
        <f>+N720-SUM(O720:Q720)</f>
        <v>11910121</v>
      </c>
      <c r="S720" s="133" t="s">
        <v>1103</v>
      </c>
      <c r="T720" s="125" t="s">
        <v>1104</v>
      </c>
      <c r="U720" s="126" t="s">
        <v>1105</v>
      </c>
      <c r="V720" s="127"/>
    </row>
    <row r="721" spans="2:22" ht="14.25" customHeight="1">
      <c r="B721" s="115" t="s">
        <v>157</v>
      </c>
      <c r="C721" s="159"/>
      <c r="D721" s="129"/>
      <c r="E721" s="117" t="s">
        <v>1106</v>
      </c>
      <c r="F721" s="131"/>
      <c r="G721" s="132"/>
      <c r="H721" s="120"/>
      <c r="I721" s="121"/>
      <c r="J721" s="122"/>
      <c r="K721" s="122"/>
      <c r="L721" s="122"/>
      <c r="M721" s="161"/>
      <c r="N721" s="121"/>
      <c r="O721" s="123"/>
      <c r="P721" s="123"/>
      <c r="Q721" s="123"/>
      <c r="R721" s="162"/>
      <c r="S721" s="133" t="s">
        <v>1107</v>
      </c>
      <c r="T721" s="125" t="s">
        <v>1108</v>
      </c>
      <c r="U721" s="126" t="s">
        <v>1109</v>
      </c>
      <c r="V721" s="135"/>
    </row>
    <row r="722" spans="2:22" ht="14.25" customHeight="1">
      <c r="B722" s="115"/>
      <c r="C722" s="129" t="s">
        <v>26</v>
      </c>
      <c r="D722" s="129" t="s">
        <v>26</v>
      </c>
      <c r="E722" s="117"/>
      <c r="F722" s="131"/>
      <c r="G722" s="132"/>
      <c r="H722" s="120"/>
      <c r="I722" s="160"/>
      <c r="J722" s="161"/>
      <c r="K722" s="161"/>
      <c r="L722" s="161"/>
      <c r="M722" s="161"/>
      <c r="N722" s="160"/>
      <c r="O722" s="162"/>
      <c r="P722" s="162"/>
      <c r="Q722" s="162"/>
      <c r="R722" s="162"/>
      <c r="S722" s="133" t="s">
        <v>1110</v>
      </c>
      <c r="T722" s="125"/>
      <c r="U722" s="126"/>
      <c r="V722" s="127"/>
    </row>
    <row r="723" spans="2:22" ht="14.25" customHeight="1">
      <c r="B723" s="140"/>
      <c r="C723" s="129">
        <f>SUM(J720:J779)</f>
        <v>212420675</v>
      </c>
      <c r="D723" s="129">
        <f>SUM(O720:O779)</f>
        <v>187100273</v>
      </c>
      <c r="E723" s="117"/>
      <c r="F723" s="131"/>
      <c r="G723" s="119"/>
      <c r="H723" s="120"/>
      <c r="I723" s="160"/>
      <c r="J723" s="161"/>
      <c r="K723" s="161"/>
      <c r="L723" s="161"/>
      <c r="M723" s="161"/>
      <c r="N723" s="160"/>
      <c r="O723" s="162"/>
      <c r="P723" s="162"/>
      <c r="Q723" s="162"/>
      <c r="R723" s="162"/>
      <c r="S723" s="133" t="s">
        <v>1111</v>
      </c>
      <c r="T723" s="125"/>
      <c r="U723" s="126"/>
      <c r="V723" s="135"/>
    </row>
    <row r="724" spans="2:22" ht="14.25" customHeight="1">
      <c r="B724" s="140"/>
      <c r="C724" s="129" t="s">
        <v>41</v>
      </c>
      <c r="D724" s="129" t="s">
        <v>41</v>
      </c>
      <c r="E724" s="201"/>
      <c r="F724" s="131"/>
      <c r="G724" s="132"/>
      <c r="H724" s="120"/>
      <c r="I724" s="121"/>
      <c r="J724" s="122"/>
      <c r="K724" s="122"/>
      <c r="L724" s="122"/>
      <c r="M724" s="122"/>
      <c r="N724" s="121"/>
      <c r="O724" s="123"/>
      <c r="P724" s="123"/>
      <c r="Q724" s="123"/>
      <c r="R724" s="123"/>
      <c r="S724" s="137" t="s">
        <v>1112</v>
      </c>
      <c r="T724" s="125"/>
      <c r="U724" s="126"/>
      <c r="V724" s="135"/>
    </row>
    <row r="725" spans="2:22" ht="14.25" customHeight="1">
      <c r="B725" s="140"/>
      <c r="C725" s="129">
        <f>SUM(K720:K779)</f>
        <v>139000000</v>
      </c>
      <c r="D725" s="129">
        <f>SUM(P720:P779)</f>
        <v>122000000</v>
      </c>
      <c r="E725" s="117"/>
      <c r="F725" s="131"/>
      <c r="G725" s="132"/>
      <c r="H725" s="120"/>
      <c r="I725" s="121"/>
      <c r="J725" s="122"/>
      <c r="K725" s="122"/>
      <c r="L725" s="122"/>
      <c r="M725" s="122"/>
      <c r="N725" s="121"/>
      <c r="O725" s="123"/>
      <c r="P725" s="123"/>
      <c r="Q725" s="123"/>
      <c r="R725" s="123"/>
      <c r="S725" s="137" t="s">
        <v>1113</v>
      </c>
      <c r="T725" s="125"/>
      <c r="U725" s="126"/>
      <c r="V725" s="135"/>
    </row>
    <row r="726" spans="2:22" ht="14.25" customHeight="1">
      <c r="B726" s="140"/>
      <c r="C726" s="129" t="s">
        <v>15</v>
      </c>
      <c r="D726" s="129" t="s">
        <v>15</v>
      </c>
      <c r="E726" s="117"/>
      <c r="F726" s="131"/>
      <c r="G726" s="132"/>
      <c r="H726" s="120"/>
      <c r="I726" s="160"/>
      <c r="J726" s="161"/>
      <c r="K726" s="161"/>
      <c r="L726" s="161"/>
      <c r="M726" s="161"/>
      <c r="N726" s="160"/>
      <c r="O726" s="162"/>
      <c r="P726" s="162"/>
      <c r="Q726" s="162"/>
      <c r="R726" s="162"/>
      <c r="S726" s="197"/>
      <c r="T726" s="125"/>
      <c r="U726" s="126"/>
      <c r="V726" s="135"/>
    </row>
    <row r="727" spans="2:22" ht="14.25" customHeight="1">
      <c r="B727" s="140"/>
      <c r="C727" s="129">
        <f>SUM(L720:L779)</f>
        <v>88772820</v>
      </c>
      <c r="D727" s="129">
        <f>SUM(Q720:Q779)</f>
        <v>103476665</v>
      </c>
      <c r="E727" s="117"/>
      <c r="F727" s="131">
        <f>+F720+1</f>
        <v>2</v>
      </c>
      <c r="G727" s="132"/>
      <c r="H727" s="120" t="s">
        <v>1114</v>
      </c>
      <c r="I727" s="160">
        <v>59510000</v>
      </c>
      <c r="J727" s="161">
        <v>29600000</v>
      </c>
      <c r="K727" s="161">
        <v>27000000</v>
      </c>
      <c r="L727" s="161">
        <v>0</v>
      </c>
      <c r="M727" s="122">
        <f>+I727-SUM(J727:L727)</f>
        <v>2910000</v>
      </c>
      <c r="N727" s="160">
        <v>58542507</v>
      </c>
      <c r="O727" s="162">
        <v>30824948</v>
      </c>
      <c r="P727" s="162">
        <v>27000000</v>
      </c>
      <c r="Q727" s="162">
        <v>0</v>
      </c>
      <c r="R727" s="123">
        <f>+N727-SUM(O727:Q727)</f>
        <v>717559</v>
      </c>
      <c r="S727" s="181" t="s">
        <v>1115</v>
      </c>
      <c r="T727" s="125" t="s">
        <v>1116</v>
      </c>
      <c r="U727" s="126" t="s">
        <v>1117</v>
      </c>
      <c r="V727" s="127"/>
    </row>
    <row r="728" spans="2:22" ht="14.25" customHeight="1">
      <c r="B728" s="140"/>
      <c r="C728" s="129" t="s">
        <v>18</v>
      </c>
      <c r="D728" s="129" t="s">
        <v>18</v>
      </c>
      <c r="E728" s="117"/>
      <c r="F728" s="131"/>
      <c r="G728" s="132"/>
      <c r="H728" s="120"/>
      <c r="I728" s="121"/>
      <c r="J728" s="122"/>
      <c r="K728" s="122"/>
      <c r="L728" s="122"/>
      <c r="M728" s="122"/>
      <c r="N728" s="121"/>
      <c r="O728" s="123"/>
      <c r="P728" s="123"/>
      <c r="Q728" s="123"/>
      <c r="R728" s="123"/>
      <c r="S728" s="181" t="s">
        <v>1118</v>
      </c>
      <c r="T728" s="125"/>
      <c r="U728" s="126"/>
      <c r="V728" s="182"/>
    </row>
    <row r="729" spans="2:22" ht="14.25" customHeight="1">
      <c r="B729" s="140"/>
      <c r="C729" s="129">
        <f>C720-C723-C725-C727</f>
        <v>89202155</v>
      </c>
      <c r="D729" s="129">
        <f>D720-D723-D725-D727</f>
        <v>62511514</v>
      </c>
      <c r="E729" s="117"/>
      <c r="F729" s="131"/>
      <c r="G729" s="132"/>
      <c r="H729" s="120"/>
      <c r="I729" s="121"/>
      <c r="J729" s="122"/>
      <c r="K729" s="122"/>
      <c r="L729" s="122"/>
      <c r="M729" s="122"/>
      <c r="N729" s="121"/>
      <c r="O729" s="123"/>
      <c r="P729" s="123"/>
      <c r="Q729" s="123"/>
      <c r="R729" s="123"/>
      <c r="S729" s="133" t="s">
        <v>1119</v>
      </c>
      <c r="T729" s="210"/>
      <c r="U729" s="211"/>
      <c r="V729" s="182"/>
    </row>
    <row r="730" spans="2:22" ht="14.25" customHeight="1">
      <c r="B730" s="140"/>
      <c r="C730" s="185"/>
      <c r="D730" s="186"/>
      <c r="E730" s="117"/>
      <c r="F730" s="131"/>
      <c r="G730" s="132"/>
      <c r="H730" s="120"/>
      <c r="I730" s="121"/>
      <c r="J730" s="122"/>
      <c r="K730" s="122"/>
      <c r="L730" s="122"/>
      <c r="M730" s="122"/>
      <c r="N730" s="121"/>
      <c r="O730" s="123"/>
      <c r="P730" s="123"/>
      <c r="Q730" s="123"/>
      <c r="R730" s="123"/>
      <c r="S730" s="133" t="s">
        <v>1120</v>
      </c>
      <c r="T730" s="125"/>
      <c r="U730" s="126"/>
      <c r="V730" s="182"/>
    </row>
    <row r="731" spans="2:22" ht="14.25" customHeight="1">
      <c r="B731" s="140"/>
      <c r="C731" s="185"/>
      <c r="D731" s="186"/>
      <c r="E731" s="117"/>
      <c r="F731" s="131"/>
      <c r="G731" s="132"/>
      <c r="H731" s="120"/>
      <c r="I731" s="121"/>
      <c r="J731" s="122"/>
      <c r="K731" s="122"/>
      <c r="L731" s="122"/>
      <c r="M731" s="122"/>
      <c r="N731" s="121"/>
      <c r="O731" s="123"/>
      <c r="P731" s="123"/>
      <c r="Q731" s="123"/>
      <c r="R731" s="123"/>
      <c r="S731" s="133"/>
      <c r="T731" s="125"/>
      <c r="U731" s="126"/>
      <c r="V731" s="127"/>
    </row>
    <row r="732" spans="2:22" ht="14.25" customHeight="1">
      <c r="B732" s="140"/>
      <c r="C732" s="159"/>
      <c r="D732" s="129"/>
      <c r="E732" s="117"/>
      <c r="F732" s="131">
        <f>+F727+1</f>
        <v>3</v>
      </c>
      <c r="G732" s="119"/>
      <c r="H732" s="120" t="s">
        <v>1121</v>
      </c>
      <c r="I732" s="160">
        <v>10764000</v>
      </c>
      <c r="J732" s="161">
        <v>2236000</v>
      </c>
      <c r="K732" s="161">
        <v>0</v>
      </c>
      <c r="L732" s="161">
        <v>108000</v>
      </c>
      <c r="M732" s="122">
        <f>+I732-SUM(J732:L732)</f>
        <v>8420000</v>
      </c>
      <c r="N732" s="160">
        <v>9114124</v>
      </c>
      <c r="O732" s="162">
        <v>2236000</v>
      </c>
      <c r="P732" s="162">
        <v>0</v>
      </c>
      <c r="Q732" s="162">
        <v>0</v>
      </c>
      <c r="R732" s="123">
        <f>+N732-SUM(O732:Q732)</f>
        <v>6878124</v>
      </c>
      <c r="S732" s="133" t="s">
        <v>1122</v>
      </c>
      <c r="T732" s="125" t="s">
        <v>1123</v>
      </c>
      <c r="U732" s="251" t="s">
        <v>1123</v>
      </c>
      <c r="V732" s="127"/>
    </row>
    <row r="733" spans="2:22" ht="14.25" customHeight="1">
      <c r="B733" s="140"/>
      <c r="C733" s="159"/>
      <c r="D733" s="129"/>
      <c r="E733" s="117"/>
      <c r="F733" s="131"/>
      <c r="G733" s="119"/>
      <c r="H733" s="120"/>
      <c r="I733" s="160"/>
      <c r="J733" s="161"/>
      <c r="K733" s="161"/>
      <c r="L733" s="161"/>
      <c r="M733" s="122"/>
      <c r="N733" s="160"/>
      <c r="O733" s="162"/>
      <c r="P733" s="162"/>
      <c r="Q733" s="162"/>
      <c r="R733" s="123"/>
      <c r="S733" s="133" t="s">
        <v>1124</v>
      </c>
      <c r="T733" s="125"/>
      <c r="U733" s="126"/>
      <c r="V733" s="127"/>
    </row>
    <row r="734" spans="2:22" ht="14.25" customHeight="1">
      <c r="B734" s="140"/>
      <c r="C734" s="159"/>
      <c r="D734" s="129"/>
      <c r="E734" s="117"/>
      <c r="F734" s="131"/>
      <c r="G734" s="119"/>
      <c r="H734" s="120"/>
      <c r="I734" s="160"/>
      <c r="J734" s="161"/>
      <c r="K734" s="161"/>
      <c r="L734" s="161"/>
      <c r="M734" s="122"/>
      <c r="N734" s="160"/>
      <c r="O734" s="162"/>
      <c r="P734" s="162"/>
      <c r="Q734" s="162"/>
      <c r="R734" s="123"/>
      <c r="S734" s="133" t="s">
        <v>1125</v>
      </c>
      <c r="T734" s="125"/>
      <c r="U734" s="126"/>
      <c r="V734" s="127"/>
    </row>
    <row r="735" spans="2:22" ht="14.25" customHeight="1">
      <c r="B735" s="140"/>
      <c r="C735" s="159"/>
      <c r="D735" s="129"/>
      <c r="E735" s="117"/>
      <c r="F735" s="131"/>
      <c r="G735" s="119"/>
      <c r="H735" s="120"/>
      <c r="I735" s="160"/>
      <c r="J735" s="161"/>
      <c r="K735" s="161"/>
      <c r="L735" s="161"/>
      <c r="M735" s="122"/>
      <c r="N735" s="160"/>
      <c r="O735" s="162"/>
      <c r="P735" s="162"/>
      <c r="Q735" s="162"/>
      <c r="R735" s="123"/>
      <c r="S735" s="133" t="s">
        <v>1126</v>
      </c>
      <c r="T735" s="125"/>
      <c r="U735" s="126"/>
      <c r="V735" s="127"/>
    </row>
    <row r="736" spans="2:22" ht="14.25" customHeight="1">
      <c r="B736" s="140"/>
      <c r="C736" s="159"/>
      <c r="D736" s="129"/>
      <c r="E736" s="117"/>
      <c r="F736" s="131"/>
      <c r="G736" s="119"/>
      <c r="H736" s="120"/>
      <c r="I736" s="160"/>
      <c r="J736" s="161"/>
      <c r="K736" s="161"/>
      <c r="L736" s="161"/>
      <c r="M736" s="122"/>
      <c r="N736" s="160"/>
      <c r="O736" s="162"/>
      <c r="P736" s="162"/>
      <c r="Q736" s="162"/>
      <c r="R736" s="123"/>
      <c r="S736" s="133"/>
      <c r="T736" s="125"/>
      <c r="U736" s="126"/>
      <c r="V736" s="127"/>
    </row>
    <row r="737" spans="2:22" ht="14.25" customHeight="1">
      <c r="B737" s="140"/>
      <c r="C737" s="159"/>
      <c r="D737" s="129"/>
      <c r="E737" s="117"/>
      <c r="F737" s="131">
        <f>+F732+1</f>
        <v>4</v>
      </c>
      <c r="G737" s="132"/>
      <c r="H737" s="120" t="s">
        <v>271</v>
      </c>
      <c r="I737" s="121">
        <v>-138000</v>
      </c>
      <c r="J737" s="122">
        <v>0</v>
      </c>
      <c r="K737" s="122">
        <v>0</v>
      </c>
      <c r="L737" s="122">
        <v>0</v>
      </c>
      <c r="M737" s="122">
        <f>+I737-SUM(J737:L737)</f>
        <v>-138000</v>
      </c>
      <c r="N737" s="121">
        <v>0</v>
      </c>
      <c r="O737" s="123">
        <v>0</v>
      </c>
      <c r="P737" s="123">
        <v>0</v>
      </c>
      <c r="Q737" s="123">
        <v>0</v>
      </c>
      <c r="R737" s="123">
        <f>+N737-SUM(O737:Q737)</f>
        <v>0</v>
      </c>
      <c r="S737" s="138" t="s">
        <v>272</v>
      </c>
      <c r="T737" s="125"/>
      <c r="U737" s="126"/>
      <c r="V737" s="127"/>
    </row>
    <row r="738" spans="2:22" ht="14.25" customHeight="1">
      <c r="B738" s="140"/>
      <c r="C738" s="159"/>
      <c r="D738" s="129"/>
      <c r="E738" s="117"/>
      <c r="F738" s="131"/>
      <c r="G738" s="119"/>
      <c r="H738" s="120"/>
      <c r="I738" s="160"/>
      <c r="J738" s="161"/>
      <c r="K738" s="161"/>
      <c r="L738" s="161"/>
      <c r="M738" s="122"/>
      <c r="N738" s="160"/>
      <c r="O738" s="162"/>
      <c r="P738" s="162"/>
      <c r="Q738" s="162"/>
      <c r="R738" s="123"/>
      <c r="S738" s="133"/>
      <c r="T738" s="125"/>
      <c r="U738" s="126"/>
      <c r="V738" s="127"/>
    </row>
    <row r="739" spans="2:22" ht="14.25" customHeight="1">
      <c r="B739" s="140"/>
      <c r="C739" s="159"/>
      <c r="D739" s="129"/>
      <c r="E739" s="117" t="s">
        <v>1127</v>
      </c>
      <c r="F739" s="131">
        <f>+F737+1</f>
        <v>5</v>
      </c>
      <c r="G739" s="132"/>
      <c r="H739" s="120" t="s">
        <v>1128</v>
      </c>
      <c r="I739" s="121">
        <v>17846000</v>
      </c>
      <c r="J739" s="122">
        <v>73000</v>
      </c>
      <c r="K739" s="122">
        <v>0</v>
      </c>
      <c r="L739" s="122">
        <v>4886000</v>
      </c>
      <c r="M739" s="122">
        <f>+I739-SUM(J739:L739)</f>
        <v>12887000</v>
      </c>
      <c r="N739" s="121">
        <v>15394588</v>
      </c>
      <c r="O739" s="123">
        <v>73000</v>
      </c>
      <c r="P739" s="123">
        <v>0</v>
      </c>
      <c r="Q739" s="123">
        <v>4922280</v>
      </c>
      <c r="R739" s="123">
        <f>+N739-SUM(O739:Q739)</f>
        <v>10399308</v>
      </c>
      <c r="S739" s="137" t="s">
        <v>1129</v>
      </c>
      <c r="T739" s="125" t="s">
        <v>412</v>
      </c>
      <c r="U739" s="126" t="s">
        <v>412</v>
      </c>
      <c r="V739" s="127"/>
    </row>
    <row r="740" spans="2:22" ht="14.25" customHeight="1">
      <c r="B740" s="140"/>
      <c r="C740" s="159"/>
      <c r="D740" s="129"/>
      <c r="E740" s="117"/>
      <c r="F740" s="131"/>
      <c r="G740" s="119"/>
      <c r="H740" s="120"/>
      <c r="I740" s="160"/>
      <c r="J740" s="161"/>
      <c r="K740" s="161"/>
      <c r="L740" s="161"/>
      <c r="M740" s="122"/>
      <c r="N740" s="160"/>
      <c r="O740" s="162"/>
      <c r="P740" s="162"/>
      <c r="Q740" s="162"/>
      <c r="R740" s="123"/>
      <c r="S740" s="133" t="s">
        <v>1130</v>
      </c>
      <c r="T740" s="125"/>
      <c r="U740" s="126"/>
      <c r="V740" s="127"/>
    </row>
    <row r="741" spans="2:22" ht="14.25" customHeight="1">
      <c r="B741" s="140"/>
      <c r="C741" s="159"/>
      <c r="D741" s="129"/>
      <c r="E741" s="117"/>
      <c r="F741" s="131"/>
      <c r="G741" s="119"/>
      <c r="H741" s="120"/>
      <c r="I741" s="160"/>
      <c r="J741" s="161"/>
      <c r="K741" s="161"/>
      <c r="L741" s="161"/>
      <c r="M741" s="122"/>
      <c r="N741" s="160"/>
      <c r="O741" s="162"/>
      <c r="P741" s="162"/>
      <c r="Q741" s="162"/>
      <c r="R741" s="123"/>
      <c r="S741" s="133" t="s">
        <v>1131</v>
      </c>
      <c r="T741" s="125"/>
      <c r="U741" s="126"/>
      <c r="V741" s="127"/>
    </row>
    <row r="742" spans="2:22" ht="14.25" customHeight="1">
      <c r="B742" s="140"/>
      <c r="C742" s="159"/>
      <c r="D742" s="129"/>
      <c r="E742" s="117"/>
      <c r="F742" s="131"/>
      <c r="G742" s="119"/>
      <c r="H742" s="120"/>
      <c r="I742" s="160"/>
      <c r="J742" s="161"/>
      <c r="K742" s="161"/>
      <c r="L742" s="161"/>
      <c r="M742" s="122"/>
      <c r="N742" s="160"/>
      <c r="O742" s="162"/>
      <c r="P742" s="162"/>
      <c r="Q742" s="162"/>
      <c r="R742" s="123"/>
      <c r="S742" s="133" t="s">
        <v>332</v>
      </c>
      <c r="T742" s="125"/>
      <c r="U742" s="126"/>
      <c r="V742" s="127"/>
    </row>
    <row r="743" spans="2:22" ht="14.25" customHeight="1">
      <c r="B743" s="140"/>
      <c r="C743" s="159"/>
      <c r="D743" s="129"/>
      <c r="E743" s="117"/>
      <c r="F743" s="131"/>
      <c r="G743" s="119"/>
      <c r="H743" s="120"/>
      <c r="I743" s="160"/>
      <c r="J743" s="161"/>
      <c r="K743" s="161"/>
      <c r="L743" s="161"/>
      <c r="M743" s="122"/>
      <c r="N743" s="160"/>
      <c r="O743" s="162"/>
      <c r="P743" s="162"/>
      <c r="Q743" s="162"/>
      <c r="R743" s="123"/>
      <c r="S743" s="133"/>
      <c r="T743" s="125"/>
      <c r="U743" s="126"/>
      <c r="V743" s="127"/>
    </row>
    <row r="744" spans="2:22" ht="14.25" customHeight="1">
      <c r="B744" s="140"/>
      <c r="C744" s="159"/>
      <c r="D744" s="129"/>
      <c r="E744" s="117"/>
      <c r="F744" s="131">
        <f>+F739+1</f>
        <v>6</v>
      </c>
      <c r="G744" s="132"/>
      <c r="H744" s="120" t="s">
        <v>1132</v>
      </c>
      <c r="I744" s="160">
        <v>10969000</v>
      </c>
      <c r="J744" s="161">
        <v>2345000</v>
      </c>
      <c r="K744" s="161">
        <v>0</v>
      </c>
      <c r="L744" s="161">
        <v>0</v>
      </c>
      <c r="M744" s="161">
        <f>+I744-SUM(J744:L744)</f>
        <v>8624000</v>
      </c>
      <c r="N744" s="160">
        <v>10730836</v>
      </c>
      <c r="O744" s="162">
        <v>0</v>
      </c>
      <c r="P744" s="162">
        <v>0</v>
      </c>
      <c r="Q744" s="162">
        <v>0</v>
      </c>
      <c r="R744" s="123">
        <f>+N744-SUM(O744:Q744)</f>
        <v>10730836</v>
      </c>
      <c r="S744" s="197" t="s">
        <v>1133</v>
      </c>
      <c r="T744" s="125" t="s">
        <v>1134</v>
      </c>
      <c r="U744" s="126" t="s">
        <v>1134</v>
      </c>
      <c r="V744" s="127"/>
    </row>
    <row r="745" spans="2:22" ht="14.25" customHeight="1">
      <c r="B745" s="140"/>
      <c r="C745" s="159"/>
      <c r="D745" s="129"/>
      <c r="E745" s="117"/>
      <c r="F745" s="131"/>
      <c r="G745" s="119"/>
      <c r="H745" s="120"/>
      <c r="I745" s="160"/>
      <c r="J745" s="161"/>
      <c r="K745" s="161"/>
      <c r="L745" s="161"/>
      <c r="M745" s="122"/>
      <c r="N745" s="160"/>
      <c r="O745" s="162"/>
      <c r="P745" s="162"/>
      <c r="Q745" s="162"/>
      <c r="R745" s="123"/>
      <c r="S745" s="133" t="s">
        <v>1135</v>
      </c>
      <c r="T745" s="125"/>
      <c r="U745" s="126"/>
      <c r="V745" s="127"/>
    </row>
    <row r="746" spans="2:22" ht="14.25" customHeight="1">
      <c r="B746" s="140"/>
      <c r="C746" s="159"/>
      <c r="D746" s="129"/>
      <c r="E746" s="117"/>
      <c r="F746" s="131"/>
      <c r="G746" s="132"/>
      <c r="H746" s="120"/>
      <c r="I746" s="121"/>
      <c r="J746" s="122"/>
      <c r="K746" s="122"/>
      <c r="L746" s="122"/>
      <c r="M746" s="161"/>
      <c r="N746" s="121"/>
      <c r="O746" s="123"/>
      <c r="P746" s="123"/>
      <c r="Q746" s="123"/>
      <c r="R746" s="162"/>
      <c r="S746" s="137" t="s">
        <v>1136</v>
      </c>
      <c r="T746" s="184"/>
      <c r="U746" s="139"/>
      <c r="V746" s="127"/>
    </row>
    <row r="747" spans="2:22" ht="14.25" customHeight="1">
      <c r="B747" s="140"/>
      <c r="C747" s="159"/>
      <c r="D747" s="129"/>
      <c r="E747" s="117"/>
      <c r="F747" s="131"/>
      <c r="G747" s="132"/>
      <c r="H747" s="120"/>
      <c r="I747" s="121"/>
      <c r="J747" s="122"/>
      <c r="K747" s="122"/>
      <c r="L747" s="122"/>
      <c r="M747" s="161"/>
      <c r="N747" s="121"/>
      <c r="O747" s="123"/>
      <c r="P747" s="123"/>
      <c r="Q747" s="123"/>
      <c r="R747" s="162"/>
      <c r="S747" s="137"/>
      <c r="T747" s="184"/>
      <c r="U747" s="139"/>
      <c r="V747" s="127"/>
    </row>
    <row r="748" spans="2:22" ht="14.25" customHeight="1">
      <c r="B748" s="140"/>
      <c r="C748" s="159"/>
      <c r="D748" s="129"/>
      <c r="E748" s="117"/>
      <c r="F748" s="131">
        <f>+F744+1</f>
        <v>7</v>
      </c>
      <c r="G748" s="132"/>
      <c r="H748" s="120" t="s">
        <v>1137</v>
      </c>
      <c r="I748" s="160">
        <v>3344000</v>
      </c>
      <c r="J748" s="161">
        <v>259000</v>
      </c>
      <c r="K748" s="161">
        <v>0</v>
      </c>
      <c r="L748" s="161">
        <v>0</v>
      </c>
      <c r="M748" s="161">
        <f>+I748-SUM(J748:L748)</f>
        <v>3085000</v>
      </c>
      <c r="N748" s="160">
        <v>3247615</v>
      </c>
      <c r="O748" s="162">
        <v>0</v>
      </c>
      <c r="P748" s="162">
        <v>0</v>
      </c>
      <c r="Q748" s="162">
        <v>0</v>
      </c>
      <c r="R748" s="123">
        <f>+N748-SUM(O748:Q748)</f>
        <v>3247615</v>
      </c>
      <c r="S748" s="197" t="s">
        <v>1133</v>
      </c>
      <c r="T748" s="125" t="s">
        <v>1138</v>
      </c>
      <c r="U748" s="126" t="s">
        <v>1138</v>
      </c>
      <c r="V748" s="127"/>
    </row>
    <row r="749" spans="2:22" ht="14.25" customHeight="1">
      <c r="B749" s="140"/>
      <c r="C749" s="159"/>
      <c r="D749" s="129"/>
      <c r="E749" s="117"/>
      <c r="F749" s="131"/>
      <c r="G749" s="132"/>
      <c r="H749" s="120"/>
      <c r="I749" s="121"/>
      <c r="J749" s="122"/>
      <c r="K749" s="122"/>
      <c r="L749" s="122"/>
      <c r="M749" s="161"/>
      <c r="N749" s="121"/>
      <c r="O749" s="123"/>
      <c r="P749" s="123"/>
      <c r="Q749" s="123"/>
      <c r="R749" s="162"/>
      <c r="S749" s="133" t="s">
        <v>1139</v>
      </c>
      <c r="T749" s="125"/>
      <c r="U749" s="126"/>
      <c r="V749" s="127"/>
    </row>
    <row r="750" spans="2:22" ht="14.25" customHeight="1">
      <c r="B750" s="140"/>
      <c r="C750" s="159"/>
      <c r="D750" s="129"/>
      <c r="E750" s="117"/>
      <c r="F750" s="131"/>
      <c r="G750" s="132"/>
      <c r="H750" s="120"/>
      <c r="I750" s="121"/>
      <c r="J750" s="122"/>
      <c r="K750" s="122"/>
      <c r="L750" s="122"/>
      <c r="M750" s="161"/>
      <c r="N750" s="121"/>
      <c r="O750" s="123"/>
      <c r="P750" s="123"/>
      <c r="Q750" s="123"/>
      <c r="R750" s="162"/>
      <c r="S750" s="137" t="s">
        <v>1140</v>
      </c>
      <c r="T750" s="184"/>
      <c r="U750" s="139"/>
      <c r="V750" s="127"/>
    </row>
    <row r="751" spans="2:22" ht="14.25" customHeight="1">
      <c r="B751" s="140"/>
      <c r="C751" s="159"/>
      <c r="D751" s="129"/>
      <c r="E751" s="117"/>
      <c r="F751" s="131"/>
      <c r="G751" s="132"/>
      <c r="H751" s="120"/>
      <c r="I751" s="121"/>
      <c r="J751" s="122"/>
      <c r="K751" s="122"/>
      <c r="L751" s="122"/>
      <c r="M751" s="161"/>
      <c r="N751" s="121"/>
      <c r="O751" s="123"/>
      <c r="P751" s="123"/>
      <c r="Q751" s="123"/>
      <c r="R751" s="162"/>
      <c r="S751" s="137"/>
      <c r="T751" s="184"/>
      <c r="U751" s="139"/>
      <c r="V751" s="127"/>
    </row>
    <row r="752" spans="2:22" ht="14.25" customHeight="1">
      <c r="B752" s="140"/>
      <c r="C752" s="159"/>
      <c r="D752" s="129"/>
      <c r="E752" s="117"/>
      <c r="F752" s="131">
        <f>+F748+1</f>
        <v>8</v>
      </c>
      <c r="G752" s="132"/>
      <c r="H752" s="120" t="s">
        <v>271</v>
      </c>
      <c r="I752" s="160">
        <v>-148000</v>
      </c>
      <c r="J752" s="161">
        <v>0</v>
      </c>
      <c r="K752" s="161">
        <v>0</v>
      </c>
      <c r="L752" s="161">
        <v>0</v>
      </c>
      <c r="M752" s="161">
        <f>+I752-SUM(J752:L752)</f>
        <v>-148000</v>
      </c>
      <c r="N752" s="160">
        <v>0</v>
      </c>
      <c r="O752" s="162">
        <v>0</v>
      </c>
      <c r="P752" s="162">
        <v>0</v>
      </c>
      <c r="Q752" s="162">
        <v>0</v>
      </c>
      <c r="R752" s="123">
        <f>+N752-SUM(O752:Q752)</f>
        <v>0</v>
      </c>
      <c r="S752" s="138" t="s">
        <v>384</v>
      </c>
      <c r="T752" s="125"/>
      <c r="U752" s="126"/>
      <c r="V752" s="127"/>
    </row>
    <row r="753" spans="2:22" ht="14.25" customHeight="1">
      <c r="B753" s="140"/>
      <c r="C753" s="159"/>
      <c r="D753" s="129"/>
      <c r="E753" s="117"/>
      <c r="F753" s="131"/>
      <c r="G753" s="132"/>
      <c r="H753" s="120"/>
      <c r="I753" s="121"/>
      <c r="J753" s="122"/>
      <c r="K753" s="122"/>
      <c r="L753" s="122"/>
      <c r="M753" s="161"/>
      <c r="N753" s="121"/>
      <c r="O753" s="123"/>
      <c r="P753" s="123"/>
      <c r="Q753" s="123"/>
      <c r="R753" s="162"/>
      <c r="S753" s="137"/>
      <c r="T753" s="184"/>
      <c r="U753" s="139"/>
      <c r="V753" s="127"/>
    </row>
    <row r="754" spans="2:22" ht="14.25" customHeight="1">
      <c r="B754" s="140"/>
      <c r="C754" s="159"/>
      <c r="D754" s="129"/>
      <c r="E754" s="117" t="s">
        <v>1141</v>
      </c>
      <c r="F754" s="131">
        <f>+F752+1</f>
        <v>9</v>
      </c>
      <c r="G754" s="132"/>
      <c r="H754" s="120" t="s">
        <v>1141</v>
      </c>
      <c r="I754" s="121">
        <v>52846000</v>
      </c>
      <c r="J754" s="122">
        <v>0</v>
      </c>
      <c r="K754" s="122">
        <v>0</v>
      </c>
      <c r="L754" s="122">
        <v>70140000</v>
      </c>
      <c r="M754" s="122">
        <f>+I754-SUM(J754:L754)</f>
        <v>-17294000</v>
      </c>
      <c r="N754" s="121">
        <v>48596464</v>
      </c>
      <c r="O754" s="123">
        <v>0</v>
      </c>
      <c r="P754" s="123">
        <v>0</v>
      </c>
      <c r="Q754" s="123">
        <v>70215355</v>
      </c>
      <c r="R754" s="123">
        <f>+N754-SUM(O754:Q754)</f>
        <v>-21618891</v>
      </c>
      <c r="S754" s="133" t="s">
        <v>1142</v>
      </c>
      <c r="T754" s="125" t="s">
        <v>1143</v>
      </c>
      <c r="U754" s="126" t="s">
        <v>1143</v>
      </c>
      <c r="V754" s="127"/>
    </row>
    <row r="755" spans="2:22" ht="14.25" customHeight="1">
      <c r="B755" s="140"/>
      <c r="C755" s="159"/>
      <c r="D755" s="129"/>
      <c r="E755" s="117"/>
      <c r="F755" s="131"/>
      <c r="G755" s="132"/>
      <c r="H755" s="120"/>
      <c r="I755" s="121"/>
      <c r="J755" s="122"/>
      <c r="K755" s="122"/>
      <c r="L755" s="122"/>
      <c r="M755" s="161"/>
      <c r="N755" s="121"/>
      <c r="O755" s="123"/>
      <c r="P755" s="123"/>
      <c r="Q755" s="123"/>
      <c r="R755" s="162"/>
      <c r="S755" s="137" t="s">
        <v>1144</v>
      </c>
      <c r="T755" s="184"/>
      <c r="U755" s="139"/>
      <c r="V755" s="127"/>
    </row>
    <row r="756" spans="2:22" ht="14.25" customHeight="1">
      <c r="B756" s="140"/>
      <c r="C756" s="159"/>
      <c r="D756" s="129"/>
      <c r="E756" s="117"/>
      <c r="F756" s="131"/>
      <c r="G756" s="132"/>
      <c r="H756" s="120"/>
      <c r="I756" s="121"/>
      <c r="J756" s="122"/>
      <c r="K756" s="122"/>
      <c r="L756" s="122"/>
      <c r="M756" s="161"/>
      <c r="N756" s="121"/>
      <c r="O756" s="123"/>
      <c r="P756" s="123"/>
      <c r="Q756" s="123"/>
      <c r="R756" s="162"/>
      <c r="S756" s="137" t="s">
        <v>1145</v>
      </c>
      <c r="T756" s="184"/>
      <c r="U756" s="139"/>
      <c r="V756" s="127"/>
    </row>
    <row r="757" spans="2:22" ht="14.25" customHeight="1">
      <c r="B757" s="140"/>
      <c r="C757" s="159"/>
      <c r="D757" s="129"/>
      <c r="E757" s="117"/>
      <c r="F757" s="131"/>
      <c r="G757" s="132"/>
      <c r="H757" s="120"/>
      <c r="I757" s="121"/>
      <c r="J757" s="122"/>
      <c r="K757" s="122"/>
      <c r="L757" s="122"/>
      <c r="M757" s="161"/>
      <c r="N757" s="121"/>
      <c r="O757" s="123"/>
      <c r="P757" s="123"/>
      <c r="Q757" s="123"/>
      <c r="R757" s="162"/>
      <c r="S757" s="137" t="s">
        <v>1146</v>
      </c>
      <c r="T757" s="184"/>
      <c r="U757" s="139"/>
      <c r="V757" s="127"/>
    </row>
    <row r="758" spans="2:22" ht="14.25" customHeight="1">
      <c r="B758" s="140"/>
      <c r="C758" s="159"/>
      <c r="D758" s="129"/>
      <c r="E758" s="117"/>
      <c r="F758" s="131"/>
      <c r="G758" s="132"/>
      <c r="H758" s="120"/>
      <c r="I758" s="121"/>
      <c r="J758" s="122"/>
      <c r="K758" s="122"/>
      <c r="L758" s="122"/>
      <c r="M758" s="161"/>
      <c r="N758" s="121"/>
      <c r="O758" s="123"/>
      <c r="P758" s="123"/>
      <c r="Q758" s="123"/>
      <c r="R758" s="162"/>
      <c r="S758" s="137"/>
      <c r="T758" s="184"/>
      <c r="U758" s="139"/>
      <c r="V758" s="127"/>
    </row>
    <row r="759" spans="2:22" ht="14.25" customHeight="1">
      <c r="B759" s="140"/>
      <c r="C759" s="159"/>
      <c r="D759" s="129"/>
      <c r="E759" s="117"/>
      <c r="F759" s="131">
        <f>+F754+1</f>
        <v>10</v>
      </c>
      <c r="G759" s="132"/>
      <c r="H759" s="120" t="s">
        <v>1147</v>
      </c>
      <c r="I759" s="121">
        <v>5826000</v>
      </c>
      <c r="J759" s="122">
        <v>0</v>
      </c>
      <c r="K759" s="122">
        <v>0</v>
      </c>
      <c r="L759" s="122">
        <v>229000</v>
      </c>
      <c r="M759" s="122">
        <f>+I759-SUM(J759:L759)</f>
        <v>5597000</v>
      </c>
      <c r="N759" s="121">
        <v>5080000</v>
      </c>
      <c r="O759" s="123">
        <v>0</v>
      </c>
      <c r="P759" s="123">
        <v>0</v>
      </c>
      <c r="Q759" s="123">
        <v>229100</v>
      </c>
      <c r="R759" s="123">
        <f>+N759-SUM(O759:Q759)</f>
        <v>4850900</v>
      </c>
      <c r="S759" s="133" t="s">
        <v>1148</v>
      </c>
      <c r="T759" s="125" t="s">
        <v>1143</v>
      </c>
      <c r="U759" s="126" t="s">
        <v>1143</v>
      </c>
      <c r="V759" s="127"/>
    </row>
    <row r="760" spans="2:22" ht="14.25" customHeight="1">
      <c r="B760" s="140"/>
      <c r="C760" s="159"/>
      <c r="D760" s="129"/>
      <c r="E760" s="117"/>
      <c r="F760" s="131"/>
      <c r="G760" s="132"/>
      <c r="H760" s="120"/>
      <c r="I760" s="121"/>
      <c r="J760" s="122"/>
      <c r="K760" s="122"/>
      <c r="L760" s="122"/>
      <c r="M760" s="161"/>
      <c r="N760" s="121"/>
      <c r="O760" s="123"/>
      <c r="P760" s="123"/>
      <c r="Q760" s="123"/>
      <c r="R760" s="162"/>
      <c r="S760" s="137" t="s">
        <v>1149</v>
      </c>
      <c r="T760" s="184"/>
      <c r="U760" s="139"/>
      <c r="V760" s="127"/>
    </row>
    <row r="761" spans="2:22" ht="14.25" customHeight="1">
      <c r="B761" s="140"/>
      <c r="C761" s="159"/>
      <c r="D761" s="129"/>
      <c r="E761" s="117"/>
      <c r="F761" s="131"/>
      <c r="G761" s="132"/>
      <c r="H761" s="120"/>
      <c r="I761" s="121"/>
      <c r="J761" s="122"/>
      <c r="K761" s="122"/>
      <c r="L761" s="122"/>
      <c r="M761" s="161"/>
      <c r="N761" s="121"/>
      <c r="O761" s="123"/>
      <c r="P761" s="123"/>
      <c r="Q761" s="123"/>
      <c r="R761" s="162"/>
      <c r="S761" s="137"/>
      <c r="T761" s="184"/>
      <c r="U761" s="139"/>
      <c r="V761" s="127"/>
    </row>
    <row r="762" spans="2:22" ht="14.25" customHeight="1">
      <c r="B762" s="140"/>
      <c r="C762" s="159"/>
      <c r="D762" s="129"/>
      <c r="E762" s="117"/>
      <c r="F762" s="131">
        <f>+F759+1</f>
        <v>11</v>
      </c>
      <c r="G762" s="132"/>
      <c r="H762" s="120" t="s">
        <v>1150</v>
      </c>
      <c r="I762" s="121">
        <v>78105000</v>
      </c>
      <c r="J762" s="122">
        <v>44555000</v>
      </c>
      <c r="K762" s="122">
        <v>30000000</v>
      </c>
      <c r="L762" s="122">
        <v>1000000</v>
      </c>
      <c r="M762" s="122">
        <f>+I762-SUM(J762:L762)</f>
        <v>2550000</v>
      </c>
      <c r="N762" s="121">
        <v>73484856</v>
      </c>
      <c r="O762" s="123">
        <f>31750000+11000000</f>
        <v>42750000</v>
      </c>
      <c r="P762" s="123">
        <v>27000000</v>
      </c>
      <c r="Q762" s="123">
        <v>1000000</v>
      </c>
      <c r="R762" s="123">
        <f>+N762-SUM(O762:Q762)</f>
        <v>2734856</v>
      </c>
      <c r="S762" s="133" t="s">
        <v>1151</v>
      </c>
      <c r="T762" s="125" t="s">
        <v>1152</v>
      </c>
      <c r="U762" s="126" t="s">
        <v>1152</v>
      </c>
      <c r="V762" s="127"/>
    </row>
    <row r="763" spans="2:22" ht="14.25" customHeight="1">
      <c r="B763" s="140"/>
      <c r="C763" s="159"/>
      <c r="D763" s="129"/>
      <c r="E763" s="117"/>
      <c r="F763" s="131"/>
      <c r="G763" s="132"/>
      <c r="H763" s="120"/>
      <c r="I763" s="121"/>
      <c r="J763" s="122"/>
      <c r="K763" s="122"/>
      <c r="L763" s="122"/>
      <c r="M763" s="161"/>
      <c r="N763" s="121"/>
      <c r="O763" s="123"/>
      <c r="P763" s="123"/>
      <c r="Q763" s="123"/>
      <c r="R763" s="162"/>
      <c r="S763" s="137" t="s">
        <v>1153</v>
      </c>
      <c r="T763" s="184"/>
      <c r="U763" s="139"/>
      <c r="V763" s="127"/>
    </row>
    <row r="764" spans="2:22" ht="14.25" customHeight="1">
      <c r="B764" s="140"/>
      <c r="C764" s="159"/>
      <c r="D764" s="129"/>
      <c r="E764" s="117"/>
      <c r="F764" s="131"/>
      <c r="G764" s="132"/>
      <c r="H764" s="120"/>
      <c r="I764" s="121"/>
      <c r="J764" s="122"/>
      <c r="K764" s="122"/>
      <c r="L764" s="122"/>
      <c r="M764" s="161"/>
      <c r="N764" s="121"/>
      <c r="O764" s="123"/>
      <c r="P764" s="123"/>
      <c r="Q764" s="123"/>
      <c r="R764" s="162"/>
      <c r="S764" s="137"/>
      <c r="T764" s="184"/>
      <c r="U764" s="139"/>
      <c r="V764" s="127"/>
    </row>
    <row r="765" spans="2:22" ht="14.25" customHeight="1">
      <c r="B765" s="140"/>
      <c r="C765" s="159"/>
      <c r="D765" s="129"/>
      <c r="E765" s="117"/>
      <c r="F765" s="131"/>
      <c r="G765" s="132"/>
      <c r="H765" s="120"/>
      <c r="I765" s="121"/>
      <c r="J765" s="122"/>
      <c r="K765" s="122"/>
      <c r="L765" s="122"/>
      <c r="M765" s="161"/>
      <c r="N765" s="121"/>
      <c r="O765" s="123"/>
      <c r="P765" s="123"/>
      <c r="Q765" s="123"/>
      <c r="R765" s="162"/>
      <c r="S765" s="137"/>
      <c r="T765" s="184"/>
      <c r="U765" s="139"/>
      <c r="V765" s="127"/>
    </row>
    <row r="766" spans="2:22" ht="14.25" customHeight="1">
      <c r="B766" s="140"/>
      <c r="C766" s="159"/>
      <c r="D766" s="129"/>
      <c r="E766" s="117"/>
      <c r="F766" s="131"/>
      <c r="G766" s="132"/>
      <c r="H766" s="120"/>
      <c r="I766" s="121"/>
      <c r="J766" s="122"/>
      <c r="K766" s="122"/>
      <c r="L766" s="122"/>
      <c r="M766" s="161"/>
      <c r="N766" s="121"/>
      <c r="O766" s="123"/>
      <c r="P766" s="123"/>
      <c r="Q766" s="123"/>
      <c r="R766" s="162"/>
      <c r="S766" s="137"/>
      <c r="T766" s="184"/>
      <c r="U766" s="139"/>
      <c r="V766" s="127"/>
    </row>
    <row r="767" spans="2:22" ht="14.25" customHeight="1" thickBot="1">
      <c r="B767" s="147"/>
      <c r="C767" s="213"/>
      <c r="D767" s="148"/>
      <c r="E767" s="190"/>
      <c r="F767" s="150"/>
      <c r="G767" s="151"/>
      <c r="H767" s="191"/>
      <c r="I767" s="192"/>
      <c r="J767" s="193"/>
      <c r="K767" s="193"/>
      <c r="L767" s="193"/>
      <c r="M767" s="154"/>
      <c r="N767" s="192"/>
      <c r="O767" s="194"/>
      <c r="P767" s="194"/>
      <c r="Q767" s="194"/>
      <c r="R767" s="155"/>
      <c r="S767" s="156"/>
      <c r="T767" s="214"/>
      <c r="U767" s="230"/>
      <c r="V767" s="127"/>
    </row>
    <row r="768" spans="2:22" ht="14.25" customHeight="1">
      <c r="B768" s="140"/>
      <c r="C768" s="159"/>
      <c r="D768" s="129"/>
      <c r="E768" s="117" t="s">
        <v>1154</v>
      </c>
      <c r="F768" s="131">
        <f>+F762+1</f>
        <v>12</v>
      </c>
      <c r="G768" s="132"/>
      <c r="H768" s="120" t="s">
        <v>1155</v>
      </c>
      <c r="I768" s="121">
        <v>125264150</v>
      </c>
      <c r="J768" s="122">
        <v>63138675</v>
      </c>
      <c r="K768" s="122">
        <v>18000000</v>
      </c>
      <c r="L768" s="122">
        <v>11409820</v>
      </c>
      <c r="M768" s="122">
        <f>+I768-SUM(J768:L768)</f>
        <v>32715655</v>
      </c>
      <c r="N768" s="121">
        <v>121413880</v>
      </c>
      <c r="O768" s="123">
        <v>51254000</v>
      </c>
      <c r="P768" s="123">
        <v>18000000</v>
      </c>
      <c r="Q768" s="123">
        <f>12550655+6409775</f>
        <v>18960430</v>
      </c>
      <c r="R768" s="123">
        <f>+N768-SUM(O768:Q768)</f>
        <v>33199450</v>
      </c>
      <c r="S768" s="133" t="s">
        <v>1156</v>
      </c>
      <c r="T768" s="125" t="s">
        <v>1157</v>
      </c>
      <c r="U768" s="126" t="s">
        <v>1157</v>
      </c>
      <c r="V768" s="127"/>
    </row>
    <row r="769" spans="2:22" ht="14.25" customHeight="1">
      <c r="B769" s="140"/>
      <c r="C769" s="159"/>
      <c r="D769" s="129"/>
      <c r="E769" s="117"/>
      <c r="F769" s="131"/>
      <c r="G769" s="132"/>
      <c r="H769" s="120"/>
      <c r="I769" s="121"/>
      <c r="J769" s="122"/>
      <c r="K769" s="122"/>
      <c r="L769" s="122"/>
      <c r="M769" s="122"/>
      <c r="N769" s="121"/>
      <c r="O769" s="123"/>
      <c r="P769" s="123"/>
      <c r="Q769" s="123"/>
      <c r="R769" s="123"/>
      <c r="S769" s="137" t="s">
        <v>1158</v>
      </c>
      <c r="T769" s="184"/>
      <c r="U769" s="139"/>
      <c r="V769" s="127"/>
    </row>
    <row r="770" spans="2:22" ht="14.25" customHeight="1">
      <c r="B770" s="140"/>
      <c r="C770" s="159"/>
      <c r="D770" s="129"/>
      <c r="E770" s="117"/>
      <c r="F770" s="131"/>
      <c r="G770" s="132"/>
      <c r="H770" s="120"/>
      <c r="I770" s="121"/>
      <c r="J770" s="122"/>
      <c r="K770" s="122"/>
      <c r="L770" s="122"/>
      <c r="M770" s="122"/>
      <c r="N770" s="121"/>
      <c r="O770" s="123"/>
      <c r="P770" s="123"/>
      <c r="Q770" s="123"/>
      <c r="R770" s="123"/>
      <c r="S770" s="137" t="s">
        <v>1159</v>
      </c>
      <c r="T770" s="184"/>
      <c r="U770" s="139"/>
      <c r="V770" s="127"/>
    </row>
    <row r="771" spans="2:22" ht="14.25" customHeight="1">
      <c r="B771" s="140"/>
      <c r="C771" s="159"/>
      <c r="D771" s="129"/>
      <c r="E771" s="117"/>
      <c r="F771" s="131"/>
      <c r="G771" s="132"/>
      <c r="H771" s="120"/>
      <c r="I771" s="121"/>
      <c r="J771" s="122"/>
      <c r="K771" s="122"/>
      <c r="L771" s="122"/>
      <c r="M771" s="122"/>
      <c r="N771" s="121"/>
      <c r="O771" s="123"/>
      <c r="P771" s="123"/>
      <c r="Q771" s="123"/>
      <c r="R771" s="123"/>
      <c r="S771" s="137" t="s">
        <v>1160</v>
      </c>
      <c r="T771" s="184"/>
      <c r="U771" s="139"/>
      <c r="V771" s="127"/>
    </row>
    <row r="772" spans="2:22" ht="14.25" customHeight="1">
      <c r="B772" s="140"/>
      <c r="C772" s="159"/>
      <c r="D772" s="129"/>
      <c r="E772" s="117"/>
      <c r="F772" s="131"/>
      <c r="G772" s="132"/>
      <c r="H772" s="120"/>
      <c r="I772" s="121"/>
      <c r="J772" s="122"/>
      <c r="K772" s="122"/>
      <c r="L772" s="122"/>
      <c r="M772" s="122"/>
      <c r="N772" s="121"/>
      <c r="O772" s="123"/>
      <c r="P772" s="123"/>
      <c r="Q772" s="123"/>
      <c r="R772" s="123"/>
      <c r="S772" s="137" t="s">
        <v>1161</v>
      </c>
      <c r="T772" s="184"/>
      <c r="U772" s="139"/>
      <c r="V772" s="127"/>
    </row>
    <row r="773" spans="2:22" ht="14.25" customHeight="1">
      <c r="B773" s="140"/>
      <c r="C773" s="159"/>
      <c r="D773" s="129"/>
      <c r="E773" s="117"/>
      <c r="F773" s="131"/>
      <c r="G773" s="132"/>
      <c r="H773" s="120"/>
      <c r="I773" s="121"/>
      <c r="J773" s="122"/>
      <c r="K773" s="122"/>
      <c r="L773" s="122"/>
      <c r="M773" s="122"/>
      <c r="N773" s="121"/>
      <c r="O773" s="123"/>
      <c r="P773" s="123"/>
      <c r="Q773" s="123"/>
      <c r="R773" s="123"/>
      <c r="S773" s="252"/>
      <c r="T773" s="184"/>
      <c r="U773" s="139"/>
      <c r="V773" s="127"/>
    </row>
    <row r="774" spans="2:22" ht="14.25" customHeight="1">
      <c r="B774" s="140"/>
      <c r="C774" s="159"/>
      <c r="D774" s="129"/>
      <c r="E774" s="117"/>
      <c r="F774" s="131">
        <f>+F768+1</f>
        <v>13</v>
      </c>
      <c r="G774" s="132"/>
      <c r="H774" s="120" t="s">
        <v>1162</v>
      </c>
      <c r="I774" s="121">
        <v>149114500</v>
      </c>
      <c r="J774" s="122">
        <v>67257000</v>
      </c>
      <c r="K774" s="122">
        <v>64000000</v>
      </c>
      <c r="L774" s="122">
        <v>1000000</v>
      </c>
      <c r="M774" s="122">
        <f>+I774-SUM(J774:L774)</f>
        <v>16857500</v>
      </c>
      <c r="N774" s="121">
        <v>114616461</v>
      </c>
      <c r="O774" s="123">
        <v>57005325</v>
      </c>
      <c r="P774" s="123">
        <v>50000000</v>
      </c>
      <c r="Q774" s="123">
        <v>8149500</v>
      </c>
      <c r="R774" s="123">
        <f>+N774-SUM(O774:Q774)</f>
        <v>-538364</v>
      </c>
      <c r="S774" s="181" t="s">
        <v>1163</v>
      </c>
      <c r="T774" s="125" t="s">
        <v>1164</v>
      </c>
      <c r="U774" s="126" t="s">
        <v>1164</v>
      </c>
      <c r="V774" s="127"/>
    </row>
    <row r="775" spans="2:22" ht="14.25" customHeight="1">
      <c r="B775" s="140"/>
      <c r="C775" s="159"/>
      <c r="D775" s="129"/>
      <c r="E775" s="117"/>
      <c r="F775" s="131"/>
      <c r="G775" s="132"/>
      <c r="H775" s="120"/>
      <c r="I775" s="121"/>
      <c r="J775" s="122"/>
      <c r="K775" s="122"/>
      <c r="L775" s="122"/>
      <c r="M775" s="161"/>
      <c r="N775" s="121"/>
      <c r="O775" s="123"/>
      <c r="P775" s="123"/>
      <c r="Q775" s="123"/>
      <c r="R775" s="162"/>
      <c r="S775" s="196" t="s">
        <v>1165</v>
      </c>
      <c r="T775" s="184"/>
      <c r="U775" s="139"/>
      <c r="V775" s="127"/>
    </row>
    <row r="776" spans="2:22" ht="14.25" customHeight="1">
      <c r="B776" s="140"/>
      <c r="C776" s="159"/>
      <c r="D776" s="129"/>
      <c r="E776" s="117"/>
      <c r="F776" s="131"/>
      <c r="G776" s="132"/>
      <c r="H776" s="120"/>
      <c r="I776" s="121"/>
      <c r="J776" s="122"/>
      <c r="K776" s="122"/>
      <c r="L776" s="122"/>
      <c r="M776" s="161"/>
      <c r="N776" s="121"/>
      <c r="O776" s="123"/>
      <c r="P776" s="123"/>
      <c r="Q776" s="123"/>
      <c r="R776" s="162"/>
      <c r="S776" s="137" t="s">
        <v>1166</v>
      </c>
      <c r="T776" s="184"/>
      <c r="U776" s="139"/>
      <c r="V776" s="127"/>
    </row>
    <row r="777" spans="2:22" ht="14.25" customHeight="1">
      <c r="B777" s="140"/>
      <c r="C777" s="159"/>
      <c r="D777" s="129"/>
      <c r="E777" s="117"/>
      <c r="F777" s="131"/>
      <c r="G777" s="132"/>
      <c r="H777" s="120"/>
      <c r="I777" s="121"/>
      <c r="J777" s="122"/>
      <c r="K777" s="122"/>
      <c r="L777" s="122"/>
      <c r="M777" s="161"/>
      <c r="N777" s="121"/>
      <c r="O777" s="123"/>
      <c r="P777" s="123"/>
      <c r="Q777" s="123"/>
      <c r="R777" s="162"/>
      <c r="S777" s="137" t="s">
        <v>1167</v>
      </c>
      <c r="T777" s="184"/>
      <c r="U777" s="139"/>
      <c r="V777" s="127"/>
    </row>
    <row r="778" spans="2:22" ht="14.25" customHeight="1">
      <c r="B778" s="140"/>
      <c r="C778" s="159"/>
      <c r="D778" s="129"/>
      <c r="E778" s="117"/>
      <c r="F778" s="131"/>
      <c r="G778" s="132"/>
      <c r="H778" s="120"/>
      <c r="I778" s="121"/>
      <c r="J778" s="122"/>
      <c r="K778" s="122"/>
      <c r="L778" s="122"/>
      <c r="M778" s="161"/>
      <c r="N778" s="121"/>
      <c r="O778" s="123"/>
      <c r="P778" s="123"/>
      <c r="Q778" s="123"/>
      <c r="R778" s="162"/>
      <c r="S778" s="137" t="s">
        <v>1168</v>
      </c>
      <c r="T778" s="184"/>
      <c r="U778" s="139"/>
      <c r="V778" s="127"/>
    </row>
    <row r="779" spans="2:22" ht="14.25" customHeight="1" thickBot="1">
      <c r="B779" s="147"/>
      <c r="C779" s="213"/>
      <c r="D779" s="148"/>
      <c r="E779" s="190"/>
      <c r="F779" s="150"/>
      <c r="G779" s="151"/>
      <c r="H779" s="191"/>
      <c r="I779" s="192"/>
      <c r="J779" s="193"/>
      <c r="K779" s="193"/>
      <c r="L779" s="193"/>
      <c r="M779" s="154"/>
      <c r="N779" s="192"/>
      <c r="O779" s="194"/>
      <c r="P779" s="194"/>
      <c r="Q779" s="194"/>
      <c r="R779" s="155"/>
      <c r="S779" s="156"/>
      <c r="T779" s="214"/>
      <c r="U779" s="230"/>
      <c r="V779" s="135"/>
    </row>
    <row r="780" spans="2:22" ht="14.25" customHeight="1">
      <c r="B780" s="115"/>
      <c r="C780" s="159"/>
      <c r="D780" s="129"/>
      <c r="E780" s="117"/>
      <c r="F780" s="131"/>
      <c r="G780" s="132"/>
      <c r="H780" s="120"/>
      <c r="I780" s="160"/>
      <c r="J780" s="161"/>
      <c r="K780" s="161"/>
      <c r="L780" s="161"/>
      <c r="M780" s="161"/>
      <c r="N780" s="160"/>
      <c r="O780" s="162"/>
      <c r="P780" s="162"/>
      <c r="Q780" s="162"/>
      <c r="R780" s="162"/>
      <c r="S780" s="133"/>
      <c r="T780" s="125"/>
      <c r="U780" s="126"/>
      <c r="V780" s="135"/>
    </row>
    <row r="781" spans="2:22" ht="14.25" customHeight="1">
      <c r="B781" s="115" t="s">
        <v>1169</v>
      </c>
      <c r="C781" s="129">
        <f>SUM(I781:I787)</f>
        <v>36161000</v>
      </c>
      <c r="D781" s="129">
        <f>SUM(N781:N787)</f>
        <v>33052889</v>
      </c>
      <c r="E781" s="117" t="s">
        <v>1170</v>
      </c>
      <c r="F781" s="131">
        <v>1</v>
      </c>
      <c r="G781" s="132"/>
      <c r="H781" s="120" t="s">
        <v>1171</v>
      </c>
      <c r="I781" s="160">
        <v>36842000</v>
      </c>
      <c r="J781" s="161">
        <v>0</v>
      </c>
      <c r="K781" s="161">
        <v>0</v>
      </c>
      <c r="L781" s="161">
        <v>5271000</v>
      </c>
      <c r="M781" s="122">
        <f>+I781-SUM(J781:L781)</f>
        <v>31571000</v>
      </c>
      <c r="N781" s="160">
        <v>33052889</v>
      </c>
      <c r="O781" s="162">
        <v>0</v>
      </c>
      <c r="P781" s="162">
        <v>0</v>
      </c>
      <c r="Q781" s="162">
        <f>195000+2965500+236000+988400</f>
        <v>4384900</v>
      </c>
      <c r="R781" s="123">
        <f>+N781-SUM(O781:Q781)</f>
        <v>28667989</v>
      </c>
      <c r="S781" s="133" t="s">
        <v>1172</v>
      </c>
      <c r="T781" s="125" t="s">
        <v>1173</v>
      </c>
      <c r="U781" s="126" t="s">
        <v>1174</v>
      </c>
      <c r="V781" s="135"/>
    </row>
    <row r="782" spans="2:22" ht="14.25" customHeight="1">
      <c r="B782" s="115" t="s">
        <v>280</v>
      </c>
      <c r="C782" s="129"/>
      <c r="D782" s="116"/>
      <c r="E782" s="117" t="s">
        <v>1175</v>
      </c>
      <c r="F782" s="131"/>
      <c r="G782" s="132"/>
      <c r="H782" s="120"/>
      <c r="I782" s="160"/>
      <c r="J782" s="161"/>
      <c r="K782" s="161"/>
      <c r="L782" s="161"/>
      <c r="M782" s="122"/>
      <c r="N782" s="160"/>
      <c r="O782" s="162"/>
      <c r="P782" s="162"/>
      <c r="Q782" s="162"/>
      <c r="R782" s="123"/>
      <c r="S782" s="133" t="s">
        <v>1176</v>
      </c>
      <c r="T782" s="125"/>
      <c r="U782" s="126"/>
      <c r="V782" s="127"/>
    </row>
    <row r="783" spans="2:22" ht="14.25" customHeight="1">
      <c r="B783" s="115"/>
      <c r="C783" s="129" t="s">
        <v>15</v>
      </c>
      <c r="D783" s="129" t="s">
        <v>15</v>
      </c>
      <c r="E783" s="235"/>
      <c r="F783" s="119"/>
      <c r="G783" s="132"/>
      <c r="H783" s="120"/>
      <c r="I783" s="160"/>
      <c r="J783" s="161"/>
      <c r="K783" s="161"/>
      <c r="L783" s="161"/>
      <c r="M783" s="122"/>
      <c r="N783" s="160"/>
      <c r="O783" s="162"/>
      <c r="P783" s="162"/>
      <c r="Q783" s="162"/>
      <c r="R783" s="123"/>
      <c r="S783" s="133" t="s">
        <v>1177</v>
      </c>
      <c r="T783" s="125"/>
      <c r="U783" s="126"/>
      <c r="V783" s="135"/>
    </row>
    <row r="784" spans="2:22" ht="14.25" customHeight="1">
      <c r="B784" s="115"/>
      <c r="C784" s="129">
        <f>SUM(L781:L787)</f>
        <v>5271000</v>
      </c>
      <c r="D784" s="129">
        <f>SUM(Q781:Q787)</f>
        <v>4384900</v>
      </c>
      <c r="E784" s="117"/>
      <c r="F784" s="131"/>
      <c r="G784" s="132"/>
      <c r="H784" s="120"/>
      <c r="I784" s="160"/>
      <c r="J784" s="161"/>
      <c r="K784" s="161"/>
      <c r="L784" s="161"/>
      <c r="M784" s="122"/>
      <c r="N784" s="160"/>
      <c r="O784" s="162"/>
      <c r="P784" s="162"/>
      <c r="Q784" s="162"/>
      <c r="R784" s="123"/>
      <c r="S784" s="133" t="s">
        <v>1178</v>
      </c>
      <c r="T784" s="125"/>
      <c r="U784" s="126"/>
      <c r="V784" s="127"/>
    </row>
    <row r="785" spans="2:22" ht="14.25" customHeight="1">
      <c r="B785" s="140"/>
      <c r="C785" s="129" t="s">
        <v>18</v>
      </c>
      <c r="D785" s="129" t="s">
        <v>18</v>
      </c>
      <c r="E785" s="235"/>
      <c r="F785" s="233"/>
      <c r="G785" s="132"/>
      <c r="H785" s="120"/>
      <c r="I785" s="160"/>
      <c r="J785" s="161"/>
      <c r="K785" s="161"/>
      <c r="L785" s="161"/>
      <c r="M785" s="122"/>
      <c r="N785" s="160"/>
      <c r="O785" s="162"/>
      <c r="P785" s="162"/>
      <c r="Q785" s="162"/>
      <c r="R785" s="123"/>
      <c r="S785" s="137"/>
      <c r="T785" s="125"/>
      <c r="U785" s="126"/>
      <c r="V785" s="182"/>
    </row>
    <row r="786" spans="2:22" ht="14.25" customHeight="1">
      <c r="B786" s="140"/>
      <c r="C786" s="129">
        <f>C781-C784</f>
        <v>30890000</v>
      </c>
      <c r="D786" s="129">
        <f>D781-D784</f>
        <v>28667989</v>
      </c>
      <c r="E786" s="117"/>
      <c r="F786" s="131">
        <f>+F781+1</f>
        <v>2</v>
      </c>
      <c r="G786" s="132"/>
      <c r="H786" s="120" t="s">
        <v>1179</v>
      </c>
      <c r="I786" s="160">
        <v>-681000</v>
      </c>
      <c r="J786" s="161">
        <v>0</v>
      </c>
      <c r="K786" s="161">
        <v>0</v>
      </c>
      <c r="L786" s="161">
        <v>0</v>
      </c>
      <c r="M786" s="122">
        <f>+I786-SUM(J786:L786)</f>
        <v>-681000</v>
      </c>
      <c r="N786" s="160">
        <v>0</v>
      </c>
      <c r="O786" s="162">
        <v>0</v>
      </c>
      <c r="P786" s="162">
        <v>0</v>
      </c>
      <c r="Q786" s="162">
        <v>0</v>
      </c>
      <c r="R786" s="123">
        <f>+N786-SUM(O786:Q786)</f>
        <v>0</v>
      </c>
      <c r="S786" s="138" t="s">
        <v>384</v>
      </c>
      <c r="T786" s="125"/>
      <c r="U786" s="126"/>
      <c r="V786" s="127"/>
    </row>
    <row r="787" spans="2:22" ht="14.25" customHeight="1" thickBot="1">
      <c r="B787" s="147"/>
      <c r="C787" s="148"/>
      <c r="D787" s="148"/>
      <c r="E787" s="190"/>
      <c r="F787" s="150"/>
      <c r="G787" s="151"/>
      <c r="H787" s="191"/>
      <c r="I787" s="192"/>
      <c r="J787" s="193"/>
      <c r="K787" s="193"/>
      <c r="L787" s="193"/>
      <c r="M787" s="193"/>
      <c r="N787" s="192"/>
      <c r="O787" s="194"/>
      <c r="P787" s="194"/>
      <c r="Q787" s="194"/>
      <c r="R787" s="194"/>
      <c r="S787" s="156"/>
      <c r="T787" s="157"/>
      <c r="U787" s="158"/>
      <c r="V787" s="127"/>
    </row>
    <row r="788" spans="2:22" ht="14.25" customHeight="1">
      <c r="B788" s="140"/>
      <c r="C788" s="129"/>
      <c r="D788" s="129"/>
      <c r="E788" s="117"/>
      <c r="F788" s="131"/>
      <c r="G788" s="132"/>
      <c r="H788" s="120"/>
      <c r="I788" s="121"/>
      <c r="J788" s="122"/>
      <c r="K788" s="122"/>
      <c r="L788" s="122"/>
      <c r="M788" s="122"/>
      <c r="N788" s="121"/>
      <c r="O788" s="123"/>
      <c r="P788" s="123"/>
      <c r="Q788" s="123"/>
      <c r="R788" s="123"/>
      <c r="S788" s="137"/>
      <c r="T788" s="125"/>
      <c r="U788" s="126"/>
      <c r="V788" s="127"/>
    </row>
    <row r="789" spans="2:22" ht="14.25" customHeight="1">
      <c r="B789" s="115" t="s">
        <v>171</v>
      </c>
      <c r="C789" s="129">
        <f>SUM(I789:I799)</f>
        <v>29858000</v>
      </c>
      <c r="D789" s="129">
        <f>SUM(N789:N799)</f>
        <v>24576788</v>
      </c>
      <c r="E789" s="117" t="s">
        <v>1170</v>
      </c>
      <c r="F789" s="131">
        <v>1</v>
      </c>
      <c r="G789" s="132"/>
      <c r="H789" s="120" t="s">
        <v>1180</v>
      </c>
      <c r="I789" s="160">
        <v>922000</v>
      </c>
      <c r="J789" s="161">
        <v>0</v>
      </c>
      <c r="K789" s="161">
        <v>0</v>
      </c>
      <c r="L789" s="161">
        <v>0</v>
      </c>
      <c r="M789" s="122">
        <f>+I789-SUM(J789:L789)</f>
        <v>922000</v>
      </c>
      <c r="N789" s="160">
        <v>706467</v>
      </c>
      <c r="O789" s="162">
        <v>0</v>
      </c>
      <c r="P789" s="162">
        <v>0</v>
      </c>
      <c r="Q789" s="162">
        <v>0</v>
      </c>
      <c r="R789" s="123">
        <f>+N789-SUM(O789:Q789)</f>
        <v>706467</v>
      </c>
      <c r="S789" s="133" t="s">
        <v>1181</v>
      </c>
      <c r="T789" s="125" t="s">
        <v>1182</v>
      </c>
      <c r="U789" s="126" t="s">
        <v>1183</v>
      </c>
      <c r="V789" s="127"/>
    </row>
    <row r="790" spans="2:22" ht="14.25" customHeight="1">
      <c r="B790" s="115" t="s">
        <v>173</v>
      </c>
      <c r="C790" s="129"/>
      <c r="D790" s="116"/>
      <c r="E790" s="117" t="s">
        <v>1175</v>
      </c>
      <c r="F790" s="131"/>
      <c r="G790" s="132"/>
      <c r="H790" s="120"/>
      <c r="I790" s="160"/>
      <c r="J790" s="161"/>
      <c r="K790" s="161"/>
      <c r="L790" s="161"/>
      <c r="M790" s="122"/>
      <c r="N790" s="160"/>
      <c r="O790" s="162"/>
      <c r="P790" s="162"/>
      <c r="Q790" s="162"/>
      <c r="R790" s="123"/>
      <c r="S790" s="133"/>
      <c r="T790" s="125"/>
      <c r="U790" s="126"/>
      <c r="V790" s="127"/>
    </row>
    <row r="791" spans="2:22" ht="14.25" customHeight="1">
      <c r="B791" s="115"/>
      <c r="C791" s="129" t="s">
        <v>15</v>
      </c>
      <c r="D791" s="129" t="s">
        <v>15</v>
      </c>
      <c r="E791" s="117"/>
      <c r="F791" s="131">
        <f>+F789+1</f>
        <v>2</v>
      </c>
      <c r="G791" s="132"/>
      <c r="H791" s="120" t="s">
        <v>1184</v>
      </c>
      <c r="I791" s="160">
        <v>2404000</v>
      </c>
      <c r="J791" s="161">
        <v>0</v>
      </c>
      <c r="K791" s="161">
        <v>0</v>
      </c>
      <c r="L791" s="161">
        <v>3251000</v>
      </c>
      <c r="M791" s="122">
        <f>+I791-SUM(J791:L791)</f>
        <v>-847000</v>
      </c>
      <c r="N791" s="160">
        <v>2310892</v>
      </c>
      <c r="O791" s="162">
        <v>0</v>
      </c>
      <c r="P791" s="162">
        <v>0</v>
      </c>
      <c r="Q791" s="162">
        <v>3544700</v>
      </c>
      <c r="R791" s="123">
        <f>+N791-SUM(O791:Q791)</f>
        <v>-1233808</v>
      </c>
      <c r="S791" s="137" t="s">
        <v>1185</v>
      </c>
      <c r="T791" s="125" t="s">
        <v>1186</v>
      </c>
      <c r="U791" s="126" t="s">
        <v>1187</v>
      </c>
      <c r="V791" s="127"/>
    </row>
    <row r="792" spans="2:22" ht="14.25" customHeight="1">
      <c r="B792" s="115"/>
      <c r="C792" s="129">
        <f>SUM(L789:L799)</f>
        <v>3251000</v>
      </c>
      <c r="D792" s="129">
        <f>SUM(Q789:Q799)</f>
        <v>3544700</v>
      </c>
      <c r="E792" s="117"/>
      <c r="F792" s="131"/>
      <c r="G792" s="132"/>
      <c r="H792" s="120"/>
      <c r="I792" s="121"/>
      <c r="J792" s="122"/>
      <c r="K792" s="122"/>
      <c r="L792" s="122"/>
      <c r="M792" s="122"/>
      <c r="N792" s="121"/>
      <c r="O792" s="123"/>
      <c r="P792" s="123"/>
      <c r="Q792" s="123"/>
      <c r="R792" s="123"/>
      <c r="S792" s="137" t="s">
        <v>1188</v>
      </c>
      <c r="T792" s="125"/>
      <c r="U792" s="126"/>
      <c r="V792" s="127"/>
    </row>
    <row r="793" spans="2:22" ht="14.25" customHeight="1">
      <c r="B793" s="140"/>
      <c r="C793" s="129" t="s">
        <v>18</v>
      </c>
      <c r="D793" s="129" t="s">
        <v>18</v>
      </c>
      <c r="E793" s="117"/>
      <c r="F793" s="131"/>
      <c r="G793" s="132"/>
      <c r="H793" s="120"/>
      <c r="I793" s="160"/>
      <c r="J793" s="161"/>
      <c r="K793" s="161"/>
      <c r="L793" s="161"/>
      <c r="M793" s="122"/>
      <c r="N793" s="160"/>
      <c r="O793" s="162"/>
      <c r="P793" s="162"/>
      <c r="Q793" s="162"/>
      <c r="R793" s="123"/>
      <c r="S793" s="197" t="s">
        <v>1189</v>
      </c>
      <c r="T793" s="125"/>
      <c r="U793" s="126"/>
      <c r="V793" s="127"/>
    </row>
    <row r="794" spans="2:22" ht="14.25" customHeight="1">
      <c r="B794" s="140"/>
      <c r="C794" s="129">
        <f>C789-C792</f>
        <v>26607000</v>
      </c>
      <c r="D794" s="129">
        <f>D789-D792</f>
        <v>21032088</v>
      </c>
      <c r="E794" s="117"/>
      <c r="F794" s="118"/>
      <c r="G794" s="132"/>
      <c r="H794" s="120"/>
      <c r="I794" s="160"/>
      <c r="J794" s="161"/>
      <c r="K794" s="161"/>
      <c r="L794" s="161"/>
      <c r="M794" s="122"/>
      <c r="N794" s="160"/>
      <c r="O794" s="162"/>
      <c r="P794" s="162"/>
      <c r="Q794" s="162"/>
      <c r="R794" s="123"/>
      <c r="S794" s="137"/>
      <c r="T794" s="125"/>
      <c r="U794" s="126"/>
      <c r="V794" s="127"/>
    </row>
    <row r="795" spans="2:22" ht="14.25" customHeight="1">
      <c r="B795" s="140"/>
      <c r="C795" s="129"/>
      <c r="D795" s="129"/>
      <c r="E795" s="117"/>
      <c r="F795" s="131">
        <f>+F791+1</f>
        <v>3</v>
      </c>
      <c r="G795" s="132"/>
      <c r="H795" s="120" t="s">
        <v>1190</v>
      </c>
      <c r="I795" s="160">
        <v>26532000</v>
      </c>
      <c r="J795" s="161">
        <v>0</v>
      </c>
      <c r="K795" s="161">
        <v>0</v>
      </c>
      <c r="L795" s="161">
        <v>0</v>
      </c>
      <c r="M795" s="122">
        <f>+I795-SUM(J795:L795)</f>
        <v>26532000</v>
      </c>
      <c r="N795" s="160">
        <v>21559429</v>
      </c>
      <c r="O795" s="162">
        <v>0</v>
      </c>
      <c r="P795" s="162">
        <v>0</v>
      </c>
      <c r="Q795" s="162">
        <v>0</v>
      </c>
      <c r="R795" s="123">
        <f>+N795-SUM(O795:Q795)</f>
        <v>21559429</v>
      </c>
      <c r="S795" s="133" t="s">
        <v>1191</v>
      </c>
      <c r="T795" s="125" t="s">
        <v>1192</v>
      </c>
      <c r="U795" s="126" t="s">
        <v>1193</v>
      </c>
      <c r="V795" s="127"/>
    </row>
    <row r="796" spans="2:22" ht="14.25" customHeight="1">
      <c r="B796" s="140"/>
      <c r="C796" s="129"/>
      <c r="D796" s="129"/>
      <c r="E796" s="117"/>
      <c r="F796" s="118"/>
      <c r="G796" s="132"/>
      <c r="H796" s="120"/>
      <c r="I796" s="160"/>
      <c r="J796" s="161"/>
      <c r="K796" s="161"/>
      <c r="L796" s="161"/>
      <c r="M796" s="122"/>
      <c r="N796" s="160"/>
      <c r="O796" s="162"/>
      <c r="P796" s="162"/>
      <c r="Q796" s="162"/>
      <c r="R796" s="123"/>
      <c r="S796" s="133" t="s">
        <v>1194</v>
      </c>
      <c r="T796" s="125"/>
      <c r="U796" s="126"/>
      <c r="V796" s="127"/>
    </row>
    <row r="797" spans="2:22" ht="14.25" customHeight="1">
      <c r="B797" s="140"/>
      <c r="C797" s="129"/>
      <c r="D797" s="129"/>
      <c r="E797" s="117"/>
      <c r="F797" s="131"/>
      <c r="G797" s="132"/>
      <c r="H797" s="120"/>
      <c r="I797" s="160"/>
      <c r="J797" s="161"/>
      <c r="K797" s="161"/>
      <c r="L797" s="161"/>
      <c r="M797" s="122"/>
      <c r="N797" s="160"/>
      <c r="O797" s="162"/>
      <c r="P797" s="162"/>
      <c r="Q797" s="162"/>
      <c r="R797" s="123"/>
      <c r="S797" s="137" t="s">
        <v>1195</v>
      </c>
      <c r="T797" s="125"/>
      <c r="U797" s="126"/>
      <c r="V797" s="127"/>
    </row>
    <row r="798" spans="2:22" ht="14.25" customHeight="1">
      <c r="B798" s="140"/>
      <c r="C798" s="129"/>
      <c r="D798" s="129"/>
      <c r="E798" s="117"/>
      <c r="F798" s="131"/>
      <c r="G798" s="132"/>
      <c r="H798" s="120"/>
      <c r="I798" s="121"/>
      <c r="J798" s="122"/>
      <c r="K798" s="122"/>
      <c r="L798" s="122"/>
      <c r="M798" s="122"/>
      <c r="N798" s="121"/>
      <c r="O798" s="123"/>
      <c r="P798" s="123"/>
      <c r="Q798" s="123"/>
      <c r="R798" s="123"/>
      <c r="S798" s="137" t="s">
        <v>1196</v>
      </c>
      <c r="T798" s="125"/>
      <c r="U798" s="126"/>
      <c r="V798" s="127"/>
    </row>
    <row r="799" spans="2:22" ht="14.25" customHeight="1" thickBot="1">
      <c r="B799" s="147"/>
      <c r="C799" s="148"/>
      <c r="D799" s="148"/>
      <c r="E799" s="190"/>
      <c r="F799" s="150"/>
      <c r="G799" s="151"/>
      <c r="H799" s="191"/>
      <c r="I799" s="153"/>
      <c r="J799" s="154"/>
      <c r="K799" s="154"/>
      <c r="L799" s="154"/>
      <c r="M799" s="193"/>
      <c r="N799" s="153"/>
      <c r="O799" s="155"/>
      <c r="P799" s="155"/>
      <c r="Q799" s="155"/>
      <c r="R799" s="194"/>
      <c r="S799" s="207"/>
      <c r="T799" s="157"/>
      <c r="U799" s="158"/>
      <c r="V799" s="127"/>
    </row>
    <row r="800" spans="2:22" ht="14.25" customHeight="1">
      <c r="B800" s="168"/>
      <c r="C800" s="169"/>
      <c r="D800" s="170"/>
      <c r="E800" s="253"/>
      <c r="F800" s="173"/>
      <c r="G800" s="173"/>
      <c r="H800" s="174"/>
      <c r="I800" s="175"/>
      <c r="J800" s="176"/>
      <c r="K800" s="176"/>
      <c r="L800" s="176"/>
      <c r="M800" s="122"/>
      <c r="N800" s="175"/>
      <c r="O800" s="177"/>
      <c r="P800" s="177"/>
      <c r="Q800" s="177"/>
      <c r="R800" s="123"/>
      <c r="S800" s="178"/>
      <c r="T800" s="222"/>
      <c r="U800" s="180"/>
      <c r="V800" s="127"/>
    </row>
    <row r="801" spans="2:22" ht="14.25" customHeight="1">
      <c r="B801" s="115" t="s">
        <v>1197</v>
      </c>
      <c r="C801" s="129">
        <f>SUM(I801:I834)</f>
        <v>149470000</v>
      </c>
      <c r="D801" s="129">
        <f>SUM(N801:N834)</f>
        <v>135517985</v>
      </c>
      <c r="E801" s="235" t="s">
        <v>1170</v>
      </c>
      <c r="F801" s="132">
        <v>1</v>
      </c>
      <c r="G801" s="132"/>
      <c r="H801" s="120" t="s">
        <v>1198</v>
      </c>
      <c r="I801" s="160">
        <v>9695000</v>
      </c>
      <c r="J801" s="161">
        <v>174000</v>
      </c>
      <c r="K801" s="161">
        <v>0</v>
      </c>
      <c r="L801" s="161">
        <v>921000</v>
      </c>
      <c r="M801" s="122">
        <f>+I801-SUM(J801:L801)</f>
        <v>8600000</v>
      </c>
      <c r="N801" s="160">
        <v>9051663</v>
      </c>
      <c r="O801" s="162">
        <v>147000</v>
      </c>
      <c r="P801" s="162">
        <v>0</v>
      </c>
      <c r="Q801" s="162">
        <f>252000+233000</f>
        <v>485000</v>
      </c>
      <c r="R801" s="123">
        <f>+N801-SUM(O801:Q801)</f>
        <v>8419663</v>
      </c>
      <c r="S801" s="133" t="s">
        <v>1199</v>
      </c>
      <c r="T801" s="125" t="s">
        <v>1200</v>
      </c>
      <c r="U801" s="126" t="s">
        <v>1201</v>
      </c>
      <c r="V801" s="127"/>
    </row>
    <row r="802" spans="2:22" ht="14.25" customHeight="1">
      <c r="B802" s="115" t="s">
        <v>280</v>
      </c>
      <c r="C802" s="129"/>
      <c r="D802" s="116"/>
      <c r="E802" s="235" t="s">
        <v>1175</v>
      </c>
      <c r="F802" s="233"/>
      <c r="G802" s="132"/>
      <c r="H802" s="120"/>
      <c r="I802" s="160"/>
      <c r="J802" s="161"/>
      <c r="K802" s="161"/>
      <c r="L802" s="161"/>
      <c r="M802" s="122"/>
      <c r="N802" s="160"/>
      <c r="O802" s="162"/>
      <c r="P802" s="162"/>
      <c r="Q802" s="162"/>
      <c r="R802" s="123"/>
      <c r="S802" s="133" t="s">
        <v>1202</v>
      </c>
      <c r="T802" s="125"/>
      <c r="U802" s="126"/>
      <c r="V802" s="127"/>
    </row>
    <row r="803" spans="2:22" ht="14.25" customHeight="1">
      <c r="B803" s="115"/>
      <c r="C803" s="129" t="s">
        <v>26</v>
      </c>
      <c r="D803" s="129" t="s">
        <v>26</v>
      </c>
      <c r="E803" s="235"/>
      <c r="F803" s="233"/>
      <c r="G803" s="132"/>
      <c r="H803" s="120"/>
      <c r="I803" s="160"/>
      <c r="J803" s="161"/>
      <c r="K803" s="161"/>
      <c r="L803" s="161"/>
      <c r="M803" s="122"/>
      <c r="N803" s="160"/>
      <c r="O803" s="162"/>
      <c r="P803" s="162"/>
      <c r="Q803" s="162"/>
      <c r="R803" s="123"/>
      <c r="S803" s="133" t="s">
        <v>1203</v>
      </c>
      <c r="T803" s="125"/>
      <c r="U803" s="126"/>
      <c r="V803" s="127"/>
    </row>
    <row r="804" spans="2:22" ht="14.25" customHeight="1">
      <c r="B804" s="140"/>
      <c r="C804" s="129">
        <f>SUM(J801:J834)</f>
        <v>12914000</v>
      </c>
      <c r="D804" s="129">
        <f>SUM(O801:O834)</f>
        <v>12145219</v>
      </c>
      <c r="E804" s="235"/>
      <c r="F804" s="233"/>
      <c r="G804" s="119"/>
      <c r="H804" s="120"/>
      <c r="I804" s="160"/>
      <c r="J804" s="161"/>
      <c r="K804" s="161"/>
      <c r="L804" s="161"/>
      <c r="M804" s="122"/>
      <c r="N804" s="160"/>
      <c r="O804" s="162"/>
      <c r="P804" s="162"/>
      <c r="Q804" s="162"/>
      <c r="R804" s="123"/>
      <c r="S804" s="133" t="s">
        <v>1204</v>
      </c>
      <c r="T804" s="125"/>
      <c r="U804" s="126"/>
      <c r="V804" s="127"/>
    </row>
    <row r="805" spans="2:22" ht="14.25" customHeight="1">
      <c r="B805" s="140"/>
      <c r="C805" s="129" t="s">
        <v>41</v>
      </c>
      <c r="D805" s="129" t="s">
        <v>41</v>
      </c>
      <c r="E805" s="235"/>
      <c r="F805" s="233"/>
      <c r="G805" s="132"/>
      <c r="H805" s="120"/>
      <c r="I805" s="160"/>
      <c r="J805" s="161"/>
      <c r="K805" s="161"/>
      <c r="L805" s="161"/>
      <c r="M805" s="122"/>
      <c r="N805" s="160"/>
      <c r="O805" s="162"/>
      <c r="P805" s="162"/>
      <c r="Q805" s="162"/>
      <c r="R805" s="123"/>
      <c r="S805" s="137" t="s">
        <v>1205</v>
      </c>
      <c r="T805" s="125"/>
      <c r="U805" s="126"/>
      <c r="V805" s="182"/>
    </row>
    <row r="806" spans="2:22" ht="14.25" customHeight="1">
      <c r="B806" s="140"/>
      <c r="C806" s="129">
        <f>SUM(J781:J834)</f>
        <v>12914000</v>
      </c>
      <c r="D806" s="129">
        <f>SUM(O781:O834)</f>
        <v>12145219</v>
      </c>
      <c r="E806" s="117"/>
      <c r="F806" s="131"/>
      <c r="G806" s="119"/>
      <c r="H806" s="120"/>
      <c r="I806" s="160"/>
      <c r="J806" s="161"/>
      <c r="K806" s="161"/>
      <c r="L806" s="161"/>
      <c r="M806" s="122"/>
      <c r="N806" s="160"/>
      <c r="O806" s="162"/>
      <c r="P806" s="162"/>
      <c r="Q806" s="162"/>
      <c r="R806" s="123"/>
      <c r="S806" s="133"/>
      <c r="T806" s="165"/>
      <c r="U806" s="166"/>
      <c r="V806" s="182"/>
    </row>
    <row r="807" spans="2:22" ht="14.25" customHeight="1">
      <c r="B807" s="140"/>
      <c r="C807" s="129" t="s">
        <v>15</v>
      </c>
      <c r="D807" s="129" t="s">
        <v>15</v>
      </c>
      <c r="E807" s="235"/>
      <c r="F807" s="132">
        <f>+F801+1</f>
        <v>2</v>
      </c>
      <c r="G807" s="132"/>
      <c r="H807" s="120" t="s">
        <v>1206</v>
      </c>
      <c r="I807" s="160">
        <v>1539000</v>
      </c>
      <c r="J807" s="161">
        <v>0</v>
      </c>
      <c r="K807" s="161">
        <v>0</v>
      </c>
      <c r="L807" s="161">
        <v>0</v>
      </c>
      <c r="M807" s="122">
        <f>+I807-SUM(J807:L807)</f>
        <v>1539000</v>
      </c>
      <c r="N807" s="160">
        <v>1191134</v>
      </c>
      <c r="O807" s="162">
        <v>0</v>
      </c>
      <c r="P807" s="162">
        <v>0</v>
      </c>
      <c r="Q807" s="162">
        <v>0</v>
      </c>
      <c r="R807" s="123">
        <f>+N807-SUM(O807:Q807)</f>
        <v>1191134</v>
      </c>
      <c r="S807" s="137" t="s">
        <v>1207</v>
      </c>
      <c r="T807" s="125" t="s">
        <v>1208</v>
      </c>
      <c r="U807" s="126" t="s">
        <v>1209</v>
      </c>
      <c r="V807" s="127"/>
    </row>
    <row r="808" spans="2:22" ht="14.25" customHeight="1">
      <c r="B808" s="140"/>
      <c r="C808" s="129">
        <f>SUM(L801:L834)</f>
        <v>21297000</v>
      </c>
      <c r="D808" s="129">
        <f>SUM(Q801:Q834)</f>
        <v>21333089</v>
      </c>
      <c r="E808" s="235"/>
      <c r="F808" s="131"/>
      <c r="G808" s="132"/>
      <c r="H808" s="120"/>
      <c r="I808" s="160"/>
      <c r="J808" s="161"/>
      <c r="K808" s="161"/>
      <c r="L808" s="161"/>
      <c r="M808" s="122"/>
      <c r="N808" s="160"/>
      <c r="O808" s="162"/>
      <c r="P808" s="162"/>
      <c r="Q808" s="162"/>
      <c r="R808" s="123"/>
      <c r="S808" s="197" t="s">
        <v>1210</v>
      </c>
      <c r="T808" s="125"/>
      <c r="U808" s="126"/>
      <c r="V808" s="127"/>
    </row>
    <row r="809" spans="2:22" ht="14.25" customHeight="1">
      <c r="B809" s="140"/>
      <c r="C809" s="129" t="s">
        <v>18</v>
      </c>
      <c r="D809" s="129" t="s">
        <v>18</v>
      </c>
      <c r="E809" s="235"/>
      <c r="F809" s="132"/>
      <c r="G809" s="132"/>
      <c r="H809" s="120"/>
      <c r="I809" s="160"/>
      <c r="J809" s="161"/>
      <c r="K809" s="161"/>
      <c r="L809" s="161"/>
      <c r="M809" s="122"/>
      <c r="N809" s="160"/>
      <c r="O809" s="162"/>
      <c r="P809" s="162"/>
      <c r="Q809" s="162"/>
      <c r="R809" s="123"/>
      <c r="S809" s="133"/>
      <c r="T809" s="165"/>
      <c r="U809" s="166"/>
      <c r="V809" s="127"/>
    </row>
    <row r="810" spans="2:22" ht="14.25" customHeight="1">
      <c r="B810" s="140"/>
      <c r="C810" s="129">
        <f>C801-C804-C806-C808</f>
        <v>102345000</v>
      </c>
      <c r="D810" s="129">
        <f>D801-D804-D806-D808</f>
        <v>89894458</v>
      </c>
      <c r="E810" s="235"/>
      <c r="F810" s="132">
        <f>+F807+1</f>
        <v>3</v>
      </c>
      <c r="G810" s="132"/>
      <c r="H810" s="120" t="s">
        <v>1211</v>
      </c>
      <c r="I810" s="160">
        <v>82395000</v>
      </c>
      <c r="J810" s="161">
        <v>0</v>
      </c>
      <c r="K810" s="161">
        <v>0</v>
      </c>
      <c r="L810" s="161">
        <v>11777000</v>
      </c>
      <c r="M810" s="122">
        <f>+I810-SUM(J810:L810)</f>
        <v>70618000</v>
      </c>
      <c r="N810" s="160">
        <v>79857170</v>
      </c>
      <c r="O810" s="162">
        <v>0</v>
      </c>
      <c r="P810" s="162">
        <v>0</v>
      </c>
      <c r="Q810" s="162">
        <f>10666299+2657700</f>
        <v>13323999</v>
      </c>
      <c r="R810" s="123">
        <f>+N810-SUM(O810:Q810)</f>
        <v>66533171</v>
      </c>
      <c r="S810" s="197" t="s">
        <v>1212</v>
      </c>
      <c r="T810" s="125" t="s">
        <v>1213</v>
      </c>
      <c r="U810" s="126" t="s">
        <v>1214</v>
      </c>
      <c r="V810" s="127"/>
    </row>
    <row r="811" spans="2:22" ht="14.25" customHeight="1">
      <c r="B811" s="140"/>
      <c r="C811" s="129"/>
      <c r="D811" s="129"/>
      <c r="E811" s="235"/>
      <c r="F811" s="233"/>
      <c r="G811" s="132"/>
      <c r="H811" s="120"/>
      <c r="I811" s="160"/>
      <c r="J811" s="161"/>
      <c r="K811" s="161"/>
      <c r="L811" s="161"/>
      <c r="M811" s="122"/>
      <c r="N811" s="160"/>
      <c r="O811" s="162"/>
      <c r="P811" s="162"/>
      <c r="Q811" s="162"/>
      <c r="R811" s="123"/>
      <c r="S811" s="133" t="s">
        <v>1215</v>
      </c>
      <c r="T811" s="125"/>
      <c r="U811" s="126"/>
      <c r="V811" s="127"/>
    </row>
    <row r="812" spans="2:22" ht="14.25" customHeight="1">
      <c r="B812" s="140"/>
      <c r="C812" s="129"/>
      <c r="D812" s="129"/>
      <c r="E812" s="235"/>
      <c r="F812" s="233"/>
      <c r="G812" s="132"/>
      <c r="H812" s="120"/>
      <c r="I812" s="160"/>
      <c r="J812" s="161"/>
      <c r="K812" s="161"/>
      <c r="L812" s="161"/>
      <c r="M812" s="122"/>
      <c r="N812" s="160"/>
      <c r="O812" s="162"/>
      <c r="P812" s="162"/>
      <c r="Q812" s="162"/>
      <c r="R812" s="123"/>
      <c r="S812" s="133" t="s">
        <v>1216</v>
      </c>
      <c r="T812" s="125"/>
      <c r="U812" s="126"/>
      <c r="V812" s="127"/>
    </row>
    <row r="813" spans="2:22" ht="14.25" customHeight="1">
      <c r="B813" s="140"/>
      <c r="C813" s="129"/>
      <c r="D813" s="129"/>
      <c r="E813" s="235"/>
      <c r="F813" s="233"/>
      <c r="G813" s="132"/>
      <c r="H813" s="120"/>
      <c r="I813" s="160"/>
      <c r="J813" s="161"/>
      <c r="K813" s="161"/>
      <c r="L813" s="161"/>
      <c r="M813" s="122"/>
      <c r="N813" s="160"/>
      <c r="O813" s="162"/>
      <c r="P813" s="162"/>
      <c r="Q813" s="162"/>
      <c r="R813" s="123"/>
      <c r="S813" s="133"/>
      <c r="T813" s="125"/>
      <c r="U813" s="126"/>
      <c r="V813" s="135"/>
    </row>
    <row r="814" spans="2:22" ht="14.25" customHeight="1">
      <c r="B814" s="140"/>
      <c r="C814" s="129"/>
      <c r="D814" s="129"/>
      <c r="E814" s="235"/>
      <c r="F814" s="132">
        <f>+F810+1</f>
        <v>4</v>
      </c>
      <c r="G814" s="132"/>
      <c r="H814" s="120" t="s">
        <v>1217</v>
      </c>
      <c r="I814" s="160">
        <v>149000</v>
      </c>
      <c r="J814" s="161">
        <v>0</v>
      </c>
      <c r="K814" s="161">
        <v>0</v>
      </c>
      <c r="L814" s="161">
        <v>149000</v>
      </c>
      <c r="M814" s="122">
        <f>+I814-SUM(J814:L814)</f>
        <v>0</v>
      </c>
      <c r="N814" s="160">
        <v>70560</v>
      </c>
      <c r="O814" s="162">
        <v>0</v>
      </c>
      <c r="P814" s="162">
        <v>0</v>
      </c>
      <c r="Q814" s="162">
        <v>129340</v>
      </c>
      <c r="R814" s="123">
        <f>+N814-SUM(O814:Q814)</f>
        <v>-58780</v>
      </c>
      <c r="S814" s="133" t="s">
        <v>1218</v>
      </c>
      <c r="T814" s="125" t="s">
        <v>557</v>
      </c>
      <c r="U814" s="126" t="s">
        <v>557</v>
      </c>
      <c r="V814" s="135"/>
    </row>
    <row r="815" spans="2:22" ht="14.25" customHeight="1">
      <c r="B815" s="140"/>
      <c r="C815" s="129"/>
      <c r="D815" s="129"/>
      <c r="E815" s="235"/>
      <c r="F815" s="132"/>
      <c r="G815" s="132"/>
      <c r="H815" s="120"/>
      <c r="I815" s="160"/>
      <c r="J815" s="161"/>
      <c r="K815" s="161"/>
      <c r="L815" s="161"/>
      <c r="M815" s="122"/>
      <c r="N815" s="160"/>
      <c r="O815" s="162"/>
      <c r="P815" s="162"/>
      <c r="Q815" s="162"/>
      <c r="R815" s="123"/>
      <c r="S815" s="133"/>
      <c r="T815" s="125"/>
      <c r="U815" s="126"/>
      <c r="V815" s="135"/>
    </row>
    <row r="816" spans="2:22" ht="14.25" customHeight="1">
      <c r="B816" s="140"/>
      <c r="C816" s="129"/>
      <c r="D816" s="129"/>
      <c r="E816" s="235"/>
      <c r="F816" s="132"/>
      <c r="G816" s="132"/>
      <c r="H816" s="120"/>
      <c r="I816" s="160"/>
      <c r="J816" s="161"/>
      <c r="K816" s="161"/>
      <c r="L816" s="161"/>
      <c r="M816" s="122"/>
      <c r="N816" s="160"/>
      <c r="O816" s="162"/>
      <c r="P816" s="162"/>
      <c r="Q816" s="162"/>
      <c r="R816" s="123"/>
      <c r="S816" s="133"/>
      <c r="T816" s="125"/>
      <c r="U816" s="126"/>
      <c r="V816" s="135"/>
    </row>
    <row r="817" spans="2:22" ht="14.25" customHeight="1">
      <c r="B817" s="140"/>
      <c r="C817" s="129"/>
      <c r="D817" s="129"/>
      <c r="E817" s="235"/>
      <c r="F817" s="132"/>
      <c r="G817" s="132"/>
      <c r="H817" s="120"/>
      <c r="I817" s="160"/>
      <c r="J817" s="161"/>
      <c r="K817" s="161"/>
      <c r="L817" s="161"/>
      <c r="M817" s="122"/>
      <c r="N817" s="160"/>
      <c r="O817" s="162"/>
      <c r="P817" s="162"/>
      <c r="Q817" s="162"/>
      <c r="R817" s="123"/>
      <c r="S817" s="133"/>
      <c r="T817" s="125"/>
      <c r="U817" s="126"/>
      <c r="V817" s="135"/>
    </row>
    <row r="818" spans="2:22" ht="14.25" customHeight="1" thickBot="1">
      <c r="B818" s="147"/>
      <c r="C818" s="148"/>
      <c r="D818" s="148"/>
      <c r="E818" s="149"/>
      <c r="F818" s="151"/>
      <c r="G818" s="151"/>
      <c r="H818" s="191"/>
      <c r="I818" s="192"/>
      <c r="J818" s="193"/>
      <c r="K818" s="193"/>
      <c r="L818" s="193"/>
      <c r="M818" s="193"/>
      <c r="N818" s="192"/>
      <c r="O818" s="194"/>
      <c r="P818" s="194"/>
      <c r="Q818" s="194"/>
      <c r="R818" s="194"/>
      <c r="S818" s="195"/>
      <c r="T818" s="157"/>
      <c r="U818" s="158"/>
      <c r="V818" s="135"/>
    </row>
    <row r="819" spans="2:22" ht="14.25" customHeight="1">
      <c r="B819" s="140"/>
      <c r="C819" s="129"/>
      <c r="D819" s="129"/>
      <c r="E819" s="235" t="s">
        <v>1219</v>
      </c>
      <c r="F819" s="132">
        <f>+F814+1</f>
        <v>5</v>
      </c>
      <c r="G819" s="132"/>
      <c r="H819" s="120" t="s">
        <v>1220</v>
      </c>
      <c r="I819" s="160">
        <v>21406000</v>
      </c>
      <c r="J819" s="122">
        <v>0</v>
      </c>
      <c r="K819" s="122">
        <v>0</v>
      </c>
      <c r="L819" s="122">
        <v>136000</v>
      </c>
      <c r="M819" s="122">
        <f>+I819-SUM(J819:L819)</f>
        <v>21270000</v>
      </c>
      <c r="N819" s="160">
        <v>13693966</v>
      </c>
      <c r="O819" s="123">
        <v>0</v>
      </c>
      <c r="P819" s="123">
        <v>0</v>
      </c>
      <c r="Q819" s="123">
        <f>124000+12000</f>
        <v>136000</v>
      </c>
      <c r="R819" s="123">
        <f>+N819-SUM(O819:Q819)</f>
        <v>13557966</v>
      </c>
      <c r="S819" s="133" t="s">
        <v>1221</v>
      </c>
      <c r="T819" s="125" t="s">
        <v>1222</v>
      </c>
      <c r="U819" s="126" t="s">
        <v>1222</v>
      </c>
      <c r="V819" s="135"/>
    </row>
    <row r="820" spans="2:22" ht="14.25" customHeight="1">
      <c r="B820" s="140"/>
      <c r="C820" s="129"/>
      <c r="D820" s="129"/>
      <c r="E820" s="235" t="s">
        <v>1223</v>
      </c>
      <c r="F820" s="233"/>
      <c r="G820" s="132"/>
      <c r="H820" s="120"/>
      <c r="I820" s="160"/>
      <c r="J820" s="161"/>
      <c r="K820" s="161"/>
      <c r="L820" s="161"/>
      <c r="M820" s="122"/>
      <c r="N820" s="160"/>
      <c r="O820" s="162"/>
      <c r="P820" s="162"/>
      <c r="Q820" s="162"/>
      <c r="R820" s="123"/>
      <c r="S820" s="133" t="s">
        <v>1224</v>
      </c>
      <c r="T820" s="125"/>
      <c r="U820" s="126"/>
      <c r="V820" s="135"/>
    </row>
    <row r="821" spans="2:22" ht="14.25" customHeight="1">
      <c r="B821" s="140"/>
      <c r="C821" s="129"/>
      <c r="D821" s="129"/>
      <c r="E821" s="235"/>
      <c r="F821" s="233"/>
      <c r="G821" s="132"/>
      <c r="H821" s="120"/>
      <c r="I821" s="160"/>
      <c r="J821" s="161"/>
      <c r="K821" s="161"/>
      <c r="L821" s="161"/>
      <c r="M821" s="122"/>
      <c r="N821" s="160"/>
      <c r="O821" s="162"/>
      <c r="P821" s="162"/>
      <c r="Q821" s="162"/>
      <c r="R821" s="123"/>
      <c r="S821" s="133" t="s">
        <v>1225</v>
      </c>
      <c r="T821" s="125"/>
      <c r="U821" s="126"/>
      <c r="V821" s="127"/>
    </row>
    <row r="822" spans="2:22" ht="14.25" customHeight="1">
      <c r="B822" s="140"/>
      <c r="C822" s="129"/>
      <c r="D822" s="129"/>
      <c r="E822" s="235"/>
      <c r="F822" s="132"/>
      <c r="G822" s="132"/>
      <c r="H822" s="120"/>
      <c r="I822" s="160"/>
      <c r="J822" s="161"/>
      <c r="K822" s="161"/>
      <c r="L822" s="161"/>
      <c r="M822" s="122"/>
      <c r="N822" s="160"/>
      <c r="O822" s="162"/>
      <c r="P822" s="162"/>
      <c r="Q822" s="162"/>
      <c r="R822" s="123"/>
      <c r="S822" s="133"/>
      <c r="T822" s="125"/>
      <c r="U822" s="126"/>
      <c r="V822" s="127"/>
    </row>
    <row r="823" spans="2:22" ht="14.25" customHeight="1">
      <c r="B823" s="140"/>
      <c r="C823" s="129"/>
      <c r="D823" s="129"/>
      <c r="E823" s="235"/>
      <c r="F823" s="132">
        <f>+F819+1</f>
        <v>6</v>
      </c>
      <c r="G823" s="132"/>
      <c r="H823" s="120" t="s">
        <v>1226</v>
      </c>
      <c r="I823" s="121">
        <v>14150000</v>
      </c>
      <c r="J823" s="122">
        <v>7348000</v>
      </c>
      <c r="K823" s="122">
        <v>0</v>
      </c>
      <c r="L823" s="122">
        <v>4989000</v>
      </c>
      <c r="M823" s="122">
        <f>+I823-SUM(J823:L823)</f>
        <v>1813000</v>
      </c>
      <c r="N823" s="121">
        <v>12894391</v>
      </c>
      <c r="O823" s="123">
        <v>7041451</v>
      </c>
      <c r="P823" s="123">
        <v>0</v>
      </c>
      <c r="Q823" s="123">
        <v>4545900</v>
      </c>
      <c r="R823" s="123">
        <f>+N823-SUM(O823:Q823)</f>
        <v>1307040</v>
      </c>
      <c r="S823" s="133" t="s">
        <v>1227</v>
      </c>
      <c r="T823" s="125" t="s">
        <v>1228</v>
      </c>
      <c r="U823" s="126" t="s">
        <v>1229</v>
      </c>
      <c r="V823" s="127"/>
    </row>
    <row r="824" spans="2:22" ht="14.25" customHeight="1">
      <c r="B824" s="140"/>
      <c r="C824" s="129"/>
      <c r="D824" s="129"/>
      <c r="E824" s="117"/>
      <c r="F824" s="131"/>
      <c r="G824" s="132"/>
      <c r="H824" s="120"/>
      <c r="I824" s="160"/>
      <c r="J824" s="161"/>
      <c r="K824" s="161"/>
      <c r="L824" s="161"/>
      <c r="M824" s="122"/>
      <c r="N824" s="160"/>
      <c r="O824" s="162"/>
      <c r="P824" s="162"/>
      <c r="Q824" s="162"/>
      <c r="R824" s="123"/>
      <c r="S824" s="197"/>
      <c r="T824" s="125"/>
      <c r="U824" s="126"/>
      <c r="V824" s="127"/>
    </row>
    <row r="825" spans="2:22" ht="14.25" customHeight="1">
      <c r="B825" s="140"/>
      <c r="C825" s="129"/>
      <c r="D825" s="129"/>
      <c r="E825" s="235"/>
      <c r="F825" s="132">
        <f>+F823+1</f>
        <v>7</v>
      </c>
      <c r="G825" s="132"/>
      <c r="H825" s="120" t="s">
        <v>1230</v>
      </c>
      <c r="I825" s="121">
        <v>9968000</v>
      </c>
      <c r="J825" s="122">
        <v>4542000</v>
      </c>
      <c r="K825" s="122">
        <v>0</v>
      </c>
      <c r="L825" s="122">
        <v>3325000</v>
      </c>
      <c r="M825" s="122">
        <f>+I825-SUM(J825:L825)</f>
        <v>2101000</v>
      </c>
      <c r="N825" s="121">
        <v>9235367</v>
      </c>
      <c r="O825" s="123">
        <f>63768+4043000</f>
        <v>4106768</v>
      </c>
      <c r="P825" s="123">
        <v>0</v>
      </c>
      <c r="Q825" s="123">
        <v>2712850</v>
      </c>
      <c r="R825" s="123">
        <f>+N825-SUM(O825:Q825)</f>
        <v>2415749</v>
      </c>
      <c r="S825" s="133" t="s">
        <v>1231</v>
      </c>
      <c r="T825" s="125" t="s">
        <v>1232</v>
      </c>
      <c r="U825" s="126" t="s">
        <v>1233</v>
      </c>
      <c r="V825" s="127"/>
    </row>
    <row r="826" spans="2:22" ht="14.25" customHeight="1">
      <c r="B826" s="140"/>
      <c r="C826" s="129"/>
      <c r="D826" s="129"/>
      <c r="E826" s="235"/>
      <c r="F826" s="233"/>
      <c r="G826" s="132"/>
      <c r="H826" s="120"/>
      <c r="I826" s="160"/>
      <c r="J826" s="161"/>
      <c r="K826" s="161"/>
      <c r="L826" s="161"/>
      <c r="M826" s="122"/>
      <c r="N826" s="160"/>
      <c r="O826" s="162"/>
      <c r="P826" s="162"/>
      <c r="Q826" s="162"/>
      <c r="R826" s="123"/>
      <c r="S826" s="133" t="s">
        <v>1234</v>
      </c>
      <c r="T826" s="125"/>
      <c r="U826" s="126"/>
      <c r="V826" s="127"/>
    </row>
    <row r="827" spans="2:22" ht="14.25" customHeight="1">
      <c r="B827" s="140"/>
      <c r="C827" s="129"/>
      <c r="D827" s="129"/>
      <c r="E827" s="235"/>
      <c r="F827" s="233"/>
      <c r="G827" s="132"/>
      <c r="H827" s="120"/>
      <c r="I827" s="160"/>
      <c r="J827" s="161"/>
      <c r="K827" s="161"/>
      <c r="L827" s="161"/>
      <c r="M827" s="122"/>
      <c r="N827" s="160"/>
      <c r="O827" s="162"/>
      <c r="P827" s="162"/>
      <c r="Q827" s="162"/>
      <c r="R827" s="123"/>
      <c r="S827" s="133"/>
      <c r="T827" s="125"/>
      <c r="U827" s="126"/>
      <c r="V827" s="127"/>
    </row>
    <row r="828" spans="2:22" ht="14.25" customHeight="1">
      <c r="B828" s="140"/>
      <c r="C828" s="129"/>
      <c r="D828" s="129"/>
      <c r="E828" s="235"/>
      <c r="F828" s="132">
        <f>+F825+1</f>
        <v>8</v>
      </c>
      <c r="G828" s="132"/>
      <c r="H828" s="120" t="s">
        <v>1235</v>
      </c>
      <c r="I828" s="160">
        <v>1700000</v>
      </c>
      <c r="J828" s="161">
        <v>850000</v>
      </c>
      <c r="K828" s="161">
        <v>0</v>
      </c>
      <c r="L828" s="161">
        <v>0</v>
      </c>
      <c r="M828" s="122">
        <f>+I828-SUM(J828:L828)</f>
        <v>850000</v>
      </c>
      <c r="N828" s="160">
        <v>1599150</v>
      </c>
      <c r="O828" s="162">
        <v>850000</v>
      </c>
      <c r="P828" s="162">
        <v>0</v>
      </c>
      <c r="Q828" s="162">
        <v>0</v>
      </c>
      <c r="R828" s="123">
        <f>+N828-SUM(O828:Q828)</f>
        <v>749150</v>
      </c>
      <c r="S828" s="133" t="s">
        <v>1236</v>
      </c>
      <c r="T828" s="125" t="s">
        <v>1237</v>
      </c>
      <c r="U828" s="126" t="s">
        <v>1237</v>
      </c>
      <c r="V828" s="127"/>
    </row>
    <row r="829" spans="2:22" ht="14.25" customHeight="1">
      <c r="B829" s="140"/>
      <c r="C829" s="129"/>
      <c r="D829" s="129"/>
      <c r="E829" s="235"/>
      <c r="F829" s="132"/>
      <c r="G829" s="132"/>
      <c r="H829" s="120"/>
      <c r="I829" s="160"/>
      <c r="J829" s="161"/>
      <c r="K829" s="161"/>
      <c r="L829" s="161"/>
      <c r="M829" s="122"/>
      <c r="N829" s="160"/>
      <c r="O829" s="162"/>
      <c r="P829" s="162"/>
      <c r="Q829" s="162"/>
      <c r="R829" s="123"/>
      <c r="S829" s="133"/>
      <c r="T829" s="125"/>
      <c r="U829" s="126"/>
      <c r="V829" s="127"/>
    </row>
    <row r="830" spans="2:22" ht="14.25" customHeight="1">
      <c r="B830" s="140"/>
      <c r="C830" s="129"/>
      <c r="D830" s="129"/>
      <c r="E830" s="235"/>
      <c r="F830" s="132">
        <f>+F828+1</f>
        <v>9</v>
      </c>
      <c r="G830" s="132"/>
      <c r="H830" s="120" t="s">
        <v>1238</v>
      </c>
      <c r="I830" s="160">
        <v>8784000</v>
      </c>
      <c r="J830" s="161">
        <v>0</v>
      </c>
      <c r="K830" s="161">
        <v>0</v>
      </c>
      <c r="L830" s="161">
        <v>0</v>
      </c>
      <c r="M830" s="122">
        <f>+I830-SUM(J830:L830)</f>
        <v>8784000</v>
      </c>
      <c r="N830" s="160">
        <v>7924584</v>
      </c>
      <c r="O830" s="162">
        <v>0</v>
      </c>
      <c r="P830" s="162">
        <v>0</v>
      </c>
      <c r="Q830" s="162">
        <v>0</v>
      </c>
      <c r="R830" s="123">
        <f>+N830-SUM(O830:Q830)</f>
        <v>7924584</v>
      </c>
      <c r="S830" s="133" t="s">
        <v>1239</v>
      </c>
      <c r="T830" s="125" t="s">
        <v>1240</v>
      </c>
      <c r="U830" s="126" t="s">
        <v>1240</v>
      </c>
      <c r="V830" s="127"/>
    </row>
    <row r="831" spans="2:22" ht="14.25" customHeight="1">
      <c r="B831" s="140"/>
      <c r="C831" s="129"/>
      <c r="D831" s="129"/>
      <c r="E831" s="235"/>
      <c r="F831" s="233"/>
      <c r="G831" s="132"/>
      <c r="H831" s="120"/>
      <c r="I831" s="160"/>
      <c r="J831" s="161"/>
      <c r="K831" s="161"/>
      <c r="L831" s="161"/>
      <c r="M831" s="122"/>
      <c r="N831" s="160"/>
      <c r="O831" s="162"/>
      <c r="P831" s="162"/>
      <c r="Q831" s="162"/>
      <c r="R831" s="123"/>
      <c r="S831" s="133" t="s">
        <v>1241</v>
      </c>
      <c r="T831" s="125"/>
      <c r="U831" s="126"/>
      <c r="V831" s="127"/>
    </row>
    <row r="832" spans="2:22" ht="14.25" customHeight="1">
      <c r="B832" s="140"/>
      <c r="C832" s="129"/>
      <c r="D832" s="129"/>
      <c r="E832" s="235"/>
      <c r="F832" s="233"/>
      <c r="G832" s="132"/>
      <c r="H832" s="120"/>
      <c r="I832" s="160"/>
      <c r="J832" s="161"/>
      <c r="K832" s="161"/>
      <c r="L832" s="161"/>
      <c r="M832" s="122"/>
      <c r="N832" s="160"/>
      <c r="O832" s="162"/>
      <c r="P832" s="162"/>
      <c r="Q832" s="162"/>
      <c r="R832" s="123"/>
      <c r="S832" s="133" t="s">
        <v>1242</v>
      </c>
      <c r="T832" s="125"/>
      <c r="U832" s="126"/>
      <c r="V832" s="127"/>
    </row>
    <row r="833" spans="2:22" ht="14.25" customHeight="1">
      <c r="B833" s="140"/>
      <c r="C833" s="129"/>
      <c r="D833" s="129"/>
      <c r="E833" s="235"/>
      <c r="F833" s="132"/>
      <c r="G833" s="132"/>
      <c r="H833" s="120"/>
      <c r="I833" s="160"/>
      <c r="J833" s="161"/>
      <c r="K833" s="161"/>
      <c r="L833" s="161"/>
      <c r="M833" s="122"/>
      <c r="N833" s="160"/>
      <c r="O833" s="162"/>
      <c r="P833" s="162"/>
      <c r="Q833" s="162"/>
      <c r="R833" s="123"/>
      <c r="S833" s="133"/>
      <c r="T833" s="125"/>
      <c r="U833" s="126"/>
      <c r="V833" s="127"/>
    </row>
    <row r="834" spans="2:22" ht="14.25" customHeight="1">
      <c r="B834" s="140"/>
      <c r="C834" s="159"/>
      <c r="D834" s="129"/>
      <c r="E834" s="235"/>
      <c r="F834" s="131">
        <f>+F830+1</f>
        <v>10</v>
      </c>
      <c r="G834" s="132"/>
      <c r="H834" s="120" t="s">
        <v>1243</v>
      </c>
      <c r="I834" s="160">
        <v>-316000</v>
      </c>
      <c r="J834" s="161">
        <v>0</v>
      </c>
      <c r="K834" s="161">
        <v>0</v>
      </c>
      <c r="L834" s="161">
        <v>0</v>
      </c>
      <c r="M834" s="122">
        <f>+I834-SUM(J834:L834)</f>
        <v>-316000</v>
      </c>
      <c r="N834" s="160">
        <v>0</v>
      </c>
      <c r="O834" s="162">
        <v>0</v>
      </c>
      <c r="P834" s="162">
        <v>0</v>
      </c>
      <c r="Q834" s="162">
        <v>0</v>
      </c>
      <c r="R834" s="123">
        <f>+N834-SUM(O834:Q834)</f>
        <v>0</v>
      </c>
      <c r="S834" s="138" t="s">
        <v>272</v>
      </c>
      <c r="T834" s="125"/>
      <c r="U834" s="126"/>
      <c r="V834" s="127"/>
    </row>
    <row r="835" spans="2:22" ht="14.25" customHeight="1" thickBot="1">
      <c r="B835" s="147"/>
      <c r="C835" s="213"/>
      <c r="D835" s="148"/>
      <c r="E835" s="149"/>
      <c r="F835" s="151"/>
      <c r="G835" s="151"/>
      <c r="H835" s="191"/>
      <c r="I835" s="153"/>
      <c r="J835" s="154"/>
      <c r="K835" s="154"/>
      <c r="L835" s="154"/>
      <c r="M835" s="193"/>
      <c r="N835" s="153"/>
      <c r="O835" s="155"/>
      <c r="P835" s="155"/>
      <c r="Q835" s="155"/>
      <c r="R835" s="194"/>
      <c r="S835" s="203"/>
      <c r="T835" s="157"/>
      <c r="U835" s="158"/>
      <c r="V835" s="127"/>
    </row>
    <row r="836" spans="2:22" s="254" customFormat="1" ht="14.25" customHeight="1">
      <c r="B836" s="140"/>
      <c r="C836" s="159"/>
      <c r="D836" s="129"/>
      <c r="E836" s="117"/>
      <c r="F836" s="172"/>
      <c r="G836" s="132"/>
      <c r="H836" s="120"/>
      <c r="I836" s="160"/>
      <c r="J836" s="161"/>
      <c r="K836" s="161"/>
      <c r="L836" s="161"/>
      <c r="M836" s="122"/>
      <c r="N836" s="160"/>
      <c r="O836" s="162"/>
      <c r="P836" s="162"/>
      <c r="Q836" s="162"/>
      <c r="R836" s="123"/>
      <c r="S836" s="138"/>
      <c r="T836" s="125"/>
      <c r="U836" s="126"/>
      <c r="V836" s="135"/>
    </row>
    <row r="837" spans="2:22" s="254" customFormat="1" ht="14.25" customHeight="1">
      <c r="B837" s="128" t="s">
        <v>1244</v>
      </c>
      <c r="C837" s="231">
        <f>SUM(I837:I851)</f>
        <v>89550000</v>
      </c>
      <c r="D837" s="231">
        <f>SUM(N837:N851)</f>
        <v>17902764</v>
      </c>
      <c r="E837" s="117"/>
      <c r="F837" s="131" t="s">
        <v>1245</v>
      </c>
      <c r="G837" s="132"/>
      <c r="H837" s="120"/>
      <c r="I837" s="160"/>
      <c r="J837" s="161"/>
      <c r="K837" s="161"/>
      <c r="L837" s="161"/>
      <c r="M837" s="161"/>
      <c r="N837" s="160"/>
      <c r="O837" s="162"/>
      <c r="P837" s="162"/>
      <c r="Q837" s="162"/>
      <c r="R837" s="162"/>
      <c r="S837" s="133"/>
      <c r="T837" s="125"/>
      <c r="U837" s="126"/>
      <c r="V837" s="135"/>
    </row>
    <row r="838" spans="2:22" s="254" customFormat="1" ht="14.25" customHeight="1">
      <c r="B838" s="128" t="s">
        <v>1246</v>
      </c>
      <c r="C838" s="231"/>
      <c r="D838" s="231"/>
      <c r="E838" s="117"/>
      <c r="F838" s="131"/>
      <c r="G838" s="132"/>
      <c r="H838" s="120"/>
      <c r="I838" s="160"/>
      <c r="J838" s="161"/>
      <c r="K838" s="161"/>
      <c r="L838" s="161"/>
      <c r="M838" s="161"/>
      <c r="N838" s="160"/>
      <c r="O838" s="162"/>
      <c r="P838" s="162"/>
      <c r="Q838" s="162"/>
      <c r="R838" s="162"/>
      <c r="S838" s="133"/>
      <c r="T838" s="125"/>
      <c r="U838" s="126"/>
      <c r="V838" s="135"/>
    </row>
    <row r="839" spans="2:22" s="254" customFormat="1" ht="14.25" customHeight="1">
      <c r="B839" s="128"/>
      <c r="C839" s="231" t="s">
        <v>204</v>
      </c>
      <c r="D839" s="231" t="s">
        <v>204</v>
      </c>
      <c r="E839" s="117" t="s">
        <v>1247</v>
      </c>
      <c r="F839" s="131">
        <v>1</v>
      </c>
      <c r="G839" s="132"/>
      <c r="H839" s="120" t="s">
        <v>1248</v>
      </c>
      <c r="I839" s="160">
        <v>56000000</v>
      </c>
      <c r="J839" s="161">
        <v>56000000</v>
      </c>
      <c r="K839" s="161">
        <v>0</v>
      </c>
      <c r="L839" s="161">
        <v>0</v>
      </c>
      <c r="M839" s="161">
        <v>0</v>
      </c>
      <c r="N839" s="160">
        <v>0</v>
      </c>
      <c r="O839" s="162">
        <v>0</v>
      </c>
      <c r="P839" s="162">
        <v>0</v>
      </c>
      <c r="Q839" s="162">
        <v>0</v>
      </c>
      <c r="R839" s="162">
        <f>+N839-SUM(O839:Q839)</f>
        <v>0</v>
      </c>
      <c r="S839" s="133" t="s">
        <v>1249</v>
      </c>
      <c r="T839" s="125" t="s">
        <v>1250</v>
      </c>
      <c r="U839" s="126" t="s">
        <v>1251</v>
      </c>
      <c r="V839" s="135"/>
    </row>
    <row r="840" spans="2:22" s="254" customFormat="1" ht="14.25" customHeight="1">
      <c r="B840" s="128"/>
      <c r="C840" s="231">
        <f>SUM(M837:M850)</f>
        <v>2908000</v>
      </c>
      <c r="D840" s="231">
        <f>SUM(R837:R850)</f>
        <v>1518000</v>
      </c>
      <c r="E840" s="117" t="s">
        <v>1252</v>
      </c>
      <c r="F840" s="131"/>
      <c r="G840" s="132"/>
      <c r="H840" s="120"/>
      <c r="I840" s="160"/>
      <c r="J840" s="161"/>
      <c r="K840" s="161"/>
      <c r="L840" s="161"/>
      <c r="M840" s="161"/>
      <c r="N840" s="160"/>
      <c r="O840" s="162"/>
      <c r="P840" s="162"/>
      <c r="Q840" s="162"/>
      <c r="R840" s="162"/>
      <c r="S840" s="133" t="s">
        <v>1253</v>
      </c>
      <c r="T840" s="125"/>
      <c r="U840" s="126"/>
      <c r="V840" s="135"/>
    </row>
    <row r="841" spans="2:22" s="254" customFormat="1" ht="14.25" customHeight="1">
      <c r="B841" s="128"/>
      <c r="C841" s="231" t="s">
        <v>208</v>
      </c>
      <c r="D841" s="231" t="s">
        <v>208</v>
      </c>
      <c r="E841" s="117"/>
      <c r="F841" s="131"/>
      <c r="G841" s="132"/>
      <c r="H841" s="120"/>
      <c r="I841" s="160"/>
      <c r="J841" s="161"/>
      <c r="K841" s="161"/>
      <c r="L841" s="161"/>
      <c r="M841" s="161"/>
      <c r="N841" s="160"/>
      <c r="O841" s="162"/>
      <c r="P841" s="255"/>
      <c r="Q841" s="255"/>
      <c r="R841" s="162"/>
      <c r="S841" s="232"/>
      <c r="T841" s="256"/>
      <c r="U841" s="139"/>
      <c r="V841" s="182"/>
    </row>
    <row r="842" spans="2:22" s="254" customFormat="1" ht="14.25" customHeight="1">
      <c r="B842" s="257"/>
      <c r="C842" s="231">
        <f>SUM(J837:J850)</f>
        <v>60550000</v>
      </c>
      <c r="D842" s="231">
        <f>SUM(O837:O850)</f>
        <v>327510024</v>
      </c>
      <c r="E842" s="117" t="s">
        <v>1254</v>
      </c>
      <c r="F842" s="131">
        <f>+F839+1</f>
        <v>2</v>
      </c>
      <c r="G842" s="132"/>
      <c r="H842" s="120" t="s">
        <v>1255</v>
      </c>
      <c r="I842" s="160">
        <v>28000000</v>
      </c>
      <c r="J842" s="161">
        <f>58825000-56000000-J848-J850</f>
        <v>-289000</v>
      </c>
      <c r="K842" s="161">
        <v>4400000</v>
      </c>
      <c r="L842" s="161">
        <f>21689000</f>
        <v>21689000</v>
      </c>
      <c r="M842" s="122">
        <v>2200000</v>
      </c>
      <c r="N842" s="160">
        <v>14610000</v>
      </c>
      <c r="O842" s="162">
        <f>324678500-O848-O850</f>
        <v>321564500</v>
      </c>
      <c r="P842" s="162">
        <v>1620000</v>
      </c>
      <c r="Q842" s="162">
        <v>21693000</v>
      </c>
      <c r="R842" s="123">
        <v>810000</v>
      </c>
      <c r="S842" s="133" t="s">
        <v>1256</v>
      </c>
      <c r="T842" s="184" t="s">
        <v>272</v>
      </c>
      <c r="U842" s="126" t="s">
        <v>1257</v>
      </c>
      <c r="V842" s="182"/>
    </row>
    <row r="843" spans="2:22" s="254" customFormat="1" ht="14.25" customHeight="1">
      <c r="B843" s="257"/>
      <c r="C843" s="231" t="s">
        <v>41</v>
      </c>
      <c r="D843" s="231" t="s">
        <v>41</v>
      </c>
      <c r="E843" s="117" t="s">
        <v>1252</v>
      </c>
      <c r="F843" s="131"/>
      <c r="G843" s="132"/>
      <c r="H843" s="258"/>
      <c r="I843" s="160"/>
      <c r="J843" s="161"/>
      <c r="K843" s="161"/>
      <c r="L843" s="161"/>
      <c r="M843" s="122"/>
      <c r="N843" s="160"/>
      <c r="O843" s="162"/>
      <c r="P843" s="162"/>
      <c r="Q843" s="162"/>
      <c r="R843" s="123"/>
      <c r="S843" s="133" t="s">
        <v>1258</v>
      </c>
      <c r="T843" s="125"/>
      <c r="U843" s="126"/>
      <c r="V843" s="182"/>
    </row>
    <row r="844" spans="2:22" s="254" customFormat="1" ht="14.25" customHeight="1">
      <c r="B844" s="257"/>
      <c r="C844" s="231">
        <f>SUM(K837:K850)</f>
        <v>4400000</v>
      </c>
      <c r="D844" s="231">
        <f>SUM(P837:P850)</f>
        <v>1620000</v>
      </c>
      <c r="E844" s="117"/>
      <c r="F844" s="131"/>
      <c r="G844" s="132"/>
      <c r="H844" s="120"/>
      <c r="I844" s="160"/>
      <c r="J844" s="161"/>
      <c r="K844" s="161"/>
      <c r="L844" s="161"/>
      <c r="M844" s="161"/>
      <c r="N844" s="160"/>
      <c r="O844" s="162"/>
      <c r="P844" s="162"/>
      <c r="Q844" s="162"/>
      <c r="R844" s="162"/>
      <c r="S844" s="133"/>
      <c r="T844" s="184"/>
      <c r="U844" s="126"/>
      <c r="V844" s="135"/>
    </row>
    <row r="845" spans="2:22" s="254" customFormat="1" ht="14.25" customHeight="1">
      <c r="B845" s="257"/>
      <c r="C845" s="231" t="s">
        <v>15</v>
      </c>
      <c r="D845" s="231" t="s">
        <v>15</v>
      </c>
      <c r="E845" s="117" t="s">
        <v>1259</v>
      </c>
      <c r="F845" s="131">
        <f>+F842+1</f>
        <v>3</v>
      </c>
      <c r="G845" s="132"/>
      <c r="H845" s="120" t="s">
        <v>1260</v>
      </c>
      <c r="I845" s="160">
        <v>2436000</v>
      </c>
      <c r="J845" s="161">
        <v>1725000</v>
      </c>
      <c r="K845" s="161">
        <v>0</v>
      </c>
      <c r="L845" s="161">
        <v>3000</v>
      </c>
      <c r="M845" s="122">
        <f>+I845-SUM(J845:L845)</f>
        <v>708000</v>
      </c>
      <c r="N845" s="160">
        <v>178764</v>
      </c>
      <c r="O845" s="162">
        <v>2831524</v>
      </c>
      <c r="P845" s="162">
        <v>0</v>
      </c>
      <c r="Q845" s="162">
        <v>72346</v>
      </c>
      <c r="R845" s="123">
        <v>708000</v>
      </c>
      <c r="S845" s="138" t="s">
        <v>272</v>
      </c>
      <c r="T845" s="125"/>
      <c r="U845" s="126"/>
      <c r="V845" s="135"/>
    </row>
    <row r="846" spans="2:22" s="254" customFormat="1" ht="14.25" customHeight="1">
      <c r="B846" s="257"/>
      <c r="C846" s="231">
        <f>SUM(L837:L850)</f>
        <v>21692000</v>
      </c>
      <c r="D846" s="231">
        <f>SUM(Q837:Q850)</f>
        <v>21765346</v>
      </c>
      <c r="E846" s="117"/>
      <c r="F846" s="131"/>
      <c r="G846" s="119"/>
      <c r="H846" s="120"/>
      <c r="I846" s="160"/>
      <c r="J846" s="161"/>
      <c r="K846" s="161"/>
      <c r="L846" s="161"/>
      <c r="M846" s="122"/>
      <c r="N846" s="160"/>
      <c r="O846" s="162"/>
      <c r="P846" s="162"/>
      <c r="Q846" s="162"/>
      <c r="R846" s="123"/>
      <c r="S846" s="133" t="s">
        <v>1261</v>
      </c>
      <c r="T846" s="125"/>
      <c r="U846" s="126"/>
      <c r="V846" s="135"/>
    </row>
    <row r="847" spans="2:22" s="254" customFormat="1" ht="14.25" customHeight="1">
      <c r="B847" s="257"/>
      <c r="C847" s="231"/>
      <c r="D847" s="231"/>
      <c r="E847" s="117"/>
      <c r="F847" s="131"/>
      <c r="G847" s="119"/>
      <c r="H847" s="120"/>
      <c r="I847" s="160"/>
      <c r="J847" s="161"/>
      <c r="K847" s="161"/>
      <c r="L847" s="161"/>
      <c r="M847" s="161"/>
      <c r="N847" s="160"/>
      <c r="O847" s="162"/>
      <c r="P847" s="162"/>
      <c r="Q847" s="162"/>
      <c r="R847" s="162"/>
      <c r="S847" s="133"/>
      <c r="T847" s="125"/>
      <c r="U847" s="126"/>
      <c r="V847" s="135"/>
    </row>
    <row r="848" spans="2:22" s="254" customFormat="1" ht="14.25" customHeight="1">
      <c r="B848" s="257"/>
      <c r="C848" s="231"/>
      <c r="D848" s="259" t="s">
        <v>1262</v>
      </c>
      <c r="E848" s="117" t="s">
        <v>1263</v>
      </c>
      <c r="F848" s="131">
        <f>+F845+1</f>
        <v>4</v>
      </c>
      <c r="G848" s="119"/>
      <c r="H848" s="120" t="s">
        <v>1264</v>
      </c>
      <c r="I848" s="160">
        <v>2076000</v>
      </c>
      <c r="J848" s="161">
        <v>2076000</v>
      </c>
      <c r="K848" s="161">
        <v>0</v>
      </c>
      <c r="L848" s="161">
        <v>0</v>
      </c>
      <c r="M848" s="122">
        <f>+I848-SUM(J848:L848)</f>
        <v>0</v>
      </c>
      <c r="N848" s="160">
        <v>2076000</v>
      </c>
      <c r="O848" s="162">
        <v>2076000</v>
      </c>
      <c r="P848" s="162">
        <v>0</v>
      </c>
      <c r="Q848" s="162">
        <v>0</v>
      </c>
      <c r="R848" s="123">
        <v>0</v>
      </c>
      <c r="S848" s="138" t="s">
        <v>272</v>
      </c>
      <c r="T848" s="125"/>
      <c r="U848" s="126"/>
      <c r="V848" s="135"/>
    </row>
    <row r="849" spans="2:22" s="254" customFormat="1" ht="14.25" customHeight="1">
      <c r="B849" s="257"/>
      <c r="C849" s="231"/>
      <c r="D849" s="259" t="s">
        <v>1265</v>
      </c>
      <c r="E849" s="117"/>
      <c r="F849" s="131"/>
      <c r="G849" s="119"/>
      <c r="H849" s="120"/>
      <c r="I849" s="160"/>
      <c r="J849" s="161"/>
      <c r="K849" s="161"/>
      <c r="L849" s="161"/>
      <c r="M849" s="161"/>
      <c r="N849" s="160"/>
      <c r="O849" s="162"/>
      <c r="P849" s="162"/>
      <c r="Q849" s="162"/>
      <c r="R849" s="162"/>
      <c r="S849" s="133"/>
      <c r="T849" s="125"/>
      <c r="U849" s="126"/>
      <c r="V849" s="135"/>
    </row>
    <row r="850" spans="2:22" s="254" customFormat="1" ht="14.25" customHeight="1">
      <c r="B850" s="257"/>
      <c r="C850" s="231"/>
      <c r="D850" s="231">
        <v>334510606</v>
      </c>
      <c r="E850" s="117"/>
      <c r="F850" s="131">
        <f>+F848+1</f>
        <v>5</v>
      </c>
      <c r="G850" s="132"/>
      <c r="H850" s="120" t="s">
        <v>1266</v>
      </c>
      <c r="I850" s="121">
        <v>1038000</v>
      </c>
      <c r="J850" s="161">
        <v>1038000</v>
      </c>
      <c r="K850" s="161">
        <v>0</v>
      </c>
      <c r="L850" s="161">
        <v>0</v>
      </c>
      <c r="M850" s="122">
        <f>+I850-SUM(J850:L850)</f>
        <v>0</v>
      </c>
      <c r="N850" s="160">
        <v>1038000</v>
      </c>
      <c r="O850" s="162">
        <v>1038000</v>
      </c>
      <c r="P850" s="162">
        <v>0</v>
      </c>
      <c r="Q850" s="162">
        <v>0</v>
      </c>
      <c r="R850" s="123">
        <v>0</v>
      </c>
      <c r="S850" s="138" t="s">
        <v>272</v>
      </c>
      <c r="T850" s="125"/>
      <c r="U850" s="126"/>
      <c r="V850" s="135"/>
    </row>
    <row r="851" spans="2:22" s="254" customFormat="1" ht="14.25" customHeight="1" thickBot="1">
      <c r="B851" s="257"/>
      <c r="C851" s="231"/>
      <c r="D851" s="231"/>
      <c r="E851" s="117"/>
      <c r="F851" s="131"/>
      <c r="G851" s="132"/>
      <c r="H851" s="120"/>
      <c r="I851" s="121"/>
      <c r="J851" s="122"/>
      <c r="K851" s="122"/>
      <c r="L851" s="122"/>
      <c r="M851" s="161"/>
      <c r="N851" s="121"/>
      <c r="O851" s="123"/>
      <c r="P851" s="123"/>
      <c r="Q851" s="123"/>
      <c r="R851" s="162"/>
      <c r="S851" s="137"/>
      <c r="T851" s="125"/>
      <c r="U851" s="126"/>
      <c r="V851" s="135"/>
    </row>
    <row r="852" spans="2:22" s="254" customFormat="1" ht="14.25" customHeight="1">
      <c r="B852" s="260"/>
      <c r="C852" s="261"/>
      <c r="D852" s="262"/>
      <c r="E852" s="171"/>
      <c r="F852" s="172"/>
      <c r="G852" s="173"/>
      <c r="H852" s="174"/>
      <c r="I852" s="175"/>
      <c r="J852" s="176"/>
      <c r="K852" s="176"/>
      <c r="L852" s="176"/>
      <c r="M852" s="176"/>
      <c r="N852" s="175"/>
      <c r="O852" s="177"/>
      <c r="P852" s="177"/>
      <c r="Q852" s="177"/>
      <c r="R852" s="177"/>
      <c r="S852" s="178"/>
      <c r="T852" s="222"/>
      <c r="U852" s="180"/>
      <c r="V852" s="135"/>
    </row>
    <row r="853" spans="2:22" s="254" customFormat="1" ht="14.25" customHeight="1">
      <c r="B853" s="128" t="s">
        <v>1267</v>
      </c>
      <c r="C853" s="231">
        <f>SUM(I853:I869)</f>
        <v>39536000</v>
      </c>
      <c r="D853" s="231">
        <f>SUM(N853:N869)</f>
        <v>22007206</v>
      </c>
      <c r="E853" s="117"/>
      <c r="F853" s="131" t="s">
        <v>1268</v>
      </c>
      <c r="G853" s="132"/>
      <c r="H853" s="120"/>
      <c r="I853" s="160"/>
      <c r="J853" s="161"/>
      <c r="K853" s="161"/>
      <c r="L853" s="161"/>
      <c r="M853" s="161"/>
      <c r="N853" s="160"/>
      <c r="O853" s="162"/>
      <c r="P853" s="162"/>
      <c r="Q853" s="162"/>
      <c r="R853" s="162"/>
      <c r="S853" s="133"/>
      <c r="T853" s="125"/>
      <c r="U853" s="126"/>
      <c r="V853" s="135"/>
    </row>
    <row r="854" spans="2:22" s="254" customFormat="1" ht="14.25" customHeight="1">
      <c r="B854" s="128" t="s">
        <v>1252</v>
      </c>
      <c r="C854" s="231"/>
      <c r="D854" s="116"/>
      <c r="E854" s="117"/>
      <c r="F854" s="131"/>
      <c r="G854" s="132"/>
      <c r="H854" s="120"/>
      <c r="I854" s="121"/>
      <c r="J854" s="122"/>
      <c r="K854" s="122"/>
      <c r="L854" s="122"/>
      <c r="M854" s="122"/>
      <c r="N854" s="121"/>
      <c r="O854" s="123"/>
      <c r="P854" s="123"/>
      <c r="Q854" s="123"/>
      <c r="R854" s="123"/>
      <c r="S854" s="137"/>
      <c r="T854" s="125"/>
      <c r="U854" s="126"/>
      <c r="V854" s="135"/>
    </row>
    <row r="855" spans="2:22" s="254" customFormat="1" ht="14.25" customHeight="1">
      <c r="B855" s="128"/>
      <c r="C855" s="231" t="s">
        <v>204</v>
      </c>
      <c r="D855" s="231" t="s">
        <v>204</v>
      </c>
      <c r="E855" s="117" t="s">
        <v>1269</v>
      </c>
      <c r="F855" s="131">
        <v>1</v>
      </c>
      <c r="G855" s="132"/>
      <c r="H855" s="120" t="s">
        <v>1270</v>
      </c>
      <c r="I855" s="160">
        <v>38880000</v>
      </c>
      <c r="J855" s="161">
        <v>4184000</v>
      </c>
      <c r="K855" s="161">
        <v>0</v>
      </c>
      <c r="L855" s="161">
        <v>34696000</v>
      </c>
      <c r="M855" s="122">
        <v>0</v>
      </c>
      <c r="N855" s="160">
        <v>21600000</v>
      </c>
      <c r="O855" s="162">
        <v>99011000</v>
      </c>
      <c r="P855" s="162">
        <v>0</v>
      </c>
      <c r="Q855" s="162">
        <v>27215000</v>
      </c>
      <c r="R855" s="123">
        <v>0</v>
      </c>
      <c r="S855" s="133" t="s">
        <v>1271</v>
      </c>
      <c r="T855" s="125" t="s">
        <v>1272</v>
      </c>
      <c r="U855" s="126" t="s">
        <v>476</v>
      </c>
      <c r="V855" s="182"/>
    </row>
    <row r="856" spans="2:22" s="254" customFormat="1" ht="14.25" customHeight="1">
      <c r="B856" s="257"/>
      <c r="C856" s="231">
        <f>SUM(M853:M864)</f>
        <v>318000</v>
      </c>
      <c r="D856" s="231">
        <f>SUM(R853:R864)</f>
        <v>318000</v>
      </c>
      <c r="E856" s="117" t="s">
        <v>1273</v>
      </c>
      <c r="F856" s="131"/>
      <c r="G856" s="132"/>
      <c r="H856" s="120"/>
      <c r="I856" s="160"/>
      <c r="J856" s="161"/>
      <c r="K856" s="161"/>
      <c r="L856" s="161"/>
      <c r="M856" s="122"/>
      <c r="N856" s="160"/>
      <c r="O856" s="162"/>
      <c r="P856" s="162"/>
      <c r="Q856" s="162"/>
      <c r="R856" s="123"/>
      <c r="S856" s="133" t="s">
        <v>1274</v>
      </c>
      <c r="T856" s="125"/>
      <c r="U856" s="126"/>
      <c r="V856" s="182"/>
    </row>
    <row r="857" spans="2:22" s="254" customFormat="1" ht="14.25" customHeight="1">
      <c r="B857" s="257"/>
      <c r="C857" s="231" t="s">
        <v>208</v>
      </c>
      <c r="D857" s="231" t="s">
        <v>208</v>
      </c>
      <c r="E857" s="117" t="s">
        <v>1246</v>
      </c>
      <c r="F857" s="131"/>
      <c r="G857" s="132"/>
      <c r="H857" s="120"/>
      <c r="I857" s="160"/>
      <c r="J857" s="161"/>
      <c r="K857" s="161"/>
      <c r="L857" s="161"/>
      <c r="M857" s="161"/>
      <c r="N857" s="160"/>
      <c r="O857" s="162"/>
      <c r="P857" s="162"/>
      <c r="Q857" s="162"/>
      <c r="R857" s="162"/>
      <c r="S857" s="133"/>
      <c r="T857" s="125"/>
      <c r="U857" s="126"/>
      <c r="V857" s="182"/>
    </row>
    <row r="858" spans="2:22" s="254" customFormat="1" ht="14.25" customHeight="1">
      <c r="B858" s="257"/>
      <c r="C858" s="231">
        <f>SUM(J853:J864)</f>
        <v>4519000</v>
      </c>
      <c r="D858" s="231">
        <f>SUM(O853:O864)</f>
        <v>99721477</v>
      </c>
      <c r="E858" s="117"/>
      <c r="F858" s="131"/>
      <c r="G858" s="132"/>
      <c r="H858" s="120"/>
      <c r="I858" s="160"/>
      <c r="J858" s="161"/>
      <c r="K858" s="161"/>
      <c r="L858" s="161"/>
      <c r="M858" s="161"/>
      <c r="N858" s="160"/>
      <c r="O858" s="162"/>
      <c r="P858" s="162"/>
      <c r="Q858" s="162"/>
      <c r="R858" s="162"/>
      <c r="S858" s="133"/>
      <c r="T858" s="125"/>
      <c r="U858" s="126"/>
      <c r="V858" s="135"/>
    </row>
    <row r="859" spans="2:22" s="254" customFormat="1" ht="14.25" customHeight="1">
      <c r="B859" s="257"/>
      <c r="C859" s="231" t="s">
        <v>15</v>
      </c>
      <c r="D859" s="231" t="s">
        <v>15</v>
      </c>
      <c r="E859" s="117" t="s">
        <v>1259</v>
      </c>
      <c r="F859" s="131">
        <f>F855+1</f>
        <v>2</v>
      </c>
      <c r="G859" s="132"/>
      <c r="H859" s="120" t="s">
        <v>1275</v>
      </c>
      <c r="I859" s="160">
        <v>656000</v>
      </c>
      <c r="J859" s="161">
        <v>335000</v>
      </c>
      <c r="K859" s="161">
        <v>0</v>
      </c>
      <c r="L859" s="161">
        <v>3000</v>
      </c>
      <c r="M859" s="122">
        <v>318000</v>
      </c>
      <c r="N859" s="160">
        <v>407206</v>
      </c>
      <c r="O859" s="162">
        <v>710477</v>
      </c>
      <c r="P859" s="162">
        <v>0</v>
      </c>
      <c r="Q859" s="162">
        <v>238353</v>
      </c>
      <c r="R859" s="123">
        <v>318000</v>
      </c>
      <c r="S859" s="138" t="s">
        <v>272</v>
      </c>
      <c r="T859" s="125"/>
      <c r="U859" s="126"/>
      <c r="V859" s="135"/>
    </row>
    <row r="860" spans="2:22" s="254" customFormat="1" ht="14.25" customHeight="1">
      <c r="B860" s="263"/>
      <c r="C860" s="231">
        <f>SUM(L851:L864)</f>
        <v>34699000</v>
      </c>
      <c r="D860" s="231">
        <f>SUM(Q851:Q864)</f>
        <v>27453353</v>
      </c>
      <c r="E860" s="117"/>
      <c r="F860" s="131"/>
      <c r="G860" s="132"/>
      <c r="H860" s="120"/>
      <c r="I860" s="121"/>
      <c r="J860" s="122"/>
      <c r="K860" s="122"/>
      <c r="L860" s="122"/>
      <c r="M860" s="122"/>
      <c r="N860" s="121"/>
      <c r="O860" s="123"/>
      <c r="P860" s="123"/>
      <c r="Q860" s="123"/>
      <c r="R860" s="123"/>
      <c r="S860" s="137" t="s">
        <v>1276</v>
      </c>
      <c r="T860" s="125"/>
      <c r="U860" s="126"/>
      <c r="V860" s="135"/>
    </row>
    <row r="861" spans="2:22" s="254" customFormat="1" ht="14.25" customHeight="1">
      <c r="B861" s="257"/>
      <c r="C861" s="231"/>
      <c r="D861" s="231"/>
      <c r="E861" s="117"/>
      <c r="F861" s="131"/>
      <c r="G861" s="132"/>
      <c r="H861" s="120"/>
      <c r="I861" s="160"/>
      <c r="J861" s="161"/>
      <c r="K861" s="161"/>
      <c r="L861" s="161"/>
      <c r="M861" s="161">
        <f>+I861-SUM(J861:L861)</f>
        <v>0</v>
      </c>
      <c r="N861" s="160"/>
      <c r="O861" s="162"/>
      <c r="P861" s="162"/>
      <c r="Q861" s="162"/>
      <c r="R861" s="162">
        <f>+N861-SUM(O861:Q861)</f>
        <v>0</v>
      </c>
      <c r="S861" s="133"/>
      <c r="T861" s="125"/>
      <c r="U861" s="126"/>
      <c r="V861" s="135"/>
    </row>
    <row r="862" spans="2:22" s="254" customFormat="1" ht="14.25" customHeight="1">
      <c r="B862" s="257"/>
      <c r="C862" s="231"/>
      <c r="D862" s="259" t="s">
        <v>1262</v>
      </c>
      <c r="E862" s="117"/>
      <c r="F862" s="131"/>
      <c r="G862" s="132"/>
      <c r="H862" s="120"/>
      <c r="I862" s="160"/>
      <c r="J862" s="161"/>
      <c r="K862" s="161"/>
      <c r="L862" s="161"/>
      <c r="M862" s="161"/>
      <c r="N862" s="160"/>
      <c r="O862" s="162"/>
      <c r="P862" s="162"/>
      <c r="Q862" s="162"/>
      <c r="R862" s="162"/>
      <c r="S862" s="133"/>
      <c r="T862" s="125"/>
      <c r="U862" s="126"/>
      <c r="V862" s="135"/>
    </row>
    <row r="863" spans="2:22" s="254" customFormat="1" ht="14.25" customHeight="1">
      <c r="B863" s="257"/>
      <c r="C863" s="231"/>
      <c r="D863" s="259" t="s">
        <v>1265</v>
      </c>
      <c r="E863" s="117"/>
      <c r="F863" s="131"/>
      <c r="G863" s="132"/>
      <c r="H863" s="120"/>
      <c r="I863" s="160"/>
      <c r="J863" s="161"/>
      <c r="K863" s="161"/>
      <c r="L863" s="161"/>
      <c r="M863" s="161"/>
      <c r="N863" s="160"/>
      <c r="O863" s="162"/>
      <c r="P863" s="162"/>
      <c r="Q863" s="162"/>
      <c r="R863" s="162"/>
      <c r="S863" s="133"/>
      <c r="T863" s="125"/>
      <c r="U863" s="126"/>
      <c r="V863" s="135"/>
    </row>
    <row r="864" spans="2:22" s="254" customFormat="1" ht="14.25" customHeight="1">
      <c r="B864" s="257"/>
      <c r="C864" s="231"/>
      <c r="D864" s="231">
        <v>105485624</v>
      </c>
      <c r="E864" s="117"/>
      <c r="F864" s="131"/>
      <c r="G864" s="132"/>
      <c r="H864" s="120"/>
      <c r="I864" s="160"/>
      <c r="J864" s="161"/>
      <c r="K864" s="161"/>
      <c r="L864" s="161"/>
      <c r="M864" s="161"/>
      <c r="N864" s="160"/>
      <c r="O864" s="162"/>
      <c r="P864" s="162"/>
      <c r="Q864" s="162"/>
      <c r="R864" s="162"/>
      <c r="S864" s="133"/>
      <c r="T864" s="125"/>
      <c r="U864" s="126"/>
      <c r="V864" s="135"/>
    </row>
    <row r="865" spans="2:22" s="254" customFormat="1" ht="14.25" customHeight="1">
      <c r="B865" s="257"/>
      <c r="C865" s="231"/>
      <c r="D865" s="231"/>
      <c r="E865" s="117"/>
      <c r="F865" s="131"/>
      <c r="G865" s="132"/>
      <c r="H865" s="120"/>
      <c r="I865" s="160"/>
      <c r="J865" s="161"/>
      <c r="K865" s="161"/>
      <c r="L865" s="161"/>
      <c r="M865" s="161"/>
      <c r="N865" s="160"/>
      <c r="O865" s="162"/>
      <c r="P865" s="162"/>
      <c r="Q865" s="162"/>
      <c r="R865" s="162"/>
      <c r="S865" s="133"/>
      <c r="T865" s="125"/>
      <c r="U865" s="126"/>
      <c r="V865" s="135"/>
    </row>
    <row r="866" spans="2:22" s="254" customFormat="1" ht="14.25" customHeight="1">
      <c r="B866" s="257"/>
      <c r="C866" s="231"/>
      <c r="D866" s="231"/>
      <c r="E866" s="117"/>
      <c r="F866" s="131"/>
      <c r="G866" s="132"/>
      <c r="H866" s="120"/>
      <c r="I866" s="160"/>
      <c r="J866" s="161"/>
      <c r="K866" s="161"/>
      <c r="L866" s="161"/>
      <c r="M866" s="161"/>
      <c r="N866" s="160"/>
      <c r="O866" s="162"/>
      <c r="P866" s="162"/>
      <c r="Q866" s="162"/>
      <c r="R866" s="162"/>
      <c r="S866" s="133"/>
      <c r="T866" s="125"/>
      <c r="U866" s="126"/>
      <c r="V866" s="135"/>
    </row>
    <row r="867" spans="2:22" s="254" customFormat="1" ht="14.25" customHeight="1">
      <c r="B867" s="257"/>
      <c r="C867" s="231"/>
      <c r="D867" s="231"/>
      <c r="E867" s="117"/>
      <c r="F867" s="131"/>
      <c r="G867" s="132"/>
      <c r="H867" s="120"/>
      <c r="I867" s="160"/>
      <c r="J867" s="161"/>
      <c r="K867" s="161"/>
      <c r="L867" s="161"/>
      <c r="M867" s="161"/>
      <c r="N867" s="160"/>
      <c r="O867" s="162"/>
      <c r="P867" s="162"/>
      <c r="Q867" s="162"/>
      <c r="R867" s="162"/>
      <c r="S867" s="133"/>
      <c r="T867" s="125"/>
      <c r="U867" s="126"/>
      <c r="V867" s="135"/>
    </row>
    <row r="868" spans="2:22" s="254" customFormat="1" ht="14.25" customHeight="1" thickBot="1">
      <c r="B868" s="264"/>
      <c r="C868" s="265"/>
      <c r="D868" s="265"/>
      <c r="E868" s="190"/>
      <c r="F868" s="150"/>
      <c r="G868" s="151"/>
      <c r="H868" s="191"/>
      <c r="I868" s="153"/>
      <c r="J868" s="154"/>
      <c r="K868" s="154"/>
      <c r="L868" s="154"/>
      <c r="M868" s="154"/>
      <c r="N868" s="153"/>
      <c r="O868" s="155"/>
      <c r="P868" s="155"/>
      <c r="Q868" s="155"/>
      <c r="R868" s="155"/>
      <c r="S868" s="195"/>
      <c r="T868" s="157"/>
      <c r="U868" s="158"/>
      <c r="V868" s="135"/>
    </row>
    <row r="869" spans="2:22" s="254" customFormat="1" ht="14.25" customHeight="1">
      <c r="B869" s="257"/>
      <c r="C869" s="231"/>
      <c r="D869" s="231"/>
      <c r="E869" s="117"/>
      <c r="F869" s="131"/>
      <c r="G869" s="132"/>
      <c r="H869" s="120"/>
      <c r="I869" s="160"/>
      <c r="J869" s="161"/>
      <c r="K869" s="161"/>
      <c r="L869" s="161"/>
      <c r="M869" s="161"/>
      <c r="N869" s="160"/>
      <c r="O869" s="162"/>
      <c r="P869" s="162"/>
      <c r="Q869" s="162"/>
      <c r="R869" s="162"/>
      <c r="S869" s="133"/>
      <c r="T869" s="125"/>
      <c r="U869" s="126"/>
      <c r="V869" s="135"/>
    </row>
    <row r="870" spans="2:22" s="254" customFormat="1" ht="14.25" customHeight="1">
      <c r="B870" s="128" t="s">
        <v>1277</v>
      </c>
      <c r="C870" s="231">
        <f>SUM(I870:I883)</f>
        <v>16758000</v>
      </c>
      <c r="D870" s="231">
        <f>SUM(N870:N883)</f>
        <v>6738869</v>
      </c>
      <c r="E870" s="117"/>
      <c r="F870" s="131" t="s">
        <v>1278</v>
      </c>
      <c r="G870" s="132"/>
      <c r="H870" s="120"/>
      <c r="I870" s="160"/>
      <c r="J870" s="161"/>
      <c r="K870" s="161"/>
      <c r="L870" s="161"/>
      <c r="M870" s="161"/>
      <c r="N870" s="160"/>
      <c r="O870" s="162"/>
      <c r="P870" s="162"/>
      <c r="Q870" s="162"/>
      <c r="R870" s="162"/>
      <c r="S870" s="137"/>
      <c r="T870" s="125"/>
      <c r="U870" s="126"/>
      <c r="V870" s="266"/>
    </row>
    <row r="871" spans="2:22" s="254" customFormat="1" ht="14.25" customHeight="1">
      <c r="B871" s="128" t="s">
        <v>1279</v>
      </c>
      <c r="C871" s="231"/>
      <c r="D871" s="116"/>
      <c r="E871" s="117"/>
      <c r="F871" s="131"/>
      <c r="G871" s="132"/>
      <c r="H871" s="120"/>
      <c r="I871" s="160"/>
      <c r="J871" s="161"/>
      <c r="K871" s="161"/>
      <c r="L871" s="161"/>
      <c r="M871" s="161"/>
      <c r="N871" s="160"/>
      <c r="O871" s="162"/>
      <c r="P871" s="162"/>
      <c r="Q871" s="162"/>
      <c r="R871" s="162"/>
      <c r="S871" s="133"/>
      <c r="T871" s="125"/>
      <c r="U871" s="126"/>
      <c r="V871" s="266"/>
    </row>
    <row r="872" spans="2:22" s="254" customFormat="1" ht="14.25" customHeight="1">
      <c r="B872" s="128" t="s">
        <v>1246</v>
      </c>
      <c r="C872" s="231" t="s">
        <v>204</v>
      </c>
      <c r="D872" s="231" t="s">
        <v>204</v>
      </c>
      <c r="E872" s="117" t="s">
        <v>1280</v>
      </c>
      <c r="F872" s="131">
        <f>+F871+1</f>
        <v>1</v>
      </c>
      <c r="G872" s="132"/>
      <c r="H872" s="120" t="s">
        <v>1281</v>
      </c>
      <c r="I872" s="160">
        <v>16000000</v>
      </c>
      <c r="J872" s="161">
        <v>15036000</v>
      </c>
      <c r="K872" s="161">
        <v>0</v>
      </c>
      <c r="L872" s="161">
        <v>964000</v>
      </c>
      <c r="M872" s="122">
        <v>0</v>
      </c>
      <c r="N872" s="160">
        <v>6448000</v>
      </c>
      <c r="O872" s="162">
        <v>90711000</v>
      </c>
      <c r="P872" s="162">
        <v>0</v>
      </c>
      <c r="Q872" s="162">
        <v>964000</v>
      </c>
      <c r="R872" s="123">
        <v>0</v>
      </c>
      <c r="S872" s="133" t="s">
        <v>1282</v>
      </c>
      <c r="T872" s="125" t="s">
        <v>1257</v>
      </c>
      <c r="U872" s="126" t="s">
        <v>1250</v>
      </c>
      <c r="V872" s="266"/>
    </row>
    <row r="873" spans="2:22" s="254" customFormat="1" ht="14.25" customHeight="1">
      <c r="B873" s="257"/>
      <c r="C873" s="231">
        <f>SUM(M870:M881)</f>
        <v>20000</v>
      </c>
      <c r="D873" s="231">
        <f>SUM(R870:R881)</f>
        <v>20000</v>
      </c>
      <c r="E873" s="117" t="s">
        <v>1252</v>
      </c>
      <c r="F873" s="131"/>
      <c r="G873" s="132"/>
      <c r="H873" s="120"/>
      <c r="I873" s="160"/>
      <c r="J873" s="161"/>
      <c r="K873" s="161"/>
      <c r="L873" s="161"/>
      <c r="M873" s="122"/>
      <c r="N873" s="160"/>
      <c r="O873" s="162"/>
      <c r="P873" s="162"/>
      <c r="Q873" s="162"/>
      <c r="R873" s="123"/>
      <c r="S873" s="133" t="s">
        <v>1283</v>
      </c>
      <c r="T873" s="125"/>
      <c r="U873" s="126"/>
      <c r="V873" s="266"/>
    </row>
    <row r="874" spans="2:22" s="254" customFormat="1" ht="14.25" customHeight="1">
      <c r="B874" s="257"/>
      <c r="C874" s="231" t="s">
        <v>208</v>
      </c>
      <c r="D874" s="231" t="s">
        <v>208</v>
      </c>
      <c r="E874" s="117"/>
      <c r="F874" s="131"/>
      <c r="G874" s="132"/>
      <c r="H874" s="120"/>
      <c r="I874" s="160"/>
      <c r="J874" s="161"/>
      <c r="K874" s="161"/>
      <c r="L874" s="161"/>
      <c r="M874" s="161"/>
      <c r="N874" s="160"/>
      <c r="O874" s="162"/>
      <c r="P874" s="162"/>
      <c r="Q874" s="162"/>
      <c r="R874" s="162"/>
      <c r="S874" s="137"/>
      <c r="T874" s="125"/>
      <c r="U874" s="126"/>
      <c r="V874" s="266"/>
    </row>
    <row r="875" spans="2:22" s="254" customFormat="1" ht="14.25" customHeight="1">
      <c r="B875" s="257"/>
      <c r="C875" s="231">
        <f>SUM(J870:J881)</f>
        <v>15771000</v>
      </c>
      <c r="D875" s="231">
        <f>SUM(O870:O881)</f>
        <v>92020026</v>
      </c>
      <c r="E875" s="117" t="s">
        <v>1259</v>
      </c>
      <c r="F875" s="131">
        <f>F872+1</f>
        <v>2</v>
      </c>
      <c r="G875" s="132"/>
      <c r="H875" s="120" t="s">
        <v>1284</v>
      </c>
      <c r="I875" s="160">
        <v>758000</v>
      </c>
      <c r="J875" s="161">
        <v>735000</v>
      </c>
      <c r="K875" s="161">
        <v>0</v>
      </c>
      <c r="L875" s="161">
        <v>3000</v>
      </c>
      <c r="M875" s="122">
        <v>20000</v>
      </c>
      <c r="N875" s="160">
        <v>290869</v>
      </c>
      <c r="O875" s="162">
        <v>1309026</v>
      </c>
      <c r="P875" s="162">
        <v>0</v>
      </c>
      <c r="Q875" s="162">
        <v>19611</v>
      </c>
      <c r="R875" s="123">
        <v>20000</v>
      </c>
      <c r="S875" s="138" t="s">
        <v>272</v>
      </c>
      <c r="T875" s="125"/>
      <c r="U875" s="126"/>
      <c r="V875" s="266"/>
    </row>
    <row r="876" spans="2:22" s="254" customFormat="1" ht="14.25" customHeight="1">
      <c r="B876" s="257"/>
      <c r="C876" s="231" t="s">
        <v>15</v>
      </c>
      <c r="D876" s="231" t="s">
        <v>15</v>
      </c>
      <c r="E876" s="117"/>
      <c r="F876" s="131"/>
      <c r="G876" s="132"/>
      <c r="H876" s="120"/>
      <c r="I876" s="160"/>
      <c r="J876" s="161"/>
      <c r="K876" s="161"/>
      <c r="L876" s="161"/>
      <c r="M876" s="161"/>
      <c r="N876" s="160"/>
      <c r="O876" s="162"/>
      <c r="P876" s="162"/>
      <c r="Q876" s="162"/>
      <c r="R876" s="162"/>
      <c r="S876" s="133"/>
      <c r="T876" s="125"/>
      <c r="U876" s="126"/>
      <c r="V876" s="266"/>
    </row>
    <row r="877" spans="2:22" s="254" customFormat="1" ht="14.25" customHeight="1">
      <c r="B877" s="257"/>
      <c r="C877" s="231">
        <f>SUM(L869:L881)</f>
        <v>967000</v>
      </c>
      <c r="D877" s="231">
        <f>SUM(Q869:Q881)</f>
        <v>983611</v>
      </c>
      <c r="E877" s="117"/>
      <c r="F877" s="131"/>
      <c r="G877" s="119"/>
      <c r="H877" s="120"/>
      <c r="I877" s="160"/>
      <c r="J877" s="161"/>
      <c r="K877" s="161"/>
      <c r="L877" s="161"/>
      <c r="M877" s="161">
        <f>+I877-SUM(J877:L877)</f>
        <v>0</v>
      </c>
      <c r="N877" s="160"/>
      <c r="O877" s="162"/>
      <c r="P877" s="162"/>
      <c r="Q877" s="162"/>
      <c r="R877" s="162">
        <f>+N877-SUM(O877:Q877)</f>
        <v>0</v>
      </c>
      <c r="S877" s="133"/>
      <c r="T877" s="125"/>
      <c r="U877" s="126"/>
      <c r="V877" s="266"/>
    </row>
    <row r="878" spans="2:22" s="254" customFormat="1" ht="14.25" customHeight="1">
      <c r="B878" s="257"/>
      <c r="C878" s="231"/>
      <c r="D878" s="231"/>
      <c r="E878" s="117"/>
      <c r="F878" s="131"/>
      <c r="G878" s="132"/>
      <c r="H878" s="120"/>
      <c r="I878" s="121"/>
      <c r="J878" s="122"/>
      <c r="K878" s="122"/>
      <c r="L878" s="122"/>
      <c r="M878" s="122">
        <f>+I878-SUM(J878:L878)</f>
        <v>0</v>
      </c>
      <c r="N878" s="121"/>
      <c r="O878" s="123"/>
      <c r="P878" s="123"/>
      <c r="Q878" s="123"/>
      <c r="R878" s="123">
        <f>+N878-SUM(O878:Q878)</f>
        <v>0</v>
      </c>
      <c r="S878" s="137"/>
      <c r="T878" s="125"/>
      <c r="U878" s="126"/>
      <c r="V878" s="266"/>
    </row>
    <row r="879" spans="2:22" s="254" customFormat="1" ht="14.25" customHeight="1">
      <c r="B879" s="257"/>
      <c r="C879" s="231"/>
      <c r="D879" s="259" t="s">
        <v>1262</v>
      </c>
      <c r="E879" s="117"/>
      <c r="F879" s="131"/>
      <c r="G879" s="132"/>
      <c r="H879" s="120"/>
      <c r="I879" s="160"/>
      <c r="J879" s="161"/>
      <c r="K879" s="161"/>
      <c r="L879" s="161"/>
      <c r="M879" s="161">
        <f>+I879-SUM(J879:L879)</f>
        <v>0</v>
      </c>
      <c r="N879" s="160"/>
      <c r="O879" s="162"/>
      <c r="P879" s="162"/>
      <c r="Q879" s="162"/>
      <c r="R879" s="162">
        <f>+N879-SUM(O879:Q879)</f>
        <v>0</v>
      </c>
      <c r="S879" s="133"/>
      <c r="T879" s="125"/>
      <c r="U879" s="126"/>
      <c r="V879" s="266"/>
    </row>
    <row r="880" spans="2:22" s="254" customFormat="1" ht="14.25" customHeight="1">
      <c r="B880" s="257"/>
      <c r="C880" s="231"/>
      <c r="D880" s="259" t="s">
        <v>1265</v>
      </c>
      <c r="E880" s="117"/>
      <c r="F880" s="131"/>
      <c r="G880" s="132"/>
      <c r="H880" s="120"/>
      <c r="I880" s="160"/>
      <c r="J880" s="161"/>
      <c r="K880" s="161"/>
      <c r="L880" s="161"/>
      <c r="M880" s="161"/>
      <c r="N880" s="160"/>
      <c r="O880" s="162"/>
      <c r="P880" s="162"/>
      <c r="Q880" s="162"/>
      <c r="R880" s="162"/>
      <c r="S880" s="133"/>
      <c r="T880" s="125"/>
      <c r="U880" s="126"/>
      <c r="V880" s="266"/>
    </row>
    <row r="881" spans="2:22" s="254" customFormat="1" ht="14.25" customHeight="1">
      <c r="B881" s="257"/>
      <c r="C881" s="231"/>
      <c r="D881" s="231">
        <v>86284768</v>
      </c>
      <c r="E881" s="117"/>
      <c r="F881" s="131"/>
      <c r="G881" s="132"/>
      <c r="H881" s="120"/>
      <c r="I881" s="160"/>
      <c r="J881" s="161"/>
      <c r="K881" s="161"/>
      <c r="L881" s="161"/>
      <c r="M881" s="161"/>
      <c r="N881" s="160"/>
      <c r="O881" s="162"/>
      <c r="P881" s="162"/>
      <c r="Q881" s="162"/>
      <c r="R881" s="162"/>
      <c r="S881" s="133"/>
      <c r="T881" s="125"/>
      <c r="U881" s="126"/>
      <c r="V881" s="266"/>
    </row>
    <row r="882" spans="2:22" s="254" customFormat="1" ht="14.25" customHeight="1">
      <c r="B882" s="257"/>
      <c r="C882" s="231"/>
      <c r="D882" s="267"/>
      <c r="E882" s="117"/>
      <c r="F882" s="131"/>
      <c r="G882" s="132"/>
      <c r="H882" s="120"/>
      <c r="I882" s="160"/>
      <c r="J882" s="161"/>
      <c r="K882" s="161"/>
      <c r="L882" s="161"/>
      <c r="M882" s="161"/>
      <c r="N882" s="160"/>
      <c r="O882" s="162"/>
      <c r="P882" s="162"/>
      <c r="Q882" s="162"/>
      <c r="R882" s="162"/>
      <c r="S882" s="133"/>
      <c r="T882" s="125"/>
      <c r="U882" s="126"/>
      <c r="V882" s="266"/>
    </row>
    <row r="883" spans="2:21" ht="14.25" customHeight="1" thickBot="1">
      <c r="B883" s="264"/>
      <c r="C883" s="265"/>
      <c r="D883" s="265"/>
      <c r="E883" s="190"/>
      <c r="F883" s="150"/>
      <c r="G883" s="151"/>
      <c r="H883" s="191"/>
      <c r="I883" s="153"/>
      <c r="J883" s="154"/>
      <c r="K883" s="154"/>
      <c r="L883" s="154"/>
      <c r="M883" s="154"/>
      <c r="N883" s="153"/>
      <c r="O883" s="155"/>
      <c r="P883" s="155"/>
      <c r="Q883" s="155"/>
      <c r="R883" s="155"/>
      <c r="S883" s="195"/>
      <c r="T883" s="157"/>
      <c r="U883" s="158"/>
    </row>
    <row r="884" spans="2:21" ht="14.25" customHeight="1">
      <c r="B884" s="140"/>
      <c r="C884" s="129"/>
      <c r="D884" s="129"/>
      <c r="E884" s="268"/>
      <c r="F884" s="131"/>
      <c r="G884" s="132"/>
      <c r="H884" s="136"/>
      <c r="I884" s="160"/>
      <c r="J884" s="161"/>
      <c r="K884" s="161"/>
      <c r="L884" s="161"/>
      <c r="M884" s="122"/>
      <c r="N884" s="160"/>
      <c r="O884" s="162"/>
      <c r="P884" s="162"/>
      <c r="Q884" s="162"/>
      <c r="R884" s="123"/>
      <c r="S884" s="137"/>
      <c r="T884" s="125"/>
      <c r="U884" s="126"/>
    </row>
    <row r="885" spans="2:21" ht="14.25" customHeight="1">
      <c r="B885" s="140" t="s">
        <v>1285</v>
      </c>
      <c r="C885" s="129">
        <f>SUM(C7,C27,C37,C125,C339,C414,C471,C487,C495,C565,C676,C688,C720,,C781,C789,C801,C837,C853,C870)</f>
        <v>21098885650</v>
      </c>
      <c r="D885" s="129">
        <f>SUM(D7,D27,D37,D125,D339,D414,D471,D487,D495,D565,D676,D688,D720,,D781,D789,D801,D837,D853,D870)</f>
        <v>18375412667</v>
      </c>
      <c r="E885" s="268"/>
      <c r="F885" s="131"/>
      <c r="G885" s="132"/>
      <c r="H885" s="136"/>
      <c r="I885" s="160">
        <f>SUM(I7:I883)</f>
        <v>21098885650</v>
      </c>
      <c r="J885" s="161">
        <f>SUM(J7:J883)</f>
        <v>7015745675</v>
      </c>
      <c r="K885" s="161">
        <f>SUM(K7:K883)</f>
        <v>1244400000</v>
      </c>
      <c r="L885" s="161">
        <f>SUM(L7:L883)</f>
        <v>2719791820</v>
      </c>
      <c r="M885" s="122">
        <f>+I885-SUM(J885:L885)</f>
        <v>10118948155</v>
      </c>
      <c r="N885" s="160">
        <f>SUM(N7:N883)</f>
        <v>18375412667</v>
      </c>
      <c r="O885" s="162">
        <f>SUM(O7:O883)</f>
        <v>5815289911</v>
      </c>
      <c r="P885" s="162">
        <f>SUM(P7:P883)</f>
        <v>907620000</v>
      </c>
      <c r="Q885" s="162">
        <f>SUM(Q7:Q883)</f>
        <v>2753017935</v>
      </c>
      <c r="R885" s="123">
        <f>+N885-SUM(O885:Q885)</f>
        <v>8899484821</v>
      </c>
      <c r="S885" s="137"/>
      <c r="T885" s="125"/>
      <c r="U885" s="126"/>
    </row>
    <row r="886" spans="2:22" ht="14.25" customHeight="1" thickBot="1">
      <c r="B886" s="269"/>
      <c r="C886" s="148"/>
      <c r="D886" s="148"/>
      <c r="E886" s="270"/>
      <c r="F886" s="271"/>
      <c r="G886" s="272"/>
      <c r="H886" s="152"/>
      <c r="I886" s="273"/>
      <c r="J886" s="155"/>
      <c r="K886" s="155"/>
      <c r="L886" s="155"/>
      <c r="M886" s="194">
        <f>+I886-SUM(J886:L886)</f>
        <v>0</v>
      </c>
      <c r="N886" s="273"/>
      <c r="O886" s="155"/>
      <c r="P886" s="155"/>
      <c r="Q886" s="155"/>
      <c r="R886" s="155"/>
      <c r="S886" s="156"/>
      <c r="T886" s="157"/>
      <c r="U886" s="158"/>
      <c r="V886" s="274"/>
    </row>
    <row r="887" spans="2:21" ht="14.25" thickBot="1">
      <c r="B887" s="275"/>
      <c r="C887" s="276"/>
      <c r="D887" s="276"/>
      <c r="E887" s="277"/>
      <c r="F887" s="278"/>
      <c r="G887" s="279"/>
      <c r="H887" s="280"/>
      <c r="I887" s="281"/>
      <c r="J887" s="282"/>
      <c r="K887" s="282"/>
      <c r="L887" s="282"/>
      <c r="M887" s="282"/>
      <c r="N887" s="281"/>
      <c r="O887" s="282"/>
      <c r="P887" s="282"/>
      <c r="Q887" s="282"/>
      <c r="R887" s="282"/>
      <c r="S887" s="283"/>
      <c r="T887" s="284"/>
      <c r="U887" s="285"/>
    </row>
    <row r="888" spans="3:18" ht="13.5">
      <c r="C888" s="98" t="s">
        <v>26</v>
      </c>
      <c r="D888" s="98" t="s">
        <v>26</v>
      </c>
      <c r="H888" s="286" t="s">
        <v>1286</v>
      </c>
      <c r="I888" s="287" t="e">
        <f aca="true" t="shared" si="0" ref="I888:Q888">+I885-I889</f>
        <v>#REF!</v>
      </c>
      <c r="J888" s="287" t="e">
        <f t="shared" si="0"/>
        <v>#REF!</v>
      </c>
      <c r="K888" s="287" t="e">
        <f t="shared" si="0"/>
        <v>#REF!</v>
      </c>
      <c r="L888" s="287" t="e">
        <f t="shared" si="0"/>
        <v>#REF!</v>
      </c>
      <c r="M888" s="287" t="e">
        <f t="shared" si="0"/>
        <v>#REF!</v>
      </c>
      <c r="N888" s="288" t="e">
        <f t="shared" si="0"/>
        <v>#REF!</v>
      </c>
      <c r="O888" s="288" t="e">
        <f t="shared" si="0"/>
        <v>#REF!</v>
      </c>
      <c r="P888" s="288" t="e">
        <f t="shared" si="0"/>
        <v>#REF!</v>
      </c>
      <c r="Q888" s="288" t="e">
        <f t="shared" si="0"/>
        <v>#REF!</v>
      </c>
      <c r="R888" s="288" t="e">
        <f>+R885-R889</f>
        <v>#REF!</v>
      </c>
    </row>
    <row r="889" spans="3:18" ht="13.5">
      <c r="C889" s="290" t="e">
        <f>SUM(C10,C40,C128,C342,C417,C474,C490,C498,C568,C679,C691,C723,#REF!,C784,C804,#REF!,#REF!,#REF!)</f>
        <v>#REF!</v>
      </c>
      <c r="D889" s="290" t="e">
        <f>SUM(D10,D40,D128,D342,D417,D474,D490,D498,D568,D679,D691,D723,#REF!,D784,D804,#REF!,#REF!,#REF!)</f>
        <v>#REF!</v>
      </c>
      <c r="H889" s="286" t="s">
        <v>1287</v>
      </c>
      <c r="I889" s="287" t="e">
        <f>SUM(#REF!)</f>
        <v>#REF!</v>
      </c>
      <c r="J889" s="287" t="e">
        <f>SUM(#REF!)</f>
        <v>#REF!</v>
      </c>
      <c r="K889" s="287" t="e">
        <f>SUM(#REF!)</f>
        <v>#REF!</v>
      </c>
      <c r="L889" s="287" t="e">
        <f>SUM(#REF!)</f>
        <v>#REF!</v>
      </c>
      <c r="M889" s="287" t="e">
        <f>SUM(#REF!)</f>
        <v>#REF!</v>
      </c>
      <c r="N889" s="288" t="e">
        <f>SUM(#REF!)</f>
        <v>#REF!</v>
      </c>
      <c r="O889" s="288" t="e">
        <f>SUM(#REF!)</f>
        <v>#REF!</v>
      </c>
      <c r="P889" s="288" t="e">
        <f>SUM(#REF!)</f>
        <v>#REF!</v>
      </c>
      <c r="Q889" s="288" t="e">
        <f>SUM(#REF!)</f>
        <v>#REF!</v>
      </c>
      <c r="R889" s="288" t="e">
        <f>SUM(#REF!)</f>
        <v>#REF!</v>
      </c>
    </row>
    <row r="890" spans="3:18" ht="13.5">
      <c r="C890" s="98" t="s">
        <v>41</v>
      </c>
      <c r="D890" s="98" t="s">
        <v>41</v>
      </c>
      <c r="H890" s="286" t="s">
        <v>1288</v>
      </c>
      <c r="I890" s="287">
        <f>24095087700+94225000</f>
        <v>24189312700</v>
      </c>
      <c r="J890" s="287">
        <v>8133906775</v>
      </c>
      <c r="K890" s="287">
        <v>1865000000</v>
      </c>
      <c r="L890" s="287">
        <v>4004317000</v>
      </c>
      <c r="M890" s="287">
        <v>10186088925</v>
      </c>
      <c r="N890" s="291">
        <f>21375722675+78451234</f>
        <v>21454173909</v>
      </c>
      <c r="O890" s="288">
        <v>5884612535</v>
      </c>
      <c r="P890" s="288">
        <v>1822000000</v>
      </c>
      <c r="Q890" s="288">
        <f>4100677649+29620</f>
        <v>4100707269</v>
      </c>
      <c r="R890" s="288">
        <f>+N890-SUM(O890:Q890)</f>
        <v>9646854105</v>
      </c>
    </row>
    <row r="891" spans="3:18" ht="13.5">
      <c r="C891" s="290" t="e">
        <f>SUM(C12,C42,C130,C345,C419,C476,C492,C500,C570,C684,C693,C725,#REF!,C786,C806,#REF!,#REF!,#REF!)</f>
        <v>#REF!</v>
      </c>
      <c r="D891" s="290" t="e">
        <f>SUM(D12,D42,D130,D345,D419,D476,D492,D500,D570,D684,D693,D725,#REF!,D786,D806,#REF!,#REF!,#REF!)</f>
        <v>#REF!</v>
      </c>
      <c r="H891" s="286" t="s">
        <v>1289</v>
      </c>
      <c r="I891" s="287">
        <f>(86500+39700+16800)*1000</f>
        <v>143000000</v>
      </c>
      <c r="J891" s="287">
        <v>0</v>
      </c>
      <c r="K891" s="287">
        <v>4400000</v>
      </c>
      <c r="L891" s="287">
        <f>79076000+39341000+16740000+3024000+359000+60000-(2200000+824000+359000+60000)</f>
        <v>135157000</v>
      </c>
      <c r="M891" s="287">
        <f>(2200000+824000+359000+60000)</f>
        <v>3443000</v>
      </c>
      <c r="N891" s="291">
        <v>32722813</v>
      </c>
      <c r="O891" s="288"/>
      <c r="P891" s="288"/>
      <c r="Q891" s="288"/>
      <c r="R891" s="288"/>
    </row>
    <row r="892" spans="3:18" ht="13.5">
      <c r="C892" s="98" t="s">
        <v>15</v>
      </c>
      <c r="D892" s="98" t="s">
        <v>15</v>
      </c>
      <c r="H892" s="286" t="s">
        <v>1290</v>
      </c>
      <c r="I892" s="287" t="e">
        <f aca="true" t="shared" si="1" ref="I892:Q893">+I890-I888</f>
        <v>#REF!</v>
      </c>
      <c r="J892" s="287" t="e">
        <f t="shared" si="1"/>
        <v>#REF!</v>
      </c>
      <c r="K892" s="287" t="e">
        <f t="shared" si="1"/>
        <v>#REF!</v>
      </c>
      <c r="L892" s="287" t="e">
        <f t="shared" si="1"/>
        <v>#REF!</v>
      </c>
      <c r="M892" s="287" t="e">
        <f t="shared" si="1"/>
        <v>#REF!</v>
      </c>
      <c r="N892" s="288" t="e">
        <f t="shared" si="1"/>
        <v>#REF!</v>
      </c>
      <c r="O892" s="288" t="e">
        <f t="shared" si="1"/>
        <v>#REF!</v>
      </c>
      <c r="P892" s="288" t="e">
        <f t="shared" si="1"/>
        <v>#REF!</v>
      </c>
      <c r="Q892" s="288" t="e">
        <f t="shared" si="1"/>
        <v>#REF!</v>
      </c>
      <c r="R892" s="288" t="e">
        <f>+R890-R888</f>
        <v>#REF!</v>
      </c>
    </row>
    <row r="893" spans="3:18" ht="13.5">
      <c r="C893" s="290" t="e">
        <f>SUM(#REF!,C44,C132,C354,C421,C478,#REF!,C502,C572,#REF!,C695,C727,#REF!,#REF!,C808,#REF!,#REF!,#REF!)</f>
        <v>#REF!</v>
      </c>
      <c r="D893" s="290" t="e">
        <f>SUM(#REF!,D44,D132,D354,D421,D478,#REF!,D502,D572,#REF!,D695,D727,#REF!,#REF!,D808,#REF!,#REF!,#REF!)</f>
        <v>#REF!</v>
      </c>
      <c r="H893" s="286" t="s">
        <v>1291</v>
      </c>
      <c r="I893" s="287" t="e">
        <f t="shared" si="1"/>
        <v>#REF!</v>
      </c>
      <c r="J893" s="287" t="e">
        <f t="shared" si="1"/>
        <v>#REF!</v>
      </c>
      <c r="K893" s="287" t="e">
        <f t="shared" si="1"/>
        <v>#REF!</v>
      </c>
      <c r="L893" s="287" t="e">
        <f t="shared" si="1"/>
        <v>#REF!</v>
      </c>
      <c r="M893" s="287" t="e">
        <f t="shared" si="1"/>
        <v>#REF!</v>
      </c>
      <c r="N893" s="288" t="e">
        <f t="shared" si="1"/>
        <v>#REF!</v>
      </c>
      <c r="O893" s="288" t="e">
        <f t="shared" si="1"/>
        <v>#REF!</v>
      </c>
      <c r="P893" s="288" t="e">
        <f t="shared" si="1"/>
        <v>#REF!</v>
      </c>
      <c r="Q893" s="288" t="e">
        <f t="shared" si="1"/>
        <v>#REF!</v>
      </c>
      <c r="R893" s="288" t="e">
        <f>+R891-R889</f>
        <v>#REF!</v>
      </c>
    </row>
    <row r="894" spans="3:18" ht="13.5">
      <c r="C894" s="98" t="s">
        <v>18</v>
      </c>
      <c r="D894" s="98" t="s">
        <v>18</v>
      </c>
      <c r="I894" s="287"/>
      <c r="J894" s="287"/>
      <c r="K894" s="287"/>
      <c r="L894" s="287"/>
      <c r="M894" s="287"/>
      <c r="O894" s="287"/>
      <c r="P894" s="287"/>
      <c r="Q894" s="287"/>
      <c r="R894" s="287"/>
    </row>
    <row r="895" spans="3:18" ht="14.25" thickBot="1">
      <c r="C895" s="292" t="e">
        <f>SUM(#REF!,C46,C134,C393,C423,C480,#REF!,C504,C574,#REF!,C698,C729,#REF!,#REF!,C810,#REF!,#REF!,#REF!)</f>
        <v>#REF!</v>
      </c>
      <c r="D895" s="292" t="e">
        <f>SUM(#REF!,D46,D134,D393,D423,D480,#REF!,D504,D574,#REF!,D698,D729,#REF!,#REF!,D810,#REF!,#REF!,#REF!)</f>
        <v>#REF!</v>
      </c>
      <c r="I895" s="287"/>
      <c r="J895" s="287"/>
      <c r="K895" s="287"/>
      <c r="L895" s="287"/>
      <c r="M895" s="287"/>
      <c r="O895" s="287"/>
      <c r="P895" s="287"/>
      <c r="Q895" s="287"/>
      <c r="R895" s="287"/>
    </row>
    <row r="896" spans="3:18" ht="13.5">
      <c r="C896" s="293" t="s">
        <v>1292</v>
      </c>
      <c r="D896" s="294"/>
      <c r="I896" s="287">
        <v>18959024000</v>
      </c>
      <c r="J896" s="287">
        <v>4968765000</v>
      </c>
      <c r="K896" s="287">
        <v>1228400000</v>
      </c>
      <c r="L896" s="287">
        <v>2965659000</v>
      </c>
      <c r="M896" s="287">
        <v>9796200000</v>
      </c>
      <c r="O896" s="287"/>
      <c r="P896" s="287"/>
      <c r="Q896" s="287"/>
      <c r="R896" s="287"/>
    </row>
    <row r="897" spans="3:4" ht="13.5">
      <c r="C897" s="295" t="s">
        <v>26</v>
      </c>
      <c r="D897" s="296" t="s">
        <v>26</v>
      </c>
    </row>
    <row r="898" spans="3:13" ht="13.5">
      <c r="C898" s="297" t="e">
        <f>+C889-J885</f>
        <v>#REF!</v>
      </c>
      <c r="D898" s="298" t="e">
        <f>+D889-O885</f>
        <v>#REF!</v>
      </c>
      <c r="I898" s="289">
        <f>I885-I896</f>
        <v>2139861650</v>
      </c>
      <c r="J898" s="289">
        <f>J885-J896</f>
        <v>2046980675</v>
      </c>
      <c r="K898" s="289">
        <f>K885-K896</f>
        <v>16000000</v>
      </c>
      <c r="L898" s="289">
        <f>L885-L896</f>
        <v>-245867180</v>
      </c>
      <c r="M898" s="289">
        <f>M885-M896</f>
        <v>322748155</v>
      </c>
    </row>
    <row r="899" spans="3:4" ht="13.5">
      <c r="C899" s="295" t="s">
        <v>41</v>
      </c>
      <c r="D899" s="296" t="s">
        <v>41</v>
      </c>
    </row>
    <row r="900" spans="3:4" ht="13.5">
      <c r="C900" s="297" t="e">
        <f>+C891-K885</f>
        <v>#REF!</v>
      </c>
      <c r="D900" s="298" t="e">
        <f>+D891-P885</f>
        <v>#REF!</v>
      </c>
    </row>
    <row r="901" spans="3:4" ht="14.25" thickBot="1">
      <c r="C901" s="299" t="e">
        <f>+C899-M889</f>
        <v>#VALUE!</v>
      </c>
      <c r="D901" s="300" t="e">
        <f>+D899-R889</f>
        <v>#VALUE!</v>
      </c>
    </row>
    <row r="902" spans="3:4" ht="13.5">
      <c r="C902" s="297" t="e">
        <f>+C893-L885</f>
        <v>#REF!</v>
      </c>
      <c r="D902" s="298" t="e">
        <f>+D893-Q885</f>
        <v>#REF!</v>
      </c>
    </row>
    <row r="903" spans="9:18" ht="13.5">
      <c r="I903" s="287"/>
      <c r="J903" s="287"/>
      <c r="K903" s="287"/>
      <c r="L903" s="287"/>
      <c r="M903" s="287"/>
      <c r="O903" s="287"/>
      <c r="P903" s="287"/>
      <c r="Q903" s="287"/>
      <c r="R903" s="287"/>
    </row>
    <row r="904" spans="3:4" ht="14.25" thickBot="1">
      <c r="C904" s="299" t="e">
        <f>+C899-M889</f>
        <v>#VALUE!</v>
      </c>
      <c r="D904" s="300" t="e">
        <f>+D899-R889</f>
        <v>#VALUE!</v>
      </c>
    </row>
  </sheetData>
  <sheetProtection/>
  <mergeCells count="9">
    <mergeCell ref="B1:D2"/>
    <mergeCell ref="H1:I2"/>
    <mergeCell ref="N1:U2"/>
    <mergeCell ref="T3:U3"/>
    <mergeCell ref="B4:B5"/>
    <mergeCell ref="C4:C5"/>
    <mergeCell ref="D4:D5"/>
    <mergeCell ref="E4:U4"/>
    <mergeCell ref="F5:H5"/>
  </mergeCells>
  <printOptions horizontalCentered="1"/>
  <pageMargins left="0.3937007874015748" right="0.3937007874015748" top="0.5905511811023623" bottom="0.5905511811023623" header="0.1968503937007874" footer="0.1968503937007874"/>
  <pageSetup cellComments="asDisplayed" firstPageNumber="6" useFirstPageNumber="1" fitToHeight="0" fitToWidth="1" horizontalDpi="600" verticalDpi="600" orientation="landscape" paperSize="9" scale="72" r:id="rId2"/>
  <headerFooter alignWithMargins="0">
    <oddHeader>&amp;C&amp;14&amp;P</oddHeader>
    <oddFooter>&amp;C&amp;14&amp;P</oddFooter>
  </headerFooter>
  <rowBreaks count="18" manualBreakCount="18">
    <brk id="53" min="1" max="20" man="1"/>
    <brk id="104" min="1" max="20" man="1"/>
    <brk id="155" min="1" max="20" man="1"/>
    <brk id="206" min="1" max="20" man="1"/>
    <brk id="257" min="1" max="20" man="1"/>
    <brk id="308" min="1" max="20" man="1"/>
    <brk id="359" min="1" max="20" man="1"/>
    <brk id="410" min="1" max="20" man="1"/>
    <brk id="461" min="1" max="20" man="1"/>
    <brk id="512" min="1" max="20" man="1"/>
    <brk id="563" min="1" max="20" man="1"/>
    <brk id="614" min="1" max="20" man="1"/>
    <brk id="665" min="1" max="20" man="1"/>
    <brk id="716" min="1" max="20" man="1"/>
    <brk id="767" min="1" max="20" man="1"/>
    <brk id="818" min="1" max="20" man="1"/>
    <brk id="868" min="1" max="20" man="1"/>
    <brk id="886" min="1" max="20" man="1"/>
  </rowBreaks>
  <colBreaks count="1" manualBreakCount="1">
    <brk id="7" max="820"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babama</dc:creator>
  <cp:keywords/>
  <dc:description/>
  <cp:lastModifiedBy>大阪府</cp:lastModifiedBy>
  <cp:lastPrinted>2011-10-17T03:58:04Z</cp:lastPrinted>
  <dcterms:created xsi:type="dcterms:W3CDTF">2006-08-09T04:20:34Z</dcterms:created>
  <dcterms:modified xsi:type="dcterms:W3CDTF">2011-10-28T01:52:44Z</dcterms:modified>
  <cp:category/>
  <cp:version/>
  <cp:contentType/>
  <cp:contentStatus/>
</cp:coreProperties>
</file>