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0" windowWidth="7155" windowHeight="9000" tabRatio="779" firstSheet="6" activeTab="9"/>
  </bookViews>
  <sheets>
    <sheet name="変更交付申請書" sheetId="1" r:id="rId1"/>
    <sheet name="5_総括表" sheetId="2" r:id="rId2"/>
    <sheet name="6-1_集計表①(旧々・旧制度)" sheetId="3" r:id="rId3"/>
    <sheet name="6-2_算定表①(旧々・旧制度)" sheetId="4" r:id="rId4"/>
    <sheet name="6-3_調整額内訳①(旧々・旧制度)" sheetId="5" r:id="rId5"/>
    <sheet name="6-1_集計表②(旧々・新制度)" sheetId="6" r:id="rId6"/>
    <sheet name="6-2_算定表②(旧々・新制度)" sheetId="7" r:id="rId7"/>
    <sheet name="6-3_調整額内訳②(旧々・新制度)" sheetId="8" r:id="rId8"/>
    <sheet name="6-1_集計表③(旧・旧制度)" sheetId="9" r:id="rId9"/>
    <sheet name="6-2_算定表③(旧・旧制度)" sheetId="10" r:id="rId10"/>
    <sheet name="6-3_調整額内訳③(旧・旧制度)" sheetId="11" r:id="rId11"/>
    <sheet name="6-1_集計表④(旧・新制度)" sheetId="12" r:id="rId12"/>
    <sheet name="6-2_算定表④(旧・新制度)" sheetId="13" r:id="rId13"/>
    <sheet name="6-3_調整額内訳④(旧・新制度)" sheetId="14" r:id="rId14"/>
    <sheet name="6-1_集計表⑤(新・新制度)" sheetId="15" r:id="rId15"/>
    <sheet name="6-2_算定表⑤(新・新制度)" sheetId="16" r:id="rId16"/>
    <sheet name="6-3_調整額内訳⑤(新・新制度)" sheetId="17" r:id="rId17"/>
  </sheets>
  <definedNames>
    <definedName name="_xlfn.IFERROR" hidden="1">#NAME?</definedName>
    <definedName name="_xlnm.Print_Area" localSheetId="1">'5_総括表'!$A$1:$AF$39</definedName>
    <definedName name="_xlnm.Print_Area" localSheetId="2">'6-1_集計表①(旧々・旧制度)'!$A$1:$R$37</definedName>
    <definedName name="_xlnm.Print_Area" localSheetId="5">'6-1_集計表②(旧々・新制度)'!$A$1:$R$37</definedName>
    <definedName name="_xlnm.Print_Area" localSheetId="8">'6-1_集計表③(旧・旧制度)'!$A$1:$R$37</definedName>
    <definedName name="_xlnm.Print_Area" localSheetId="11">'6-1_集計表④(旧・新制度)'!$A$1:$R$41</definedName>
    <definedName name="_xlnm.Print_Area" localSheetId="14">'6-1_集計表⑤(新・新制度)'!$A$1:$R$37</definedName>
    <definedName name="_xlnm.Print_Area" localSheetId="3">'6-2_算定表①(旧々・旧制度)'!$A$1:$AJ$59</definedName>
    <definedName name="_xlnm.Print_Area" localSheetId="6">'6-2_算定表②(旧々・新制度)'!$A$1:$AJ$59</definedName>
    <definedName name="_xlnm.Print_Area" localSheetId="9">'6-2_算定表③(旧・旧制度)'!$A$1:$AJ$59</definedName>
    <definedName name="_xlnm.Print_Area" localSheetId="12">'6-2_算定表④(旧・新制度)'!$A$1:$AH$59</definedName>
    <definedName name="_xlnm.Print_Area" localSheetId="15">'6-2_算定表⑤(新・新制度)'!$A$1:$AH$59</definedName>
    <definedName name="_xlnm.Print_Area" localSheetId="4">'6-3_調整額内訳①(旧々・旧制度)'!$A$1:$AG$43</definedName>
    <definedName name="_xlnm.Print_Area" localSheetId="7">'6-3_調整額内訳②(旧々・新制度)'!$A$1:$AG$43</definedName>
    <definedName name="_xlnm.Print_Area" localSheetId="10">'6-3_調整額内訳③(旧・旧制度)'!$A$1:$AI$43</definedName>
    <definedName name="_xlnm.Print_Area" localSheetId="13">'6-3_調整額内訳④(旧・新制度)'!$A$1:$AK$43</definedName>
    <definedName name="_xlnm.Print_Area" localSheetId="16">'6-3_調整額内訳⑤(新・新制度)'!$A$1:$AI$43</definedName>
    <definedName name="_xlnm.Print_Area" localSheetId="0">'変更交付申請書'!$A$1:$P$52</definedName>
    <definedName name="_xlnm.Print_Titles" localSheetId="3">'6-2_算定表①(旧々・旧制度)'!$1:$7</definedName>
    <definedName name="_xlnm.Print_Titles" localSheetId="6">'6-2_算定表②(旧々・新制度)'!$1:$7</definedName>
    <definedName name="_xlnm.Print_Titles" localSheetId="9">'6-2_算定表③(旧・旧制度)'!$1:$7</definedName>
    <definedName name="_xlnm.Print_Titles" localSheetId="12">'6-2_算定表④(旧・新制度)'!$1:$7</definedName>
    <definedName name="_xlnm.Print_Titles" localSheetId="15">'6-2_算定表⑤(新・新制度)'!$1:$7</definedName>
    <definedName name="_xlnm.Print_Titles" localSheetId="4">'6-3_調整額内訳①(旧々・旧制度)'!$1:$8</definedName>
    <definedName name="_xlnm.Print_Titles" localSheetId="7">'6-3_調整額内訳②(旧々・新制度)'!$1:$8</definedName>
    <definedName name="_xlnm.Print_Titles" localSheetId="10">'6-3_調整額内訳③(旧・旧制度)'!$1:$8</definedName>
    <definedName name="_xlnm.Print_Titles" localSheetId="13">'6-3_調整額内訳④(旧・新制度)'!$1:$8</definedName>
    <definedName name="_xlnm.Print_Titles" localSheetId="16">'6-3_調整額内訳⑤(新・新制度)'!$1:$8</definedName>
  </definedNames>
  <calcPr fullCalcOnLoad="1"/>
</workbook>
</file>

<file path=xl/comments10.xml><?xml version="1.0" encoding="utf-8"?>
<comments xmlns="http://schemas.openxmlformats.org/spreadsheetml/2006/main">
  <authors>
    <author>池田　周</author>
    <author>小田　廣子</author>
    <author>小谷　直也</author>
    <author>原　千寛</author>
  </authors>
  <commentList>
    <comment ref="P6" authorId="0">
      <text>
        <r>
          <rPr>
            <sz val="10"/>
            <rFont val="ＭＳ Ｐゴシック"/>
            <family val="3"/>
          </rPr>
          <t>23年度の市町村民税所得割額（保護者合算）を入力。</t>
        </r>
      </text>
    </comment>
    <comment ref="S6" authorId="0">
      <text>
        <r>
          <rPr>
            <sz val="10"/>
            <rFont val="ＭＳ Ｐゴシック"/>
            <family val="3"/>
          </rPr>
          <t>23年度の市町村民税所得割額（保護者合算）を入力。</t>
        </r>
      </text>
    </comment>
    <comment ref="R6" authorId="1">
      <text>
        <r>
          <rPr>
            <sz val="10"/>
            <rFont val="ＭＳ Ｐゴシック"/>
            <family val="3"/>
          </rPr>
          <t>30年度のランクを入力
（プルダウンか全角大文字）
※Dランクは記入、Dランク以上または受給していない場合は空欄でお願いします。</t>
        </r>
      </text>
    </comment>
    <comment ref="O6" authorId="1">
      <text>
        <r>
          <rPr>
            <sz val="10"/>
            <rFont val="ＭＳ Ｐゴシック"/>
            <family val="3"/>
          </rPr>
          <t>29年度のランクを入力
（プルダウンか全角大文字）
※Dランクは記入、Dランク以上または受給していない場合は空欄でお願いします。</t>
        </r>
      </text>
    </comment>
    <comment ref="B3" authorId="2">
      <text>
        <r>
          <rPr>
            <b/>
            <sz val="16"/>
            <color indexed="10"/>
            <rFont val="ＭＳ Ｐゴシック"/>
            <family val="3"/>
          </rPr>
          <t>（旧制度）（就学支援金旧制度）　
※平成２３年度～平成２５年度入学の者のみ記入すること</t>
        </r>
      </text>
    </comment>
    <comment ref="AG4" authorId="3">
      <text>
        <r>
          <rPr>
            <b/>
            <sz val="9"/>
            <rFont val="ＭＳ Ｐゴシック"/>
            <family val="3"/>
          </rPr>
          <t>この欄は
(R)≧(M) →(M)-(Q')
(R)＜(M) →(R)-(Q')にて
算出されています。</t>
        </r>
      </text>
    </comment>
    <comment ref="AF4" authorId="3">
      <text>
        <r>
          <rPr>
            <b/>
            <sz val="9"/>
            <rFont val="ＭＳ Ｐゴシック"/>
            <family val="3"/>
          </rPr>
          <t>この欄は
(N)-(P)-(Q)にて算出されます。</t>
        </r>
      </text>
    </comment>
    <comment ref="AE4" authorId="3">
      <text>
        <r>
          <rPr>
            <b/>
            <sz val="9"/>
            <rFont val="ＭＳ Ｐゴシック"/>
            <family val="3"/>
          </rPr>
          <t>(支援補助金対象期間において受給する額)
※履修単位が残至急単位を超えていても、受給する支援金の額をそのまま記載ください。</t>
        </r>
      </text>
    </comment>
    <comment ref="AD4" authorId="3">
      <text>
        <r>
          <rPr>
            <b/>
            <sz val="9"/>
            <rFont val="ＭＳ Ｐゴシック"/>
            <family val="3"/>
          </rPr>
          <t>学び直し支援金がその対象となる授業料を超過して支給されている金額を表示します。</t>
        </r>
      </text>
    </comment>
    <comment ref="AC4" authorId="3">
      <text>
        <r>
          <rPr>
            <b/>
            <sz val="9"/>
            <rFont val="ＭＳ Ｐゴシック"/>
            <family val="3"/>
          </rPr>
          <t>授業料支援補助金の支給を受ける期間における学び直し支援金の対象となる授業料が計算されます。</t>
        </r>
      </text>
    </comment>
    <comment ref="AB4" authorId="3">
      <text>
        <r>
          <rPr>
            <b/>
            <sz val="9"/>
            <rFont val="ＭＳ Ｐゴシック"/>
            <family val="3"/>
          </rPr>
          <t>授業料支援補助金の支給を受ける期間における学び直し支援金の受給金額を記載ください。</t>
        </r>
      </text>
    </comment>
    <comment ref="Z4" authorId="3">
      <text>
        <r>
          <rPr>
            <b/>
            <sz val="9"/>
            <rFont val="ＭＳ Ｐゴシック"/>
            <family val="3"/>
          </rPr>
          <t>授業料支援補助金対象期間における授業料減免等の額を記載ください。</t>
        </r>
      </text>
    </comment>
    <comment ref="L5" authorId="3">
      <text>
        <r>
          <rPr>
            <b/>
            <sz val="9"/>
            <rFont val="ＭＳ Ｐゴシック"/>
            <family val="3"/>
          </rPr>
          <t>生徒在籍期間の始まる月を記載ください</t>
        </r>
      </text>
    </comment>
    <comment ref="K5" authorId="3">
      <text>
        <r>
          <rPr>
            <b/>
            <sz val="9"/>
            <rFont val="ＭＳ Ｐゴシック"/>
            <family val="3"/>
          </rPr>
          <t>生徒在籍期間のうち、授業料支援補助金の対象となる月数を記載ください。</t>
        </r>
      </text>
    </comment>
    <comment ref="J5" authorId="3">
      <text>
        <r>
          <rPr>
            <b/>
            <sz val="9"/>
            <rFont val="ＭＳ Ｐゴシック"/>
            <family val="3"/>
          </rPr>
          <t>支援補助金の対象となる単位の履修期間を記載ください。</t>
        </r>
      </text>
    </comment>
    <comment ref="F5" authorId="3">
      <text>
        <r>
          <rPr>
            <b/>
            <sz val="9"/>
            <rFont val="ＭＳ Ｐゴシック"/>
            <family val="3"/>
          </rPr>
          <t>登録単位数のうち、就学支援金の対象となる単位数を記載ください。</t>
        </r>
      </text>
    </comment>
    <comment ref="A4" authorId="3">
      <text>
        <r>
          <rPr>
            <b/>
            <sz val="9"/>
            <rFont val="ＭＳ Ｐゴシック"/>
            <family val="3"/>
          </rPr>
          <t>同一の生徒が複数回履修登録を行った場合、その履修登録ごとに本様式に記載をお願いします。
（就学支援金の金額についてもその対象単位・期間ごとに区切って算出し、記載ください。）</t>
        </r>
      </text>
    </comment>
  </commentList>
</comments>
</file>

<file path=xl/comments11.xml><?xml version="1.0" encoding="utf-8"?>
<comments xmlns="http://schemas.openxmlformats.org/spreadsheetml/2006/main">
  <authors>
    <author>大阪府</author>
  </authors>
  <commentList>
    <comment ref="A1" authorId="0">
      <text>
        <r>
          <rPr>
            <b/>
            <sz val="9"/>
            <rFont val="MS P ゴシック"/>
            <family val="3"/>
          </rPr>
          <t>この表は、履修期間の途中で授業料支援補助金の対象外になった生徒や、4.7月以外のタイミングで補助ランクが変更となった生徒についてのみ記載ください。</t>
        </r>
      </text>
    </comment>
  </commentList>
</comments>
</file>

<file path=xl/comments13.xml><?xml version="1.0" encoding="utf-8"?>
<comments xmlns="http://schemas.openxmlformats.org/spreadsheetml/2006/main">
  <authors>
    <author>小田　廣子</author>
    <author>小谷　直也</author>
    <author>原　千寛</author>
  </authors>
  <commentList>
    <comment ref="O6" authorId="0">
      <text>
        <r>
          <rPr>
            <sz val="10"/>
            <rFont val="ＭＳ Ｐゴシック"/>
            <family val="3"/>
          </rPr>
          <t>29年度のランクを入力
（プルダウンか全角大文字）
※Dランクは記入、Dランク以上または受給していない場合は空欄でお願いします。</t>
        </r>
      </text>
    </comment>
    <comment ref="Q6" authorId="0">
      <text>
        <r>
          <rPr>
            <sz val="10"/>
            <rFont val="ＭＳ Ｐゴシック"/>
            <family val="3"/>
          </rPr>
          <t>30年度のランクを入力
（プルダウンか全角大文字）
※Dランクは記入、Dランク以上または受給していない場合は空欄でお願いします。</t>
        </r>
      </text>
    </comment>
    <comment ref="B3" authorId="1">
      <text>
        <r>
          <rPr>
            <b/>
            <sz val="16"/>
            <color indexed="10"/>
            <rFont val="ＭＳ Ｐゴシック"/>
            <family val="3"/>
          </rPr>
          <t>（旧制度）（就学支援金新制度）
※平成２６年度～平成２７年度入学の者のみ記入すること</t>
        </r>
      </text>
    </comment>
    <comment ref="J5" authorId="2">
      <text>
        <r>
          <rPr>
            <b/>
            <sz val="9"/>
            <rFont val="ＭＳ Ｐゴシック"/>
            <family val="3"/>
          </rPr>
          <t>支援補助金の対象となる単位の履修期間を記載ください。</t>
        </r>
      </text>
    </comment>
    <comment ref="Z4" authorId="2">
      <text>
        <r>
          <rPr>
            <b/>
            <sz val="9"/>
            <rFont val="ＭＳ Ｐゴシック"/>
            <family val="3"/>
          </rPr>
          <t>授業料支援補助金の支給を受ける期間における学び直し支援金の受給金額を記載ください。</t>
        </r>
      </text>
    </comment>
    <comment ref="AA4" authorId="2">
      <text>
        <r>
          <rPr>
            <b/>
            <sz val="9"/>
            <rFont val="ＭＳ Ｐゴシック"/>
            <family val="3"/>
          </rPr>
          <t>授業料支援補助金の支給を受ける期間における学び直し支援金の対象となる授業料が計算されます。</t>
        </r>
      </text>
    </comment>
    <comment ref="AB4" authorId="2">
      <text>
        <r>
          <rPr>
            <b/>
            <sz val="9"/>
            <rFont val="ＭＳ Ｐゴシック"/>
            <family val="3"/>
          </rPr>
          <t>学び直し支援金がその対象となる授業料を超過して支給されている金額を表示します。</t>
        </r>
      </text>
    </comment>
    <comment ref="AC4" authorId="2">
      <text>
        <r>
          <rPr>
            <b/>
            <sz val="9"/>
            <rFont val="ＭＳ Ｐゴシック"/>
            <family val="3"/>
          </rPr>
          <t>(支援補助金対象期間において受給する額)
※履修単位が残至急単位を超えていても、受給する支援金の額をそのまま記載ください。</t>
        </r>
      </text>
    </comment>
    <comment ref="X4" authorId="2">
      <text>
        <r>
          <rPr>
            <b/>
            <sz val="9"/>
            <rFont val="ＭＳ Ｐゴシック"/>
            <family val="3"/>
          </rPr>
          <t>授業料支援補助金対象期間における授業料減免等の額を記載ください。</t>
        </r>
      </text>
    </comment>
    <comment ref="K6" authorId="2">
      <text>
        <r>
          <rPr>
            <b/>
            <sz val="9"/>
            <rFont val="ＭＳ Ｐゴシック"/>
            <family val="3"/>
          </rPr>
          <t>生徒在籍期間のうち、授業料支援補助金の対象となる月数を記載ください。</t>
        </r>
      </text>
    </comment>
    <comment ref="L6" authorId="2">
      <text>
        <r>
          <rPr>
            <b/>
            <sz val="9"/>
            <rFont val="ＭＳ Ｐゴシック"/>
            <family val="3"/>
          </rPr>
          <t>生徒在籍期間の始まる月を記載ください</t>
        </r>
      </text>
    </comment>
    <comment ref="AD4" authorId="2">
      <text>
        <r>
          <rPr>
            <b/>
            <sz val="9"/>
            <rFont val="ＭＳ Ｐゴシック"/>
            <family val="3"/>
          </rPr>
          <t>この欄は
(N)-(P)-(Q)にて算出されます。</t>
        </r>
      </text>
    </comment>
    <comment ref="AE4" authorId="2">
      <text>
        <r>
          <rPr>
            <b/>
            <sz val="9"/>
            <rFont val="ＭＳ Ｐゴシック"/>
            <family val="3"/>
          </rPr>
          <t>この欄は
(R)≧(M) →(M)-(Q')
(R)＜(M) →(R)-(Q')にて
算出されています。</t>
        </r>
      </text>
    </comment>
    <comment ref="F5" authorId="2">
      <text>
        <r>
          <rPr>
            <b/>
            <sz val="9"/>
            <rFont val="ＭＳ Ｐゴシック"/>
            <family val="3"/>
          </rPr>
          <t>登録単位数のうち、就学支援金の対象となる単位数を記載ください。</t>
        </r>
      </text>
    </comment>
    <comment ref="A4" authorId="2">
      <text>
        <r>
          <rPr>
            <b/>
            <sz val="9"/>
            <rFont val="ＭＳ Ｐゴシック"/>
            <family val="3"/>
          </rPr>
          <t>同一の生徒が複数回履修登録を行った場合、その履修登録ごとに本様式に記載をお願いします。
（就学支援金の金額についてもその対象単位・期間ごとに区切って算出し、記載ください。）</t>
        </r>
      </text>
    </comment>
  </commentList>
</comments>
</file>

<file path=xl/comments14.xml><?xml version="1.0" encoding="utf-8"?>
<comments xmlns="http://schemas.openxmlformats.org/spreadsheetml/2006/main">
  <authors>
    <author>大阪府</author>
  </authors>
  <commentList>
    <comment ref="A1" authorId="0">
      <text>
        <r>
          <rPr>
            <b/>
            <sz val="9"/>
            <rFont val="MS P ゴシック"/>
            <family val="3"/>
          </rPr>
          <t>この表は、履修期間の途中で授業料支援補助金の対象外になった生徒や、4.7月以外のタイミングで補助ランクが変更となった生徒についてのみ記載ください。</t>
        </r>
      </text>
    </comment>
  </commentList>
</comments>
</file>

<file path=xl/comments16.xml><?xml version="1.0" encoding="utf-8"?>
<comments xmlns="http://schemas.openxmlformats.org/spreadsheetml/2006/main">
  <authors>
    <author>小田　廣子</author>
    <author>小谷　直也</author>
    <author>原　千寛</author>
  </authors>
  <commentList>
    <comment ref="O6" authorId="0">
      <text>
        <r>
          <rPr>
            <sz val="10"/>
            <rFont val="ＭＳ Ｐゴシック"/>
            <family val="3"/>
          </rPr>
          <t>29年度のランクを入力
（プルダウンか全角大文字）
※Dランクは記入、Dランク以上または受給していない場合は空欄でお願いします。</t>
        </r>
      </text>
    </comment>
    <comment ref="Q6" authorId="0">
      <text>
        <r>
          <rPr>
            <sz val="10"/>
            <rFont val="ＭＳ Ｐゴシック"/>
            <family val="3"/>
          </rPr>
          <t>30年度のランクを入力
（プルダウンか全角大文字）
※Dランクは記入、Dランク以上または受給していない場合は空欄でお願いします。</t>
        </r>
      </text>
    </comment>
    <comment ref="B3" authorId="1">
      <text>
        <r>
          <rPr>
            <b/>
            <sz val="16"/>
            <color indexed="10"/>
            <rFont val="ＭＳ Ｐゴシック"/>
            <family val="3"/>
          </rPr>
          <t>（新制度）（就学支援金新制度）
※平成２８年度以降入学の者のみ記入すること</t>
        </r>
      </text>
    </comment>
    <comment ref="Z4" authorId="2">
      <text>
        <r>
          <rPr>
            <b/>
            <sz val="9"/>
            <rFont val="ＭＳ Ｐゴシック"/>
            <family val="3"/>
          </rPr>
          <t>授業料支援補助金の支給を受ける期間における学び直し支援金の受給金額を記載ください。</t>
        </r>
      </text>
    </comment>
    <comment ref="L6" authorId="2">
      <text>
        <r>
          <rPr>
            <b/>
            <sz val="9"/>
            <rFont val="ＭＳ Ｐゴシック"/>
            <family val="3"/>
          </rPr>
          <t>「生徒在籍期間」の始まる月を記載ください。</t>
        </r>
      </text>
    </comment>
    <comment ref="K6" authorId="2">
      <text>
        <r>
          <rPr>
            <b/>
            <sz val="9"/>
            <rFont val="ＭＳ Ｐゴシック"/>
            <family val="3"/>
          </rPr>
          <t>生徒在籍期間のうち、授業料支援補助金の対象となる月数を記載ください。</t>
        </r>
      </text>
    </comment>
    <comment ref="X4" authorId="2">
      <text>
        <r>
          <rPr>
            <b/>
            <sz val="9"/>
            <rFont val="ＭＳ Ｐゴシック"/>
            <family val="3"/>
          </rPr>
          <t>授業料支援補助金対象期間における授業料減免等の額を記載ください。</t>
        </r>
      </text>
    </comment>
    <comment ref="AA4" authorId="2">
      <text>
        <r>
          <rPr>
            <b/>
            <sz val="9"/>
            <rFont val="ＭＳ Ｐゴシック"/>
            <family val="3"/>
          </rPr>
          <t>授業料支援補助金の支給を受ける期間における学び直し支援金の対象となる授業料が計算されます。</t>
        </r>
      </text>
    </comment>
    <comment ref="AB4" authorId="2">
      <text>
        <r>
          <rPr>
            <b/>
            <sz val="9"/>
            <rFont val="ＭＳ Ｐゴシック"/>
            <family val="3"/>
          </rPr>
          <t>学び直し支援金がその対象となる授業料を超過して支給されている金額を表示します。</t>
        </r>
      </text>
    </comment>
    <comment ref="J5" authorId="2">
      <text>
        <r>
          <rPr>
            <b/>
            <sz val="9"/>
            <rFont val="ＭＳ Ｐゴシック"/>
            <family val="3"/>
          </rPr>
          <t>支援補助金の対象となる単位の履修期間（何ヶ月）を記載ください。</t>
        </r>
      </text>
    </comment>
    <comment ref="AC4" authorId="2">
      <text>
        <r>
          <rPr>
            <b/>
            <sz val="9"/>
            <rFont val="ＭＳ Ｐゴシック"/>
            <family val="3"/>
          </rPr>
          <t>(支援補助金対象期間において受給する額)
※履修単位が残至急単位を超えていても、受給する支援金の額をそのまま記載ください。</t>
        </r>
      </text>
    </comment>
    <comment ref="AD4" authorId="2">
      <text>
        <r>
          <rPr>
            <b/>
            <sz val="9"/>
            <rFont val="ＭＳ Ｐゴシック"/>
            <family val="3"/>
          </rPr>
          <t>この欄は
(N)-(P)-(Q)にて算出されます。</t>
        </r>
      </text>
    </comment>
    <comment ref="AE4" authorId="2">
      <text>
        <r>
          <rPr>
            <b/>
            <sz val="9"/>
            <rFont val="ＭＳ Ｐゴシック"/>
            <family val="3"/>
          </rPr>
          <t>この欄は
(R)≧(M) →(M)-(Q')
(R)＜(M) →(R)-(Q')にて
算出されています。</t>
        </r>
      </text>
    </comment>
    <comment ref="F5" authorId="2">
      <text>
        <r>
          <rPr>
            <b/>
            <sz val="9"/>
            <rFont val="ＭＳ Ｐゴシック"/>
            <family val="3"/>
          </rPr>
          <t>登録単位数のうち、就学支援金の対象となる単位数を記載ください。</t>
        </r>
      </text>
    </comment>
    <comment ref="A4" authorId="2">
      <text>
        <r>
          <rPr>
            <b/>
            <sz val="9"/>
            <rFont val="ＭＳ Ｐゴシック"/>
            <family val="3"/>
          </rPr>
          <t>同一の生徒が複数回履修登録を行った場合、その履修登録ごとに本様式に記載をお願いします。
（就学支援金の金額についてもその対象単位・期間ごとに区切って算出し、記載ください。）</t>
        </r>
      </text>
    </comment>
  </commentList>
</comments>
</file>

<file path=xl/comments17.xml><?xml version="1.0" encoding="utf-8"?>
<comments xmlns="http://schemas.openxmlformats.org/spreadsheetml/2006/main">
  <authors>
    <author>大阪府</author>
  </authors>
  <commentList>
    <comment ref="A1" authorId="0">
      <text>
        <r>
          <rPr>
            <b/>
            <sz val="9"/>
            <rFont val="MS P ゴシック"/>
            <family val="3"/>
          </rPr>
          <t>この表は、履修期間の途中で授業料支援補助金の対象外になった生徒や、4.7月以外のタイミングで補助ランクが変更となった生徒についてのみ記載ください。</t>
        </r>
      </text>
    </comment>
  </commentList>
</comments>
</file>

<file path=xl/comments4.xml><?xml version="1.0" encoding="utf-8"?>
<comments xmlns="http://schemas.openxmlformats.org/spreadsheetml/2006/main">
  <authors>
    <author>小田　廣子</author>
    <author>小谷　直也</author>
    <author>原　千寛</author>
  </authors>
  <commentList>
    <comment ref="R6" authorId="0">
      <text>
        <r>
          <rPr>
            <sz val="10"/>
            <rFont val="ＭＳ Ｐゴシック"/>
            <family val="3"/>
          </rPr>
          <t>29年度のランクを入力
（プルダウンか全角大文字）
※Dランクは記入、Dランク以上または受給していない場合は空欄でお願いします。</t>
        </r>
      </text>
    </comment>
    <comment ref="O6" authorId="0">
      <text>
        <r>
          <rPr>
            <sz val="10"/>
            <rFont val="ＭＳ Ｐゴシック"/>
            <family val="3"/>
          </rPr>
          <t>28年度のランクを入力
（プルダウンか全角大文字）
※Dランクは記入、Dランク以上または受給していない場合は空欄でお願いします。</t>
        </r>
      </text>
    </comment>
    <comment ref="B3" authorId="1">
      <text>
        <r>
          <rPr>
            <b/>
            <sz val="16"/>
            <color indexed="10"/>
            <rFont val="ＭＳ Ｐゴシック"/>
            <family val="3"/>
          </rPr>
          <t>（旧々制度）（就学支援金旧制度）　
※平成２２年度以前入学の者のみ記入すること</t>
        </r>
      </text>
    </comment>
    <comment ref="A4" authorId="2">
      <text>
        <r>
          <rPr>
            <b/>
            <sz val="9"/>
            <rFont val="ＭＳ Ｐゴシック"/>
            <family val="3"/>
          </rPr>
          <t>同一の生徒が複数回履修登録を行った場合、その履修登録ごとに本様式に記載をお願いします。
（就学支援金の金額についてもその対象単位・期間ごとに区切って算出し、記載ください。）</t>
        </r>
      </text>
    </comment>
    <comment ref="AG4" authorId="2">
      <text>
        <r>
          <rPr>
            <b/>
            <sz val="9"/>
            <rFont val="ＭＳ Ｐゴシック"/>
            <family val="3"/>
          </rPr>
          <t>この欄は
(R)≧(M) →(M)-(Q')
(R)＜(M) →(R)-(Q')にて
算出されています。</t>
        </r>
      </text>
    </comment>
    <comment ref="AF4" authorId="2">
      <text>
        <r>
          <rPr>
            <b/>
            <sz val="9"/>
            <rFont val="ＭＳ Ｐゴシック"/>
            <family val="3"/>
          </rPr>
          <t>この欄は
(N)-(P)-(Q)にて算出されます。</t>
        </r>
      </text>
    </comment>
    <comment ref="AE4" authorId="2">
      <text>
        <r>
          <rPr>
            <b/>
            <sz val="9"/>
            <rFont val="ＭＳ Ｐゴシック"/>
            <family val="3"/>
          </rPr>
          <t>(支援補助金対象期間において受給する額)※履修単位が残至急単位を超えていても、受給する支援金の額をそのまま記載ください。</t>
        </r>
      </text>
    </comment>
    <comment ref="AD5" authorId="2">
      <text>
        <r>
          <rPr>
            <b/>
            <sz val="9"/>
            <rFont val="ＭＳ Ｐゴシック"/>
            <family val="3"/>
          </rPr>
          <t>学び直し支援金がその対象となる授業料を超過して支給されている金額を表示します。</t>
        </r>
      </text>
    </comment>
    <comment ref="AC5" authorId="2">
      <text>
        <r>
          <rPr>
            <b/>
            <sz val="9"/>
            <rFont val="ＭＳ Ｐゴシック"/>
            <family val="3"/>
          </rPr>
          <t>授業料支援補助金の支給を受ける期間における学び直し支援金の対象となる授業料が計算されます。</t>
        </r>
      </text>
    </comment>
    <comment ref="AB5" authorId="2">
      <text>
        <r>
          <rPr>
            <b/>
            <sz val="9"/>
            <rFont val="ＭＳ Ｐゴシック"/>
            <family val="3"/>
          </rPr>
          <t>授業料支援補助金対象期間における授業料減免等の額を記載ください。</t>
        </r>
      </text>
    </comment>
    <comment ref="Z4" authorId="2">
      <text>
        <r>
          <rPr>
            <b/>
            <sz val="9"/>
            <rFont val="ＭＳ Ｐゴシック"/>
            <family val="3"/>
          </rPr>
          <t>授業料支援補助金対象期間における授業料減免等の額を記載ください。</t>
        </r>
      </text>
    </comment>
    <comment ref="L5" authorId="2">
      <text>
        <r>
          <rPr>
            <b/>
            <sz val="9"/>
            <rFont val="ＭＳ Ｐゴシック"/>
            <family val="3"/>
          </rPr>
          <t>生徒在籍期間の始まる月を記載ください</t>
        </r>
      </text>
    </comment>
    <comment ref="K5" authorId="2">
      <text>
        <r>
          <rPr>
            <b/>
            <sz val="9"/>
            <rFont val="ＭＳ Ｐゴシック"/>
            <family val="3"/>
          </rPr>
          <t>生徒在籍期間のうち、授業料支援補助金の対象となる月数を記載ください。</t>
        </r>
      </text>
    </comment>
    <comment ref="J5" authorId="2">
      <text>
        <r>
          <rPr>
            <b/>
            <sz val="9"/>
            <rFont val="ＭＳ Ｐゴシック"/>
            <family val="3"/>
          </rPr>
          <t>支援補助金の対象となる単位の履修期間を記載ください。</t>
        </r>
      </text>
    </comment>
    <comment ref="F5" authorId="2">
      <text>
        <r>
          <rPr>
            <b/>
            <sz val="9"/>
            <rFont val="ＭＳ Ｐゴシック"/>
            <family val="3"/>
          </rPr>
          <t>登録単位数のうち、就学支援金の対象となる単位数を記載ください。</t>
        </r>
      </text>
    </comment>
  </commentList>
</comments>
</file>

<file path=xl/comments5.xml><?xml version="1.0" encoding="utf-8"?>
<comments xmlns="http://schemas.openxmlformats.org/spreadsheetml/2006/main">
  <authors>
    <author>大阪府</author>
  </authors>
  <commentList>
    <comment ref="A1" authorId="0">
      <text>
        <r>
          <rPr>
            <b/>
            <sz val="9"/>
            <rFont val="MS P ゴシック"/>
            <family val="3"/>
          </rPr>
          <t>この表は、履修期間の途中で授業料支援補助金の対象外になった生徒や、4.7月以外のタイミングで補助ランクが変更となった生徒についてのみ記載ください。</t>
        </r>
      </text>
    </comment>
  </commentList>
</comments>
</file>

<file path=xl/comments7.xml><?xml version="1.0" encoding="utf-8"?>
<comments xmlns="http://schemas.openxmlformats.org/spreadsheetml/2006/main">
  <authors>
    <author>小田　廣子</author>
    <author>小谷　直也</author>
    <author>原　千寛</author>
  </authors>
  <commentList>
    <comment ref="O6" authorId="0">
      <text>
        <r>
          <rPr>
            <sz val="10"/>
            <rFont val="ＭＳ Ｐゴシック"/>
            <family val="3"/>
          </rPr>
          <t>29年度のランクを入力
（プルダウンか全角大文字）
※Dランクは記入、Dランク以上または受給していない場合は空欄でお願いします。</t>
        </r>
      </text>
    </comment>
    <comment ref="R6" authorId="0">
      <text>
        <r>
          <rPr>
            <sz val="10"/>
            <rFont val="ＭＳ Ｐゴシック"/>
            <family val="3"/>
          </rPr>
          <t>30年度のランクを入力
（プルダウンか全角大文字）
※Dランクは記入、Dランク以上または受給していない場合は空欄でお願いします。</t>
        </r>
      </text>
    </comment>
    <comment ref="B3" authorId="1">
      <text>
        <r>
          <rPr>
            <b/>
            <sz val="16"/>
            <color indexed="10"/>
            <rFont val="ＭＳ Ｐゴシック"/>
            <family val="3"/>
          </rPr>
          <t>（旧々制度）（就学支援金新制度）
※平成２２年度以前入学の者のみ記入すること</t>
        </r>
      </text>
    </comment>
    <comment ref="AG4" authorId="2">
      <text>
        <r>
          <rPr>
            <b/>
            <sz val="9"/>
            <rFont val="ＭＳ Ｐゴシック"/>
            <family val="3"/>
          </rPr>
          <t>この欄は
(R)≧(M) →(M)-(Q')
(R)＜(M) →(R)-(Q')にて
算出されています。</t>
        </r>
      </text>
    </comment>
    <comment ref="AF4" authorId="2">
      <text>
        <r>
          <rPr>
            <b/>
            <sz val="9"/>
            <rFont val="ＭＳ Ｐゴシック"/>
            <family val="3"/>
          </rPr>
          <t>この欄は
(N)-(P)-(Q)にて算出されます。</t>
        </r>
      </text>
    </comment>
    <comment ref="AE4" authorId="2">
      <text>
        <r>
          <rPr>
            <b/>
            <sz val="9"/>
            <rFont val="ＭＳ Ｐゴシック"/>
            <family val="3"/>
          </rPr>
          <t>(支援補助金対象期間において受給する額)
※履修単位が残至急単位を超えていても、受給する支援金の額をそのまま記載ください。</t>
        </r>
      </text>
    </comment>
    <comment ref="AD4" authorId="2">
      <text>
        <r>
          <rPr>
            <b/>
            <sz val="9"/>
            <rFont val="ＭＳ Ｐゴシック"/>
            <family val="3"/>
          </rPr>
          <t>学び直し支援金がその対象となる授業料を超過して支給されている金額を表示します。</t>
        </r>
      </text>
    </comment>
    <comment ref="AC4" authorId="2">
      <text>
        <r>
          <rPr>
            <b/>
            <sz val="9"/>
            <rFont val="ＭＳ Ｐゴシック"/>
            <family val="3"/>
          </rPr>
          <t>授業料支援補助金の支給を受ける期間における学び直し支援金の対象となる授業料が計算されます。</t>
        </r>
      </text>
    </comment>
    <comment ref="AB4" authorId="2">
      <text>
        <r>
          <rPr>
            <b/>
            <sz val="9"/>
            <rFont val="ＭＳ Ｐゴシック"/>
            <family val="3"/>
          </rPr>
          <t>授業料支援補助金の支給を受ける期間における学び直し支援金の受給金額を記載ください。</t>
        </r>
      </text>
    </comment>
    <comment ref="Z4" authorId="2">
      <text>
        <r>
          <rPr>
            <b/>
            <sz val="9"/>
            <rFont val="ＭＳ Ｐゴシック"/>
            <family val="3"/>
          </rPr>
          <t>授業料支援補助金対象期間における授業料減免等の額を記載ください。</t>
        </r>
      </text>
    </comment>
    <comment ref="L5" authorId="2">
      <text>
        <r>
          <rPr>
            <b/>
            <sz val="9"/>
            <rFont val="ＭＳ Ｐゴシック"/>
            <family val="3"/>
          </rPr>
          <t>生徒在籍期間の始まる月を記載ください</t>
        </r>
      </text>
    </comment>
    <comment ref="K5" authorId="2">
      <text>
        <r>
          <rPr>
            <b/>
            <sz val="9"/>
            <rFont val="ＭＳ Ｐゴシック"/>
            <family val="3"/>
          </rPr>
          <t>生徒在籍期間のうち、授業料支援補助金の対象となる月数を記載ください。</t>
        </r>
      </text>
    </comment>
    <comment ref="J5" authorId="2">
      <text>
        <r>
          <rPr>
            <b/>
            <sz val="9"/>
            <rFont val="ＭＳ Ｐゴシック"/>
            <family val="3"/>
          </rPr>
          <t>支援補助金の対象となる単位の履修期間を記載ください。</t>
        </r>
      </text>
    </comment>
    <comment ref="A4" authorId="2">
      <text>
        <r>
          <rPr>
            <b/>
            <sz val="9"/>
            <rFont val="ＭＳ Ｐゴシック"/>
            <family val="3"/>
          </rPr>
          <t>同一の生徒が複数回履修登録を行った場合、その履修登録ごとに本様式に記載をお願いします。
（就学支援金の金額についてもその対象単位・期間ごとに区切って算出し、記載ください。）</t>
        </r>
      </text>
    </comment>
    <comment ref="F5" authorId="2">
      <text>
        <r>
          <rPr>
            <b/>
            <sz val="9"/>
            <rFont val="ＭＳ Ｐゴシック"/>
            <family val="3"/>
          </rPr>
          <t>登録単位数のうち、就学支援金の対象となる単位数を記載ください。</t>
        </r>
      </text>
    </comment>
  </commentList>
</comments>
</file>

<file path=xl/comments8.xml><?xml version="1.0" encoding="utf-8"?>
<comments xmlns="http://schemas.openxmlformats.org/spreadsheetml/2006/main">
  <authors>
    <author>大阪府</author>
  </authors>
  <commentList>
    <comment ref="A1" authorId="0">
      <text>
        <r>
          <rPr>
            <b/>
            <sz val="9"/>
            <rFont val="MS P ゴシック"/>
            <family val="3"/>
          </rPr>
          <t>この表は、履修期間の途中で授業料支援補助金の対象外になった生徒や、4.7月以外のタイミングで補助ランクが変更となった生徒についてのみ記載ください。</t>
        </r>
      </text>
    </comment>
  </commentList>
</comments>
</file>

<file path=xl/sharedStrings.xml><?xml version="1.0" encoding="utf-8"?>
<sst xmlns="http://schemas.openxmlformats.org/spreadsheetml/2006/main" count="1531" uniqueCount="278">
  <si>
    <t>(B）</t>
  </si>
  <si>
    <t>(B')</t>
  </si>
  <si>
    <r>
      <t>標準授業料</t>
    </r>
    <r>
      <rPr>
        <sz val="10"/>
        <rFont val="ＭＳ ゴシック"/>
        <family val="3"/>
      </rPr>
      <t xml:space="preserve">
</t>
    </r>
    <r>
      <rPr>
        <sz val="9"/>
        <rFont val="ＭＳ ゴシック"/>
        <family val="3"/>
      </rPr>
      <t>[指定要綱第２条③]</t>
    </r>
    <r>
      <rPr>
        <sz val="10"/>
        <rFont val="ＭＳ ゴシック"/>
        <family val="3"/>
      </rPr>
      <t xml:space="preserve">
@10,032円×B'</t>
    </r>
  </si>
  <si>
    <t>年間授業料
[3-1(ｳ)]
A×B'</t>
  </si>
  <si>
    <t>支援補助金
限  度  額
（年　間）
L×B'</t>
  </si>
  <si>
    <t xml:space="preserve">     除く。）を入力すること。</t>
  </si>
  <si>
    <t xml:space="preserve"> 　　以外の者が管理する費用や、修学旅行積立金等の実費相当分に該当する費用は除く。）の額（年額）を入力すること。</t>
  </si>
  <si>
    <t>備　考</t>
  </si>
  <si>
    <t>整合性Check！</t>
  </si>
  <si>
    <t>１学年</t>
  </si>
  <si>
    <t>２学年</t>
  </si>
  <si>
    <t>３学年</t>
  </si>
  <si>
    <t>申請額</t>
  </si>
  <si>
    <t>【表間】⇔3-2合計値</t>
  </si>
  <si>
    <t>調整額</t>
  </si>
  <si>
    <t>【表間】⇔3-3合計値</t>
  </si>
  <si>
    <t>学年</t>
  </si>
  <si>
    <t>項目</t>
  </si>
  <si>
    <t>所得区分</t>
  </si>
  <si>
    <t>人</t>
  </si>
  <si>
    <t>円</t>
  </si>
  <si>
    <t>所得
区分</t>
  </si>
  <si>
    <t>円/人</t>
  </si>
  <si>
    <t>学校名</t>
  </si>
  <si>
    <t>学校番号</t>
  </si>
  <si>
    <t>設置者名</t>
  </si>
  <si>
    <t>法人番号</t>
  </si>
  <si>
    <t>合　計</t>
  </si>
  <si>
    <t>（単位：円）</t>
  </si>
  <si>
    <t>【注記】</t>
  </si>
  <si>
    <t>集計キー</t>
  </si>
  <si>
    <t>当該年度において受給する就学支援金の額</t>
  </si>
  <si>
    <t>連番</t>
  </si>
  <si>
    <t>補助事業の目的及び内容</t>
  </si>
  <si>
    <t>補助事業の経費の配分</t>
  </si>
  <si>
    <t>補助事業の経費の使用方法</t>
  </si>
  <si>
    <t>補助事業の完了の予定期日</t>
  </si>
  <si>
    <t>補助事業の効果</t>
  </si>
  <si>
    <t>授業料支援の方法</t>
  </si>
  <si>
    <t>生徒の教育に係る経済的負担を軽減するため。</t>
  </si>
  <si>
    <t>全額を授業料の支援に要する経費に配分する。</t>
  </si>
  <si>
    <t>直接、授業料の支援に要する経費に充当する。</t>
  </si>
  <si>
    <t>生徒の教育に係る経済的負担を軽減し、</t>
  </si>
  <si>
    <t>生徒の就学を支援する。</t>
  </si>
  <si>
    <t>１　還付</t>
  </si>
  <si>
    <t>その方法</t>
  </si>
  <si>
    <t>２　授業料と相殺</t>
  </si>
  <si>
    <t>学期分</t>
  </si>
  <si>
    <t>月分</t>
  </si>
  <si>
    <t>生徒数</t>
  </si>
  <si>
    <t>補助限度額</t>
  </si>
  <si>
    <t>7月</t>
  </si>
  <si>
    <t>11月</t>
  </si>
  <si>
    <t>12月</t>
  </si>
  <si>
    <t>4月</t>
  </si>
  <si>
    <t>5月</t>
  </si>
  <si>
    <t>6月</t>
  </si>
  <si>
    <t>1月</t>
  </si>
  <si>
    <t>2月</t>
  </si>
  <si>
    <t>3月</t>
  </si>
  <si>
    <t>前々年収入</t>
  </si>
  <si>
    <t>前年収入</t>
  </si>
  <si>
    <t>月別所得区分</t>
  </si>
  <si>
    <t>調整後の
補助限度額</t>
  </si>
  <si>
    <t>補助限度額
調整額
(E)-(C)</t>
  </si>
  <si>
    <t>補助限度額調整項目</t>
  </si>
  <si>
    <t>調整が必要な理由</t>
  </si>
  <si>
    <t>①のうち、就学支援金の支給を受ける者</t>
  </si>
  <si>
    <t>補助金申請額</t>
  </si>
  <si>
    <t>第６条第１項に規定する当該減免額</t>
  </si>
  <si>
    <t>集計
キー</t>
  </si>
  <si>
    <t>　(2)　行が不足する場合は、空白行を【コピー】の上、【コピーしたセルの挿入】により行を追加すること。</t>
  </si>
  <si>
    <t>設置者所在地</t>
  </si>
  <si>
    <t>代表者名</t>
  </si>
  <si>
    <t>記</t>
  </si>
  <si>
    <t>年間授業料
[3-1(ｳ)]</t>
  </si>
  <si>
    <t>補助対象
（30単位）</t>
  </si>
  <si>
    <t>施設整備費等</t>
  </si>
  <si>
    <t>ﾌﾗｸﾞ</t>
  </si>
  <si>
    <t>(D)</t>
  </si>
  <si>
    <t>(H)</t>
  </si>
  <si>
    <t>(I)</t>
  </si>
  <si>
    <t>(J)</t>
  </si>
  <si>
    <t>(K)</t>
  </si>
  <si>
    <t>Ａ</t>
  </si>
  <si>
    <t>8月</t>
  </si>
  <si>
    <t>9月</t>
  </si>
  <si>
    <t>10月</t>
  </si>
  <si>
    <t>(C)</t>
  </si>
  <si>
    <t>(E)</t>
  </si>
  <si>
    <t>Ｂ</t>
  </si>
  <si>
    <t>Ｃ</t>
  </si>
  <si>
    <t>(L)</t>
  </si>
  <si>
    <t>(M)</t>
  </si>
  <si>
    <t>(N)</t>
  </si>
  <si>
    <t>(O)</t>
  </si>
  <si>
    <t>(P)</t>
  </si>
  <si>
    <t>(Q)</t>
  </si>
  <si>
    <t>(R)</t>
  </si>
  <si>
    <t>授業料の
実質負担額
(M)-(O)-(P)</t>
  </si>
  <si>
    <t>単 位 数</t>
  </si>
  <si>
    <t>(E)</t>
  </si>
  <si>
    <t>(F)</t>
  </si>
  <si>
    <t>(G)</t>
  </si>
  <si>
    <t>(A)</t>
  </si>
  <si>
    <t>(C)</t>
  </si>
  <si>
    <t>補助対象
単 位 数
（30単位）</t>
  </si>
  <si>
    <t>１単位あたり補助限度額</t>
  </si>
  <si>
    <t>補助限度額
 [(H)×3/12
 +(I)×9/12]</t>
  </si>
  <si>
    <t xml:space="preserve">授  業  料  等 </t>
  </si>
  <si>
    <t>補助限度額
 [H×3/12+
  I×9/12]</t>
  </si>
  <si>
    <t>計
J+K</t>
  </si>
  <si>
    <t>転退学等
調 整 額</t>
  </si>
  <si>
    <t>１単位あたりの補助限度額</t>
  </si>
  <si>
    <t>(S)</t>
  </si>
  <si>
    <r>
      <t xml:space="preserve">授業料の額
</t>
    </r>
    <r>
      <rPr>
        <sz val="8"/>
        <rFont val="ＭＳ ゴシック"/>
        <family val="3"/>
      </rPr>
      <t>[第３条第２項]</t>
    </r>
    <r>
      <rPr>
        <sz val="10"/>
        <rFont val="ＭＳ ゴシック"/>
        <family val="3"/>
      </rPr>
      <t xml:space="preserve">
F≧G＝G
F＜G＝F</t>
    </r>
  </si>
  <si>
    <t>F に係る給付型奨学金又は授業料減免等の額</t>
  </si>
  <si>
    <r>
      <t xml:space="preserve">授 業 料
</t>
    </r>
    <r>
      <rPr>
        <sz val="10"/>
        <rFont val="ＭＳ ゴシック"/>
        <family val="3"/>
      </rPr>
      <t>（1単位</t>
    </r>
    <r>
      <rPr>
        <sz val="9"/>
        <rFont val="ＭＳ ゴシック"/>
        <family val="3"/>
      </rPr>
      <t>あたり</t>
    </r>
    <r>
      <rPr>
        <sz val="10"/>
        <rFont val="ＭＳ ゴシック"/>
        <family val="3"/>
      </rPr>
      <t>）</t>
    </r>
  </si>
  <si>
    <t>所得区分別在籍月数</t>
  </si>
  <si>
    <t>年次</t>
  </si>
  <si>
    <t>１年次計</t>
  </si>
  <si>
    <t>２年次計</t>
  </si>
  <si>
    <t>３年次計</t>
  </si>
  <si>
    <t>４年次計</t>
  </si>
  <si>
    <t>ｱ以外の
経常的納付金</t>
  </si>
  <si>
    <r>
      <t xml:space="preserve">在学生徒数
</t>
    </r>
    <r>
      <rPr>
        <sz val="8"/>
        <rFont val="ＭＳ ゴシック"/>
        <family val="3"/>
      </rPr>
      <t>（基準日時点）</t>
    </r>
  </si>
  <si>
    <t>①</t>
  </si>
  <si>
    <t>②</t>
  </si>
  <si>
    <t>③</t>
  </si>
  <si>
    <t>(ｱ)</t>
  </si>
  <si>
    <t>(ｲ)</t>
  </si>
  <si>
    <t>(ｳ)</t>
  </si>
  <si>
    <t>(ｴ)</t>
  </si>
  <si>
    <t>(ｵ)</t>
  </si>
  <si>
    <t>(F)</t>
  </si>
  <si>
    <t>Ａ</t>
  </si>
  <si>
    <t>Ｂ</t>
  </si>
  <si>
    <t>Ｃ</t>
  </si>
  <si>
    <t>Ａ</t>
  </si>
  <si>
    <t>Ｂ</t>
  </si>
  <si>
    <t>Ｃ</t>
  </si>
  <si>
    <r>
      <t xml:space="preserve">授 業 料
</t>
    </r>
    <r>
      <rPr>
        <sz val="9"/>
        <rFont val="ＭＳ ゴシック"/>
        <family val="3"/>
      </rPr>
      <t>（１単位あたり）</t>
    </r>
  </si>
  <si>
    <t>円/１単位</t>
  </si>
  <si>
    <t>円/年間</t>
  </si>
  <si>
    <t>④</t>
  </si>
  <si>
    <t>単位</t>
  </si>
  <si>
    <t>登　録
単位数</t>
  </si>
  <si>
    <r>
      <t xml:space="preserve">授業料
</t>
    </r>
    <r>
      <rPr>
        <sz val="8"/>
        <rFont val="ＭＳ ゴシック"/>
        <family val="3"/>
      </rPr>
      <t>[第3条第1項]</t>
    </r>
    <r>
      <rPr>
        <sz val="10"/>
        <rFont val="ＭＳ ゴシック"/>
        <family val="3"/>
      </rPr>
      <t xml:space="preserve">
ｱ＋(ｲx3/74)</t>
    </r>
  </si>
  <si>
    <r>
      <t xml:space="preserve">標準授業料の額
</t>
    </r>
    <r>
      <rPr>
        <sz val="8"/>
        <rFont val="ＭＳ ゴシック"/>
        <family val="3"/>
      </rPr>
      <t>[指定要綱
第2条第3号]</t>
    </r>
  </si>
  <si>
    <r>
      <t xml:space="preserve">授業料の額
</t>
    </r>
    <r>
      <rPr>
        <sz val="8"/>
        <rFont val="ＭＳ ゴシック"/>
        <family val="3"/>
      </rPr>
      <t xml:space="preserve">[第3条第2項]
</t>
    </r>
    <r>
      <rPr>
        <sz val="10"/>
        <rFont val="ＭＳ ゴシック"/>
        <family val="3"/>
      </rPr>
      <t>ｳ≧ｴ＝ｴ
ｳ＜ｴ＝ｳ</t>
    </r>
  </si>
  <si>
    <t>　(1)　「在学生徒数①」の欄には、基準日（毎年10月1日。ただし、卒業時期が9月30日である生徒については、卒業年度に限り9月30日）時点に在籍する生徒の数（休学中の生徒を含む。）を入力すること。</t>
  </si>
  <si>
    <t>　(4)　「授業料(ｱ)」の欄には、学則等で"授業料"として表示する費用の額（年額）を入力すること。</t>
  </si>
  <si>
    <t>　(5)　「ｱ以外の経常的納付金(ｲ)」の欄には、学則等で"授業料"として表示するもののほか、施設整備費、教育充実費その他名目の如何にかかわらず、原則、在籍する全ての生徒が一律に納付すべき費用（ＰＴＡ会費等の設置者</t>
  </si>
  <si>
    <t>　(1)　行が不足する場合は、空白行を【コピー】の上、【コピーしたセルの挿入】により行を追加すること。</t>
  </si>
  <si>
    <t>→</t>
  </si>
  <si>
    <t>-</t>
  </si>
  <si>
    <t>合　　計</t>
  </si>
  <si>
    <r>
      <t>授  業  料</t>
    </r>
    <r>
      <rPr>
        <sz val="10"/>
        <rFont val="ＭＳ ゴシック"/>
        <family val="3"/>
      </rPr>
      <t xml:space="preserve">
[要綱第３条①]
(C+D)×E/12</t>
    </r>
  </si>
  <si>
    <t>生徒
在籍
期間</t>
  </si>
  <si>
    <t>　(3)　「単位数」の「登録単位数(B')」欄には、生徒の年間登録単位数を入力すること。なお、このとき、「補助対象（30単位)(B)」欄は、年間の補助対象単位数である30単位を上限に自動計算。</t>
  </si>
  <si>
    <t>③の生徒の
登録単位数</t>
  </si>
  <si>
    <t>合　                   計</t>
  </si>
  <si>
    <t>-</t>
  </si>
  <si>
    <t>　(11) 「Fに係る給付型奨学金又は授業料減免等の額(0)」の欄には、生徒が納めるべき「授業料(F)」に対し、給付型奨学金又は授業料の減免等を実施している場合はその額を入力すること。なお、月割計算等により円未満に端数が生じる場合は、円未満を切り上げること。</t>
  </si>
  <si>
    <t>　(12) 「当該年度において受給する就学支援金の額(Q」の欄には、当該年度において、生徒が受給する「就学支援金」の額を入力すること。</t>
  </si>
  <si>
    <t>　(13) 「備考」の欄には、転退学や休学等による就学支援金の受給状況の変化や、保護者等の離婚等による所得区分の変位がある場合には、その内容（理由及び日付など）を簡潔に入力すること。</t>
  </si>
  <si>
    <t>所得割額
前々年収入</t>
  </si>
  <si>
    <t>就学支援金認定番号</t>
  </si>
  <si>
    <t>　(2)　「就学支援金認定番号」の欄には、「高等学校等就学支援金受給資格認定番号」を入力すること。</t>
  </si>
  <si>
    <t>授業料支援補助金</t>
  </si>
  <si>
    <t>就学支援金
認定番号</t>
  </si>
  <si>
    <t>就学支援金
認定番号</t>
  </si>
  <si>
    <t>所得割額
前年収入</t>
  </si>
  <si>
    <t>-</t>
  </si>
  <si>
    <t>Ｄ</t>
  </si>
  <si>
    <t>４学年</t>
  </si>
  <si>
    <t>　(6)　1単位あたりの補助限度額の前々年収入の「所得割額」の欄は、保護者等の"前々年収入に基づく"市町村民税所得割額の合計を入力すること。</t>
  </si>
  <si>
    <t>　(7)　1単位あたりの補助限度額の前年度収入の「所得割額」の欄は、保護者等の"前年度収入に基づく"市町村民税所得割額の合計を入力すること。</t>
  </si>
  <si>
    <t>Ｄ</t>
  </si>
  <si>
    <t>　(3)　「月別所得区分」については、保護者等の前々年又は前年収入に基づくランク（Ａ～Ｄ）が自動的に表示されるので、転退学や休学、学科の修了（卒業）、受給期間の満了により、就学支援金の受給をしない月がある場合は、該当の月に表示される「所得割」セルを削除すること。</t>
  </si>
  <si>
    <t>前年度</t>
  </si>
  <si>
    <t>Ｄ</t>
  </si>
  <si>
    <t>Ｄ</t>
  </si>
  <si>
    <t>担当部課名</t>
  </si>
  <si>
    <t>担当者</t>
  </si>
  <si>
    <t>電話番号</t>
  </si>
  <si>
    <t>前々年度</t>
  </si>
  <si>
    <t>補助金申請額
(R)≧(L)=(L)
(R)＜(L)=(R)</t>
  </si>
  <si>
    <t>補助金申請額
(R)≧(L)=(L)
(R)＜(L)=(M)</t>
  </si>
  <si>
    <t>Ｄ</t>
  </si>
  <si>
    <t>補助限度額
 [(H)×3/12
 +(I)×9/12]</t>
  </si>
  <si>
    <t>Ａ</t>
  </si>
  <si>
    <t>Ｂ</t>
  </si>
  <si>
    <t>Ｃ</t>
  </si>
  <si>
    <t>Ｄ</t>
  </si>
  <si>
    <t>8月</t>
  </si>
  <si>
    <t>9月</t>
  </si>
  <si>
    <t>10月</t>
  </si>
  <si>
    <t>ﾌﾗｸﾞ</t>
  </si>
  <si>
    <t>(H)</t>
  </si>
  <si>
    <t>(I)</t>
  </si>
  <si>
    <t>(C)</t>
  </si>
  <si>
    <t>(E)</t>
  </si>
  <si>
    <t>(D)</t>
  </si>
  <si>
    <t>-</t>
  </si>
  <si>
    <t/>
  </si>
  <si>
    <t>Ｃ１</t>
  </si>
  <si>
    <t>Ｃ２</t>
  </si>
  <si>
    <t>Ｃ１</t>
  </si>
  <si>
    <t>Ｃ２</t>
  </si>
  <si>
    <t>　(6)　学科・コース等によって「授業料（１単位あたり）(ｱ)」又は「ｱ以外の経常的納付金(ｲ)」の額が異なる場合は、額ごとに入力すること。</t>
  </si>
  <si>
    <t>①のうち、大阪府内に住所を有する者</t>
  </si>
  <si>
    <t>(H)</t>
  </si>
  <si>
    <t>(I)</t>
  </si>
  <si>
    <t>(F)に係る給付型奨学金又は授業料減免等の額</t>
  </si>
  <si>
    <t>　</t>
  </si>
  <si>
    <t>印</t>
  </si>
  <si>
    <t>　大阪府教育長　様</t>
  </si>
  <si>
    <r>
      <t>←</t>
    </r>
    <r>
      <rPr>
        <sz val="14"/>
        <color indexed="10"/>
        <rFont val="ＭＳ ゴシック"/>
        <family val="3"/>
      </rPr>
      <t>申請日を入力してください。</t>
    </r>
  </si>
  <si>
    <t>　(1)　２以上の高等学校等を設置する設置者にあっては学校別に作成すること。</t>
  </si>
  <si>
    <t>［通信制課程]（旧々制度）（就学支援金旧制度）　※平成２２年度以前入学の者のみ記入すること</t>
  </si>
  <si>
    <t>［通信制課程]（旧々制度）（就学支援金旧制度）　※平成２２年度以前入学の者のみ記入すること</t>
  </si>
  <si>
    <t>［通信制課程]（旧々制度）（就学支援金新制度）　※平成２２年度以前入学の者のみ記入すること</t>
  </si>
  <si>
    <t>［通信制課程]（旧制度）（就学支援金旧制度）　※平成２３年度～平成２５年度入学の者のみ記入すること</t>
  </si>
  <si>
    <t>［通信制課程]（旧制度）（就学支援金新制度）　※平成２６年度～平成２７年度入学の者のみ記入すること</t>
  </si>
  <si>
    <t>［通信制課程]</t>
  </si>
  <si>
    <t>［通信制課程]</t>
  </si>
  <si>
    <t>　(2)　「大阪府内に住所を有する者②」の欄には、「在学生徒数①」のうち、生徒及びその保護者等が大阪府内に住所を有する生徒の数を入力すること。</t>
  </si>
  <si>
    <t>　(3)　「就学支援金の支給を受ける者③」の欄には、「在学生徒数①」のうち、当該年度において就学支援金の支給を受ける、又は、就学支援金を受けた生徒の数（当該年度１年間、継続して就学支援金の支給を停止している者は</t>
  </si>
  <si>
    <t>　(9)　「授業料(F)」の欄には、当該生徒に係る第３条第１項に規定する授業料の額を入力すること。なお、当該生徒が転退学や休学等をする場合や所得区分「D」に該当する場合は、当該月数分について月割計算（円未満に端数が生じる場合は、円未満切り捨て）により減額調整すること。(※自動計算）</t>
  </si>
  <si>
    <t>　(10)　「標準授業料の額(G)」の欄には、指定要綱第２条第３項に規定する標準授業料の年額（30単位を上限）を入力すること。なお、当該生徒が転退学や休学等をする場合や所得区分「D」に該当する場合は、当該月数分について月割計算（円未満に端数が生じる場合は、円未満切り捨て）により減額調整すること。（※自動計算）</t>
  </si>
  <si>
    <t>［通信制課程]（新制度）（就学支援金新制度）　※平成２８年度以降入学の者のみ記入すること</t>
  </si>
  <si>
    <t>前々年度</t>
  </si>
  <si>
    <t>前年度</t>
  </si>
  <si>
    <t>授業料支援補助金交付要綱第１１条第１項の規定に基づき下記のとおり</t>
  </si>
  <si>
    <t>変更してくださるよう申請します。</t>
  </si>
  <si>
    <t>大阪府補助金交付規則第６条第１項第２号及び大阪府私立高等学校等</t>
  </si>
  <si>
    <t>　１　既交付決定額　　　　　　　　　　　　　　　</t>
  </si>
  <si>
    <t>　２　変更交付申請額　　　　　　　　　　　　　　　</t>
  </si>
  <si>
    <t>　３　差額（２－１）</t>
  </si>
  <si>
    <t>　４　変更理由・内容</t>
  </si>
  <si>
    <t>様式第３号</t>
  </si>
  <si>
    <t>　　　　　　　　補助金変更交付申請書</t>
  </si>
  <si>
    <t>５　総括表</t>
  </si>
  <si>
    <t>６－１　授業料支援補助対象経費　集計表</t>
  </si>
  <si>
    <t>交付決定額（F）</t>
  </si>
  <si>
    <t>変更後（G）</t>
  </si>
  <si>
    <t>差引（G）－（F）</t>
  </si>
  <si>
    <t>６－２　授業料支援補助対象経費算定表</t>
  </si>
  <si>
    <t>　(4)　授業料等における「施設整備費等(D)」の欄には、「６－１　授業料支援補助対象経費　集計表」の「ア以外の経常的納付金（ｲ）」の額（年間）を入力すること。</t>
  </si>
  <si>
    <t>　(8)　転退学や休学等による就学支援金の受給状況の変化や、保護者等の離婚等による所得区分の変更に伴い、補助限度額の調整が必要な生徒は、「６－３　補助限度額調整額内訳」を作成すること。</t>
  </si>
  <si>
    <t>６－３　補助限度額調整額内訳</t>
  </si>
  <si>
    <t>６－２　授業料支援補助対象経費算定表</t>
  </si>
  <si>
    <t>６－２　授業料支援補助対象経費算定表</t>
  </si>
  <si>
    <t>　(1)　「就学支援金認定番号」の欄には、「６－２　授業料支援補助対象経費算定表」の認定番号を入力すること。</t>
  </si>
  <si>
    <t>　(5)　授業料等における「生徒在籍期間(E)」の欄には、平成29年度（H29.4.1-H30.3.31）の生徒の在籍期間（見込み）を入力すること。</t>
  </si>
  <si>
    <t>この行は非表示</t>
  </si>
  <si>
    <t>就学支援金対象単位数</t>
  </si>
  <si>
    <t>この行は非表示</t>
  </si>
  <si>
    <r>
      <t xml:space="preserve">施設整備費等
</t>
    </r>
    <r>
      <rPr>
        <sz val="11"/>
        <color indexed="10"/>
        <rFont val="ＭＳ ゴシック"/>
        <family val="3"/>
      </rPr>
      <t>(年額)</t>
    </r>
  </si>
  <si>
    <t>授業料支援補助金対象期間</t>
  </si>
  <si>
    <t>在籍期間始期</t>
  </si>
  <si>
    <t>学び直し支援金支給額</t>
  </si>
  <si>
    <t>学び直し支援金授業料超過額</t>
  </si>
  <si>
    <t>学び直し支援金対象授業料</t>
  </si>
  <si>
    <t>この行は
非表示</t>
  </si>
  <si>
    <t>就学支援金
対象単位数</t>
  </si>
  <si>
    <t>この行は
非表示</t>
  </si>
  <si>
    <t>在籍期間
始期</t>
  </si>
  <si>
    <t>学び直し支援金授業料超過額</t>
  </si>
  <si>
    <t xml:space="preserve">当該年度において受給する就学支援金の額
</t>
  </si>
  <si>
    <t>(Q')</t>
  </si>
  <si>
    <t>学び直し支援金支給額</t>
  </si>
  <si>
    <t>　　　　　　</t>
  </si>
  <si>
    <t>平成３１年　月　日</t>
  </si>
  <si>
    <t>　　　　　　　　平成３０年度大阪府私立高等学校等授業料支援</t>
  </si>
  <si>
    <t xml:space="preserve"> 平成３０年１１月２２日付け大阪府指令教私第２９９１号で交付の決定を受けた</t>
  </si>
  <si>
    <t>平成３０年度大阪府私立高等学校等授業料支援補助金について</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</si>
</sst>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lt;=999]000;[&lt;=9999]000\-00;000\-0000"/>
    <numFmt numFmtId="179" formatCode="0_ "/>
    <numFmt numFmtId="180" formatCode="#,##0_ ;[Red]\-#,##0\ "/>
    <numFmt numFmtId="181" formatCode="##&quot;年&quot;"/>
    <numFmt numFmtId="182" formatCode="&quot;Yes&quot;;&quot;Yes&quot;;&quot;No&quot;"/>
    <numFmt numFmtId="183" formatCode="&quot;True&quot;;&quot;True&quot;;&quot;False&quot;"/>
    <numFmt numFmtId="184" formatCode="&quot;On&quot;;&quot;On&quot;;&quot;Off&quot;"/>
    <numFmt numFmtId="185" formatCode="#,###_ "/>
    <numFmt numFmtId="186" formatCode="#,##0&quot;円&quot;;[Red]\-#,##0&quot;円&quot;"/>
    <numFmt numFmtId="187" formatCode="&quot;¥&quot;#,##0&quot;円&quot;;[Red]\-#,##0&quot;円&quot;"/>
    <numFmt numFmtId="188" formatCode="0_);[Red]\(0\)"/>
    <numFmt numFmtId="189" formatCode="0000"/>
    <numFmt numFmtId="190" formatCode="[$€-2]\ #,##0.00_);[Red]\([$€-2]\ #,##0.00\)"/>
    <numFmt numFmtId="191" formatCode="#,##0_);[Red]\(#,##0\)"/>
    <numFmt numFmtId="192" formatCode="#,##0&quot;月&quot;"/>
    <numFmt numFmtId="193" formatCode="##&quot;年次&quot;"/>
    <numFmt numFmtId="194" formatCode="&quot;¥&quot;#,##0_);[Red]\(&quot;¥&quot;#,##0\)"/>
    <numFmt numFmtId="195" formatCode="##&quot;年次以上&quot;"/>
    <numFmt numFmtId="196" formatCode="#,##0.0_ "/>
    <numFmt numFmtId="197" formatCode="#,##0.00_ "/>
    <numFmt numFmtId="198" formatCode="&quot;金&quot;#,##0"/>
    <numFmt numFmtId="199" formatCode="#,##0.0;[Red]\-#,##0.0"/>
  </numFmts>
  <fonts count="87">
    <font>
      <sz val="11"/>
      <name val="ＭＳ Ｐゴシック"/>
      <family val="3"/>
    </font>
    <font>
      <sz val="6"/>
      <name val="ＭＳ Ｐゴシック"/>
      <family val="3"/>
    </font>
    <font>
      <sz val="8"/>
      <name val="ＭＳ 明朝"/>
      <family val="1"/>
    </font>
    <font>
      <b/>
      <sz val="14"/>
      <name val="ＭＳ 明朝"/>
      <family val="1"/>
    </font>
    <font>
      <sz val="14"/>
      <name val="ＭＳ 明朝"/>
      <family val="1"/>
    </font>
    <font>
      <sz val="12"/>
      <color indexed="12"/>
      <name val="ＭＳ ゴシック"/>
      <family val="3"/>
    </font>
    <font>
      <sz val="10"/>
      <name val="ＭＳ Ｐゴシック"/>
      <family val="3"/>
    </font>
    <font>
      <u val="single"/>
      <sz val="10"/>
      <color indexed="12"/>
      <name val="ＭＳ Ｐゴシック"/>
      <family val="3"/>
    </font>
    <font>
      <u val="single"/>
      <sz val="10"/>
      <color indexed="36"/>
      <name val="ＭＳ Ｐゴシック"/>
      <family val="3"/>
    </font>
    <font>
      <sz val="12"/>
      <name val="ＭＳ ゴシック"/>
      <family val="3"/>
    </font>
    <font>
      <sz val="10"/>
      <name val="ＭＳ ゴシック"/>
      <family val="3"/>
    </font>
    <font>
      <sz val="16"/>
      <name val="ＭＳ ゴシック"/>
      <family val="3"/>
    </font>
    <font>
      <b/>
      <sz val="12"/>
      <name val="ＭＳ ゴシック"/>
      <family val="3"/>
    </font>
    <font>
      <b/>
      <sz val="14"/>
      <name val="ＭＳ ゴシック"/>
      <family val="3"/>
    </font>
    <font>
      <sz val="11"/>
      <name val="ＭＳ ゴシック"/>
      <family val="3"/>
    </font>
    <font>
      <sz val="11"/>
      <color indexed="12"/>
      <name val="ＭＳ ゴシック"/>
      <family val="3"/>
    </font>
    <font>
      <sz val="8"/>
      <name val="ＭＳ ゴシック"/>
      <family val="3"/>
    </font>
    <font>
      <sz val="10"/>
      <color indexed="9"/>
      <name val="ＭＳ ゴシック"/>
      <family val="3"/>
    </font>
    <font>
      <sz val="10"/>
      <color indexed="12"/>
      <name val="ＭＳ ゴシック"/>
      <family val="3"/>
    </font>
    <font>
      <b/>
      <sz val="12"/>
      <color indexed="18"/>
      <name val="ＭＳ ゴシック"/>
      <family val="3"/>
    </font>
    <font>
      <b/>
      <sz val="12"/>
      <color indexed="10"/>
      <name val="ＭＳ ゴシック"/>
      <family val="3"/>
    </font>
    <font>
      <sz val="8"/>
      <color indexed="12"/>
      <name val="ＭＳ ゴシック"/>
      <family val="3"/>
    </font>
    <font>
      <sz val="9"/>
      <name val="ＭＳ ゴシック"/>
      <family val="3"/>
    </font>
    <font>
      <sz val="14"/>
      <name val="ＭＳ ゴシック"/>
      <family val="3"/>
    </font>
    <font>
      <sz val="9"/>
      <color indexed="12"/>
      <name val="ＭＳ ゴシック"/>
      <family val="3"/>
    </font>
    <font>
      <sz val="9"/>
      <name val="ＭＳ 明朝"/>
      <family val="1"/>
    </font>
    <font>
      <b/>
      <sz val="16"/>
      <name val="ＭＳ ゴシック"/>
      <family val="3"/>
    </font>
    <font>
      <sz val="18"/>
      <name val="ＭＳ ゴシック"/>
      <family val="3"/>
    </font>
    <font>
      <sz val="12"/>
      <color indexed="10"/>
      <name val="ＭＳ ゴシック"/>
      <family val="3"/>
    </font>
    <font>
      <b/>
      <sz val="18"/>
      <name val="ＭＳ ゴシック"/>
      <family val="3"/>
    </font>
    <font>
      <b/>
      <sz val="20"/>
      <name val="ＭＳ ゴシック"/>
      <family val="3"/>
    </font>
    <font>
      <sz val="12"/>
      <name val="ＭＳ Ｐゴシック"/>
      <family val="3"/>
    </font>
    <font>
      <sz val="8"/>
      <name val="ＭＳ Ｐゴシック"/>
      <family val="3"/>
    </font>
    <font>
      <sz val="11"/>
      <name val="ＭＳ 明朝"/>
      <family val="1"/>
    </font>
    <font>
      <sz val="10"/>
      <name val="ＭＳ 明朝"/>
      <family val="1"/>
    </font>
    <font>
      <sz val="14"/>
      <color indexed="10"/>
      <name val="ＭＳ ゴシック"/>
      <family val="3"/>
    </font>
    <font>
      <sz val="12"/>
      <name val="ＭＳ 明朝"/>
      <family val="1"/>
    </font>
    <font>
      <sz val="16"/>
      <color indexed="12"/>
      <name val="ＭＳ 明朝"/>
      <family val="1"/>
    </font>
    <font>
      <b/>
      <sz val="16"/>
      <color indexed="10"/>
      <name val="ＭＳ Ｐゴシック"/>
      <family val="3"/>
    </font>
    <font>
      <sz val="10"/>
      <color indexed="8"/>
      <name val="ＭＳ 明朝"/>
      <family val="1"/>
    </font>
    <font>
      <sz val="11"/>
      <color indexed="10"/>
      <name val="ＭＳ ゴシック"/>
      <family val="3"/>
    </font>
    <font>
      <b/>
      <sz val="9"/>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sz val="10"/>
      <color indexed="10"/>
      <name val="ＭＳ ゴシック"/>
      <family val="3"/>
    </font>
    <font>
      <b/>
      <sz val="10"/>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FF"/>
      <name val="ＭＳ ゴシック"/>
      <family val="3"/>
    </font>
    <font>
      <b/>
      <sz val="11"/>
      <color rgb="FFFF0000"/>
      <name val="ＭＳ ゴシック"/>
      <family val="3"/>
    </font>
    <font>
      <sz val="11"/>
      <color rgb="FFFF0000"/>
      <name val="ＭＳ ゴシック"/>
      <family val="3"/>
    </font>
    <font>
      <sz val="10"/>
      <color rgb="FFFF0000"/>
      <name val="ＭＳ ゴシック"/>
      <family val="3"/>
    </font>
    <font>
      <b/>
      <sz val="10"/>
      <color rgb="FFFF0000"/>
      <name val="ＭＳ ゴシック"/>
      <family val="3"/>
    </font>
    <font>
      <b/>
      <sz val="8"/>
      <name val="ＭＳ Ｐゴシック"/>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rgb="FFFFFF99"/>
        <bgColor indexed="64"/>
      </patternFill>
    </fill>
    <fill>
      <patternFill patternType="solid">
        <fgColor theme="0"/>
        <bgColor indexed="64"/>
      </patternFill>
    </fill>
    <fill>
      <patternFill patternType="solid">
        <fgColor rgb="FFFF99FF"/>
        <bgColor indexed="64"/>
      </patternFill>
    </fill>
    <fill>
      <patternFill patternType="solid">
        <fgColor rgb="FFFF99CC"/>
        <bgColor indexed="64"/>
      </patternFill>
    </fill>
    <fill>
      <patternFill patternType="solid">
        <fgColor rgb="FFFFFF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medium"/>
      <right style="medium"/>
      <top style="medium"/>
      <bottom style="medium"/>
    </border>
    <border>
      <left style="medium"/>
      <right style="thin"/>
      <top>
        <color indexed="63"/>
      </top>
      <bottom style="thin"/>
    </border>
    <border>
      <left style="medium"/>
      <right style="thin"/>
      <top style="thin"/>
      <bottom>
        <color indexed="63"/>
      </bottom>
    </border>
    <border>
      <left style="medium"/>
      <right style="thin"/>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thick">
        <color indexed="18"/>
      </left>
      <right style="thick">
        <color indexed="18"/>
      </right>
      <top style="thick">
        <color indexed="18"/>
      </top>
      <bottom style="thick">
        <color indexed="18"/>
      </bottom>
    </border>
    <border>
      <left>
        <color indexed="63"/>
      </left>
      <right>
        <color indexed="63"/>
      </right>
      <top style="thick">
        <color indexed="18"/>
      </top>
      <bottom>
        <color indexed="63"/>
      </bottom>
    </border>
    <border>
      <left style="thin"/>
      <right style="medium"/>
      <top>
        <color indexed="63"/>
      </top>
      <bottom style="medium"/>
    </border>
    <border>
      <left style="medium"/>
      <right>
        <color indexed="63"/>
      </right>
      <top style="medium"/>
      <bottom style="thin"/>
    </border>
    <border>
      <left style="medium"/>
      <right style="medium"/>
      <top style="medium"/>
      <bottom style="thin"/>
    </border>
    <border>
      <left style="thin"/>
      <right style="thin"/>
      <top style="medium"/>
      <bottom style="thin"/>
    </border>
    <border>
      <left style="medium"/>
      <right>
        <color indexed="63"/>
      </right>
      <top>
        <color indexed="63"/>
      </top>
      <bottom style="thin"/>
    </border>
    <border>
      <left style="thin"/>
      <right style="thin"/>
      <top style="thin"/>
      <bottom style="thin"/>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style="thin"/>
      <right style="medium"/>
      <top style="medium"/>
      <bottom style="thin"/>
    </border>
    <border>
      <left style="thin"/>
      <right style="medium"/>
      <top>
        <color indexed="63"/>
      </top>
      <bottom style="thin"/>
    </border>
    <border>
      <left style="thin"/>
      <right style="medium"/>
      <top style="thin"/>
      <bottom style="thin"/>
    </border>
    <border>
      <left>
        <color indexed="63"/>
      </left>
      <right style="medium"/>
      <top style="medium"/>
      <bottom style="medium"/>
    </border>
    <border>
      <left style="thin"/>
      <right style="thin"/>
      <top>
        <color indexed="63"/>
      </top>
      <bottom style="medium"/>
    </border>
    <border>
      <left style="thin"/>
      <right style="thin"/>
      <top style="medium"/>
      <bottom style="medium"/>
    </border>
    <border>
      <left>
        <color indexed="63"/>
      </left>
      <right>
        <color indexed="63"/>
      </right>
      <top style="medium"/>
      <bottom style="medium"/>
    </border>
    <border>
      <left style="medium"/>
      <right style="thin"/>
      <top>
        <color indexed="63"/>
      </top>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color indexed="63"/>
      </right>
      <top style="medium"/>
      <bottom>
        <color indexed="63"/>
      </bottom>
    </border>
    <border>
      <left style="medium"/>
      <right style="medium"/>
      <top style="thin"/>
      <bottom style="medium"/>
    </border>
    <border>
      <left style="medium"/>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style="thin"/>
      <top style="medium"/>
      <bottom>
        <color indexed="63"/>
      </bottom>
    </border>
    <border>
      <left style="thin"/>
      <right style="thin"/>
      <top style="thin"/>
      <bottom style="medium"/>
    </border>
    <border>
      <left style="thin"/>
      <right style="medium"/>
      <top style="medium"/>
      <bottom>
        <color indexed="63"/>
      </bottom>
    </border>
    <border>
      <left style="thin"/>
      <right style="thin"/>
      <top style="medium"/>
      <bottom>
        <color indexed="63"/>
      </bottom>
    </border>
    <border>
      <left style="medium"/>
      <right>
        <color indexed="63"/>
      </right>
      <top style="thin"/>
      <bottom style="medium"/>
    </border>
    <border>
      <left>
        <color indexed="63"/>
      </left>
      <right>
        <color indexed="63"/>
      </right>
      <top style="thin"/>
      <bottom style="medium"/>
    </border>
    <border>
      <left style="medium"/>
      <right style="thin"/>
      <top style="thin"/>
      <bottom style="medium"/>
    </border>
    <border>
      <left style="medium"/>
      <right style="thin"/>
      <top style="medium"/>
      <bottom style="medium"/>
    </border>
    <border>
      <left>
        <color indexed="63"/>
      </left>
      <right>
        <color indexed="63"/>
      </right>
      <top style="thick">
        <color indexed="18"/>
      </top>
      <bottom style="thick">
        <color indexed="18"/>
      </bottom>
    </border>
    <border>
      <left style="thin"/>
      <right>
        <color indexed="63"/>
      </right>
      <top style="thin"/>
      <bottom>
        <color indexed="63"/>
      </bottom>
    </border>
    <border>
      <left style="thin"/>
      <right style="medium"/>
      <top style="thin"/>
      <bottom>
        <color indexed="63"/>
      </bottom>
    </border>
    <border>
      <left>
        <color indexed="63"/>
      </left>
      <right style="medium"/>
      <top style="medium"/>
      <bottom style="thin"/>
    </border>
    <border>
      <left style="thin"/>
      <right style="medium"/>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diagonalUp="1">
      <left style="medium"/>
      <right style="thin"/>
      <top style="medium"/>
      <bottom style="medium"/>
      <diagonal style="thin"/>
    </border>
    <border diagonalUp="1">
      <left style="thin"/>
      <right style="thin"/>
      <top style="medium"/>
      <bottom style="medium"/>
      <diagonal style="thin"/>
    </border>
    <border diagonalUp="1">
      <left>
        <color indexed="63"/>
      </left>
      <right style="medium"/>
      <top style="medium"/>
      <bottom style="medium"/>
      <diagonal style="thin"/>
    </border>
    <border diagonalUp="1">
      <left style="medium"/>
      <right style="medium"/>
      <top style="medium"/>
      <bottom style="medium"/>
      <diagonal style="thin"/>
    </border>
    <border>
      <left style="medium"/>
      <right style="medium"/>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1" applyNumberFormat="0" applyAlignment="0" applyProtection="0"/>
    <xf numFmtId="0" fontId="68"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69" fillId="0" borderId="3" applyNumberFormat="0" applyFill="0" applyAlignment="0" applyProtection="0"/>
    <xf numFmtId="0" fontId="70" fillId="28" borderId="0" applyNumberFormat="0" applyBorder="0" applyAlignment="0" applyProtection="0"/>
    <xf numFmtId="0" fontId="71" fillId="29"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9"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0" borderId="4" applyNumberFormat="0" applyAlignment="0" applyProtection="0"/>
    <xf numFmtId="0" fontId="0" fillId="0" borderId="0">
      <alignment vertical="center"/>
      <protection/>
    </xf>
    <xf numFmtId="0" fontId="64" fillId="0" borderId="0">
      <alignment vertical="center"/>
      <protection/>
    </xf>
    <xf numFmtId="0" fontId="6"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xf numFmtId="0" fontId="80" fillId="31" borderId="0" applyNumberFormat="0" applyBorder="0" applyAlignment="0" applyProtection="0"/>
  </cellStyleXfs>
  <cellXfs count="113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horizontal="distributed" vertical="center" indent="1"/>
    </xf>
    <xf numFmtId="0" fontId="4" fillId="0" borderId="16"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0" xfId="0" applyFont="1" applyBorder="1" applyAlignment="1">
      <alignment vertical="top" wrapText="1"/>
    </xf>
    <xf numFmtId="0" fontId="4" fillId="0" borderId="0" xfId="0" applyFont="1" applyBorder="1" applyAlignment="1">
      <alignment horizontal="center" vertical="top" wrapText="1"/>
    </xf>
    <xf numFmtId="3" fontId="5" fillId="0" borderId="18" xfId="64" applyNumberFormat="1" applyFont="1" applyFill="1" applyBorder="1" applyAlignment="1">
      <alignment horizontal="right" vertical="center"/>
      <protection/>
    </xf>
    <xf numFmtId="3" fontId="5" fillId="0" borderId="19" xfId="64" applyNumberFormat="1" applyFont="1" applyFill="1" applyBorder="1" applyAlignment="1">
      <alignment horizontal="right" vertical="center"/>
      <protection/>
    </xf>
    <xf numFmtId="0" fontId="2" fillId="0" borderId="0" xfId="0" applyFont="1" applyAlignment="1">
      <alignment vertical="center"/>
    </xf>
    <xf numFmtId="0" fontId="4" fillId="32" borderId="20" xfId="0" applyFont="1" applyFill="1" applyBorder="1" applyAlignment="1" applyProtection="1">
      <alignment vertical="center"/>
      <protection locked="0"/>
    </xf>
    <xf numFmtId="0" fontId="4" fillId="0" borderId="10" xfId="0" applyFont="1" applyFill="1" applyBorder="1" applyAlignment="1">
      <alignment horizontal="center" vertical="center"/>
    </xf>
    <xf numFmtId="0" fontId="4" fillId="0" borderId="10"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lignment vertical="center"/>
    </xf>
    <xf numFmtId="3" fontId="5" fillId="0" borderId="21" xfId="64" applyNumberFormat="1" applyFont="1" applyFill="1" applyBorder="1" applyAlignment="1">
      <alignment horizontal="right" vertical="center"/>
      <protection/>
    </xf>
    <xf numFmtId="0" fontId="9" fillId="0" borderId="0" xfId="65" applyFont="1" applyAlignment="1">
      <alignment horizontal="center"/>
      <protection/>
    </xf>
    <xf numFmtId="0" fontId="11" fillId="0" borderId="0" xfId="65" applyFont="1" applyAlignment="1">
      <alignment/>
      <protection/>
    </xf>
    <xf numFmtId="3" fontId="5" fillId="0" borderId="22" xfId="64" applyNumberFormat="1" applyFont="1" applyFill="1" applyBorder="1" applyAlignment="1">
      <alignment horizontal="right" vertical="center"/>
      <protection/>
    </xf>
    <xf numFmtId="0" fontId="12"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5" fillId="0" borderId="0" xfId="0" applyFont="1" applyAlignment="1">
      <alignment horizontal="center" vertical="center"/>
    </xf>
    <xf numFmtId="38" fontId="9" fillId="0" borderId="0" xfId="49" applyFont="1" applyAlignment="1">
      <alignment vertical="center"/>
    </xf>
    <xf numFmtId="0" fontId="9" fillId="0" borderId="0" xfId="0" applyFont="1" applyAlignment="1">
      <alignment horizontal="right" vertical="center"/>
    </xf>
    <xf numFmtId="0" fontId="10" fillId="0" borderId="0" xfId="0" applyFont="1" applyAlignment="1">
      <alignment vertical="center"/>
    </xf>
    <xf numFmtId="0" fontId="14" fillId="0" borderId="23" xfId="0" applyFont="1" applyBorder="1" applyAlignment="1" quotePrefix="1">
      <alignment horizontal="center" vertical="center" wrapText="1"/>
    </xf>
    <xf numFmtId="0" fontId="10"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14" fillId="0" borderId="14" xfId="0" applyFont="1" applyBorder="1" applyAlignment="1">
      <alignment horizontal="center" vertical="center" wrapText="1"/>
    </xf>
    <xf numFmtId="0" fontId="10" fillId="0" borderId="15" xfId="0" applyFont="1" applyBorder="1" applyAlignment="1">
      <alignment horizontal="center" vertical="center"/>
    </xf>
    <xf numFmtId="177" fontId="9" fillId="32" borderId="25" xfId="0" applyNumberFormat="1" applyFont="1" applyFill="1" applyBorder="1" applyAlignment="1" applyProtection="1">
      <alignment horizontal="right" vertical="center"/>
      <protection locked="0"/>
    </xf>
    <xf numFmtId="177" fontId="9" fillId="32" borderId="16" xfId="0" applyNumberFormat="1" applyFont="1" applyFill="1" applyBorder="1" applyAlignment="1" applyProtection="1">
      <alignment horizontal="right" vertical="center"/>
      <protection locked="0"/>
    </xf>
    <xf numFmtId="0" fontId="10" fillId="0" borderId="0" xfId="0" applyFont="1" applyAlignment="1">
      <alignment vertical="center"/>
    </xf>
    <xf numFmtId="0" fontId="18" fillId="0" borderId="26" xfId="0" applyFont="1" applyBorder="1" applyAlignment="1">
      <alignment horizontal="center" vertical="center"/>
    </xf>
    <xf numFmtId="0" fontId="19" fillId="0" borderId="0" xfId="0" applyFont="1" applyAlignment="1">
      <alignment vertical="center"/>
    </xf>
    <xf numFmtId="0" fontId="9" fillId="32" borderId="27" xfId="0" applyFont="1" applyFill="1" applyBorder="1" applyAlignment="1" applyProtection="1">
      <alignment horizontal="center" vertical="center"/>
      <protection locked="0"/>
    </xf>
    <xf numFmtId="177" fontId="9" fillId="32" borderId="27" xfId="0" applyNumberFormat="1" applyFont="1" applyFill="1" applyBorder="1" applyAlignment="1" applyProtection="1">
      <alignment horizontal="right" vertical="center"/>
      <protection locked="0"/>
    </xf>
    <xf numFmtId="177" fontId="9" fillId="32" borderId="28" xfId="0" applyNumberFormat="1" applyFont="1" applyFill="1" applyBorder="1" applyAlignment="1" applyProtection="1">
      <alignment horizontal="right" vertical="center"/>
      <protection locked="0"/>
    </xf>
    <xf numFmtId="177" fontId="5" fillId="0" borderId="27" xfId="0" applyNumberFormat="1" applyFont="1" applyFill="1" applyBorder="1" applyAlignment="1">
      <alignment vertical="center"/>
    </xf>
    <xf numFmtId="0" fontId="18" fillId="0" borderId="27"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177" fontId="5" fillId="0" borderId="20" xfId="0" applyNumberFormat="1" applyFont="1" applyFill="1" applyBorder="1" applyAlignment="1">
      <alignment vertical="center" shrinkToFit="1"/>
    </xf>
    <xf numFmtId="176" fontId="5" fillId="0" borderId="20" xfId="0" applyNumberFormat="1" applyFont="1" applyFill="1" applyBorder="1" applyAlignment="1">
      <alignment vertical="center" shrinkToFit="1"/>
    </xf>
    <xf numFmtId="0" fontId="10" fillId="0" borderId="0" xfId="0" applyFont="1" applyAlignment="1">
      <alignment vertical="center" shrinkToFit="1"/>
    </xf>
    <xf numFmtId="0" fontId="18" fillId="0" borderId="0" xfId="0" applyFont="1" applyAlignment="1">
      <alignment horizontal="center" vertical="center" shrinkToFit="1"/>
    </xf>
    <xf numFmtId="0" fontId="16" fillId="0" borderId="0" xfId="0" applyFont="1" applyAlignment="1">
      <alignment vertical="center"/>
    </xf>
    <xf numFmtId="0" fontId="21" fillId="0" borderId="0" xfId="0" applyFont="1" applyAlignment="1">
      <alignment horizontal="center" vertical="center"/>
    </xf>
    <xf numFmtId="0" fontId="14" fillId="0" borderId="0" xfId="0" applyFont="1" applyBorder="1" applyAlignment="1">
      <alignment horizontal="center" vertical="center"/>
    </xf>
    <xf numFmtId="180" fontId="14" fillId="0" borderId="0" xfId="49" applyNumberFormat="1" applyFont="1" applyFill="1" applyBorder="1" applyAlignment="1">
      <alignment vertical="center"/>
    </xf>
    <xf numFmtId="180" fontId="14" fillId="0" borderId="0" xfId="49" applyNumberFormat="1" applyFont="1" applyFill="1" applyBorder="1" applyAlignment="1">
      <alignment horizontal="center" vertical="center"/>
    </xf>
    <xf numFmtId="0" fontId="10" fillId="0" borderId="0" xfId="0" applyFont="1" applyAlignment="1">
      <alignment horizontal="center" vertical="center"/>
    </xf>
    <xf numFmtId="0" fontId="10" fillId="0" borderId="31" xfId="0" applyFont="1" applyBorder="1" applyAlignment="1">
      <alignment horizontal="center" vertical="center"/>
    </xf>
    <xf numFmtId="0" fontId="10" fillId="4" borderId="24" xfId="0" applyFont="1" applyFill="1" applyBorder="1" applyAlignment="1">
      <alignment horizontal="center" vertical="center"/>
    </xf>
    <xf numFmtId="177" fontId="5" fillId="0" borderId="32" xfId="0" applyNumberFormat="1" applyFont="1" applyFill="1" applyBorder="1" applyAlignment="1">
      <alignment horizontal="right" vertical="center"/>
    </xf>
    <xf numFmtId="0" fontId="5" fillId="0" borderId="32" xfId="0" applyFont="1" applyFill="1" applyBorder="1" applyAlignment="1">
      <alignment horizontal="center" vertical="center"/>
    </xf>
    <xf numFmtId="177" fontId="5" fillId="0" borderId="33" xfId="0" applyNumberFormat="1" applyFont="1" applyFill="1" applyBorder="1" applyAlignment="1">
      <alignment vertical="center"/>
    </xf>
    <xf numFmtId="0" fontId="9" fillId="32" borderId="34" xfId="0" applyFont="1" applyFill="1" applyBorder="1" applyAlignment="1" applyProtection="1">
      <alignment horizontal="center" vertical="center" shrinkToFit="1"/>
      <protection locked="0"/>
    </xf>
    <xf numFmtId="0" fontId="5" fillId="33" borderId="32" xfId="0" applyFont="1" applyFill="1" applyBorder="1" applyAlignment="1">
      <alignment horizontal="center" vertical="center"/>
    </xf>
    <xf numFmtId="0" fontId="5" fillId="0" borderId="12" xfId="0" applyFont="1" applyFill="1" applyBorder="1" applyAlignment="1">
      <alignment horizontal="center" vertical="center"/>
    </xf>
    <xf numFmtId="177" fontId="5" fillId="0" borderId="12" xfId="0" applyNumberFormat="1" applyFont="1" applyFill="1" applyBorder="1" applyAlignment="1">
      <alignment horizontal="right" vertical="center"/>
    </xf>
    <xf numFmtId="0" fontId="5" fillId="33" borderId="35" xfId="0" applyFont="1" applyFill="1" applyBorder="1" applyAlignment="1">
      <alignment horizontal="center" vertical="center"/>
    </xf>
    <xf numFmtId="0" fontId="5" fillId="0" borderId="27" xfId="0" applyFont="1" applyFill="1" applyBorder="1" applyAlignment="1">
      <alignment horizontal="center" vertical="center"/>
    </xf>
    <xf numFmtId="177" fontId="5" fillId="0" borderId="28" xfId="0" applyNumberFormat="1" applyFont="1" applyFill="1" applyBorder="1" applyAlignment="1">
      <alignment horizontal="right" vertical="center"/>
    </xf>
    <xf numFmtId="0" fontId="5" fillId="0" borderId="28" xfId="0" applyFont="1" applyFill="1" applyBorder="1" applyAlignment="1">
      <alignment horizontal="center" vertical="center"/>
    </xf>
    <xf numFmtId="0" fontId="9" fillId="32" borderId="36" xfId="0" applyFont="1" applyFill="1" applyBorder="1" applyAlignment="1" applyProtection="1">
      <alignment horizontal="center" vertical="center" shrinkToFit="1"/>
      <protection locked="0"/>
    </xf>
    <xf numFmtId="0" fontId="5" fillId="33" borderId="28"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176" fontId="5" fillId="0" borderId="49" xfId="0" applyNumberFormat="1" applyFont="1" applyFill="1" applyBorder="1" applyAlignment="1">
      <alignment vertical="center" shrinkToFit="1"/>
    </xf>
    <xf numFmtId="0" fontId="10" fillId="0" borderId="50" xfId="0" applyFont="1" applyFill="1" applyBorder="1" applyAlignment="1" quotePrefix="1">
      <alignment horizontal="center" vertical="center"/>
    </xf>
    <xf numFmtId="176" fontId="5" fillId="0" borderId="51" xfId="0" applyNumberFormat="1" applyFont="1" applyFill="1" applyBorder="1" applyAlignment="1">
      <alignment vertical="center" shrinkToFit="1"/>
    </xf>
    <xf numFmtId="0" fontId="9" fillId="0" borderId="52" xfId="0" applyFont="1" applyFill="1" applyBorder="1" applyAlignment="1">
      <alignment horizontal="center" vertical="center" shrinkToFit="1"/>
    </xf>
    <xf numFmtId="0" fontId="14" fillId="0" borderId="31" xfId="0" applyFont="1" applyBorder="1" applyAlignment="1">
      <alignment horizontal="center" vertical="center" wrapText="1"/>
    </xf>
    <xf numFmtId="0" fontId="14" fillId="0" borderId="53" xfId="0" applyFont="1" applyBorder="1" applyAlignment="1">
      <alignment horizontal="center" vertical="center"/>
    </xf>
    <xf numFmtId="0" fontId="14" fillId="0" borderId="15" xfId="0" applyFont="1" applyBorder="1" applyAlignment="1">
      <alignment horizontal="center" vertical="center"/>
    </xf>
    <xf numFmtId="0" fontId="14" fillId="0" borderId="24" xfId="0" applyFont="1" applyBorder="1" applyAlignment="1">
      <alignment horizontal="center" vertical="center" wrapText="1"/>
    </xf>
    <xf numFmtId="0" fontId="14" fillId="0" borderId="53" xfId="0" applyFont="1" applyBorder="1" applyAlignment="1" quotePrefix="1">
      <alignment horizontal="center" vertical="center" wrapText="1"/>
    </xf>
    <xf numFmtId="192" fontId="9" fillId="32" borderId="48" xfId="0" applyNumberFormat="1" applyFont="1" applyFill="1" applyBorder="1" applyAlignment="1">
      <alignment vertical="center"/>
    </xf>
    <xf numFmtId="192" fontId="9" fillId="32" borderId="54" xfId="0" applyNumberFormat="1" applyFont="1" applyFill="1" applyBorder="1" applyAlignment="1">
      <alignment vertical="center"/>
    </xf>
    <xf numFmtId="0" fontId="9" fillId="0" borderId="0" xfId="0" applyFont="1" applyBorder="1" applyAlignment="1">
      <alignment vertical="center"/>
    </xf>
    <xf numFmtId="0" fontId="10" fillId="0" borderId="14" xfId="0" applyFont="1" applyBorder="1" applyAlignment="1">
      <alignment horizontal="right" vertical="center"/>
    </xf>
    <xf numFmtId="0" fontId="10" fillId="0" borderId="16" xfId="0" applyFont="1" applyBorder="1" applyAlignment="1">
      <alignment horizontal="right" vertical="center"/>
    </xf>
    <xf numFmtId="0" fontId="10" fillId="0" borderId="22"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3" borderId="57"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0" fillId="0" borderId="53"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0" xfId="0" applyFont="1" applyBorder="1" applyAlignment="1">
      <alignment horizontal="center" vertical="center" wrapText="1"/>
    </xf>
    <xf numFmtId="0" fontId="10" fillId="3" borderId="15" xfId="0" applyFont="1" applyFill="1" applyBorder="1" applyAlignment="1">
      <alignment horizontal="center" vertical="center" wrapText="1"/>
    </xf>
    <xf numFmtId="0" fontId="17" fillId="34" borderId="0" xfId="0" applyFont="1" applyFill="1" applyBorder="1" applyAlignment="1">
      <alignment vertical="center"/>
    </xf>
    <xf numFmtId="0" fontId="10" fillId="0" borderId="12" xfId="0" applyFont="1" applyBorder="1" applyAlignment="1">
      <alignment horizontal="right" vertical="center"/>
    </xf>
    <xf numFmtId="0" fontId="10" fillId="0" borderId="59" xfId="0" applyFont="1" applyBorder="1" applyAlignment="1">
      <alignment horizontal="right" vertical="center"/>
    </xf>
    <xf numFmtId="0" fontId="10" fillId="0" borderId="60" xfId="0" applyFont="1" applyBorder="1" applyAlignment="1">
      <alignment horizontal="right" vertical="center"/>
    </xf>
    <xf numFmtId="0" fontId="10" fillId="0" borderId="61" xfId="0" applyFont="1" applyBorder="1" applyAlignment="1">
      <alignment horizontal="right" vertical="center"/>
    </xf>
    <xf numFmtId="0" fontId="10" fillId="0" borderId="62" xfId="0" applyFont="1" applyBorder="1" applyAlignment="1">
      <alignment horizontal="right" vertical="center"/>
    </xf>
    <xf numFmtId="0" fontId="10" fillId="3" borderId="13" xfId="0" applyFont="1" applyFill="1" applyBorder="1" applyAlignment="1">
      <alignment horizontal="right" vertical="center"/>
    </xf>
    <xf numFmtId="0" fontId="10" fillId="0" borderId="0" xfId="0" applyFont="1" applyAlignment="1">
      <alignment horizontal="right" vertical="center"/>
    </xf>
    <xf numFmtId="180" fontId="5" fillId="0" borderId="59" xfId="49" applyNumberFormat="1" applyFont="1" applyFill="1" applyBorder="1" applyAlignment="1" applyProtection="1">
      <alignment vertical="center"/>
      <protection/>
    </xf>
    <xf numFmtId="180" fontId="5" fillId="0" borderId="59" xfId="49" applyNumberFormat="1" applyFont="1" applyFill="1" applyBorder="1" applyAlignment="1">
      <alignment vertical="center"/>
    </xf>
    <xf numFmtId="0" fontId="14" fillId="0" borderId="60" xfId="0" applyFont="1" applyBorder="1" applyAlignment="1">
      <alignment horizontal="center" vertical="center"/>
    </xf>
    <xf numFmtId="38" fontId="15" fillId="3" borderId="63" xfId="49" applyFont="1" applyFill="1" applyBorder="1" applyAlignment="1">
      <alignment vertical="center"/>
    </xf>
    <xf numFmtId="0" fontId="5" fillId="0" borderId="33" xfId="0" applyFont="1" applyBorder="1" applyAlignment="1">
      <alignment horizontal="center" vertical="center"/>
    </xf>
    <xf numFmtId="0" fontId="14" fillId="0" borderId="19" xfId="0" applyFont="1" applyBorder="1" applyAlignment="1">
      <alignment horizontal="center" vertical="center"/>
    </xf>
    <xf numFmtId="180" fontId="14" fillId="0" borderId="42" xfId="49" applyNumberFormat="1" applyFont="1" applyFill="1" applyBorder="1" applyAlignment="1">
      <alignment vertical="center"/>
    </xf>
    <xf numFmtId="38" fontId="15" fillId="3" borderId="64" xfId="49" applyFont="1" applyFill="1" applyBorder="1" applyAlignment="1">
      <alignment vertical="center"/>
    </xf>
    <xf numFmtId="0" fontId="5" fillId="0" borderId="27" xfId="0" applyFont="1" applyBorder="1" applyAlignment="1">
      <alignment horizontal="center" vertical="center"/>
    </xf>
    <xf numFmtId="180" fontId="5" fillId="0" borderId="24" xfId="49" applyNumberFormat="1" applyFont="1" applyFill="1" applyBorder="1" applyAlignment="1" applyProtection="1">
      <alignment vertical="center"/>
      <protection/>
    </xf>
    <xf numFmtId="180" fontId="5" fillId="0" borderId="24" xfId="49" applyNumberFormat="1" applyFont="1" applyFill="1" applyBorder="1" applyAlignment="1">
      <alignment vertical="center"/>
    </xf>
    <xf numFmtId="38" fontId="15" fillId="3" borderId="49" xfId="49" applyFont="1" applyFill="1" applyBorder="1" applyAlignment="1">
      <alignment vertical="center"/>
    </xf>
    <xf numFmtId="0" fontId="19" fillId="0" borderId="0" xfId="0" applyFont="1" applyAlignment="1">
      <alignment horizontal="center" vertical="center"/>
    </xf>
    <xf numFmtId="0" fontId="14" fillId="0" borderId="12" xfId="0" applyFont="1" applyBorder="1" applyAlignment="1">
      <alignment horizontal="center" vertical="center"/>
    </xf>
    <xf numFmtId="180" fontId="14" fillId="0" borderId="65" xfId="49" applyNumberFormat="1" applyFont="1" applyFill="1" applyBorder="1" applyAlignment="1">
      <alignment vertical="center"/>
    </xf>
    <xf numFmtId="0" fontId="14" fillId="0" borderId="28" xfId="0" applyFont="1" applyBorder="1" applyAlignment="1">
      <alignment horizontal="center" vertical="center"/>
    </xf>
    <xf numFmtId="180" fontId="14" fillId="0" borderId="39" xfId="49" applyNumberFormat="1" applyFont="1" applyFill="1" applyBorder="1" applyAlignment="1">
      <alignment vertical="center"/>
    </xf>
    <xf numFmtId="0" fontId="14" fillId="0" borderId="16" xfId="0" applyFont="1" applyBorder="1" applyAlignment="1">
      <alignment horizontal="center" vertical="center"/>
    </xf>
    <xf numFmtId="180" fontId="14" fillId="0" borderId="66" xfId="49" applyNumberFormat="1" applyFont="1" applyFill="1" applyBorder="1" applyAlignment="1">
      <alignment vertical="center"/>
    </xf>
    <xf numFmtId="0" fontId="20" fillId="0" borderId="0" xfId="0" applyFont="1" applyAlignment="1">
      <alignment horizontal="center" vertical="center"/>
    </xf>
    <xf numFmtId="0" fontId="10" fillId="0" borderId="15" xfId="0" applyFont="1" applyBorder="1" applyAlignment="1">
      <alignment horizontal="center" vertical="center" wrapText="1"/>
    </xf>
    <xf numFmtId="0" fontId="10" fillId="0" borderId="13" xfId="0" applyFont="1" applyBorder="1" applyAlignment="1">
      <alignment horizontal="right" vertical="center"/>
    </xf>
    <xf numFmtId="180" fontId="5" fillId="0" borderId="13" xfId="49" applyNumberFormat="1" applyFont="1" applyFill="1" applyBorder="1" applyAlignment="1" applyProtection="1">
      <alignment vertical="center"/>
      <protection/>
    </xf>
    <xf numFmtId="180" fontId="5" fillId="0" borderId="15" xfId="49" applyNumberFormat="1" applyFont="1" applyFill="1" applyBorder="1" applyAlignment="1" applyProtection="1">
      <alignment vertical="center"/>
      <protection/>
    </xf>
    <xf numFmtId="0" fontId="10" fillId="0" borderId="16" xfId="0" applyFont="1" applyBorder="1" applyAlignment="1">
      <alignment vertical="center" wrapText="1"/>
    </xf>
    <xf numFmtId="0" fontId="10" fillId="0" borderId="10" xfId="0" applyFont="1" applyBorder="1" applyAlignment="1">
      <alignment vertical="center" wrapText="1"/>
    </xf>
    <xf numFmtId="180" fontId="9" fillId="32" borderId="60" xfId="49" applyNumberFormat="1" applyFont="1" applyFill="1" applyBorder="1" applyAlignment="1" applyProtection="1">
      <alignment vertical="center"/>
      <protection locked="0"/>
    </xf>
    <xf numFmtId="180" fontId="9" fillId="32" borderId="62" xfId="49" applyNumberFormat="1" applyFont="1" applyFill="1" applyBorder="1" applyAlignment="1" applyProtection="1">
      <alignment vertical="center"/>
      <protection locked="0"/>
    </xf>
    <xf numFmtId="180" fontId="9" fillId="32" borderId="53" xfId="49" applyNumberFormat="1" applyFont="1" applyFill="1" applyBorder="1" applyAlignment="1" applyProtection="1">
      <alignment vertical="center"/>
      <protection locked="0"/>
    </xf>
    <xf numFmtId="180" fontId="9" fillId="32" borderId="50" xfId="49" applyNumberFormat="1" applyFont="1" applyFill="1" applyBorder="1" applyAlignment="1" applyProtection="1">
      <alignment vertical="center"/>
      <protection locked="0"/>
    </xf>
    <xf numFmtId="0" fontId="15" fillId="0" borderId="20" xfId="0" applyFont="1" applyFill="1" applyBorder="1" applyAlignment="1">
      <alignment horizontal="right" vertical="center"/>
    </xf>
    <xf numFmtId="0" fontId="10" fillId="0" borderId="0" xfId="65" applyFont="1">
      <alignment/>
      <protection/>
    </xf>
    <xf numFmtId="0" fontId="23" fillId="0" borderId="0" xfId="65" applyFont="1" applyAlignment="1">
      <alignment horizontal="center"/>
      <protection/>
    </xf>
    <xf numFmtId="0" fontId="14" fillId="0" borderId="25" xfId="0" applyFont="1" applyBorder="1" applyAlignment="1">
      <alignment horizontal="distributed" vertical="center"/>
    </xf>
    <xf numFmtId="0" fontId="14" fillId="0" borderId="67" xfId="0" applyFont="1" applyBorder="1" applyAlignment="1">
      <alignment horizontal="distributed" vertical="center"/>
    </xf>
    <xf numFmtId="0" fontId="15" fillId="0" borderId="25" xfId="0" applyFont="1" applyFill="1" applyBorder="1" applyAlignment="1">
      <alignment horizontal="right" vertical="center"/>
    </xf>
    <xf numFmtId="0" fontId="15" fillId="0" borderId="67" xfId="0" applyFont="1" applyFill="1" applyBorder="1" applyAlignment="1">
      <alignment horizontal="right" vertical="center"/>
    </xf>
    <xf numFmtId="0" fontId="22"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27" fillId="0" borderId="0" xfId="65" applyFont="1">
      <alignment/>
      <protection/>
    </xf>
    <xf numFmtId="0" fontId="28" fillId="0" borderId="0" xfId="65" applyFont="1" applyAlignment="1">
      <alignment vertical="center"/>
      <protection/>
    </xf>
    <xf numFmtId="180" fontId="14" fillId="0" borderId="42" xfId="49" applyNumberFormat="1" applyFont="1" applyFill="1" applyBorder="1" applyAlignment="1">
      <alignment horizontal="center" vertical="center"/>
    </xf>
    <xf numFmtId="180" fontId="14" fillId="0" borderId="39" xfId="49" applyNumberFormat="1" applyFont="1" applyFill="1" applyBorder="1" applyAlignment="1">
      <alignment horizontal="center" vertical="center"/>
    </xf>
    <xf numFmtId="177" fontId="5" fillId="0" borderId="68" xfId="0" applyNumberFormat="1" applyFont="1" applyFill="1" applyBorder="1" applyAlignment="1">
      <alignment horizontal="center" vertical="center" shrinkToFit="1"/>
    </xf>
    <xf numFmtId="177" fontId="5" fillId="0" borderId="49" xfId="0" applyNumberFormat="1" applyFont="1" applyFill="1" applyBorder="1" applyAlignment="1">
      <alignment horizontal="center" vertical="center" shrinkToFit="1"/>
    </xf>
    <xf numFmtId="177" fontId="5" fillId="0" borderId="69" xfId="0" applyNumberFormat="1" applyFont="1" applyFill="1" applyBorder="1" applyAlignment="1">
      <alignment horizontal="center" vertical="center" shrinkToFit="1"/>
    </xf>
    <xf numFmtId="177" fontId="5" fillId="0" borderId="70" xfId="0" applyNumberFormat="1" applyFont="1" applyFill="1" applyBorder="1" applyAlignment="1">
      <alignment horizontal="center" vertical="center" shrinkToFit="1"/>
    </xf>
    <xf numFmtId="177" fontId="5" fillId="0" borderId="71" xfId="0" applyNumberFormat="1" applyFont="1" applyFill="1" applyBorder="1" applyAlignment="1">
      <alignment horizontal="center" vertical="center" shrinkToFit="1"/>
    </xf>
    <xf numFmtId="177" fontId="5" fillId="0" borderId="52" xfId="0" applyNumberFormat="1" applyFont="1" applyFill="1" applyBorder="1" applyAlignment="1">
      <alignment horizontal="center" vertical="center" shrinkToFit="1"/>
    </xf>
    <xf numFmtId="3" fontId="5" fillId="0" borderId="27" xfId="64" applyNumberFormat="1" applyFont="1" applyFill="1" applyBorder="1" applyAlignment="1">
      <alignment horizontal="right" vertical="center"/>
      <protection/>
    </xf>
    <xf numFmtId="0" fontId="14" fillId="0" borderId="17" xfId="0" applyFont="1" applyBorder="1" applyAlignment="1">
      <alignment horizontal="center" vertical="center" wrapText="1"/>
    </xf>
    <xf numFmtId="0" fontId="9" fillId="0" borderId="70" xfId="0" applyFont="1" applyFill="1" applyBorder="1" applyAlignment="1">
      <alignment horizontal="center" vertical="center" shrinkToFit="1"/>
    </xf>
    <xf numFmtId="177" fontId="9" fillId="0" borderId="68" xfId="0" applyNumberFormat="1" applyFont="1" applyFill="1" applyBorder="1" applyAlignment="1">
      <alignment horizontal="right" vertical="center" shrinkToFit="1"/>
    </xf>
    <xf numFmtId="0" fontId="9" fillId="0" borderId="51" xfId="0" applyFont="1" applyFill="1" applyBorder="1" applyAlignment="1">
      <alignment horizontal="center" vertical="center" shrinkToFit="1"/>
    </xf>
    <xf numFmtId="177" fontId="9" fillId="0" borderId="52" xfId="0" applyNumberFormat="1" applyFont="1" applyFill="1" applyBorder="1" applyAlignment="1">
      <alignment horizontal="right" vertical="center" shrinkToFit="1"/>
    </xf>
    <xf numFmtId="177" fontId="9" fillId="0" borderId="70" xfId="0" applyNumberFormat="1" applyFont="1" applyFill="1" applyBorder="1" applyAlignment="1">
      <alignment horizontal="center" vertical="center" shrinkToFit="1"/>
    </xf>
    <xf numFmtId="0" fontId="29" fillId="0" borderId="0" xfId="0" applyFont="1" applyAlignment="1" quotePrefix="1">
      <alignment horizontal="left" vertical="center"/>
    </xf>
    <xf numFmtId="0" fontId="30" fillId="0" borderId="0" xfId="0" applyFont="1" applyAlignment="1">
      <alignment vertical="center"/>
    </xf>
    <xf numFmtId="0" fontId="31" fillId="0" borderId="72" xfId="0" applyFont="1" applyFill="1" applyBorder="1" applyAlignment="1" applyProtection="1">
      <alignment horizontal="center" vertical="center" wrapText="1" shrinkToFit="1"/>
      <protection locked="0"/>
    </xf>
    <xf numFmtId="191" fontId="81" fillId="0" borderId="48" xfId="0" applyNumberFormat="1" applyFont="1" applyFill="1" applyBorder="1" applyAlignment="1" applyProtection="1">
      <alignment horizontal="right" vertical="center"/>
      <protection locked="0"/>
    </xf>
    <xf numFmtId="191" fontId="81" fillId="0" borderId="54" xfId="0" applyNumberFormat="1" applyFont="1" applyFill="1" applyBorder="1" applyAlignment="1" applyProtection="1">
      <alignment horizontal="right" vertical="center"/>
      <protection locked="0"/>
    </xf>
    <xf numFmtId="177" fontId="31" fillId="32" borderId="34" xfId="0" applyNumberFormat="1" applyFont="1" applyFill="1" applyBorder="1" applyAlignment="1" applyProtection="1">
      <alignment horizontal="right" vertical="center" shrinkToFit="1"/>
      <protection locked="0"/>
    </xf>
    <xf numFmtId="177" fontId="31" fillId="32" borderId="36" xfId="0" applyNumberFormat="1" applyFont="1" applyFill="1" applyBorder="1" applyAlignment="1" applyProtection="1">
      <alignment horizontal="right" vertical="center" shrinkToFit="1"/>
      <protection locked="0"/>
    </xf>
    <xf numFmtId="177" fontId="31" fillId="32" borderId="73" xfId="0" applyNumberFormat="1" applyFont="1" applyFill="1" applyBorder="1" applyAlignment="1" applyProtection="1">
      <alignment horizontal="right" vertical="center" shrinkToFit="1"/>
      <protection locked="0"/>
    </xf>
    <xf numFmtId="191" fontId="9" fillId="32" borderId="10" xfId="0" applyNumberFormat="1" applyFont="1" applyFill="1" applyBorder="1" applyAlignment="1">
      <alignment horizontal="right" vertical="center"/>
    </xf>
    <xf numFmtId="192" fontId="9" fillId="32" borderId="74" xfId="0" applyNumberFormat="1" applyFont="1" applyFill="1" applyBorder="1" applyAlignment="1">
      <alignment horizontal="right" vertical="center"/>
    </xf>
    <xf numFmtId="177" fontId="81" fillId="0" borderId="23"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7" fontId="5" fillId="0" borderId="25" xfId="0" applyNumberFormat="1" applyFont="1" applyFill="1" applyBorder="1" applyAlignment="1">
      <alignment horizontal="right" vertical="center"/>
    </xf>
    <xf numFmtId="0" fontId="19" fillId="0" borderId="0" xfId="0" applyFont="1" applyAlignment="1">
      <alignment horizontal="right" vertical="center"/>
    </xf>
    <xf numFmtId="177" fontId="9" fillId="32" borderId="36" xfId="0" applyNumberFormat="1" applyFont="1" applyFill="1" applyBorder="1" applyAlignment="1" applyProtection="1">
      <alignment horizontal="right" vertical="center"/>
      <protection locked="0"/>
    </xf>
    <xf numFmtId="177" fontId="9" fillId="32" borderId="73" xfId="0" applyNumberFormat="1" applyFont="1" applyFill="1" applyBorder="1" applyAlignment="1" applyProtection="1">
      <alignment horizontal="right" vertical="center"/>
      <protection locked="0"/>
    </xf>
    <xf numFmtId="0" fontId="9" fillId="32" borderId="25" xfId="0" applyFont="1" applyFill="1" applyBorder="1" applyAlignment="1" applyProtection="1">
      <alignment horizontal="right" vertical="center"/>
      <protection locked="0"/>
    </xf>
    <xf numFmtId="177" fontId="31" fillId="32" borderId="75" xfId="0" applyNumberFormat="1" applyFont="1" applyFill="1" applyBorder="1" applyAlignment="1" applyProtection="1">
      <alignment horizontal="right" vertical="center" shrinkToFit="1"/>
      <protection locked="0"/>
    </xf>
    <xf numFmtId="177" fontId="5" fillId="0" borderId="74" xfId="0" applyNumberFormat="1" applyFont="1" applyFill="1" applyBorder="1" applyAlignment="1">
      <alignment horizontal="right" vertical="center"/>
    </xf>
    <xf numFmtId="0" fontId="9" fillId="32" borderId="27" xfId="0" applyFont="1" applyFill="1" applyBorder="1" applyAlignment="1" applyProtection="1">
      <alignment horizontal="right" vertical="center"/>
      <protection locked="0"/>
    </xf>
    <xf numFmtId="191" fontId="9" fillId="32" borderId="42" xfId="0" applyNumberFormat="1" applyFont="1" applyFill="1" applyBorder="1" applyAlignment="1">
      <alignment horizontal="right" vertical="center"/>
    </xf>
    <xf numFmtId="192" fontId="9" fillId="32" borderId="48" xfId="0" applyNumberFormat="1" applyFont="1" applyFill="1" applyBorder="1" applyAlignment="1">
      <alignment horizontal="right" vertical="center"/>
    </xf>
    <xf numFmtId="177" fontId="81" fillId="0" borderId="19" xfId="0" applyNumberFormat="1" applyFont="1" applyFill="1" applyBorder="1" applyAlignment="1">
      <alignment horizontal="right" vertical="center"/>
    </xf>
    <xf numFmtId="177" fontId="81" fillId="0" borderId="64" xfId="0" applyNumberFormat="1" applyFont="1" applyFill="1" applyBorder="1" applyAlignment="1">
      <alignment horizontal="right" vertical="center"/>
    </xf>
    <xf numFmtId="177" fontId="5" fillId="0" borderId="48" xfId="0" applyNumberFormat="1" applyFont="1" applyFill="1" applyBorder="1" applyAlignment="1">
      <alignment horizontal="right" vertical="center"/>
    </xf>
    <xf numFmtId="176" fontId="5" fillId="0" borderId="42" xfId="0" applyNumberFormat="1" applyFont="1" applyFill="1" applyBorder="1" applyAlignment="1">
      <alignment horizontal="right" vertical="center"/>
    </xf>
    <xf numFmtId="177" fontId="5" fillId="0" borderId="27" xfId="0" applyNumberFormat="1" applyFont="1" applyFill="1" applyBorder="1" applyAlignment="1">
      <alignment horizontal="right" vertical="center"/>
    </xf>
    <xf numFmtId="0" fontId="9" fillId="32" borderId="67" xfId="0" applyFont="1" applyFill="1" applyBorder="1" applyAlignment="1" applyProtection="1">
      <alignment horizontal="right" vertical="center"/>
      <protection locked="0"/>
    </xf>
    <xf numFmtId="177" fontId="9" fillId="32" borderId="67" xfId="0" applyNumberFormat="1" applyFont="1" applyFill="1" applyBorder="1" applyAlignment="1" applyProtection="1">
      <alignment horizontal="right" vertical="center"/>
      <protection locked="0"/>
    </xf>
    <xf numFmtId="177" fontId="9" fillId="32" borderId="76" xfId="0" applyNumberFormat="1" applyFont="1" applyFill="1" applyBorder="1" applyAlignment="1" applyProtection="1">
      <alignment horizontal="right" vertical="center"/>
      <protection locked="0"/>
    </xf>
    <xf numFmtId="191" fontId="9" fillId="32" borderId="77" xfId="0" applyNumberFormat="1" applyFont="1" applyFill="1" applyBorder="1" applyAlignment="1">
      <alignment horizontal="right" vertical="center"/>
    </xf>
    <xf numFmtId="192" fontId="9" fillId="32" borderId="54" xfId="0" applyNumberFormat="1" applyFont="1" applyFill="1" applyBorder="1" applyAlignment="1">
      <alignment horizontal="right" vertical="center"/>
    </xf>
    <xf numFmtId="177" fontId="81" fillId="0" borderId="78" xfId="0" applyNumberFormat="1" applyFont="1" applyFill="1" applyBorder="1" applyAlignment="1">
      <alignment horizontal="right" vertical="center"/>
    </xf>
    <xf numFmtId="177" fontId="5" fillId="0" borderId="54" xfId="0" applyNumberFormat="1" applyFont="1" applyFill="1" applyBorder="1" applyAlignment="1">
      <alignment horizontal="right" vertical="center"/>
    </xf>
    <xf numFmtId="177" fontId="5" fillId="0" borderId="76" xfId="0" applyNumberFormat="1" applyFont="1" applyFill="1" applyBorder="1" applyAlignment="1">
      <alignment horizontal="right" vertical="center"/>
    </xf>
    <xf numFmtId="176" fontId="5" fillId="0" borderId="77" xfId="0" applyNumberFormat="1" applyFont="1" applyFill="1" applyBorder="1" applyAlignment="1">
      <alignment horizontal="right" vertical="center"/>
    </xf>
    <xf numFmtId="177" fontId="5" fillId="0" borderId="67" xfId="0" applyNumberFormat="1" applyFont="1" applyFill="1" applyBorder="1" applyAlignment="1">
      <alignment horizontal="right" vertical="center"/>
    </xf>
    <xf numFmtId="177" fontId="5" fillId="0" borderId="79" xfId="0" applyNumberFormat="1" applyFont="1" applyFill="1" applyBorder="1" applyAlignment="1">
      <alignment horizontal="center" vertical="center" shrinkToFit="1"/>
    </xf>
    <xf numFmtId="0" fontId="13" fillId="0" borderId="0" xfId="0" applyFont="1" applyAlignment="1">
      <alignment vertical="center" shrinkToFit="1"/>
    </xf>
    <xf numFmtId="0" fontId="9" fillId="0" borderId="0" xfId="0" applyFont="1" applyAlignment="1">
      <alignment vertical="center" shrinkToFit="1"/>
    </xf>
    <xf numFmtId="0" fontId="12" fillId="0" borderId="0" xfId="0" applyFont="1" applyAlignment="1">
      <alignment vertical="center" shrinkToFit="1"/>
    </xf>
    <xf numFmtId="0" fontId="16" fillId="0" borderId="0" xfId="0" applyFont="1" applyAlignment="1">
      <alignment vertical="center" shrinkToFit="1"/>
    </xf>
    <xf numFmtId="0" fontId="22" fillId="0" borderId="0" xfId="0" applyFont="1" applyAlignment="1">
      <alignment vertical="center" shrinkToFit="1"/>
    </xf>
    <xf numFmtId="177" fontId="9" fillId="32" borderId="34" xfId="0" applyNumberFormat="1" applyFont="1" applyFill="1" applyBorder="1" applyAlignment="1" applyProtection="1">
      <alignment horizontal="right" vertical="center"/>
      <protection locked="0"/>
    </xf>
    <xf numFmtId="0" fontId="9" fillId="32" borderId="33" xfId="0" applyNumberFormat="1" applyFont="1" applyFill="1" applyBorder="1" applyAlignment="1" applyProtection="1">
      <alignment horizontal="center" vertical="center"/>
      <protection locked="0"/>
    </xf>
    <xf numFmtId="180" fontId="14" fillId="0" borderId="42" xfId="49" applyNumberFormat="1" applyFont="1" applyFill="1" applyBorder="1" applyAlignment="1">
      <alignment horizontal="right" vertical="center"/>
    </xf>
    <xf numFmtId="180" fontId="14" fillId="0" borderId="36" xfId="49" applyNumberFormat="1" applyFont="1" applyFill="1" applyBorder="1" applyAlignment="1">
      <alignment vertical="center"/>
    </xf>
    <xf numFmtId="180" fontId="14" fillId="0" borderId="36" xfId="49" applyNumberFormat="1" applyFont="1" applyFill="1" applyBorder="1" applyAlignment="1">
      <alignment horizontal="right" vertical="center"/>
    </xf>
    <xf numFmtId="180" fontId="14" fillId="0" borderId="50" xfId="49" applyNumberFormat="1" applyFont="1" applyFill="1" applyBorder="1" applyAlignment="1">
      <alignment horizontal="center" vertical="center"/>
    </xf>
    <xf numFmtId="0" fontId="9" fillId="32" borderId="27" xfId="0" applyNumberFormat="1" applyFont="1" applyFill="1" applyBorder="1" applyAlignment="1" applyProtection="1">
      <alignment horizontal="center" vertical="center"/>
      <protection locked="0"/>
    </xf>
    <xf numFmtId="177" fontId="9" fillId="32" borderId="19" xfId="0" applyNumberFormat="1" applyFont="1" applyFill="1" applyBorder="1" applyAlignment="1" applyProtection="1">
      <alignment horizontal="right" vertical="center"/>
      <protection locked="0"/>
    </xf>
    <xf numFmtId="0" fontId="9" fillId="32" borderId="67" xfId="0" applyNumberFormat="1" applyFont="1" applyFill="1" applyBorder="1" applyAlignment="1" applyProtection="1">
      <alignment horizontal="center" vertical="center"/>
      <protection locked="0"/>
    </xf>
    <xf numFmtId="0" fontId="9" fillId="32" borderId="27" xfId="0" applyNumberFormat="1" applyFont="1" applyFill="1" applyBorder="1" applyAlignment="1" applyProtection="1">
      <alignment horizontal="center" vertical="center" shrinkToFit="1"/>
      <protection locked="0"/>
    </xf>
    <xf numFmtId="0" fontId="5" fillId="0" borderId="32" xfId="0" applyNumberFormat="1" applyFont="1" applyFill="1" applyBorder="1" applyAlignment="1">
      <alignment horizontal="center" vertical="center"/>
    </xf>
    <xf numFmtId="0" fontId="20" fillId="0" borderId="0" xfId="0" applyFont="1" applyBorder="1" applyAlignment="1">
      <alignment horizontal="center" vertical="center"/>
    </xf>
    <xf numFmtId="0" fontId="32" fillId="0" borderId="0" xfId="0" applyFont="1" applyAlignment="1">
      <alignment vertical="center"/>
    </xf>
    <xf numFmtId="38" fontId="15" fillId="3" borderId="13" xfId="49" applyFont="1" applyFill="1" applyBorder="1" applyAlignment="1">
      <alignment vertical="center"/>
    </xf>
    <xf numFmtId="0" fontId="31" fillId="0" borderId="11" xfId="0" applyFont="1" applyFill="1" applyBorder="1" applyAlignment="1" applyProtection="1">
      <alignment horizontal="center" vertical="center" wrapText="1" shrinkToFit="1"/>
      <protection locked="0"/>
    </xf>
    <xf numFmtId="0" fontId="9" fillId="0" borderId="0" xfId="0" applyFont="1" applyAlignment="1">
      <alignment horizontal="center" vertical="center"/>
    </xf>
    <xf numFmtId="177" fontId="5" fillId="0" borderId="32" xfId="0" applyNumberFormat="1" applyFont="1" applyFill="1" applyBorder="1" applyAlignment="1">
      <alignment horizontal="center" vertical="center"/>
    </xf>
    <xf numFmtId="0" fontId="16" fillId="0" borderId="0" xfId="0" applyFont="1" applyAlignment="1">
      <alignment horizontal="center" vertical="center"/>
    </xf>
    <xf numFmtId="0" fontId="22" fillId="0" borderId="0" xfId="0" applyFont="1" applyAlignment="1">
      <alignment horizontal="center" vertical="center"/>
    </xf>
    <xf numFmtId="177" fontId="9" fillId="0" borderId="75" xfId="0" applyNumberFormat="1" applyFont="1" applyFill="1" applyBorder="1" applyAlignment="1" applyProtection="1">
      <alignment horizontal="right" vertical="center"/>
      <protection locked="0"/>
    </xf>
    <xf numFmtId="177" fontId="9" fillId="0" borderId="36" xfId="0" applyNumberFormat="1" applyFont="1" applyFill="1" applyBorder="1" applyAlignment="1" applyProtection="1">
      <alignment horizontal="right" vertical="center"/>
      <protection locked="0"/>
    </xf>
    <xf numFmtId="177" fontId="9" fillId="0" borderId="73" xfId="0" applyNumberFormat="1" applyFont="1" applyFill="1" applyBorder="1" applyAlignment="1" applyProtection="1">
      <alignment horizontal="right" vertical="center"/>
      <protection locked="0"/>
    </xf>
    <xf numFmtId="0" fontId="31" fillId="35" borderId="12" xfId="0" applyFont="1" applyFill="1" applyBorder="1" applyAlignment="1">
      <alignment horizontal="center" vertical="center" shrinkToFit="1"/>
    </xf>
    <xf numFmtId="0" fontId="31" fillId="35" borderId="28" xfId="0" applyFont="1" applyFill="1" applyBorder="1" applyAlignment="1">
      <alignment horizontal="center" vertical="center" shrinkToFit="1"/>
    </xf>
    <xf numFmtId="0" fontId="31" fillId="35" borderId="76" xfId="0" applyFont="1" applyFill="1" applyBorder="1" applyAlignment="1">
      <alignment horizontal="center" vertical="center" shrinkToFit="1"/>
    </xf>
    <xf numFmtId="0" fontId="14" fillId="0" borderId="15" xfId="0" applyFont="1" applyBorder="1" applyAlignment="1">
      <alignment horizontal="center" vertical="center" wrapText="1"/>
    </xf>
    <xf numFmtId="0" fontId="10" fillId="0" borderId="60" xfId="0" applyFont="1" applyBorder="1" applyAlignment="1">
      <alignment horizontal="center" vertical="center" wrapText="1"/>
    </xf>
    <xf numFmtId="0" fontId="14" fillId="0" borderId="23" xfId="0" applyFont="1" applyBorder="1" applyAlignment="1">
      <alignment horizontal="center" vertical="center"/>
    </xf>
    <xf numFmtId="0" fontId="9" fillId="32" borderId="33" xfId="0" applyNumberFormat="1" applyFont="1" applyFill="1" applyBorder="1" applyAlignment="1" applyProtection="1">
      <alignment horizontal="center" vertical="center" shrinkToFit="1"/>
      <protection locked="0"/>
    </xf>
    <xf numFmtId="0" fontId="5" fillId="0" borderId="12" xfId="0" applyFont="1" applyBorder="1" applyAlignment="1">
      <alignment horizontal="center" vertical="center"/>
    </xf>
    <xf numFmtId="0" fontId="20" fillId="0" borderId="80" xfId="0" applyFont="1" applyBorder="1" applyAlignment="1">
      <alignment horizontal="center" vertical="center"/>
    </xf>
    <xf numFmtId="0" fontId="0" fillId="0" borderId="58"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34" fillId="0" borderId="0" xfId="65" applyFont="1">
      <alignment/>
      <protection/>
    </xf>
    <xf numFmtId="0" fontId="33" fillId="0" borderId="39" xfId="63" applyFont="1" applyFill="1" applyBorder="1" applyAlignment="1">
      <alignment horizontal="distributed" vertical="center"/>
      <protection/>
    </xf>
    <xf numFmtId="0" fontId="4" fillId="0" borderId="0" xfId="65" applyFont="1">
      <alignment/>
      <protection/>
    </xf>
    <xf numFmtId="0" fontId="4" fillId="0" borderId="0" xfId="65" applyFont="1" applyAlignment="1">
      <alignment horizontal="center"/>
      <protection/>
    </xf>
    <xf numFmtId="0" fontId="34" fillId="0" borderId="0" xfId="65" applyFont="1" applyAlignment="1">
      <alignment horizontal="right"/>
      <protection/>
    </xf>
    <xf numFmtId="0" fontId="34" fillId="0" borderId="0" xfId="65" applyFont="1" applyAlignment="1">
      <alignment horizontal="distributed"/>
      <protection/>
    </xf>
    <xf numFmtId="0" fontId="34" fillId="0" borderId="0" xfId="65" applyFont="1" applyAlignment="1">
      <alignment horizontal="distributed" vertical="center"/>
      <protection/>
    </xf>
    <xf numFmtId="0" fontId="34" fillId="0" borderId="0" xfId="65" applyFont="1" applyAlignment="1">
      <alignment vertical="center"/>
      <protection/>
    </xf>
    <xf numFmtId="0" fontId="27" fillId="0" borderId="0" xfId="65" applyFont="1" applyAlignment="1">
      <alignment horizontal="left"/>
      <protection/>
    </xf>
    <xf numFmtId="0" fontId="36" fillId="0" borderId="0" xfId="65" applyFont="1" applyAlignment="1">
      <alignment horizontal="center"/>
      <protection/>
    </xf>
    <xf numFmtId="0" fontId="34" fillId="0" borderId="44" xfId="65" applyFont="1" applyBorder="1">
      <alignment/>
      <protection/>
    </xf>
    <xf numFmtId="0" fontId="34" fillId="0" borderId="38" xfId="65" applyFont="1" applyBorder="1">
      <alignment/>
      <protection/>
    </xf>
    <xf numFmtId="0" fontId="34" fillId="0" borderId="55" xfId="65" applyFont="1" applyBorder="1">
      <alignment/>
      <protection/>
    </xf>
    <xf numFmtId="0" fontId="34" fillId="0" borderId="81" xfId="65" applyFont="1" applyBorder="1">
      <alignment/>
      <protection/>
    </xf>
    <xf numFmtId="0" fontId="36" fillId="0" borderId="0" xfId="65" applyFont="1">
      <alignment/>
      <protection/>
    </xf>
    <xf numFmtId="0" fontId="32" fillId="0" borderId="0" xfId="0" applyFont="1" applyFill="1" applyAlignment="1">
      <alignment vertical="center"/>
    </xf>
    <xf numFmtId="0" fontId="12" fillId="0" borderId="0" xfId="0" applyFont="1" applyFill="1" applyAlignment="1" quotePrefix="1">
      <alignment horizontal="left" vertical="center"/>
    </xf>
    <xf numFmtId="0" fontId="26" fillId="0" borderId="0" xfId="0" applyFont="1" applyFill="1" applyAlignment="1" quotePrefix="1">
      <alignment horizontal="left" vertical="center"/>
    </xf>
    <xf numFmtId="0" fontId="12" fillId="0" borderId="0" xfId="0" applyFont="1" applyFill="1" applyAlignment="1">
      <alignment vertical="center"/>
    </xf>
    <xf numFmtId="0" fontId="29" fillId="0" borderId="0" xfId="0" applyFont="1" applyFill="1" applyAlignment="1" quotePrefix="1">
      <alignment horizontal="left" vertical="center"/>
    </xf>
    <xf numFmtId="0" fontId="10" fillId="0" borderId="52" xfId="0" applyFont="1" applyBorder="1" applyAlignment="1">
      <alignment vertical="center" wrapText="1"/>
    </xf>
    <xf numFmtId="0" fontId="10" fillId="0" borderId="49" xfId="0" applyFont="1" applyBorder="1" applyAlignment="1">
      <alignment vertical="center" wrapText="1"/>
    </xf>
    <xf numFmtId="0" fontId="16" fillId="0" borderId="59" xfId="0" applyFont="1" applyBorder="1" applyAlignment="1">
      <alignment horizontal="left" vertical="center" wrapText="1"/>
    </xf>
    <xf numFmtId="0" fontId="16" fillId="0" borderId="0" xfId="0" applyFont="1" applyFill="1" applyAlignment="1" applyProtection="1">
      <alignment vertical="center"/>
      <protection locked="0"/>
    </xf>
    <xf numFmtId="180" fontId="21" fillId="0" borderId="0" xfId="49" applyNumberFormat="1" applyFont="1" applyFill="1" applyBorder="1" applyAlignment="1">
      <alignment vertical="center"/>
    </xf>
    <xf numFmtId="180" fontId="16" fillId="0" borderId="0" xfId="49" applyNumberFormat="1" applyFont="1" applyFill="1" applyBorder="1" applyAlignment="1">
      <alignment vertical="center"/>
    </xf>
    <xf numFmtId="0" fontId="16" fillId="0" borderId="0" xfId="0" applyFont="1" applyFill="1" applyBorder="1" applyAlignment="1">
      <alignment horizontal="center" vertical="center"/>
    </xf>
    <xf numFmtId="38" fontId="21" fillId="0" borderId="0" xfId="49" applyFont="1" applyFill="1" applyBorder="1" applyAlignment="1">
      <alignment vertical="center"/>
    </xf>
    <xf numFmtId="0" fontId="16" fillId="0" borderId="0" xfId="0" applyFont="1" applyFill="1" applyAlignment="1">
      <alignment vertical="center"/>
    </xf>
    <xf numFmtId="0" fontId="16" fillId="0" borderId="0" xfId="0" applyFont="1" applyFill="1" applyAlignment="1" applyProtection="1">
      <alignment vertical="center"/>
      <protection locked="0"/>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8" fillId="0" borderId="0" xfId="0" applyFont="1" applyFill="1" applyAlignment="1">
      <alignment horizontal="center" vertical="center"/>
    </xf>
    <xf numFmtId="0" fontId="9" fillId="0" borderId="0" xfId="0" applyNumberFormat="1" applyFont="1" applyFill="1" applyAlignment="1">
      <alignment vertical="center"/>
    </xf>
    <xf numFmtId="0" fontId="9" fillId="32" borderId="28" xfId="0" applyNumberFormat="1" applyFont="1" applyFill="1" applyBorder="1" applyAlignment="1" applyProtection="1">
      <alignment horizontal="right" vertical="center"/>
      <protection locked="0"/>
    </xf>
    <xf numFmtId="0" fontId="9" fillId="32" borderId="42" xfId="0" applyNumberFormat="1" applyFont="1" applyFill="1" applyBorder="1" applyAlignment="1">
      <alignment horizontal="right" vertical="center"/>
    </xf>
    <xf numFmtId="0" fontId="9" fillId="32" borderId="48" xfId="0" applyNumberFormat="1" applyFont="1" applyFill="1" applyBorder="1" applyAlignment="1">
      <alignment horizontal="right" vertical="center"/>
    </xf>
    <xf numFmtId="0" fontId="4" fillId="0" borderId="0" xfId="0" applyNumberFormat="1" applyFont="1" applyBorder="1" applyAlignment="1">
      <alignment vertical="center"/>
    </xf>
    <xf numFmtId="0" fontId="34" fillId="0" borderId="0" xfId="65" applyFont="1" applyAlignment="1">
      <alignment vertical="center" wrapText="1"/>
      <protection/>
    </xf>
    <xf numFmtId="0" fontId="4" fillId="0" borderId="0" xfId="65" applyFont="1" applyAlignment="1">
      <alignment vertical="center" shrinkToFit="1"/>
      <protection/>
    </xf>
    <xf numFmtId="0" fontId="31" fillId="35" borderId="62" xfId="0" applyFont="1" applyFill="1" applyBorder="1" applyAlignment="1" applyProtection="1">
      <alignment vertical="center" wrapText="1" shrinkToFit="1"/>
      <protection locked="0"/>
    </xf>
    <xf numFmtId="0" fontId="31" fillId="35" borderId="50" xfId="0" applyFont="1" applyFill="1" applyBorder="1" applyAlignment="1" applyProtection="1">
      <alignment vertical="center" shrinkToFit="1"/>
      <protection locked="0"/>
    </xf>
    <xf numFmtId="0" fontId="31" fillId="0" borderId="62" xfId="0" applyFont="1" applyFill="1" applyBorder="1" applyAlignment="1" applyProtection="1">
      <alignment vertical="center" wrapText="1" shrinkToFit="1"/>
      <protection locked="0"/>
    </xf>
    <xf numFmtId="0" fontId="31" fillId="0" borderId="50" xfId="0" applyFont="1" applyFill="1" applyBorder="1" applyAlignment="1" applyProtection="1">
      <alignment vertical="center" shrinkToFit="1"/>
      <protection locked="0"/>
    </xf>
    <xf numFmtId="0" fontId="31" fillId="0" borderId="74" xfId="0" applyFont="1" applyFill="1" applyBorder="1" applyAlignment="1" applyProtection="1">
      <alignment horizontal="center" vertical="center" wrapText="1" shrinkToFit="1"/>
      <protection locked="0"/>
    </xf>
    <xf numFmtId="0" fontId="9" fillId="0" borderId="68"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5" fillId="36" borderId="32" xfId="0" applyNumberFormat="1" applyFont="1" applyFill="1" applyBorder="1" applyAlignment="1">
      <alignment horizontal="center" vertical="center"/>
    </xf>
    <xf numFmtId="0" fontId="5" fillId="36" borderId="28" xfId="0" applyNumberFormat="1" applyFont="1" applyFill="1" applyBorder="1" applyAlignment="1">
      <alignment horizontal="center" vertical="center"/>
    </xf>
    <xf numFmtId="0" fontId="5" fillId="36" borderId="76" xfId="0" applyNumberFormat="1" applyFont="1" applyFill="1" applyBorder="1" applyAlignment="1">
      <alignment horizontal="center" vertical="center"/>
    </xf>
    <xf numFmtId="0" fontId="5" fillId="0" borderId="76" xfId="0" applyFont="1" applyFill="1" applyBorder="1" applyAlignment="1">
      <alignment horizontal="center" vertical="center"/>
    </xf>
    <xf numFmtId="177" fontId="5" fillId="0" borderId="67" xfId="0" applyNumberFormat="1" applyFont="1" applyFill="1" applyBorder="1" applyAlignment="1">
      <alignment vertical="center"/>
    </xf>
    <xf numFmtId="0" fontId="9" fillId="32" borderId="73" xfId="0" applyFont="1" applyFill="1" applyBorder="1" applyAlignment="1" applyProtection="1">
      <alignment horizontal="center" vertical="center" shrinkToFit="1"/>
      <protection locked="0"/>
    </xf>
    <xf numFmtId="177" fontId="5" fillId="0" borderId="33" xfId="0" applyNumberFormat="1" applyFont="1" applyFill="1" applyBorder="1" applyAlignment="1">
      <alignment horizontal="right" vertical="center"/>
    </xf>
    <xf numFmtId="0" fontId="4" fillId="0" borderId="0" xfId="65" applyFont="1" applyAlignment="1">
      <alignment/>
      <protection/>
    </xf>
    <xf numFmtId="0" fontId="6" fillId="0" borderId="0" xfId="65" applyAlignment="1">
      <alignment/>
      <protection/>
    </xf>
    <xf numFmtId="0" fontId="4" fillId="0" borderId="0" xfId="65" applyFont="1" applyAlignment="1">
      <alignment vertical="center"/>
      <protection/>
    </xf>
    <xf numFmtId="0" fontId="10" fillId="0" borderId="0" xfId="65" applyFont="1" applyAlignment="1">
      <alignment vertical="center"/>
      <protection/>
    </xf>
    <xf numFmtId="0" fontId="10" fillId="0" borderId="0" xfId="65" applyFont="1" applyFill="1" applyAlignment="1">
      <alignment vertical="center"/>
      <protection/>
    </xf>
    <xf numFmtId="0" fontId="34" fillId="0" borderId="0" xfId="65" applyFont="1" applyFill="1" applyAlignment="1">
      <alignment vertical="center"/>
      <protection/>
    </xf>
    <xf numFmtId="198" fontId="4" fillId="0" borderId="0" xfId="0" applyNumberFormat="1" applyFont="1" applyFill="1" applyAlignment="1">
      <alignment vertical="center" wrapText="1"/>
    </xf>
    <xf numFmtId="0" fontId="4" fillId="0" borderId="0" xfId="65" applyFont="1" applyFill="1" applyAlignment="1">
      <alignment vertical="center"/>
      <protection/>
    </xf>
    <xf numFmtId="0" fontId="10" fillId="0" borderId="0" xfId="65" applyFont="1" applyAlignment="1">
      <alignment horizontal="center" vertical="center"/>
      <protection/>
    </xf>
    <xf numFmtId="0" fontId="10" fillId="0" borderId="15"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13" xfId="0" applyFont="1" applyFill="1" applyBorder="1" applyAlignment="1">
      <alignment horizontal="right" vertical="center"/>
    </xf>
    <xf numFmtId="0" fontId="10" fillId="0" borderId="62" xfId="0" applyFont="1" applyFill="1" applyBorder="1" applyAlignment="1">
      <alignment horizontal="right" vertical="center"/>
    </xf>
    <xf numFmtId="0" fontId="10" fillId="0" borderId="6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2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18" xfId="0" applyFont="1" applyFill="1" applyBorder="1" applyAlignment="1">
      <alignment horizontal="right" vertical="center"/>
    </xf>
    <xf numFmtId="0" fontId="10" fillId="0" borderId="46" xfId="0" applyFont="1" applyFill="1" applyBorder="1" applyAlignment="1">
      <alignment horizontal="right" vertical="center"/>
    </xf>
    <xf numFmtId="0" fontId="10" fillId="0" borderId="5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37" borderId="57" xfId="0" applyFont="1" applyFill="1" applyBorder="1" applyAlignment="1">
      <alignment horizontal="center" vertical="center" wrapText="1"/>
    </xf>
    <xf numFmtId="0" fontId="0" fillId="0" borderId="0" xfId="0" applyBorder="1" applyAlignment="1">
      <alignment vertical="center" shrinkToFit="1"/>
    </xf>
    <xf numFmtId="0" fontId="15" fillId="0" borderId="24" xfId="0" applyFont="1" applyFill="1" applyBorder="1" applyAlignment="1">
      <alignment horizontal="right" vertical="center"/>
    </xf>
    <xf numFmtId="38" fontId="15" fillId="3" borderId="0" xfId="49" applyFont="1" applyFill="1" applyBorder="1" applyAlignment="1">
      <alignment vertical="center"/>
    </xf>
    <xf numFmtId="0" fontId="14" fillId="0" borderId="0" xfId="0" applyFont="1" applyBorder="1" applyAlignment="1">
      <alignment horizontal="distributed" vertical="center"/>
    </xf>
    <xf numFmtId="0" fontId="15" fillId="0" borderId="0" xfId="0" applyFont="1" applyFill="1" applyBorder="1" applyAlignment="1">
      <alignment vertical="center" shrinkToFit="1"/>
    </xf>
    <xf numFmtId="38" fontId="15" fillId="3" borderId="42" xfId="49" applyFont="1" applyFill="1" applyBorder="1" applyAlignment="1">
      <alignment vertical="center"/>
    </xf>
    <xf numFmtId="38" fontId="15" fillId="3" borderId="41" xfId="49" applyFont="1" applyFill="1" applyBorder="1" applyAlignment="1">
      <alignment vertical="center"/>
    </xf>
    <xf numFmtId="0" fontId="9" fillId="0" borderId="0" xfId="65" applyFont="1" applyAlignment="1">
      <alignment horizontal="center" vertical="center"/>
      <protection/>
    </xf>
    <xf numFmtId="49" fontId="36" fillId="0" borderId="0" xfId="65" applyNumberFormat="1" applyFont="1" applyAlignment="1">
      <alignment horizontal="right" vertical="center"/>
      <protection/>
    </xf>
    <xf numFmtId="38" fontId="10" fillId="0" borderId="0" xfId="49" applyFont="1" applyFill="1" applyAlignment="1">
      <alignment horizontal="right" vertical="center"/>
    </xf>
    <xf numFmtId="38" fontId="34" fillId="0" borderId="0" xfId="49" applyFont="1" applyAlignment="1">
      <alignment horizontal="right"/>
    </xf>
    <xf numFmtId="38" fontId="34" fillId="0" borderId="0" xfId="49" applyFont="1" applyFill="1" applyAlignment="1">
      <alignment horizontal="right" vertical="center"/>
    </xf>
    <xf numFmtId="38" fontId="15" fillId="0" borderId="62" xfId="49" applyFont="1" applyFill="1" applyBorder="1" applyAlignment="1">
      <alignment vertical="center"/>
    </xf>
    <xf numFmtId="38" fontId="15" fillId="0" borderId="63" xfId="49" applyFont="1" applyFill="1" applyBorder="1" applyAlignment="1">
      <alignment vertical="center"/>
    </xf>
    <xf numFmtId="38" fontId="15" fillId="0" borderId="19" xfId="49" applyFont="1" applyFill="1" applyBorder="1" applyAlignment="1">
      <alignment vertical="center"/>
    </xf>
    <xf numFmtId="38" fontId="15" fillId="0" borderId="48" xfId="49" applyFont="1" applyFill="1" applyBorder="1" applyAlignment="1">
      <alignment vertical="center"/>
    </xf>
    <xf numFmtId="38" fontId="15" fillId="0" borderId="36" xfId="49" applyFont="1" applyFill="1" applyBorder="1" applyAlignment="1">
      <alignment vertical="center"/>
    </xf>
    <xf numFmtId="38" fontId="15" fillId="0" borderId="64" xfId="49" applyFont="1" applyFill="1" applyBorder="1" applyAlignment="1">
      <alignment vertical="center"/>
    </xf>
    <xf numFmtId="38" fontId="15" fillId="0" borderId="22" xfId="49" applyFont="1" applyFill="1" applyBorder="1" applyAlignment="1">
      <alignment vertical="center"/>
    </xf>
    <xf numFmtId="38" fontId="15" fillId="0" borderId="82" xfId="49" applyFont="1" applyFill="1" applyBorder="1" applyAlignment="1">
      <alignment vertical="center"/>
    </xf>
    <xf numFmtId="38" fontId="15" fillId="0" borderId="51" xfId="49" applyFont="1" applyBorder="1" applyAlignment="1">
      <alignment vertical="center"/>
    </xf>
    <xf numFmtId="38" fontId="15" fillId="0" borderId="49" xfId="49" applyFont="1" applyFill="1" applyBorder="1" applyAlignment="1">
      <alignment vertical="center"/>
    </xf>
    <xf numFmtId="38" fontId="15" fillId="0" borderId="51" xfId="49" applyFont="1" applyFill="1" applyBorder="1" applyAlignment="1">
      <alignment vertical="center"/>
    </xf>
    <xf numFmtId="38" fontId="15" fillId="0" borderId="79" xfId="49" applyFont="1" applyFill="1" applyBorder="1" applyAlignment="1">
      <alignment vertical="center"/>
    </xf>
    <xf numFmtId="38" fontId="15" fillId="0" borderId="70" xfId="49" applyFont="1" applyFill="1" applyBorder="1" applyAlignment="1">
      <alignment vertical="center"/>
    </xf>
    <xf numFmtId="38" fontId="15" fillId="0" borderId="21" xfId="49" applyFont="1" applyFill="1" applyBorder="1" applyAlignment="1">
      <alignment vertical="center"/>
    </xf>
    <xf numFmtId="38" fontId="15" fillId="0" borderId="47" xfId="49" applyFont="1" applyFill="1" applyBorder="1" applyAlignment="1">
      <alignment vertical="center"/>
    </xf>
    <xf numFmtId="38" fontId="15" fillId="0" borderId="75" xfId="49" applyFont="1" applyFill="1" applyBorder="1" applyAlignment="1">
      <alignment vertical="center"/>
    </xf>
    <xf numFmtId="38" fontId="15" fillId="0" borderId="62" xfId="49" applyFont="1" applyBorder="1" applyAlignment="1">
      <alignment vertical="center"/>
    </xf>
    <xf numFmtId="38" fontId="15" fillId="0" borderId="36" xfId="49" applyFont="1" applyBorder="1" applyAlignment="1">
      <alignment vertical="center"/>
    </xf>
    <xf numFmtId="38" fontId="15" fillId="3" borderId="83" xfId="49" applyFont="1" applyFill="1" applyBorder="1" applyAlignment="1">
      <alignment vertical="center"/>
    </xf>
    <xf numFmtId="38" fontId="15" fillId="35" borderId="62" xfId="49" applyFont="1" applyFill="1" applyBorder="1" applyAlignment="1">
      <alignment vertical="center"/>
    </xf>
    <xf numFmtId="38" fontId="15" fillId="35" borderId="63" xfId="49" applyFont="1" applyFill="1" applyBorder="1" applyAlignment="1">
      <alignment vertical="center"/>
    </xf>
    <xf numFmtId="38" fontId="15" fillId="35" borderId="36" xfId="49" applyFont="1" applyFill="1" applyBorder="1" applyAlignment="1">
      <alignment vertical="center"/>
    </xf>
    <xf numFmtId="38" fontId="15" fillId="35" borderId="64" xfId="49" applyFont="1" applyFill="1" applyBorder="1" applyAlignment="1">
      <alignment vertical="center"/>
    </xf>
    <xf numFmtId="38" fontId="15" fillId="35" borderId="75" xfId="49" applyFont="1" applyFill="1" applyBorder="1" applyAlignment="1">
      <alignment vertical="center"/>
    </xf>
    <xf numFmtId="38" fontId="15" fillId="35" borderId="83" xfId="49" applyFont="1" applyFill="1" applyBorder="1" applyAlignment="1">
      <alignment vertical="center"/>
    </xf>
    <xf numFmtId="0" fontId="10" fillId="38" borderId="13" xfId="0" applyFont="1" applyFill="1" applyBorder="1" applyAlignment="1">
      <alignment horizontal="center" vertical="center" wrapText="1"/>
    </xf>
    <xf numFmtId="0" fontId="10" fillId="38" borderId="15" xfId="0" applyFont="1" applyFill="1" applyBorder="1" applyAlignment="1">
      <alignment horizontal="center" vertical="center" wrapText="1"/>
    </xf>
    <xf numFmtId="0" fontId="10" fillId="38" borderId="0" xfId="0" applyFont="1" applyFill="1" applyBorder="1" applyAlignment="1">
      <alignment horizontal="right" vertical="center"/>
    </xf>
    <xf numFmtId="38" fontId="15" fillId="38" borderId="41" xfId="49" applyFont="1" applyFill="1" applyBorder="1" applyAlignment="1">
      <alignment vertical="center"/>
    </xf>
    <xf numFmtId="38" fontId="15" fillId="38" borderId="42" xfId="49" applyFont="1" applyFill="1" applyBorder="1" applyAlignment="1">
      <alignment vertical="center"/>
    </xf>
    <xf numFmtId="38" fontId="15" fillId="38" borderId="52" xfId="49" applyFont="1" applyFill="1" applyBorder="1" applyAlignment="1">
      <alignment vertical="center"/>
    </xf>
    <xf numFmtId="38" fontId="15" fillId="38" borderId="40" xfId="49" applyFont="1" applyFill="1" applyBorder="1" applyAlignment="1">
      <alignment vertical="center"/>
    </xf>
    <xf numFmtId="38" fontId="15" fillId="35" borderId="13" xfId="49" applyFont="1" applyFill="1" applyBorder="1" applyAlignment="1">
      <alignment vertical="center"/>
    </xf>
    <xf numFmtId="38" fontId="15" fillId="0" borderId="60" xfId="49" applyFont="1" applyFill="1" applyBorder="1" applyAlignment="1">
      <alignment vertical="center"/>
    </xf>
    <xf numFmtId="38" fontId="15" fillId="0" borderId="84" xfId="49" applyFont="1" applyFill="1" applyBorder="1" applyAlignment="1">
      <alignment vertical="center"/>
    </xf>
    <xf numFmtId="38" fontId="15" fillId="0" borderId="23" xfId="49" applyFont="1" applyFill="1" applyBorder="1" applyAlignment="1">
      <alignment horizontal="right" vertical="center"/>
    </xf>
    <xf numFmtId="38" fontId="15" fillId="0" borderId="74" xfId="49" applyFont="1" applyFill="1" applyBorder="1" applyAlignment="1">
      <alignment vertical="center"/>
    </xf>
    <xf numFmtId="38" fontId="15" fillId="0" borderId="13" xfId="49" applyFont="1" applyFill="1" applyBorder="1" applyAlignment="1">
      <alignment vertical="center"/>
    </xf>
    <xf numFmtId="38" fontId="15" fillId="0" borderId="23" xfId="49" applyFont="1" applyFill="1" applyBorder="1" applyAlignment="1">
      <alignment vertical="center"/>
    </xf>
    <xf numFmtId="38" fontId="15" fillId="0" borderId="53" xfId="49" applyFont="1" applyFill="1" applyBorder="1" applyAlignment="1">
      <alignment vertical="center"/>
    </xf>
    <xf numFmtId="38" fontId="15" fillId="0" borderId="31" xfId="49" applyFont="1" applyFill="1" applyBorder="1" applyAlignment="1">
      <alignment vertical="center"/>
    </xf>
    <xf numFmtId="176" fontId="5" fillId="0" borderId="85" xfId="0" applyNumberFormat="1" applyFont="1" applyFill="1" applyBorder="1" applyAlignment="1">
      <alignment horizontal="right" vertical="center"/>
    </xf>
    <xf numFmtId="38" fontId="9" fillId="32" borderId="60" xfId="49" applyFont="1" applyFill="1" applyBorder="1" applyAlignment="1" applyProtection="1">
      <alignment vertical="center"/>
      <protection locked="0"/>
    </xf>
    <xf numFmtId="38" fontId="9" fillId="32" borderId="62" xfId="49" applyFont="1" applyFill="1" applyBorder="1" applyAlignment="1" applyProtection="1">
      <alignment vertical="center"/>
      <protection locked="0"/>
    </xf>
    <xf numFmtId="38" fontId="9" fillId="32" borderId="53" xfId="49" applyFont="1" applyFill="1" applyBorder="1" applyAlignment="1" applyProtection="1">
      <alignment vertical="center"/>
      <protection locked="0"/>
    </xf>
    <xf numFmtId="38" fontId="9" fillId="32" borderId="50" xfId="49" applyFont="1" applyFill="1" applyBorder="1" applyAlignment="1" applyProtection="1">
      <alignment vertical="center"/>
      <protection locked="0"/>
    </xf>
    <xf numFmtId="38" fontId="9" fillId="32" borderId="27" xfId="49" applyFont="1" applyFill="1" applyBorder="1" applyAlignment="1" applyProtection="1">
      <alignment horizontal="right" vertical="center"/>
      <protection locked="0"/>
    </xf>
    <xf numFmtId="38" fontId="81" fillId="0" borderId="19" xfId="49" applyFont="1" applyFill="1" applyBorder="1" applyAlignment="1">
      <alignment vertical="center"/>
    </xf>
    <xf numFmtId="38" fontId="81" fillId="0" borderId="78" xfId="49" applyFont="1" applyFill="1" applyBorder="1" applyAlignment="1">
      <alignment vertical="center"/>
    </xf>
    <xf numFmtId="38" fontId="81" fillId="0" borderId="18" xfId="49" applyFont="1" applyFill="1" applyBorder="1" applyAlignment="1">
      <alignment vertical="center"/>
    </xf>
    <xf numFmtId="38" fontId="5" fillId="0" borderId="46" xfId="49" applyFont="1" applyFill="1" applyBorder="1" applyAlignment="1">
      <alignment horizontal="right" vertical="center"/>
    </xf>
    <xf numFmtId="38" fontId="5" fillId="0" borderId="48" xfId="49" applyFont="1" applyFill="1" applyBorder="1" applyAlignment="1">
      <alignment horizontal="right" vertical="center"/>
    </xf>
    <xf numFmtId="38" fontId="5" fillId="0" borderId="54" xfId="49" applyFont="1" applyFill="1" applyBorder="1" applyAlignment="1">
      <alignment horizontal="right" vertical="center"/>
    </xf>
    <xf numFmtId="38" fontId="5" fillId="0" borderId="33" xfId="49" applyFont="1" applyFill="1" applyBorder="1" applyAlignment="1">
      <alignment vertical="center"/>
    </xf>
    <xf numFmtId="38" fontId="5" fillId="0" borderId="28" xfId="49" applyFont="1" applyFill="1" applyBorder="1" applyAlignment="1">
      <alignment vertical="center"/>
    </xf>
    <xf numFmtId="38" fontId="5" fillId="0" borderId="42" xfId="49" applyFont="1" applyFill="1" applyBorder="1" applyAlignment="1">
      <alignment vertical="center"/>
    </xf>
    <xf numFmtId="38" fontId="5" fillId="0" borderId="27" xfId="49" applyFont="1" applyFill="1" applyBorder="1" applyAlignment="1">
      <alignment vertical="center"/>
    </xf>
    <xf numFmtId="38" fontId="9" fillId="32" borderId="27" xfId="49" applyFont="1" applyFill="1" applyBorder="1" applyAlignment="1" applyProtection="1">
      <alignment vertical="center"/>
      <protection locked="0"/>
    </xf>
    <xf numFmtId="38" fontId="5" fillId="0" borderId="67" xfId="49" applyFont="1" applyFill="1" applyBorder="1" applyAlignment="1">
      <alignment vertical="center"/>
    </xf>
    <xf numFmtId="38" fontId="5" fillId="0" borderId="20" xfId="49" applyFont="1" applyFill="1" applyBorder="1" applyAlignment="1">
      <alignment vertical="center" shrinkToFit="1"/>
    </xf>
    <xf numFmtId="38" fontId="5" fillId="0" borderId="32" xfId="49" applyFont="1" applyFill="1" applyBorder="1" applyAlignment="1">
      <alignment horizontal="right" vertical="center"/>
    </xf>
    <xf numFmtId="38" fontId="5" fillId="0" borderId="32" xfId="49" applyFont="1" applyFill="1" applyBorder="1" applyAlignment="1">
      <alignment horizontal="center" vertical="center"/>
    </xf>
    <xf numFmtId="38" fontId="9" fillId="32" borderId="34" xfId="49" applyFont="1" applyFill="1" applyBorder="1" applyAlignment="1" applyProtection="1">
      <alignment horizontal="center" vertical="center" shrinkToFit="1"/>
      <protection locked="0"/>
    </xf>
    <xf numFmtId="38" fontId="5" fillId="33" borderId="32" xfId="49" applyFont="1" applyFill="1" applyBorder="1" applyAlignment="1">
      <alignment horizontal="center" vertical="center"/>
    </xf>
    <xf numFmtId="38" fontId="5" fillId="33" borderId="37" xfId="49" applyFont="1" applyFill="1" applyBorder="1" applyAlignment="1">
      <alignment horizontal="center" vertical="center"/>
    </xf>
    <xf numFmtId="38" fontId="5" fillId="33" borderId="46" xfId="49" applyFont="1" applyFill="1" applyBorder="1" applyAlignment="1">
      <alignment horizontal="center" vertical="center"/>
    </xf>
    <xf numFmtId="38" fontId="5" fillId="33" borderId="18" xfId="49" applyFont="1" applyFill="1" applyBorder="1" applyAlignment="1">
      <alignment horizontal="center" vertical="center"/>
    </xf>
    <xf numFmtId="38" fontId="5" fillId="33" borderId="40" xfId="49" applyFont="1" applyFill="1" applyBorder="1" applyAlignment="1">
      <alignment horizontal="center" vertical="center"/>
    </xf>
    <xf numFmtId="38" fontId="5" fillId="33" borderId="83" xfId="49" applyFont="1" applyFill="1" applyBorder="1" applyAlignment="1">
      <alignment horizontal="center" vertical="center"/>
    </xf>
    <xf numFmtId="38" fontId="5" fillId="0" borderId="32" xfId="49" applyFont="1" applyFill="1" applyBorder="1" applyAlignment="1">
      <alignment vertical="center"/>
    </xf>
    <xf numFmtId="38" fontId="5" fillId="0" borderId="12" xfId="49" applyFont="1" applyFill="1" applyBorder="1" applyAlignment="1">
      <alignment horizontal="right" vertical="center"/>
    </xf>
    <xf numFmtId="38" fontId="5" fillId="0" borderId="35" xfId="49" applyFont="1" applyFill="1" applyBorder="1" applyAlignment="1">
      <alignment horizontal="center" vertical="center"/>
    </xf>
    <xf numFmtId="38" fontId="5" fillId="0" borderId="47" xfId="49" applyFont="1" applyFill="1" applyBorder="1" applyAlignment="1">
      <alignment horizontal="right" vertical="center"/>
    </xf>
    <xf numFmtId="38" fontId="5" fillId="0" borderId="26" xfId="49" applyFont="1" applyFill="1" applyBorder="1" applyAlignment="1">
      <alignment vertical="center"/>
    </xf>
    <xf numFmtId="38" fontId="9" fillId="32" borderId="35" xfId="49" applyFont="1" applyFill="1" applyBorder="1" applyAlignment="1" applyProtection="1">
      <alignment horizontal="center" vertical="center" shrinkToFit="1"/>
      <protection locked="0"/>
    </xf>
    <xf numFmtId="38" fontId="9" fillId="32" borderId="86" xfId="49" applyFont="1" applyFill="1" applyBorder="1" applyAlignment="1" applyProtection="1">
      <alignment horizontal="center" vertical="center" shrinkToFit="1"/>
      <protection locked="0"/>
    </xf>
    <xf numFmtId="38" fontId="9" fillId="32" borderId="63" xfId="49" applyFont="1" applyFill="1" applyBorder="1" applyAlignment="1" applyProtection="1">
      <alignment horizontal="center" vertical="center" shrinkToFit="1"/>
      <protection locked="0"/>
    </xf>
    <xf numFmtId="38" fontId="5" fillId="33" borderId="35" xfId="49" applyFont="1" applyFill="1" applyBorder="1" applyAlignment="1">
      <alignment horizontal="center" vertical="center"/>
    </xf>
    <xf numFmtId="38" fontId="5" fillId="33" borderId="38" xfId="49" applyFont="1" applyFill="1" applyBorder="1" applyAlignment="1">
      <alignment horizontal="center" vertical="center"/>
    </xf>
    <xf numFmtId="38" fontId="5" fillId="33" borderId="47" xfId="49" applyFont="1" applyFill="1" applyBorder="1" applyAlignment="1">
      <alignment horizontal="center" vertical="center"/>
    </xf>
    <xf numFmtId="38" fontId="5" fillId="33" borderId="19" xfId="49" applyFont="1" applyFill="1" applyBorder="1" applyAlignment="1">
      <alignment horizontal="center" vertical="center"/>
    </xf>
    <xf numFmtId="38" fontId="5" fillId="33" borderId="42" xfId="49" applyFont="1" applyFill="1" applyBorder="1" applyAlignment="1">
      <alignment horizontal="center" vertical="center"/>
    </xf>
    <xf numFmtId="38" fontId="5" fillId="33" borderId="64" xfId="49" applyFont="1" applyFill="1" applyBorder="1" applyAlignment="1">
      <alignment horizontal="center" vertical="center"/>
    </xf>
    <xf numFmtId="38" fontId="5" fillId="0" borderId="35" xfId="49" applyFont="1" applyFill="1" applyBorder="1" applyAlignment="1">
      <alignment vertical="center"/>
    </xf>
    <xf numFmtId="38" fontId="5" fillId="0" borderId="28" xfId="49" applyFont="1" applyFill="1" applyBorder="1" applyAlignment="1">
      <alignment horizontal="right" vertical="center"/>
    </xf>
    <xf numFmtId="38" fontId="5" fillId="0" borderId="28" xfId="49" applyFont="1" applyFill="1" applyBorder="1" applyAlignment="1">
      <alignment horizontal="center" vertical="center"/>
    </xf>
    <xf numFmtId="38" fontId="9" fillId="32" borderId="36" xfId="49" applyFont="1" applyFill="1" applyBorder="1" applyAlignment="1" applyProtection="1">
      <alignment horizontal="center" vertical="center" shrinkToFit="1"/>
      <protection locked="0"/>
    </xf>
    <xf numFmtId="38" fontId="5" fillId="33" borderId="28" xfId="49" applyFont="1" applyFill="1" applyBorder="1" applyAlignment="1">
      <alignment horizontal="center" vertical="center"/>
    </xf>
    <xf numFmtId="38" fontId="5" fillId="33" borderId="39" xfId="49" applyFont="1" applyFill="1" applyBorder="1" applyAlignment="1">
      <alignment horizontal="center" vertical="center"/>
    </xf>
    <xf numFmtId="38" fontId="5" fillId="33" borderId="48" xfId="49" applyFont="1" applyFill="1" applyBorder="1" applyAlignment="1">
      <alignment horizontal="center" vertical="center"/>
    </xf>
    <xf numFmtId="38" fontId="5" fillId="33" borderId="78" xfId="49" applyFont="1" applyFill="1" applyBorder="1" applyAlignment="1">
      <alignment horizontal="center" vertical="center"/>
    </xf>
    <xf numFmtId="38" fontId="5" fillId="33" borderId="77" xfId="49" applyFont="1" applyFill="1" applyBorder="1" applyAlignment="1">
      <alignment horizontal="center" vertical="center"/>
    </xf>
    <xf numFmtId="38" fontId="5" fillId="33" borderId="43" xfId="49" applyFont="1" applyFill="1" applyBorder="1" applyAlignment="1">
      <alignment horizontal="center" vertical="center"/>
    </xf>
    <xf numFmtId="38" fontId="5" fillId="33" borderId="44" xfId="49" applyFont="1" applyFill="1" applyBorder="1" applyAlignment="1">
      <alignment horizontal="center" vertical="center"/>
    </xf>
    <xf numFmtId="38" fontId="5" fillId="33" borderId="41" xfId="49" applyFont="1" applyFill="1" applyBorder="1" applyAlignment="1">
      <alignment horizontal="center" vertical="center"/>
    </xf>
    <xf numFmtId="38" fontId="5" fillId="33" borderId="21" xfId="49" applyFont="1" applyFill="1" applyBorder="1" applyAlignment="1">
      <alignment horizontal="center" vertical="center"/>
    </xf>
    <xf numFmtId="38" fontId="5" fillId="33" borderId="63" xfId="49" applyFont="1" applyFill="1" applyBorder="1" applyAlignment="1">
      <alignment horizontal="center" vertical="center"/>
    </xf>
    <xf numFmtId="38" fontId="5" fillId="33" borderId="45" xfId="49" applyFont="1" applyFill="1" applyBorder="1" applyAlignment="1">
      <alignment horizontal="center" vertical="center"/>
    </xf>
    <xf numFmtId="38" fontId="5" fillId="0" borderId="68" xfId="49" applyFont="1" applyFill="1" applyBorder="1" applyAlignment="1">
      <alignment horizontal="center" vertical="center" shrinkToFit="1"/>
    </xf>
    <xf numFmtId="38" fontId="5" fillId="0" borderId="51" xfId="49" applyFont="1" applyFill="1" applyBorder="1" applyAlignment="1">
      <alignment horizontal="center" vertical="center" shrinkToFit="1"/>
    </xf>
    <xf numFmtId="38" fontId="5" fillId="0" borderId="49" xfId="49" applyFont="1" applyFill="1" applyBorder="1" applyAlignment="1">
      <alignment horizontal="center" vertical="center" shrinkToFit="1"/>
    </xf>
    <xf numFmtId="38" fontId="5" fillId="0" borderId="69" xfId="49" applyFont="1" applyFill="1" applyBorder="1" applyAlignment="1">
      <alignment horizontal="center" vertical="center" shrinkToFit="1"/>
    </xf>
    <xf numFmtId="38" fontId="5" fillId="0" borderId="70" xfId="49" applyFont="1" applyFill="1" applyBorder="1" applyAlignment="1">
      <alignment horizontal="center" vertical="center" shrinkToFit="1"/>
    </xf>
    <xf numFmtId="38" fontId="5" fillId="0" borderId="71" xfId="49" applyFont="1" applyFill="1" applyBorder="1" applyAlignment="1">
      <alignment horizontal="center" vertical="center" shrinkToFit="1"/>
    </xf>
    <xf numFmtId="38" fontId="5" fillId="0" borderId="52" xfId="49" applyFont="1" applyFill="1" applyBorder="1" applyAlignment="1">
      <alignment horizontal="center" vertical="center" shrinkToFit="1"/>
    </xf>
    <xf numFmtId="38" fontId="5" fillId="0" borderId="79" xfId="49" applyFont="1" applyFill="1" applyBorder="1" applyAlignment="1">
      <alignment horizontal="center" vertical="center" shrinkToFit="1"/>
    </xf>
    <xf numFmtId="38" fontId="9" fillId="35" borderId="33" xfId="49" applyFont="1" applyFill="1" applyBorder="1" applyAlignment="1" applyProtection="1">
      <alignment horizontal="center" vertical="center"/>
      <protection locked="0"/>
    </xf>
    <xf numFmtId="38" fontId="9" fillId="32" borderId="40" xfId="49" applyFont="1" applyFill="1" applyBorder="1" applyAlignment="1" applyProtection="1">
      <alignment horizontal="right" vertical="center"/>
      <protection locked="0"/>
    </xf>
    <xf numFmtId="38" fontId="9" fillId="35" borderId="27" xfId="49" applyFont="1" applyFill="1" applyBorder="1" applyAlignment="1" applyProtection="1">
      <alignment horizontal="center" vertical="center"/>
      <protection locked="0"/>
    </xf>
    <xf numFmtId="38" fontId="9" fillId="32" borderId="42" xfId="49" applyFont="1" applyFill="1" applyBorder="1" applyAlignment="1" applyProtection="1">
      <alignment horizontal="right" vertical="center"/>
      <protection locked="0"/>
    </xf>
    <xf numFmtId="38" fontId="9" fillId="35" borderId="67" xfId="49" applyFont="1" applyFill="1" applyBorder="1" applyAlignment="1" applyProtection="1">
      <alignment horizontal="center" vertical="center"/>
      <protection locked="0"/>
    </xf>
    <xf numFmtId="38" fontId="9" fillId="32" borderId="77" xfId="49" applyFont="1" applyFill="1" applyBorder="1" applyAlignment="1" applyProtection="1">
      <alignment horizontal="right" vertical="center"/>
      <protection locked="0"/>
    </xf>
    <xf numFmtId="38" fontId="9" fillId="0" borderId="14" xfId="49" applyFont="1" applyFill="1" applyBorder="1" applyAlignment="1">
      <alignment horizontal="center" vertical="center" shrinkToFit="1"/>
    </xf>
    <xf numFmtId="38" fontId="5" fillId="0" borderId="13" xfId="49" applyFont="1" applyFill="1" applyBorder="1" applyAlignment="1" applyProtection="1">
      <alignment vertical="center"/>
      <protection/>
    </xf>
    <xf numFmtId="38" fontId="5" fillId="0" borderId="59" xfId="49" applyFont="1" applyFill="1" applyBorder="1" applyAlignment="1">
      <alignment vertical="center"/>
    </xf>
    <xf numFmtId="38" fontId="5" fillId="0" borderId="59" xfId="49" applyFont="1" applyFill="1" applyBorder="1" applyAlignment="1" applyProtection="1">
      <alignment vertical="center"/>
      <protection/>
    </xf>
    <xf numFmtId="38" fontId="5" fillId="0" borderId="15" xfId="49" applyFont="1" applyFill="1" applyBorder="1" applyAlignment="1" applyProtection="1">
      <alignment vertical="center"/>
      <protection/>
    </xf>
    <xf numFmtId="38" fontId="5" fillId="0" borderId="24" xfId="49" applyFont="1" applyFill="1" applyBorder="1" applyAlignment="1">
      <alignment vertical="center"/>
    </xf>
    <xf numFmtId="38" fontId="5" fillId="0" borderId="24" xfId="49" applyFont="1" applyFill="1" applyBorder="1" applyAlignment="1" applyProtection="1">
      <alignment vertical="center"/>
      <protection/>
    </xf>
    <xf numFmtId="38" fontId="9" fillId="35" borderId="60" xfId="49" applyFont="1" applyFill="1" applyBorder="1" applyAlignment="1" applyProtection="1">
      <alignment vertical="center"/>
      <protection locked="0"/>
    </xf>
    <xf numFmtId="38" fontId="9" fillId="35" borderId="62" xfId="49" applyFont="1" applyFill="1" applyBorder="1" applyAlignment="1" applyProtection="1">
      <alignment vertical="center"/>
      <protection locked="0"/>
    </xf>
    <xf numFmtId="38" fontId="9" fillId="35" borderId="53" xfId="49" applyFont="1" applyFill="1" applyBorder="1" applyAlignment="1" applyProtection="1">
      <alignment vertical="center"/>
      <protection locked="0"/>
    </xf>
    <xf numFmtId="38" fontId="9" fillId="35" borderId="50" xfId="49" applyFont="1" applyFill="1" applyBorder="1" applyAlignment="1" applyProtection="1">
      <alignment vertical="center"/>
      <protection locked="0"/>
    </xf>
    <xf numFmtId="38" fontId="15" fillId="37" borderId="51" xfId="49" applyFont="1" applyFill="1" applyBorder="1" applyAlignment="1">
      <alignment vertical="center"/>
    </xf>
    <xf numFmtId="0" fontId="10" fillId="0" borderId="12" xfId="0" applyFont="1" applyBorder="1" applyAlignment="1">
      <alignment horizontal="center" vertical="center" wrapText="1"/>
    </xf>
    <xf numFmtId="0" fontId="14" fillId="0" borderId="16" xfId="0" applyFont="1" applyBorder="1" applyAlignment="1" quotePrefix="1">
      <alignment horizontal="center" vertical="center" wrapText="1"/>
    </xf>
    <xf numFmtId="0" fontId="10" fillId="0" borderId="65" xfId="0" applyFont="1" applyBorder="1" applyAlignment="1">
      <alignment horizontal="center" vertical="center" wrapText="1"/>
    </xf>
    <xf numFmtId="0" fontId="82" fillId="0" borderId="66" xfId="0" applyFont="1" applyBorder="1" applyAlignment="1" quotePrefix="1">
      <alignment horizontal="center" vertical="center" wrapText="1"/>
    </xf>
    <xf numFmtId="0" fontId="10" fillId="0" borderId="59" xfId="0" applyFont="1" applyBorder="1" applyAlignment="1">
      <alignment vertical="center" wrapText="1"/>
    </xf>
    <xf numFmtId="38" fontId="81" fillId="0" borderId="27" xfId="49" applyFont="1" applyFill="1" applyBorder="1" applyAlignment="1" applyProtection="1">
      <alignment vertical="center"/>
      <protection locked="0"/>
    </xf>
    <xf numFmtId="0" fontId="14" fillId="0" borderId="84" xfId="0" applyFont="1" applyBorder="1" applyAlignment="1">
      <alignment horizontal="center" vertical="center" wrapText="1"/>
    </xf>
    <xf numFmtId="0" fontId="10" fillId="0" borderId="59" xfId="0" applyFont="1" applyBorder="1" applyAlignment="1">
      <alignment horizontal="center" vertical="center" wrapText="1"/>
    </xf>
    <xf numFmtId="0" fontId="14" fillId="0" borderId="60" xfId="0" applyFont="1" applyBorder="1" applyAlignment="1" quotePrefix="1">
      <alignment horizontal="center" vertical="center" wrapText="1"/>
    </xf>
    <xf numFmtId="0" fontId="10" fillId="0" borderId="59" xfId="0" applyFont="1" applyBorder="1" applyAlignment="1">
      <alignment horizontal="center" vertical="center"/>
    </xf>
    <xf numFmtId="0" fontId="10" fillId="0" borderId="13" xfId="0" applyFont="1" applyBorder="1" applyAlignment="1">
      <alignment horizontal="center" vertical="center"/>
    </xf>
    <xf numFmtId="0" fontId="14" fillId="0" borderId="59" xfId="0" applyFont="1" applyBorder="1" applyAlignment="1">
      <alignment horizontal="center" vertical="center" wrapText="1"/>
    </xf>
    <xf numFmtId="0" fontId="10" fillId="3" borderId="59" xfId="0" applyFont="1" applyFill="1" applyBorder="1" applyAlignment="1">
      <alignment horizontal="center" vertical="center"/>
    </xf>
    <xf numFmtId="0" fontId="14" fillId="0" borderId="13" xfId="0" applyFont="1" applyBorder="1" applyAlignment="1">
      <alignment horizontal="center" vertical="center" wrapText="1"/>
    </xf>
    <xf numFmtId="0" fontId="82" fillId="0" borderId="16" xfId="0" applyFont="1" applyBorder="1" applyAlignment="1">
      <alignment horizontal="center" vertical="center" wrapText="1"/>
    </xf>
    <xf numFmtId="0" fontId="82"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0" fillId="0" borderId="25"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1" xfId="0" applyFont="1" applyBorder="1" applyAlignment="1">
      <alignment horizontal="center" vertical="center"/>
    </xf>
    <xf numFmtId="0" fontId="14" fillId="0" borderId="13" xfId="0" applyFont="1" applyBorder="1" applyAlignment="1">
      <alignment horizontal="center" vertical="center"/>
    </xf>
    <xf numFmtId="0" fontId="0" fillId="0" borderId="84" xfId="0" applyFont="1" applyFill="1" applyBorder="1" applyAlignment="1" applyProtection="1">
      <alignment horizontal="center" vertical="center" shrinkToFit="1"/>
      <protection locked="0"/>
    </xf>
    <xf numFmtId="0" fontId="10" fillId="0" borderId="0" xfId="0" applyFont="1" applyBorder="1" applyAlignment="1" quotePrefix="1">
      <alignment horizontal="center" vertical="center"/>
    </xf>
    <xf numFmtId="0" fontId="10" fillId="0" borderId="62" xfId="0" applyFont="1" applyFill="1" applyBorder="1" applyAlignment="1" quotePrefix="1">
      <alignment horizontal="center" vertical="center"/>
    </xf>
    <xf numFmtId="0" fontId="9" fillId="0" borderId="17" xfId="0" applyFont="1" applyFill="1" applyBorder="1" applyAlignment="1">
      <alignment horizontal="center" vertical="center" shrinkToFit="1"/>
    </xf>
    <xf numFmtId="177" fontId="9" fillId="0" borderId="17" xfId="0" applyNumberFormat="1" applyFont="1" applyFill="1" applyBorder="1" applyAlignment="1">
      <alignment horizontal="right" vertical="center" shrinkToFit="1"/>
    </xf>
    <xf numFmtId="177" fontId="9" fillId="0" borderId="87" xfId="0" applyNumberFormat="1" applyFont="1" applyFill="1" applyBorder="1" applyAlignment="1">
      <alignment horizontal="right" vertical="center" shrinkToFit="1"/>
    </xf>
    <xf numFmtId="191" fontId="9" fillId="0" borderId="31" xfId="0" applyNumberFormat="1" applyFont="1" applyFill="1" applyBorder="1" applyAlignment="1">
      <alignment horizontal="right" vertical="center" shrinkToFit="1"/>
    </xf>
    <xf numFmtId="38" fontId="9" fillId="0" borderId="50" xfId="49"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87" xfId="0" applyFont="1" applyFill="1" applyBorder="1" applyAlignment="1">
      <alignment horizontal="center" vertical="center" shrinkToFit="1"/>
    </xf>
    <xf numFmtId="38" fontId="9" fillId="0" borderId="14" xfId="49" applyFont="1" applyFill="1" applyBorder="1" applyAlignment="1">
      <alignment horizontal="right" vertical="center" shrinkToFit="1"/>
    </xf>
    <xf numFmtId="38" fontId="9" fillId="0" borderId="31" xfId="49" applyFont="1" applyFill="1" applyBorder="1" applyAlignment="1">
      <alignment horizontal="center" vertical="center" shrinkToFit="1"/>
    </xf>
    <xf numFmtId="38" fontId="5" fillId="0" borderId="17" xfId="49" applyFont="1" applyFill="1" applyBorder="1" applyAlignment="1">
      <alignment vertical="center" shrinkToFit="1"/>
    </xf>
    <xf numFmtId="38" fontId="5" fillId="0" borderId="50" xfId="49" applyFont="1" applyFill="1" applyBorder="1" applyAlignment="1">
      <alignment vertical="center" shrinkToFit="1"/>
    </xf>
    <xf numFmtId="38" fontId="5" fillId="0" borderId="15" xfId="49" applyFont="1" applyFill="1" applyBorder="1" applyAlignment="1">
      <alignment vertical="center" shrinkToFit="1"/>
    </xf>
    <xf numFmtId="38" fontId="5" fillId="0" borderId="24" xfId="49" applyFont="1" applyFill="1" applyBorder="1" applyAlignment="1">
      <alignment vertical="center" shrinkToFit="1"/>
    </xf>
    <xf numFmtId="38" fontId="5" fillId="3" borderId="24" xfId="49" applyFont="1" applyFill="1" applyBorder="1" applyAlignment="1">
      <alignment vertical="center" shrinkToFit="1"/>
    </xf>
    <xf numFmtId="38" fontId="9" fillId="32" borderId="36" xfId="49" applyFont="1" applyFill="1" applyBorder="1" applyAlignment="1">
      <alignment vertical="center"/>
    </xf>
    <xf numFmtId="38" fontId="9" fillId="32" borderId="34" xfId="49" applyFont="1" applyFill="1" applyBorder="1" applyAlignment="1">
      <alignment vertical="center"/>
    </xf>
    <xf numFmtId="38" fontId="9" fillId="32" borderId="73" xfId="49" applyFont="1" applyFill="1" applyBorder="1" applyAlignment="1">
      <alignment vertical="center"/>
    </xf>
    <xf numFmtId="38" fontId="5" fillId="3" borderId="40" xfId="49" applyFont="1" applyFill="1" applyBorder="1" applyAlignment="1">
      <alignment vertical="center"/>
    </xf>
    <xf numFmtId="38" fontId="5" fillId="3" borderId="42" xfId="49" applyFont="1" applyFill="1" applyBorder="1" applyAlignment="1">
      <alignment vertical="center"/>
    </xf>
    <xf numFmtId="38" fontId="5" fillId="3" borderId="77" xfId="49" applyFont="1" applyFill="1" applyBorder="1" applyAlignment="1">
      <alignment vertical="center"/>
    </xf>
    <xf numFmtId="38" fontId="81" fillId="0" borderId="33" xfId="49" applyFont="1" applyFill="1" applyBorder="1" applyAlignment="1" applyProtection="1">
      <alignment vertical="center"/>
      <protection locked="0"/>
    </xf>
    <xf numFmtId="38" fontId="81" fillId="0" borderId="67" xfId="49" applyFont="1" applyFill="1" applyBorder="1" applyAlignment="1" applyProtection="1">
      <alignment vertical="center"/>
      <protection locked="0"/>
    </xf>
    <xf numFmtId="38" fontId="5" fillId="0" borderId="37" xfId="49" applyFont="1" applyFill="1" applyBorder="1" applyAlignment="1">
      <alignment vertical="center"/>
    </xf>
    <xf numFmtId="38" fontId="5" fillId="0" borderId="39" xfId="49" applyFont="1" applyFill="1" applyBorder="1" applyAlignment="1">
      <alignment vertical="center"/>
    </xf>
    <xf numFmtId="38" fontId="5" fillId="0" borderId="88" xfId="49" applyFont="1" applyFill="1" applyBorder="1" applyAlignment="1">
      <alignment vertical="center"/>
    </xf>
    <xf numFmtId="38" fontId="81" fillId="0" borderId="40" xfId="49" applyFont="1" applyFill="1" applyBorder="1" applyAlignment="1" applyProtection="1">
      <alignment vertical="center"/>
      <protection locked="0"/>
    </xf>
    <xf numFmtId="38" fontId="81" fillId="0" borderId="42" xfId="49" applyFont="1" applyFill="1" applyBorder="1" applyAlignment="1" applyProtection="1">
      <alignment vertical="center"/>
      <protection locked="0"/>
    </xf>
    <xf numFmtId="38" fontId="81" fillId="0" borderId="77" xfId="49" applyFont="1" applyFill="1" applyBorder="1" applyAlignment="1" applyProtection="1">
      <alignment vertical="center"/>
      <protection locked="0"/>
    </xf>
    <xf numFmtId="38" fontId="5" fillId="0" borderId="40" xfId="49" applyFont="1" applyFill="1" applyBorder="1" applyAlignment="1">
      <alignment vertical="center"/>
    </xf>
    <xf numFmtId="38" fontId="5" fillId="0" borderId="77" xfId="49" applyFont="1" applyFill="1" applyBorder="1" applyAlignment="1">
      <alignment vertical="center"/>
    </xf>
    <xf numFmtId="38" fontId="9" fillId="32" borderId="33" xfId="49" applyFont="1" applyFill="1" applyBorder="1" applyAlignment="1" applyProtection="1">
      <alignment vertical="center"/>
      <protection locked="0"/>
    </xf>
    <xf numFmtId="38" fontId="9" fillId="32" borderId="67" xfId="49" applyFont="1" applyFill="1" applyBorder="1" applyAlignment="1" applyProtection="1">
      <alignment vertical="center"/>
      <protection locked="0"/>
    </xf>
    <xf numFmtId="38" fontId="5" fillId="0" borderId="43" xfId="49" applyFont="1" applyFill="1" applyBorder="1" applyAlignment="1">
      <alignment vertical="center"/>
    </xf>
    <xf numFmtId="38" fontId="5" fillId="0" borderId="45" xfId="49" applyFont="1" applyFill="1" applyBorder="1" applyAlignment="1">
      <alignment vertical="center"/>
    </xf>
    <xf numFmtId="38" fontId="5" fillId="0" borderId="89" xfId="49" applyFont="1" applyFill="1" applyBorder="1" applyAlignment="1">
      <alignment vertical="center"/>
    </xf>
    <xf numFmtId="38" fontId="5" fillId="0" borderId="37" xfId="49" applyFont="1" applyFill="1" applyBorder="1" applyAlignment="1">
      <alignment horizontal="right" vertical="center"/>
    </xf>
    <xf numFmtId="38" fontId="5" fillId="0" borderId="39" xfId="49" applyFont="1" applyFill="1" applyBorder="1" applyAlignment="1">
      <alignment horizontal="right" vertical="center"/>
    </xf>
    <xf numFmtId="38" fontId="5" fillId="0" borderId="88" xfId="49" applyFont="1" applyFill="1" applyBorder="1" applyAlignment="1">
      <alignment horizontal="right" vertical="center"/>
    </xf>
    <xf numFmtId="38" fontId="9" fillId="35" borderId="40" xfId="49" applyFont="1" applyFill="1" applyBorder="1" applyAlignment="1" applyProtection="1">
      <alignment horizontal="center" vertical="center"/>
      <protection locked="0"/>
    </xf>
    <xf numFmtId="38" fontId="9" fillId="35" borderId="42" xfId="49" applyFont="1" applyFill="1" applyBorder="1" applyAlignment="1" applyProtection="1">
      <alignment horizontal="center" vertical="center"/>
      <protection locked="0"/>
    </xf>
    <xf numFmtId="38" fontId="9" fillId="35" borderId="77" xfId="49" applyFont="1" applyFill="1" applyBorder="1" applyAlignment="1" applyProtection="1">
      <alignment horizontal="center" vertical="center"/>
      <protection locked="0"/>
    </xf>
    <xf numFmtId="38" fontId="81" fillId="0" borderId="46" xfId="49" applyFont="1" applyFill="1" applyBorder="1" applyAlignment="1">
      <alignment vertical="center"/>
    </xf>
    <xf numFmtId="38" fontId="81" fillId="0" borderId="48" xfId="49" applyFont="1" applyFill="1" applyBorder="1" applyAlignment="1">
      <alignment vertical="center"/>
    </xf>
    <xf numFmtId="38" fontId="81" fillId="0" borderId="54" xfId="49" applyFont="1" applyFill="1" applyBorder="1" applyAlignment="1">
      <alignment vertical="center"/>
    </xf>
    <xf numFmtId="192" fontId="9" fillId="32" borderId="18" xfId="0" applyNumberFormat="1" applyFont="1" applyFill="1" applyBorder="1" applyAlignment="1">
      <alignment vertical="center"/>
    </xf>
    <xf numFmtId="192" fontId="9" fillId="32" borderId="46" xfId="0" applyNumberFormat="1" applyFont="1" applyFill="1" applyBorder="1" applyAlignment="1">
      <alignment vertical="center"/>
    </xf>
    <xf numFmtId="192" fontId="9" fillId="32" borderId="19" xfId="0" applyNumberFormat="1" applyFont="1" applyFill="1" applyBorder="1" applyAlignment="1">
      <alignment vertical="center"/>
    </xf>
    <xf numFmtId="192" fontId="9" fillId="32" borderId="78" xfId="0" applyNumberFormat="1" applyFont="1" applyFill="1" applyBorder="1" applyAlignment="1">
      <alignment vertical="center"/>
    </xf>
    <xf numFmtId="191" fontId="81" fillId="0" borderId="37" xfId="0" applyNumberFormat="1" applyFont="1" applyFill="1" applyBorder="1" applyAlignment="1" applyProtection="1">
      <alignment horizontal="right" vertical="center"/>
      <protection locked="0"/>
    </xf>
    <xf numFmtId="191" fontId="81" fillId="0" borderId="39" xfId="0" applyNumberFormat="1" applyFont="1" applyFill="1" applyBorder="1" applyAlignment="1" applyProtection="1">
      <alignment horizontal="right" vertical="center"/>
      <protection locked="0"/>
    </xf>
    <xf numFmtId="191" fontId="81" fillId="0" borderId="88" xfId="0" applyNumberFormat="1" applyFont="1" applyFill="1" applyBorder="1" applyAlignment="1" applyProtection="1">
      <alignment horizontal="right" vertical="center"/>
      <protection locked="0"/>
    </xf>
    <xf numFmtId="177" fontId="9" fillId="32" borderId="43" xfId="0" applyNumberFormat="1" applyFont="1" applyFill="1" applyBorder="1" applyAlignment="1" applyProtection="1">
      <alignment horizontal="right" vertical="center"/>
      <protection locked="0"/>
    </xf>
    <xf numFmtId="177" fontId="9" fillId="32" borderId="45" xfId="0" applyNumberFormat="1" applyFont="1" applyFill="1" applyBorder="1" applyAlignment="1" applyProtection="1">
      <alignment horizontal="right" vertical="center"/>
      <protection locked="0"/>
    </xf>
    <xf numFmtId="177" fontId="9" fillId="32" borderId="89" xfId="0" applyNumberFormat="1" applyFont="1" applyFill="1" applyBorder="1" applyAlignment="1" applyProtection="1">
      <alignment horizontal="right" vertical="center"/>
      <protection locked="0"/>
    </xf>
    <xf numFmtId="38" fontId="9" fillId="32" borderId="33" xfId="49" applyFont="1" applyFill="1" applyBorder="1" applyAlignment="1" applyProtection="1">
      <alignment horizontal="right" vertical="center"/>
      <protection locked="0"/>
    </xf>
    <xf numFmtId="38" fontId="9" fillId="32" borderId="67" xfId="49" applyFont="1" applyFill="1" applyBorder="1" applyAlignment="1" applyProtection="1">
      <alignment horizontal="right" vertical="center"/>
      <protection locked="0"/>
    </xf>
    <xf numFmtId="3" fontId="5" fillId="0" borderId="32" xfId="64" applyNumberFormat="1" applyFont="1" applyFill="1" applyBorder="1" applyAlignment="1">
      <alignment horizontal="right" vertical="center"/>
      <protection/>
    </xf>
    <xf numFmtId="3" fontId="5" fillId="0" borderId="28" xfId="64" applyNumberFormat="1" applyFont="1" applyFill="1" applyBorder="1" applyAlignment="1">
      <alignment horizontal="right" vertical="center"/>
      <protection/>
    </xf>
    <xf numFmtId="3" fontId="5" fillId="0" borderId="76" xfId="64" applyNumberFormat="1" applyFont="1" applyFill="1" applyBorder="1" applyAlignment="1">
      <alignment horizontal="right" vertical="center"/>
      <protection/>
    </xf>
    <xf numFmtId="0" fontId="9" fillId="32" borderId="40" xfId="0" applyFont="1" applyFill="1" applyBorder="1" applyAlignment="1" applyProtection="1">
      <alignment horizontal="center" vertical="center"/>
      <protection locked="0"/>
    </xf>
    <xf numFmtId="0" fontId="9" fillId="32" borderId="42" xfId="0" applyFont="1" applyFill="1" applyBorder="1" applyAlignment="1" applyProtection="1">
      <alignment horizontal="center" vertical="center"/>
      <protection locked="0"/>
    </xf>
    <xf numFmtId="0" fontId="9" fillId="32" borderId="77" xfId="0" applyFont="1" applyFill="1" applyBorder="1" applyAlignment="1" applyProtection="1">
      <alignment horizontal="center" vertical="center"/>
      <protection locked="0"/>
    </xf>
    <xf numFmtId="38" fontId="9" fillId="32" borderId="40" xfId="49" applyFont="1" applyFill="1" applyBorder="1" applyAlignment="1" applyProtection="1">
      <alignment vertical="center"/>
      <protection locked="0"/>
    </xf>
    <xf numFmtId="38" fontId="9" fillId="32" borderId="42" xfId="49" applyFont="1" applyFill="1" applyBorder="1" applyAlignment="1" applyProtection="1">
      <alignment vertical="center"/>
      <protection locked="0"/>
    </xf>
    <xf numFmtId="38" fontId="9" fillId="32" borderId="77" xfId="49" applyFont="1" applyFill="1" applyBorder="1" applyAlignment="1" applyProtection="1">
      <alignment vertical="center"/>
      <protection locked="0"/>
    </xf>
    <xf numFmtId="0" fontId="83" fillId="0" borderId="10" xfId="0" applyFont="1" applyBorder="1" applyAlignment="1" quotePrefix="1">
      <alignment horizontal="center" vertical="center" wrapText="1"/>
    </xf>
    <xf numFmtId="0" fontId="83" fillId="0" borderId="10" xfId="0" applyFont="1" applyBorder="1" applyAlignment="1">
      <alignment horizontal="center" vertical="center" wrapText="1"/>
    </xf>
    <xf numFmtId="0" fontId="84"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0" fillId="0" borderId="61"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3" fontId="5" fillId="0" borderId="33" xfId="64" applyNumberFormat="1" applyFont="1" applyFill="1" applyBorder="1" applyAlignment="1">
      <alignment horizontal="right" vertical="center"/>
      <protection/>
    </xf>
    <xf numFmtId="3" fontId="5" fillId="0" borderId="67" xfId="64" applyNumberFormat="1" applyFont="1" applyFill="1" applyBorder="1" applyAlignment="1">
      <alignment horizontal="right" vertical="center"/>
      <protection/>
    </xf>
    <xf numFmtId="0" fontId="9" fillId="32" borderId="40" xfId="0" applyNumberFormat="1" applyFont="1" applyFill="1" applyBorder="1" applyAlignment="1" applyProtection="1">
      <alignment horizontal="center" vertical="center"/>
      <protection locked="0"/>
    </xf>
    <xf numFmtId="0" fontId="9" fillId="32" borderId="42" xfId="0" applyNumberFormat="1" applyFont="1" applyFill="1" applyBorder="1" applyAlignment="1" applyProtection="1">
      <alignment horizontal="center" vertical="center"/>
      <protection locked="0"/>
    </xf>
    <xf numFmtId="0" fontId="9" fillId="32" borderId="77" xfId="0" applyNumberFormat="1" applyFont="1" applyFill="1" applyBorder="1" applyAlignment="1" applyProtection="1">
      <alignment horizontal="center" vertical="center"/>
      <protection locked="0"/>
    </xf>
    <xf numFmtId="0" fontId="9" fillId="32" borderId="33" xfId="0" applyFont="1" applyFill="1" applyBorder="1" applyAlignment="1" applyProtection="1">
      <alignment horizontal="center" vertical="center"/>
      <protection locked="0"/>
    </xf>
    <xf numFmtId="0" fontId="9" fillId="32" borderId="67" xfId="0" applyFont="1" applyFill="1" applyBorder="1" applyAlignment="1" applyProtection="1">
      <alignment horizontal="center" vertical="center"/>
      <protection locked="0"/>
    </xf>
    <xf numFmtId="177" fontId="9" fillId="32" borderId="18" xfId="0" applyNumberFormat="1" applyFont="1" applyFill="1" applyBorder="1" applyAlignment="1" applyProtection="1">
      <alignment horizontal="right" vertical="center"/>
      <protection locked="0"/>
    </xf>
    <xf numFmtId="191" fontId="81" fillId="0" borderId="46" xfId="0" applyNumberFormat="1" applyFont="1" applyFill="1" applyBorder="1" applyAlignment="1" applyProtection="1">
      <alignment horizontal="right" vertical="center"/>
      <protection locked="0"/>
    </xf>
    <xf numFmtId="177" fontId="9" fillId="32" borderId="78" xfId="0" applyNumberFormat="1" applyFont="1" applyFill="1" applyBorder="1" applyAlignment="1" applyProtection="1">
      <alignment horizontal="right" vertical="center"/>
      <protection locked="0"/>
    </xf>
    <xf numFmtId="0" fontId="83" fillId="0" borderId="16" xfId="0" applyFont="1" applyBorder="1" applyAlignment="1">
      <alignment horizontal="center" vertical="center" wrapText="1"/>
    </xf>
    <xf numFmtId="0" fontId="83" fillId="0" borderId="11" xfId="0" applyFont="1" applyBorder="1" applyAlignment="1">
      <alignment horizontal="center" vertical="center" wrapText="1"/>
    </xf>
    <xf numFmtId="38" fontId="9" fillId="35" borderId="43" xfId="49" applyFont="1" applyFill="1" applyBorder="1" applyAlignment="1" applyProtection="1">
      <alignment horizontal="center" vertical="center"/>
      <protection locked="0"/>
    </xf>
    <xf numFmtId="38" fontId="9" fillId="35" borderId="45" xfId="49" applyFont="1" applyFill="1" applyBorder="1" applyAlignment="1" applyProtection="1">
      <alignment horizontal="center" vertical="center"/>
      <protection locked="0"/>
    </xf>
    <xf numFmtId="38" fontId="9" fillId="35" borderId="89" xfId="49" applyFont="1" applyFill="1" applyBorder="1" applyAlignment="1" applyProtection="1">
      <alignment horizontal="center" vertical="center"/>
      <protection locked="0"/>
    </xf>
    <xf numFmtId="38" fontId="9" fillId="35" borderId="18" xfId="49" applyFont="1" applyFill="1" applyBorder="1" applyAlignment="1" applyProtection="1">
      <alignment horizontal="center" vertical="center"/>
      <protection locked="0"/>
    </xf>
    <xf numFmtId="38" fontId="9" fillId="35" borderId="19" xfId="49" applyFont="1" applyFill="1" applyBorder="1" applyAlignment="1" applyProtection="1">
      <alignment horizontal="center" vertical="center"/>
      <protection locked="0"/>
    </xf>
    <xf numFmtId="38" fontId="9" fillId="35" borderId="78" xfId="49" applyFont="1" applyFill="1" applyBorder="1" applyAlignment="1" applyProtection="1">
      <alignment horizontal="center" vertical="center"/>
      <protection locked="0"/>
    </xf>
    <xf numFmtId="38" fontId="5" fillId="0" borderId="18" xfId="49" applyFont="1" applyFill="1" applyBorder="1" applyAlignment="1">
      <alignment vertical="center"/>
    </xf>
    <xf numFmtId="38" fontId="5" fillId="0" borderId="46" xfId="49" applyFont="1" applyFill="1" applyBorder="1" applyAlignment="1">
      <alignment vertical="center"/>
    </xf>
    <xf numFmtId="38" fontId="5" fillId="0" borderId="19" xfId="49" applyFont="1" applyFill="1" applyBorder="1" applyAlignment="1">
      <alignment vertical="center"/>
    </xf>
    <xf numFmtId="38" fontId="5" fillId="0" borderId="48" xfId="49" applyFont="1" applyFill="1" applyBorder="1" applyAlignment="1">
      <alignment vertical="center"/>
    </xf>
    <xf numFmtId="38" fontId="5" fillId="0" borderId="78" xfId="49" applyFont="1" applyFill="1" applyBorder="1" applyAlignment="1">
      <alignment vertical="center"/>
    </xf>
    <xf numFmtId="38" fontId="5" fillId="0" borderId="54" xfId="49" applyFont="1" applyFill="1" applyBorder="1" applyAlignment="1">
      <alignment vertical="center"/>
    </xf>
    <xf numFmtId="38" fontId="5" fillId="3" borderId="33" xfId="49" applyFont="1" applyFill="1" applyBorder="1" applyAlignment="1">
      <alignment vertical="center"/>
    </xf>
    <xf numFmtId="38" fontId="5" fillId="3" borderId="27" xfId="49" applyFont="1" applyFill="1" applyBorder="1" applyAlignment="1">
      <alignment vertical="center"/>
    </xf>
    <xf numFmtId="38" fontId="5" fillId="3" borderId="67" xfId="49" applyFont="1" applyFill="1" applyBorder="1" applyAlignment="1">
      <alignment vertical="center"/>
    </xf>
    <xf numFmtId="38" fontId="5" fillId="0" borderId="41" xfId="49" applyFont="1" applyFill="1" applyBorder="1" applyAlignment="1">
      <alignment vertical="center"/>
    </xf>
    <xf numFmtId="38" fontId="9" fillId="0" borderId="31" xfId="49" applyFont="1" applyFill="1" applyBorder="1" applyAlignment="1">
      <alignment horizontal="right" vertical="center" shrinkToFit="1"/>
    </xf>
    <xf numFmtId="0" fontId="9" fillId="0" borderId="50" xfId="0" applyFont="1" applyFill="1" applyBorder="1" applyAlignment="1">
      <alignment horizontal="center" vertical="center" shrinkToFit="1"/>
    </xf>
    <xf numFmtId="0" fontId="9" fillId="32" borderId="36" xfId="0" applyNumberFormat="1" applyFont="1" applyFill="1" applyBorder="1" applyAlignment="1" applyProtection="1">
      <alignment horizontal="right" vertical="center"/>
      <protection locked="0"/>
    </xf>
    <xf numFmtId="176" fontId="5" fillId="0" borderId="40" xfId="0" applyNumberFormat="1" applyFont="1" applyFill="1" applyBorder="1" applyAlignment="1">
      <alignment vertical="center"/>
    </xf>
    <xf numFmtId="176" fontId="5" fillId="0" borderId="41" xfId="0" applyNumberFormat="1" applyFont="1" applyFill="1" applyBorder="1" applyAlignment="1">
      <alignment vertical="center"/>
    </xf>
    <xf numFmtId="176" fontId="5" fillId="0" borderId="42" xfId="0" applyNumberFormat="1" applyFont="1" applyFill="1" applyBorder="1" applyAlignment="1">
      <alignment vertical="center"/>
    </xf>
    <xf numFmtId="176" fontId="5" fillId="0" borderId="24" xfId="0" applyNumberFormat="1" applyFont="1" applyFill="1" applyBorder="1" applyAlignment="1">
      <alignment vertical="center" shrinkToFit="1"/>
    </xf>
    <xf numFmtId="192" fontId="9" fillId="32" borderId="10" xfId="0" applyNumberFormat="1" applyFont="1" applyFill="1" applyBorder="1" applyAlignment="1">
      <alignment horizontal="right" vertical="center"/>
    </xf>
    <xf numFmtId="192" fontId="9" fillId="32" borderId="42" xfId="0" applyNumberFormat="1" applyFont="1" applyFill="1" applyBorder="1" applyAlignment="1">
      <alignment horizontal="right" vertical="center"/>
    </xf>
    <xf numFmtId="192" fontId="9" fillId="32" borderId="77" xfId="0" applyNumberFormat="1" applyFont="1" applyFill="1" applyBorder="1" applyAlignment="1">
      <alignment horizontal="right" vertical="center"/>
    </xf>
    <xf numFmtId="0" fontId="14" fillId="0" borderId="16" xfId="0" applyFont="1" applyBorder="1" applyAlignment="1">
      <alignment horizontal="distributed" vertical="center"/>
    </xf>
    <xf numFmtId="0" fontId="14" fillId="0" borderId="76" xfId="0" applyFont="1" applyBorder="1" applyAlignment="1">
      <alignment horizontal="distributed" vertical="center"/>
    </xf>
    <xf numFmtId="177" fontId="5" fillId="0" borderId="24" xfId="0" applyNumberFormat="1" applyFont="1" applyFill="1" applyBorder="1" applyAlignment="1">
      <alignment vertical="center" shrinkToFit="1"/>
    </xf>
    <xf numFmtId="177" fontId="5" fillId="3" borderId="24" xfId="0" applyNumberFormat="1" applyFont="1" applyFill="1" applyBorder="1" applyAlignment="1">
      <alignment vertical="center" shrinkToFit="1"/>
    </xf>
    <xf numFmtId="177" fontId="5" fillId="3" borderId="33" xfId="0" applyNumberFormat="1" applyFont="1" applyFill="1" applyBorder="1" applyAlignment="1">
      <alignment horizontal="right" vertical="center"/>
    </xf>
    <xf numFmtId="177" fontId="5" fillId="3" borderId="27" xfId="0" applyNumberFormat="1" applyFont="1" applyFill="1" applyBorder="1" applyAlignment="1">
      <alignment horizontal="right" vertical="center"/>
    </xf>
    <xf numFmtId="177" fontId="5" fillId="3" borderId="67" xfId="0" applyNumberFormat="1" applyFont="1" applyFill="1" applyBorder="1" applyAlignment="1">
      <alignment horizontal="right" vertical="center"/>
    </xf>
    <xf numFmtId="177" fontId="81" fillId="32" borderId="85" xfId="0" applyNumberFormat="1" applyFont="1" applyFill="1" applyBorder="1" applyAlignment="1" applyProtection="1">
      <alignment horizontal="right" vertical="center"/>
      <protection locked="0"/>
    </xf>
    <xf numFmtId="177" fontId="81" fillId="32" borderId="42" xfId="0" applyNumberFormat="1" applyFont="1" applyFill="1" applyBorder="1" applyAlignment="1" applyProtection="1">
      <alignment horizontal="right" vertical="center"/>
      <protection locked="0"/>
    </xf>
    <xf numFmtId="177" fontId="81" fillId="32" borderId="77" xfId="0" applyNumberFormat="1" applyFont="1" applyFill="1" applyBorder="1" applyAlignment="1" applyProtection="1">
      <alignment horizontal="right" vertical="center"/>
      <protection locked="0"/>
    </xf>
    <xf numFmtId="177" fontId="5" fillId="0" borderId="39" xfId="0" applyNumberFormat="1" applyFont="1" applyFill="1" applyBorder="1" applyAlignment="1">
      <alignment horizontal="right" vertical="center"/>
    </xf>
    <xf numFmtId="177" fontId="9" fillId="32" borderId="10" xfId="0" applyNumberFormat="1" applyFont="1" applyFill="1" applyBorder="1" applyAlignment="1" applyProtection="1">
      <alignment horizontal="right" vertical="center"/>
      <protection locked="0"/>
    </xf>
    <xf numFmtId="177" fontId="9" fillId="32" borderId="42" xfId="0" applyNumberFormat="1" applyFont="1" applyFill="1" applyBorder="1" applyAlignment="1" applyProtection="1">
      <alignment horizontal="right" vertical="center"/>
      <protection locked="0"/>
    </xf>
    <xf numFmtId="177" fontId="9" fillId="32" borderId="77" xfId="0" applyNumberFormat="1" applyFont="1" applyFill="1" applyBorder="1" applyAlignment="1" applyProtection="1">
      <alignment horizontal="right" vertical="center"/>
      <protection locked="0"/>
    </xf>
    <xf numFmtId="0" fontId="84" fillId="0" borderId="10" xfId="0" applyFont="1" applyBorder="1" applyAlignment="1">
      <alignment horizontal="center" vertical="center" wrapText="1"/>
    </xf>
    <xf numFmtId="0" fontId="9" fillId="35" borderId="18" xfId="0" applyFont="1" applyFill="1" applyBorder="1" applyAlignment="1" applyProtection="1">
      <alignment horizontal="center" vertical="center"/>
      <protection locked="0"/>
    </xf>
    <xf numFmtId="0" fontId="9" fillId="35" borderId="19" xfId="0" applyFont="1" applyFill="1" applyBorder="1" applyAlignment="1" applyProtection="1">
      <alignment horizontal="center" vertical="center"/>
      <protection locked="0"/>
    </xf>
    <xf numFmtId="0" fontId="9" fillId="35" borderId="78" xfId="0" applyFont="1" applyFill="1" applyBorder="1" applyAlignment="1" applyProtection="1">
      <alignment horizontal="center" vertical="center"/>
      <protection locked="0"/>
    </xf>
    <xf numFmtId="192" fontId="9" fillId="32" borderId="37" xfId="0" applyNumberFormat="1" applyFont="1" applyFill="1" applyBorder="1" applyAlignment="1">
      <alignment vertical="center"/>
    </xf>
    <xf numFmtId="192" fontId="9" fillId="32" borderId="39" xfId="0" applyNumberFormat="1" applyFont="1" applyFill="1" applyBorder="1" applyAlignment="1">
      <alignment vertical="center"/>
    </xf>
    <xf numFmtId="0" fontId="9" fillId="32" borderId="39" xfId="0" applyNumberFormat="1" applyFont="1" applyFill="1" applyBorder="1" applyAlignment="1">
      <alignment vertical="center"/>
    </xf>
    <xf numFmtId="192" fontId="9" fillId="32" borderId="88" xfId="0" applyNumberFormat="1" applyFont="1" applyFill="1" applyBorder="1" applyAlignment="1">
      <alignment vertical="center"/>
    </xf>
    <xf numFmtId="0" fontId="9" fillId="35" borderId="43" xfId="0" applyFont="1" applyFill="1" applyBorder="1" applyAlignment="1" applyProtection="1">
      <alignment horizontal="center" vertical="center"/>
      <protection locked="0"/>
    </xf>
    <xf numFmtId="0" fontId="9" fillId="35" borderId="45" xfId="0" applyFont="1" applyFill="1" applyBorder="1" applyAlignment="1" applyProtection="1">
      <alignment horizontal="center" vertical="center"/>
      <protection locked="0"/>
    </xf>
    <xf numFmtId="0" fontId="9" fillId="35" borderId="89" xfId="0" applyFont="1" applyFill="1" applyBorder="1" applyAlignment="1" applyProtection="1">
      <alignment horizontal="center" vertical="center"/>
      <protection locked="0"/>
    </xf>
    <xf numFmtId="0" fontId="9" fillId="32" borderId="19" xfId="0" applyNumberFormat="1" applyFont="1" applyFill="1" applyBorder="1" applyAlignment="1">
      <alignment vertical="center"/>
    </xf>
    <xf numFmtId="0" fontId="9" fillId="32" borderId="48" xfId="0" applyNumberFormat="1" applyFont="1" applyFill="1" applyBorder="1" applyAlignment="1">
      <alignment vertical="center"/>
    </xf>
    <xf numFmtId="38" fontId="81" fillId="0" borderId="45" xfId="49" applyFont="1" applyFill="1" applyBorder="1" applyAlignment="1">
      <alignment vertical="center"/>
    </xf>
    <xf numFmtId="0" fontId="9" fillId="32" borderId="19" xfId="0" applyNumberFormat="1" applyFont="1" applyFill="1" applyBorder="1" applyAlignment="1" applyProtection="1">
      <alignment horizontal="right" vertical="center"/>
      <protection locked="0"/>
    </xf>
    <xf numFmtId="177" fontId="5" fillId="0" borderId="66" xfId="0" applyNumberFormat="1" applyFont="1" applyFill="1" applyBorder="1" applyAlignment="1">
      <alignment horizontal="right" vertical="center"/>
    </xf>
    <xf numFmtId="177" fontId="5" fillId="0" borderId="88" xfId="0" applyNumberFormat="1" applyFont="1" applyFill="1" applyBorder="1" applyAlignment="1">
      <alignment horizontal="right" vertical="center"/>
    </xf>
    <xf numFmtId="0" fontId="10" fillId="0" borderId="12" xfId="0" applyFont="1" applyBorder="1" applyAlignment="1" quotePrefix="1">
      <alignment horizontal="center" vertical="center"/>
    </xf>
    <xf numFmtId="177" fontId="5" fillId="0" borderId="17" xfId="0" applyNumberFormat="1" applyFont="1" applyFill="1" applyBorder="1" applyAlignment="1">
      <alignment vertical="center" shrinkToFit="1"/>
    </xf>
    <xf numFmtId="191" fontId="81" fillId="0" borderId="72" xfId="0" applyNumberFormat="1" applyFont="1" applyFill="1" applyBorder="1" applyAlignment="1">
      <alignment horizontal="right" vertical="center"/>
    </xf>
    <xf numFmtId="191" fontId="81" fillId="0" borderId="45" xfId="0" applyNumberFormat="1" applyFont="1" applyFill="1" applyBorder="1" applyAlignment="1">
      <alignment horizontal="right" vertical="center"/>
    </xf>
    <xf numFmtId="0" fontId="81" fillId="0" borderId="45" xfId="0" applyNumberFormat="1" applyFont="1" applyFill="1" applyBorder="1" applyAlignment="1">
      <alignment horizontal="right" vertical="center"/>
    </xf>
    <xf numFmtId="191" fontId="81" fillId="0" borderId="89" xfId="0" applyNumberFormat="1" applyFont="1" applyFill="1" applyBorder="1" applyAlignment="1">
      <alignment horizontal="right" vertical="center"/>
    </xf>
    <xf numFmtId="38" fontId="81" fillId="32" borderId="32" xfId="49" applyFont="1" applyFill="1" applyBorder="1" applyAlignment="1" applyProtection="1">
      <alignment vertical="center"/>
      <protection locked="0"/>
    </xf>
    <xf numFmtId="38" fontId="81" fillId="32" borderId="28" xfId="49" applyFont="1" applyFill="1" applyBorder="1" applyAlignment="1" applyProtection="1">
      <alignment vertical="center"/>
      <protection locked="0"/>
    </xf>
    <xf numFmtId="38" fontId="81" fillId="32" borderId="76" xfId="49" applyFont="1" applyFill="1" applyBorder="1" applyAlignment="1" applyProtection="1">
      <alignment vertical="center"/>
      <protection locked="0"/>
    </xf>
    <xf numFmtId="38" fontId="5" fillId="0" borderId="76" xfId="49" applyFont="1" applyFill="1" applyBorder="1" applyAlignment="1">
      <alignment vertical="center"/>
    </xf>
    <xf numFmtId="0" fontId="14" fillId="0" borderId="50" xfId="0" applyFont="1" applyBorder="1" applyAlignment="1">
      <alignment horizontal="center" vertical="center" wrapText="1"/>
    </xf>
    <xf numFmtId="177" fontId="9" fillId="32" borderId="66" xfId="0" applyNumberFormat="1" applyFont="1" applyFill="1" applyBorder="1" applyAlignment="1" applyProtection="1">
      <alignment horizontal="right" vertical="center"/>
      <protection locked="0"/>
    </xf>
    <xf numFmtId="177" fontId="9" fillId="32" borderId="39" xfId="0" applyNumberFormat="1" applyFont="1" applyFill="1" applyBorder="1" applyAlignment="1" applyProtection="1">
      <alignment horizontal="right" vertical="center"/>
      <protection locked="0"/>
    </xf>
    <xf numFmtId="0" fontId="9" fillId="32" borderId="39" xfId="0" applyNumberFormat="1" applyFont="1" applyFill="1" applyBorder="1" applyAlignment="1" applyProtection="1">
      <alignment horizontal="right" vertical="center"/>
      <protection locked="0"/>
    </xf>
    <xf numFmtId="177" fontId="9" fillId="32" borderId="88" xfId="0" applyNumberFormat="1" applyFont="1" applyFill="1" applyBorder="1" applyAlignment="1" applyProtection="1">
      <alignment horizontal="right" vertical="center"/>
      <protection locked="0"/>
    </xf>
    <xf numFmtId="191" fontId="81" fillId="0" borderId="33" xfId="0" applyNumberFormat="1" applyFont="1" applyFill="1" applyBorder="1" applyAlignment="1" applyProtection="1">
      <alignment horizontal="right" vertical="center"/>
      <protection locked="0"/>
    </xf>
    <xf numFmtId="191" fontId="81" fillId="0" borderId="27" xfId="0" applyNumberFormat="1" applyFont="1" applyFill="1" applyBorder="1" applyAlignment="1" applyProtection="1">
      <alignment horizontal="right" vertical="center"/>
      <protection locked="0"/>
    </xf>
    <xf numFmtId="191" fontId="81" fillId="0" borderId="67" xfId="0" applyNumberFormat="1" applyFont="1" applyFill="1" applyBorder="1" applyAlignment="1" applyProtection="1">
      <alignment horizontal="right" vertical="center"/>
      <protection locked="0"/>
    </xf>
    <xf numFmtId="176" fontId="5" fillId="0" borderId="72" xfId="0" applyNumberFormat="1" applyFont="1" applyFill="1" applyBorder="1" applyAlignment="1">
      <alignment horizontal="right" vertical="center"/>
    </xf>
    <xf numFmtId="176" fontId="5" fillId="0" borderId="45" xfId="0" applyNumberFormat="1" applyFont="1" applyFill="1" applyBorder="1" applyAlignment="1">
      <alignment horizontal="right" vertical="center"/>
    </xf>
    <xf numFmtId="176" fontId="5" fillId="0" borderId="89" xfId="0" applyNumberFormat="1" applyFont="1" applyFill="1" applyBorder="1" applyAlignment="1">
      <alignment horizontal="right" vertical="center"/>
    </xf>
    <xf numFmtId="177" fontId="5" fillId="0" borderId="83" xfId="0" applyNumberFormat="1" applyFont="1" applyFill="1" applyBorder="1" applyAlignment="1">
      <alignment horizontal="right" vertical="center"/>
    </xf>
    <xf numFmtId="177" fontId="5" fillId="0" borderId="64" xfId="0" applyNumberFormat="1" applyFont="1" applyFill="1" applyBorder="1" applyAlignment="1">
      <alignment horizontal="right" vertical="center"/>
    </xf>
    <xf numFmtId="177" fontId="5" fillId="0" borderId="90" xfId="0" applyNumberFormat="1" applyFont="1" applyFill="1" applyBorder="1" applyAlignment="1">
      <alignment horizontal="right" vertical="center"/>
    </xf>
    <xf numFmtId="38" fontId="81" fillId="32" borderId="40" xfId="49" applyFont="1" applyFill="1" applyBorder="1" applyAlignment="1" applyProtection="1">
      <alignment vertical="center"/>
      <protection locked="0"/>
    </xf>
    <xf numFmtId="38" fontId="81" fillId="32" borderId="42" xfId="49" applyFont="1" applyFill="1" applyBorder="1" applyAlignment="1" applyProtection="1">
      <alignment vertical="center"/>
      <protection locked="0"/>
    </xf>
    <xf numFmtId="38" fontId="81" fillId="32" borderId="77" xfId="49" applyFont="1" applyFill="1" applyBorder="1" applyAlignment="1" applyProtection="1">
      <alignment vertical="center"/>
      <protection locked="0"/>
    </xf>
    <xf numFmtId="176" fontId="5" fillId="36" borderId="44" xfId="0" applyNumberFormat="1" applyFont="1" applyFill="1" applyBorder="1" applyAlignment="1">
      <alignment horizontal="right" vertical="center"/>
    </xf>
    <xf numFmtId="176" fontId="5" fillId="36" borderId="61" xfId="0" applyNumberFormat="1" applyFont="1" applyFill="1" applyBorder="1" applyAlignment="1">
      <alignment horizontal="right" vertical="center"/>
    </xf>
    <xf numFmtId="0" fontId="10" fillId="0" borderId="84" xfId="0" applyFont="1" applyBorder="1" applyAlignment="1">
      <alignment horizontal="center" vertical="center"/>
    </xf>
    <xf numFmtId="0" fontId="18" fillId="0" borderId="28" xfId="0" applyFont="1" applyFill="1" applyBorder="1" applyAlignment="1" applyProtection="1">
      <alignment vertical="center" shrinkToFit="1"/>
      <protection/>
    </xf>
    <xf numFmtId="0" fontId="18" fillId="0" borderId="42" xfId="0" applyFont="1" applyFill="1" applyBorder="1" applyAlignment="1" applyProtection="1">
      <alignment vertical="center" shrinkToFit="1"/>
      <protection/>
    </xf>
    <xf numFmtId="0" fontId="18" fillId="0" borderId="64" xfId="0" applyFont="1" applyFill="1" applyBorder="1" applyAlignment="1" applyProtection="1">
      <alignment vertical="center" shrinkToFit="1"/>
      <protection/>
    </xf>
    <xf numFmtId="0" fontId="10" fillId="0" borderId="84" xfId="0" applyFont="1" applyFill="1" applyBorder="1" applyAlignment="1">
      <alignment horizontal="center" vertical="center"/>
    </xf>
    <xf numFmtId="38" fontId="5" fillId="0" borderId="27" xfId="49" applyNumberFormat="1" applyFont="1" applyFill="1" applyBorder="1" applyAlignment="1">
      <alignment vertical="center"/>
    </xf>
    <xf numFmtId="0" fontId="5" fillId="0" borderId="33" xfId="0" applyFont="1" applyFill="1" applyBorder="1" applyAlignment="1">
      <alignment horizontal="center" vertical="center"/>
    </xf>
    <xf numFmtId="0" fontId="9" fillId="32" borderId="28" xfId="0" applyNumberFormat="1" applyFont="1" applyFill="1" applyBorder="1" applyAlignment="1" applyProtection="1">
      <alignment horizontal="center" vertical="center" shrinkToFit="1"/>
      <protection locked="0"/>
    </xf>
    <xf numFmtId="38" fontId="5" fillId="0" borderId="41" xfId="49" applyFont="1" applyFill="1" applyBorder="1" applyAlignment="1">
      <alignment horizontal="center" vertical="center"/>
    </xf>
    <xf numFmtId="0" fontId="5" fillId="0" borderId="67" xfId="0" applyFont="1" applyFill="1" applyBorder="1" applyAlignment="1">
      <alignment horizontal="center" vertical="center"/>
    </xf>
    <xf numFmtId="38" fontId="5" fillId="0" borderId="33" xfId="49" applyFont="1" applyFill="1" applyBorder="1" applyAlignment="1">
      <alignment horizontal="right" vertical="center"/>
    </xf>
    <xf numFmtId="38" fontId="5" fillId="0" borderId="27" xfId="49" applyFont="1" applyFill="1" applyBorder="1" applyAlignment="1">
      <alignment horizontal="right" vertical="center"/>
    </xf>
    <xf numFmtId="38" fontId="5" fillId="0" borderId="67" xfId="49" applyFont="1" applyFill="1" applyBorder="1" applyAlignment="1">
      <alignment horizontal="right" vertical="center"/>
    </xf>
    <xf numFmtId="38" fontId="5" fillId="0" borderId="83" xfId="49" applyFont="1" applyFill="1" applyBorder="1" applyAlignment="1">
      <alignment horizontal="right" vertical="center"/>
    </xf>
    <xf numFmtId="38" fontId="5" fillId="0" borderId="63" xfId="49" applyFont="1" applyFill="1" applyBorder="1" applyAlignment="1">
      <alignment horizontal="right" vertical="center"/>
    </xf>
    <xf numFmtId="38" fontId="5" fillId="0" borderId="64" xfId="49" applyFont="1" applyFill="1" applyBorder="1" applyAlignment="1">
      <alignment horizontal="right" vertical="center"/>
    </xf>
    <xf numFmtId="38" fontId="5" fillId="0" borderId="33" xfId="49" applyFont="1" applyFill="1" applyBorder="1" applyAlignment="1">
      <alignment horizontal="center" vertical="center"/>
    </xf>
    <xf numFmtId="38" fontId="5" fillId="0" borderId="27" xfId="49" applyFont="1" applyFill="1" applyBorder="1" applyAlignment="1">
      <alignment horizontal="center" vertical="center"/>
    </xf>
    <xf numFmtId="38" fontId="5" fillId="0" borderId="67" xfId="49" applyFont="1" applyFill="1" applyBorder="1" applyAlignment="1">
      <alignment horizontal="center" vertical="center"/>
    </xf>
    <xf numFmtId="38" fontId="5" fillId="0" borderId="76" xfId="49" applyFont="1" applyFill="1" applyBorder="1" applyAlignment="1">
      <alignment horizontal="center" vertical="center"/>
    </xf>
    <xf numFmtId="38" fontId="5" fillId="0" borderId="76" xfId="49" applyFont="1" applyFill="1" applyBorder="1" applyAlignment="1">
      <alignment horizontal="right" vertical="center"/>
    </xf>
    <xf numFmtId="38" fontId="5" fillId="0" borderId="17" xfId="49" applyFont="1" applyFill="1" applyBorder="1" applyAlignment="1">
      <alignment horizontal="center" vertical="center" shrinkToFit="1"/>
    </xf>
    <xf numFmtId="38" fontId="5" fillId="0" borderId="50" xfId="49" applyFont="1" applyFill="1" applyBorder="1" applyAlignment="1">
      <alignment horizontal="center" vertical="center" shrinkToFit="1"/>
    </xf>
    <xf numFmtId="38" fontId="5" fillId="0" borderId="15" xfId="49" applyFont="1" applyFill="1" applyBorder="1" applyAlignment="1">
      <alignment horizontal="center" vertical="center" shrinkToFit="1"/>
    </xf>
    <xf numFmtId="38" fontId="9" fillId="32" borderId="18" xfId="49" applyFont="1" applyFill="1" applyBorder="1" applyAlignment="1" applyProtection="1">
      <alignment horizontal="center" vertical="center" shrinkToFit="1"/>
      <protection locked="0"/>
    </xf>
    <xf numFmtId="38" fontId="9" fillId="32" borderId="46" xfId="49" applyFont="1" applyFill="1" applyBorder="1" applyAlignment="1" applyProtection="1">
      <alignment horizontal="center" vertical="center" shrinkToFit="1"/>
      <protection locked="0"/>
    </xf>
    <xf numFmtId="38" fontId="9" fillId="32" borderId="19" xfId="49" applyFont="1" applyFill="1" applyBorder="1" applyAlignment="1" applyProtection="1">
      <alignment horizontal="center" vertical="center" shrinkToFit="1"/>
      <protection locked="0"/>
    </xf>
    <xf numFmtId="38" fontId="9" fillId="32" borderId="48" xfId="49" applyFont="1" applyFill="1" applyBorder="1" applyAlignment="1" applyProtection="1">
      <alignment horizontal="center" vertical="center" shrinkToFit="1"/>
      <protection locked="0"/>
    </xf>
    <xf numFmtId="38" fontId="9" fillId="32" borderId="78" xfId="49" applyFont="1" applyFill="1" applyBorder="1" applyAlignment="1" applyProtection="1">
      <alignment horizontal="center" vertical="center" shrinkToFit="1"/>
      <protection locked="0"/>
    </xf>
    <xf numFmtId="38" fontId="9" fillId="32" borderId="73" xfId="49" applyFont="1" applyFill="1" applyBorder="1" applyAlignment="1" applyProtection="1">
      <alignment horizontal="center" vertical="center" shrinkToFit="1"/>
      <protection locked="0"/>
    </xf>
    <xf numFmtId="38" fontId="9" fillId="32" borderId="54" xfId="49" applyFont="1" applyFill="1" applyBorder="1" applyAlignment="1" applyProtection="1">
      <alignment horizontal="center" vertical="center" shrinkToFit="1"/>
      <protection locked="0"/>
    </xf>
    <xf numFmtId="177" fontId="5" fillId="0" borderId="17" xfId="0" applyNumberFormat="1" applyFont="1" applyFill="1" applyBorder="1" applyAlignment="1">
      <alignment horizontal="center" vertical="center" shrinkToFit="1"/>
    </xf>
    <xf numFmtId="177" fontId="5" fillId="0" borderId="50" xfId="0" applyNumberFormat="1" applyFont="1" applyFill="1" applyBorder="1" applyAlignment="1">
      <alignment horizontal="center" vertical="center" shrinkToFit="1"/>
    </xf>
    <xf numFmtId="177" fontId="5" fillId="0" borderId="15" xfId="0" applyNumberFormat="1" applyFont="1" applyFill="1" applyBorder="1" applyAlignment="1">
      <alignment horizontal="center" vertical="center" shrinkToFit="1"/>
    </xf>
    <xf numFmtId="177" fontId="5" fillId="0" borderId="32" xfId="0" applyNumberFormat="1" applyFont="1" applyFill="1" applyBorder="1" applyAlignment="1">
      <alignment vertical="center"/>
    </xf>
    <xf numFmtId="177" fontId="5" fillId="0" borderId="28" xfId="0" applyNumberFormat="1" applyFont="1" applyFill="1" applyBorder="1" applyAlignment="1">
      <alignment vertical="center"/>
    </xf>
    <xf numFmtId="177" fontId="5" fillId="0" borderId="76" xfId="0" applyNumberFormat="1" applyFont="1" applyFill="1" applyBorder="1" applyAlignment="1">
      <alignment vertical="center"/>
    </xf>
    <xf numFmtId="0" fontId="10" fillId="0" borderId="59" xfId="0" applyFont="1" applyFill="1" applyBorder="1" applyAlignment="1">
      <alignment horizontal="center" vertical="center"/>
    </xf>
    <xf numFmtId="0" fontId="9" fillId="32" borderId="18" xfId="0" applyFont="1" applyFill="1" applyBorder="1" applyAlignment="1" applyProtection="1">
      <alignment horizontal="center" vertical="center" shrinkToFit="1"/>
      <protection locked="0"/>
    </xf>
    <xf numFmtId="0" fontId="9" fillId="32" borderId="46" xfId="0" applyFont="1" applyFill="1" applyBorder="1" applyAlignment="1" applyProtection="1">
      <alignment horizontal="center" vertical="center" shrinkToFit="1"/>
      <protection locked="0"/>
    </xf>
    <xf numFmtId="0" fontId="9" fillId="32" borderId="19" xfId="0" applyFont="1" applyFill="1" applyBorder="1" applyAlignment="1" applyProtection="1">
      <alignment horizontal="center" vertical="center" shrinkToFit="1"/>
      <protection locked="0"/>
    </xf>
    <xf numFmtId="0" fontId="9" fillId="32" borderId="48" xfId="0" applyFont="1" applyFill="1" applyBorder="1" applyAlignment="1" applyProtection="1">
      <alignment horizontal="center" vertical="center" shrinkToFit="1"/>
      <protection locked="0"/>
    </xf>
    <xf numFmtId="0" fontId="9" fillId="32" borderId="78" xfId="0" applyFont="1" applyFill="1" applyBorder="1" applyAlignment="1" applyProtection="1">
      <alignment horizontal="center" vertical="center" shrinkToFit="1"/>
      <protection locked="0"/>
    </xf>
    <xf numFmtId="0" fontId="9" fillId="32" borderId="54" xfId="0" applyFont="1" applyFill="1" applyBorder="1" applyAlignment="1" applyProtection="1">
      <alignment horizontal="center" vertical="center" shrinkToFit="1"/>
      <protection locked="0"/>
    </xf>
    <xf numFmtId="177" fontId="5" fillId="0" borderId="40" xfId="0" applyNumberFormat="1" applyFont="1" applyFill="1" applyBorder="1" applyAlignment="1">
      <alignment vertical="center"/>
    </xf>
    <xf numFmtId="177" fontId="5" fillId="0" borderId="41" xfId="0" applyNumberFormat="1" applyFont="1" applyFill="1" applyBorder="1" applyAlignment="1">
      <alignment vertical="center"/>
    </xf>
    <xf numFmtId="177" fontId="5" fillId="0" borderId="42" xfId="0" applyNumberFormat="1" applyFont="1" applyFill="1" applyBorder="1" applyAlignment="1">
      <alignment vertical="center"/>
    </xf>
    <xf numFmtId="0" fontId="9" fillId="32" borderId="37" xfId="0" applyFont="1" applyFill="1" applyBorder="1" applyAlignment="1" applyProtection="1">
      <alignment horizontal="center" vertical="center" shrinkToFit="1"/>
      <protection locked="0"/>
    </xf>
    <xf numFmtId="0" fontId="9" fillId="32" borderId="39" xfId="0" applyFont="1" applyFill="1" applyBorder="1" applyAlignment="1" applyProtection="1">
      <alignment horizontal="center" vertical="center" shrinkToFit="1"/>
      <protection locked="0"/>
    </xf>
    <xf numFmtId="0" fontId="9" fillId="32" borderId="88" xfId="0" applyFont="1" applyFill="1" applyBorder="1" applyAlignment="1" applyProtection="1">
      <alignment horizontal="center" vertical="center" shrinkToFit="1"/>
      <protection locked="0"/>
    </xf>
    <xf numFmtId="56" fontId="9" fillId="32" borderId="40" xfId="0" applyNumberFormat="1" applyFont="1" applyFill="1" applyBorder="1" applyAlignment="1" applyProtection="1" quotePrefix="1">
      <alignment horizontal="center" vertical="center"/>
      <protection locked="0"/>
    </xf>
    <xf numFmtId="0" fontId="9" fillId="32" borderId="42" xfId="0" applyNumberFormat="1" applyFont="1" applyFill="1" applyBorder="1" applyAlignment="1" applyProtection="1" quotePrefix="1">
      <alignment horizontal="center" vertical="center"/>
      <protection locked="0"/>
    </xf>
    <xf numFmtId="0" fontId="9" fillId="32" borderId="33" xfId="0" applyNumberFormat="1" applyFont="1" applyFill="1" applyBorder="1" applyAlignment="1" applyProtection="1" quotePrefix="1">
      <alignment horizontal="center" vertical="center"/>
      <protection locked="0"/>
    </xf>
    <xf numFmtId="0" fontId="9" fillId="32" borderId="27" xfId="0" applyNumberFormat="1" applyFont="1" applyFill="1" applyBorder="1" applyAlignment="1" applyProtection="1" quotePrefix="1">
      <alignment horizontal="center" vertical="center"/>
      <protection locked="0"/>
    </xf>
    <xf numFmtId="0" fontId="9" fillId="32" borderId="28" xfId="0" applyNumberFormat="1" applyFont="1" applyFill="1" applyBorder="1" applyAlignment="1" applyProtection="1" quotePrefix="1">
      <alignment horizontal="center" vertical="center" shrinkToFit="1"/>
      <protection locked="0"/>
    </xf>
    <xf numFmtId="0" fontId="10" fillId="0" borderId="53" xfId="0" applyFont="1" applyBorder="1" applyAlignment="1" quotePrefix="1">
      <alignment horizontal="center" vertical="center"/>
    </xf>
    <xf numFmtId="0" fontId="9" fillId="32" borderId="33" xfId="0" applyNumberFormat="1" applyFont="1" applyFill="1" applyBorder="1" applyAlignment="1" applyProtection="1" quotePrefix="1">
      <alignment horizontal="center" vertical="center" shrinkToFit="1"/>
      <protection locked="0"/>
    </xf>
    <xf numFmtId="0" fontId="14" fillId="0" borderId="62" xfId="0" applyFont="1" applyBorder="1" applyAlignment="1">
      <alignment horizontal="center" vertical="center" wrapText="1"/>
    </xf>
    <xf numFmtId="177" fontId="9" fillId="32" borderId="75" xfId="0" applyNumberFormat="1" applyFont="1" applyFill="1" applyBorder="1" applyAlignment="1" applyProtection="1">
      <alignment horizontal="right" vertical="center"/>
      <protection locked="0"/>
    </xf>
    <xf numFmtId="177" fontId="9" fillId="0" borderId="50" xfId="0" applyNumberFormat="1" applyFont="1" applyFill="1" applyBorder="1" applyAlignment="1">
      <alignment horizontal="right" vertical="center" shrinkToFit="1"/>
    </xf>
    <xf numFmtId="0" fontId="83" fillId="0" borderId="66" xfId="0" applyFont="1" applyBorder="1" applyAlignment="1">
      <alignment horizontal="center" vertical="center" wrapText="1"/>
    </xf>
    <xf numFmtId="0" fontId="14" fillId="0" borderId="87" xfId="0" applyFont="1" applyBorder="1" applyAlignment="1">
      <alignment horizontal="center" vertical="center" wrapText="1"/>
    </xf>
    <xf numFmtId="192" fontId="9" fillId="32" borderId="66" xfId="0" applyNumberFormat="1" applyFont="1" applyFill="1" applyBorder="1" applyAlignment="1">
      <alignment horizontal="right" vertical="center"/>
    </xf>
    <xf numFmtId="192" fontId="9" fillId="32" borderId="39" xfId="0" applyNumberFormat="1" applyFont="1" applyFill="1" applyBorder="1" applyAlignment="1">
      <alignment horizontal="right" vertical="center"/>
    </xf>
    <xf numFmtId="0" fontId="9" fillId="32" borderId="39" xfId="0" applyNumberFormat="1" applyFont="1" applyFill="1" applyBorder="1" applyAlignment="1">
      <alignment horizontal="right" vertical="center"/>
    </xf>
    <xf numFmtId="192" fontId="9" fillId="32" borderId="88" xfId="0" applyNumberFormat="1" applyFont="1" applyFill="1" applyBorder="1" applyAlignment="1">
      <alignment horizontal="right" vertical="center"/>
    </xf>
    <xf numFmtId="0" fontId="9" fillId="0" borderId="69" xfId="0" applyFont="1" applyFill="1" applyBorder="1" applyAlignment="1">
      <alignment horizontal="center" vertical="center" shrinkToFit="1"/>
    </xf>
    <xf numFmtId="0" fontId="10" fillId="0" borderId="0" xfId="65" applyFont="1" applyAlignment="1">
      <alignment horizontal="left" vertical="top" wrapText="1"/>
      <protection/>
    </xf>
    <xf numFmtId="0" fontId="39" fillId="0" borderId="39" xfId="63" applyFont="1" applyFill="1" applyBorder="1" applyAlignment="1">
      <alignment horizontal="center" vertical="center" wrapText="1"/>
      <protection/>
    </xf>
    <xf numFmtId="0" fontId="39" fillId="0" borderId="42" xfId="63" applyFont="1" applyFill="1" applyBorder="1" applyAlignment="1">
      <alignment horizontal="center" vertical="center" wrapText="1"/>
      <protection/>
    </xf>
    <xf numFmtId="0" fontId="39" fillId="0" borderId="45" xfId="63" applyFont="1" applyFill="1" applyBorder="1" applyAlignment="1">
      <alignment horizontal="center" vertical="center" wrapText="1"/>
      <protection/>
    </xf>
    <xf numFmtId="0" fontId="34" fillId="0" borderId="39" xfId="63" applyFont="1" applyFill="1" applyBorder="1" applyAlignment="1">
      <alignment horizontal="center" vertical="center" wrapText="1"/>
      <protection/>
    </xf>
    <xf numFmtId="0" fontId="34" fillId="0" borderId="42" xfId="63" applyFont="1" applyFill="1" applyBorder="1" applyAlignment="1">
      <alignment horizontal="center" vertical="center" wrapText="1"/>
      <protection/>
    </xf>
    <xf numFmtId="0" fontId="34" fillId="0" borderId="45" xfId="63" applyFont="1" applyFill="1" applyBorder="1" applyAlignment="1">
      <alignment horizontal="center" vertical="center" wrapText="1"/>
      <protection/>
    </xf>
    <xf numFmtId="0" fontId="37" fillId="0" borderId="81" xfId="65" applyFont="1" applyBorder="1" applyAlignment="1">
      <alignment horizontal="center" vertical="center"/>
      <protection/>
    </xf>
    <xf numFmtId="0" fontId="37" fillId="0" borderId="85" xfId="65" applyFont="1" applyBorder="1" applyAlignment="1">
      <alignment horizontal="center" vertical="center"/>
      <protection/>
    </xf>
    <xf numFmtId="0" fontId="37" fillId="0" borderId="55" xfId="65" applyFont="1" applyBorder="1" applyAlignment="1">
      <alignment horizontal="center" vertical="center"/>
      <protection/>
    </xf>
    <xf numFmtId="0" fontId="37" fillId="0" borderId="65" xfId="65" applyFont="1" applyBorder="1" applyAlignment="1">
      <alignment horizontal="center" vertical="center"/>
      <protection/>
    </xf>
    <xf numFmtId="0" fontId="37" fillId="0" borderId="0" xfId="65" applyFont="1" applyBorder="1" applyAlignment="1">
      <alignment horizontal="center" vertical="center"/>
      <protection/>
    </xf>
    <xf numFmtId="0" fontId="37" fillId="0" borderId="61" xfId="65" applyFont="1" applyBorder="1" applyAlignment="1">
      <alignment horizontal="center" vertical="center"/>
      <protection/>
    </xf>
    <xf numFmtId="0" fontId="37" fillId="0" borderId="38" xfId="65" applyFont="1" applyBorder="1" applyAlignment="1">
      <alignment horizontal="center" vertical="center"/>
      <protection/>
    </xf>
    <xf numFmtId="0" fontId="37" fillId="0" borderId="41" xfId="65" applyFont="1" applyBorder="1" applyAlignment="1">
      <alignment horizontal="center" vertical="center"/>
      <protection/>
    </xf>
    <xf numFmtId="0" fontId="37" fillId="0" borderId="44" xfId="65" applyFont="1" applyBorder="1" applyAlignment="1">
      <alignment horizontal="center" vertical="center"/>
      <protection/>
    </xf>
    <xf numFmtId="0" fontId="34" fillId="0" borderId="65" xfId="65" applyFont="1" applyBorder="1" applyAlignment="1">
      <alignment vertical="distributed"/>
      <protection/>
    </xf>
    <xf numFmtId="0" fontId="34" fillId="0" borderId="61" xfId="65" applyFont="1" applyBorder="1" applyAlignment="1">
      <alignment vertical="distributed"/>
      <protection/>
    </xf>
    <xf numFmtId="0" fontId="4" fillId="0" borderId="0" xfId="65" applyFont="1" applyAlignment="1">
      <alignment horizontal="center"/>
      <protection/>
    </xf>
    <xf numFmtId="38" fontId="4" fillId="0" borderId="0" xfId="49" applyFont="1" applyFill="1" applyAlignment="1">
      <alignment horizontal="right" vertical="center" wrapText="1"/>
    </xf>
    <xf numFmtId="38" fontId="4" fillId="0" borderId="0" xfId="49" applyFont="1" applyFill="1" applyAlignment="1">
      <alignment horizontal="right" vertical="center"/>
    </xf>
    <xf numFmtId="0" fontId="34" fillId="0" borderId="0" xfId="65" applyFont="1" applyAlignment="1">
      <alignment horizontal="center" vertical="center" shrinkToFit="1"/>
      <protection/>
    </xf>
    <xf numFmtId="0" fontId="34" fillId="0" borderId="0" xfId="65" applyFont="1" applyAlignment="1">
      <alignment horizontal="center" vertical="center" wrapText="1"/>
      <protection/>
    </xf>
    <xf numFmtId="0" fontId="34" fillId="0" borderId="0" xfId="65" applyFont="1" applyAlignment="1">
      <alignment horizontal="right" vertical="center"/>
      <protection/>
    </xf>
    <xf numFmtId="0" fontId="28" fillId="39" borderId="0" xfId="65" applyFont="1" applyFill="1" applyAlignment="1">
      <alignment vertical="top" wrapText="1"/>
      <protection/>
    </xf>
    <xf numFmtId="0" fontId="4" fillId="0" borderId="0" xfId="65" applyFont="1" applyAlignment="1">
      <alignment horizontal="left"/>
      <protection/>
    </xf>
    <xf numFmtId="0" fontId="4" fillId="0" borderId="0" xfId="65" applyFont="1" applyAlignment="1">
      <alignment horizontal="distributed"/>
      <protection/>
    </xf>
    <xf numFmtId="0" fontId="4" fillId="0" borderId="25" xfId="0" applyFont="1" applyBorder="1" applyAlignment="1">
      <alignment horizontal="center" vertical="center"/>
    </xf>
    <xf numFmtId="0" fontId="4" fillId="0" borderId="67" xfId="0" applyFont="1" applyBorder="1" applyAlignment="1">
      <alignment horizontal="center" vertical="center"/>
    </xf>
    <xf numFmtId="0" fontId="4" fillId="32" borderId="32" xfId="0" applyFont="1" applyFill="1" applyBorder="1" applyAlignment="1" applyProtection="1">
      <alignment horizontal="left" vertical="center" shrinkToFit="1"/>
      <protection locked="0"/>
    </xf>
    <xf numFmtId="0" fontId="0" fillId="0" borderId="40" xfId="0" applyBorder="1" applyAlignment="1">
      <alignment horizontal="left" vertical="center" shrinkToFit="1"/>
    </xf>
    <xf numFmtId="0" fontId="0" fillId="0" borderId="83" xfId="0" applyBorder="1" applyAlignment="1">
      <alignment horizontal="left" vertical="center" shrinkToFit="1"/>
    </xf>
    <xf numFmtId="0" fontId="4" fillId="32" borderId="76" xfId="0" applyFont="1" applyFill="1" applyBorder="1" applyAlignment="1" applyProtection="1">
      <alignment horizontal="left" vertical="center" shrinkToFit="1"/>
      <protection locked="0"/>
    </xf>
    <xf numFmtId="0" fontId="0" fillId="0" borderId="77" xfId="0" applyBorder="1" applyAlignment="1">
      <alignment horizontal="left" vertical="center" shrinkToFit="1"/>
    </xf>
    <xf numFmtId="0" fontId="0" fillId="0" borderId="90" xfId="0" applyBorder="1" applyAlignment="1">
      <alignment horizontal="left" vertical="center" shrinkToFit="1"/>
    </xf>
    <xf numFmtId="0" fontId="4" fillId="0" borderId="12"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76" xfId="0" applyFont="1" applyBorder="1" applyAlignment="1">
      <alignment horizontal="distributed" vertical="center"/>
    </xf>
    <xf numFmtId="0" fontId="4" fillId="0" borderId="77" xfId="0" applyFont="1" applyBorder="1" applyAlignment="1">
      <alignment horizontal="distributed" vertical="center"/>
    </xf>
    <xf numFmtId="0" fontId="4" fillId="0" borderId="90" xfId="0" applyFont="1" applyBorder="1" applyAlignment="1">
      <alignment horizontal="distributed" vertical="center"/>
    </xf>
    <xf numFmtId="0" fontId="4" fillId="0" borderId="25" xfId="0" applyFont="1" applyBorder="1" applyAlignment="1">
      <alignment horizontal="distributed" vertical="center"/>
    </xf>
    <xf numFmtId="0" fontId="4" fillId="32" borderId="16" xfId="0" applyFont="1" applyFill="1" applyBorder="1" applyAlignment="1">
      <alignment vertical="center"/>
    </xf>
    <xf numFmtId="0" fontId="0" fillId="32" borderId="10" xfId="0" applyFill="1" applyBorder="1" applyAlignment="1">
      <alignment vertical="center"/>
    </xf>
    <xf numFmtId="0" fontId="0" fillId="32" borderId="11" xfId="0" applyFill="1" applyBorder="1" applyAlignment="1">
      <alignment vertical="center"/>
    </xf>
    <xf numFmtId="0" fontId="4" fillId="32" borderId="76" xfId="0" applyFont="1" applyFill="1" applyBorder="1" applyAlignment="1">
      <alignment vertical="center"/>
    </xf>
    <xf numFmtId="0" fontId="0" fillId="32" borderId="77" xfId="0" applyFill="1" applyBorder="1" applyAlignment="1">
      <alignment vertical="center"/>
    </xf>
    <xf numFmtId="0" fontId="0" fillId="32" borderId="76" xfId="0" applyFill="1" applyBorder="1" applyAlignment="1">
      <alignment vertical="center"/>
    </xf>
    <xf numFmtId="0" fontId="0" fillId="32" borderId="90" xfId="0" applyFill="1" applyBorder="1" applyAlignment="1">
      <alignment vertical="center"/>
    </xf>
    <xf numFmtId="0" fontId="4" fillId="32" borderId="91" xfId="0" applyFont="1" applyFill="1" applyBorder="1" applyAlignment="1" applyProtection="1">
      <alignment horizontal="center" vertical="center"/>
      <protection locked="0"/>
    </xf>
    <xf numFmtId="58" fontId="4" fillId="0" borderId="0" xfId="0" applyNumberFormat="1" applyFont="1" applyFill="1" applyBorder="1" applyAlignment="1" applyProtection="1">
      <alignment horizontal="left" vertical="center"/>
      <protection locked="0"/>
    </xf>
    <xf numFmtId="0" fontId="4" fillId="32" borderId="92" xfId="0" applyFont="1" applyFill="1" applyBorder="1" applyAlignment="1" applyProtection="1">
      <alignment horizontal="left" vertical="top" wrapText="1"/>
      <protection locked="0"/>
    </xf>
    <xf numFmtId="0" fontId="4" fillId="32" borderId="93" xfId="0" applyFont="1" applyFill="1" applyBorder="1" applyAlignment="1" applyProtection="1">
      <alignment horizontal="left" vertical="top" wrapText="1"/>
      <protection locked="0"/>
    </xf>
    <xf numFmtId="0" fontId="4" fillId="32" borderId="94" xfId="0" applyFont="1" applyFill="1" applyBorder="1" applyAlignment="1" applyProtection="1">
      <alignment horizontal="left" vertical="top" wrapText="1"/>
      <protection locked="0"/>
    </xf>
    <xf numFmtId="0" fontId="4" fillId="32" borderId="95" xfId="0" applyFont="1" applyFill="1" applyBorder="1" applyAlignment="1" applyProtection="1">
      <alignment horizontal="left" vertical="top" wrapText="1"/>
      <protection locked="0"/>
    </xf>
    <xf numFmtId="0" fontId="4" fillId="32" borderId="0" xfId="0" applyFont="1" applyFill="1" applyBorder="1" applyAlignment="1" applyProtection="1">
      <alignment horizontal="left" vertical="top" wrapText="1"/>
      <protection locked="0"/>
    </xf>
    <xf numFmtId="0" fontId="4" fillId="32" borderId="96" xfId="0" applyFont="1" applyFill="1" applyBorder="1" applyAlignment="1" applyProtection="1">
      <alignment horizontal="left" vertical="top" wrapText="1"/>
      <protection locked="0"/>
    </xf>
    <xf numFmtId="0" fontId="4" fillId="32" borderId="97" xfId="0" applyFont="1" applyFill="1" applyBorder="1" applyAlignment="1" applyProtection="1">
      <alignment horizontal="left" vertical="top" wrapText="1"/>
      <protection locked="0"/>
    </xf>
    <xf numFmtId="0" fontId="4" fillId="32" borderId="91" xfId="0" applyFont="1" applyFill="1" applyBorder="1" applyAlignment="1" applyProtection="1">
      <alignment horizontal="left" vertical="top" wrapText="1"/>
      <protection locked="0"/>
    </xf>
    <xf numFmtId="0" fontId="4" fillId="32" borderId="98" xfId="0" applyFont="1" applyFill="1" applyBorder="1" applyAlignment="1" applyProtection="1">
      <alignment horizontal="left" vertical="top" wrapText="1"/>
      <protection locked="0"/>
    </xf>
    <xf numFmtId="0" fontId="10" fillId="0" borderId="68" xfId="0" applyFont="1" applyBorder="1" applyAlignment="1">
      <alignment horizontal="center" vertical="center"/>
    </xf>
    <xf numFmtId="0" fontId="10" fillId="0" borderId="52" xfId="0" applyFont="1" applyBorder="1" applyAlignment="1">
      <alignment horizontal="center" vertical="center"/>
    </xf>
    <xf numFmtId="0" fontId="10" fillId="0" borderId="49" xfId="0" applyFont="1" applyBorder="1" applyAlignment="1">
      <alignment horizontal="center" vertical="center"/>
    </xf>
    <xf numFmtId="0" fontId="10" fillId="0" borderId="6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68"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59" xfId="0"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5" xfId="0" applyFont="1" applyBorder="1" applyAlignment="1">
      <alignment horizontal="center" vertical="center"/>
    </xf>
    <xf numFmtId="179" fontId="10" fillId="0" borderId="59" xfId="0" applyNumberFormat="1" applyFont="1" applyBorder="1" applyAlignment="1">
      <alignment horizontal="left"/>
    </xf>
    <xf numFmtId="179" fontId="10" fillId="0" borderId="24" xfId="0" applyNumberFormat="1" applyFont="1" applyBorder="1" applyAlignment="1">
      <alignment horizontal="left"/>
    </xf>
    <xf numFmtId="193" fontId="9" fillId="0" borderId="12" xfId="0" applyNumberFormat="1" applyFont="1" applyBorder="1" applyAlignment="1">
      <alignment horizontal="center" vertical="center" textRotation="255"/>
    </xf>
    <xf numFmtId="180" fontId="9" fillId="32" borderId="24" xfId="49" applyNumberFormat="1" applyFont="1" applyFill="1" applyBorder="1" applyAlignment="1" applyProtection="1">
      <alignment vertical="center"/>
      <protection locked="0"/>
    </xf>
    <xf numFmtId="180" fontId="9" fillId="32" borderId="20" xfId="49" applyNumberFormat="1" applyFont="1" applyFill="1" applyBorder="1" applyAlignment="1" applyProtection="1">
      <alignment vertical="center"/>
      <protection locked="0"/>
    </xf>
    <xf numFmtId="180" fontId="9" fillId="32" borderId="59" xfId="49" applyNumberFormat="1" applyFont="1" applyFill="1" applyBorder="1" applyAlignment="1" applyProtection="1">
      <alignment vertical="center"/>
      <protection locked="0"/>
    </xf>
    <xf numFmtId="0" fontId="31" fillId="0" borderId="59" xfId="0" applyFont="1" applyBorder="1" applyAlignment="1">
      <alignment vertical="center"/>
    </xf>
    <xf numFmtId="0" fontId="31" fillId="0" borderId="24" xfId="0" applyFont="1" applyBorder="1" applyAlignment="1">
      <alignment vertical="center"/>
    </xf>
    <xf numFmtId="0" fontId="14" fillId="0" borderId="68" xfId="0" applyFont="1" applyBorder="1" applyAlignment="1">
      <alignment horizontal="center" vertical="center"/>
    </xf>
    <xf numFmtId="0" fontId="14" fillId="0" borderId="52" xfId="0" applyFont="1" applyBorder="1" applyAlignment="1">
      <alignment horizontal="center" vertical="center"/>
    </xf>
    <xf numFmtId="193" fontId="9" fillId="0" borderId="16" xfId="0" applyNumberFormat="1" applyFont="1" applyBorder="1" applyAlignment="1">
      <alignment horizontal="center" vertical="center" textRotation="255"/>
    </xf>
    <xf numFmtId="193" fontId="9" fillId="0" borderId="17" xfId="0" applyNumberFormat="1" applyFont="1" applyBorder="1" applyAlignment="1">
      <alignment horizontal="center" vertical="center" textRotation="255"/>
    </xf>
    <xf numFmtId="180" fontId="9" fillId="32" borderId="25" xfId="49" applyNumberFormat="1" applyFont="1" applyFill="1" applyBorder="1" applyAlignment="1" applyProtection="1">
      <alignment vertical="center"/>
      <protection locked="0"/>
    </xf>
    <xf numFmtId="180" fontId="9" fillId="0" borderId="99" xfId="49" applyNumberFormat="1" applyFont="1" applyBorder="1" applyAlignment="1">
      <alignment vertical="center"/>
    </xf>
    <xf numFmtId="193" fontId="9" fillId="0" borderId="25" xfId="0" applyNumberFormat="1" applyFont="1" applyBorder="1" applyAlignment="1">
      <alignment horizontal="center" vertical="center" textRotation="255"/>
    </xf>
    <xf numFmtId="193" fontId="9" fillId="0" borderId="59" xfId="0" applyNumberFormat="1" applyFont="1" applyBorder="1" applyAlignment="1">
      <alignment horizontal="center" vertical="center" textRotation="255"/>
    </xf>
    <xf numFmtId="193" fontId="9" fillId="0" borderId="24" xfId="0" applyNumberFormat="1" applyFont="1" applyBorder="1" applyAlignment="1">
      <alignment horizontal="center" vertical="center" textRotation="255"/>
    </xf>
    <xf numFmtId="180" fontId="9" fillId="0" borderId="100" xfId="49" applyNumberFormat="1" applyFont="1" applyBorder="1" applyAlignment="1">
      <alignment vertical="center"/>
    </xf>
    <xf numFmtId="180" fontId="9" fillId="0" borderId="101" xfId="49" applyNumberFormat="1" applyFont="1" applyBorder="1" applyAlignment="1">
      <alignment vertical="center"/>
    </xf>
    <xf numFmtId="180" fontId="9" fillId="0" borderId="102" xfId="49" applyNumberFormat="1" applyFont="1" applyBorder="1" applyAlignment="1">
      <alignment vertical="center"/>
    </xf>
    <xf numFmtId="181" fontId="9" fillId="0" borderId="16" xfId="0" applyNumberFormat="1" applyFont="1" applyBorder="1" applyAlignment="1">
      <alignment horizontal="center" vertical="center" textRotation="255"/>
    </xf>
    <xf numFmtId="181" fontId="9" fillId="0" borderId="12" xfId="0" applyNumberFormat="1" applyFont="1" applyBorder="1" applyAlignment="1">
      <alignment horizontal="center" vertical="center" textRotation="255"/>
    </xf>
    <xf numFmtId="181" fontId="9" fillId="0" borderId="17" xfId="0" applyNumberFormat="1" applyFont="1" applyBorder="1" applyAlignment="1">
      <alignment horizontal="center" vertical="center" textRotation="255"/>
    </xf>
    <xf numFmtId="180" fontId="5" fillId="0" borderId="20" xfId="49" applyNumberFormat="1" applyFont="1" applyBorder="1" applyAlignment="1">
      <alignment vertical="center"/>
    </xf>
    <xf numFmtId="180" fontId="5" fillId="0" borderId="25" xfId="49" applyNumberFormat="1" applyFont="1" applyBorder="1" applyAlignment="1">
      <alignment vertical="center"/>
    </xf>
    <xf numFmtId="180" fontId="5" fillId="0" borderId="59" xfId="49" applyNumberFormat="1" applyFont="1" applyBorder="1" applyAlignment="1">
      <alignment vertical="center"/>
    </xf>
    <xf numFmtId="180" fontId="5" fillId="0" borderId="24" xfId="49" applyNumberFormat="1" applyFont="1" applyBorder="1" applyAlignment="1">
      <alignment vertical="center"/>
    </xf>
    <xf numFmtId="0" fontId="14" fillId="0" borderId="68" xfId="0" applyFont="1" applyBorder="1" applyAlignment="1">
      <alignment horizontal="distributed" vertical="center"/>
    </xf>
    <xf numFmtId="0" fontId="14" fillId="0" borderId="49" xfId="0" applyFont="1" applyBorder="1" applyAlignment="1">
      <alignment horizontal="distributed" vertical="center"/>
    </xf>
    <xf numFmtId="0" fontId="14" fillId="0" borderId="17" xfId="0" applyFont="1" applyBorder="1" applyAlignment="1">
      <alignment horizontal="distributed" vertical="center"/>
    </xf>
    <xf numFmtId="0" fontId="14" fillId="0" borderId="15" xfId="0" applyFont="1" applyBorder="1" applyAlignment="1">
      <alignment horizontal="distributed" vertical="center"/>
    </xf>
    <xf numFmtId="0" fontId="15" fillId="0" borderId="52" xfId="0" applyFont="1" applyFill="1" applyBorder="1" applyAlignment="1">
      <alignment horizontal="left" vertical="center" shrinkToFit="1"/>
    </xf>
    <xf numFmtId="0" fontId="15" fillId="0" borderId="49" xfId="0" applyFont="1" applyFill="1" applyBorder="1" applyAlignment="1">
      <alignment horizontal="left" vertical="center" shrinkToFit="1"/>
    </xf>
    <xf numFmtId="0" fontId="10" fillId="32" borderId="77" xfId="0" applyFont="1" applyFill="1" applyBorder="1" applyAlignment="1" applyProtection="1">
      <alignment vertical="center" shrinkToFit="1"/>
      <protection locked="0"/>
    </xf>
    <xf numFmtId="0" fontId="10" fillId="32" borderId="90" xfId="0" applyFont="1" applyFill="1" applyBorder="1" applyAlignment="1" applyProtection="1">
      <alignment vertical="center" shrinkToFit="1"/>
      <protection locked="0"/>
    </xf>
    <xf numFmtId="0" fontId="10" fillId="32" borderId="42" xfId="0" applyFont="1" applyFill="1" applyBorder="1" applyAlignment="1" applyProtection="1">
      <alignment vertical="center" shrinkToFit="1"/>
      <protection locked="0"/>
    </xf>
    <xf numFmtId="0" fontId="10" fillId="32" borderId="64" xfId="0" applyFont="1" applyFill="1" applyBorder="1" applyAlignment="1" applyProtection="1">
      <alignment vertical="center" shrinkToFit="1"/>
      <protection locked="0"/>
    </xf>
    <xf numFmtId="0" fontId="9" fillId="0" borderId="68"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49" xfId="0" applyBorder="1" applyAlignment="1">
      <alignment horizontal="center" vertical="center" shrinkToFit="1"/>
    </xf>
    <xf numFmtId="0" fontId="10" fillId="0" borderId="68" xfId="0" applyFont="1" applyFill="1" applyBorder="1" applyAlignment="1">
      <alignment horizontal="left" vertical="center" shrinkToFit="1"/>
    </xf>
    <xf numFmtId="0" fontId="10" fillId="0" borderId="52" xfId="0" applyFont="1" applyFill="1" applyBorder="1" applyAlignment="1">
      <alignment horizontal="left" vertical="center" shrinkToFit="1"/>
    </xf>
    <xf numFmtId="0" fontId="10" fillId="0" borderId="49" xfId="0" applyFont="1" applyFill="1" applyBorder="1" applyAlignment="1">
      <alignment horizontal="left" vertical="center" shrinkToFit="1"/>
    </xf>
    <xf numFmtId="0" fontId="10" fillId="0" borderId="16"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7" fillId="34" borderId="33" xfId="0" applyFont="1" applyFill="1" applyBorder="1" applyAlignment="1">
      <alignment horizontal="center" vertical="center" wrapText="1"/>
    </xf>
    <xf numFmtId="0" fontId="17" fillId="34" borderId="27" xfId="0" applyFont="1" applyFill="1" applyBorder="1" applyAlignment="1">
      <alignment horizontal="center" vertical="center" wrapText="1"/>
    </xf>
    <xf numFmtId="0" fontId="17" fillId="34" borderId="103" xfId="0" applyFont="1" applyFill="1" applyBorder="1" applyAlignment="1">
      <alignment horizontal="center" vertical="center" wrapText="1"/>
    </xf>
    <xf numFmtId="0" fontId="17" fillId="34" borderId="67" xfId="0" applyFont="1" applyFill="1" applyBorder="1" applyAlignment="1">
      <alignment horizontal="center" vertical="center" wrapText="1"/>
    </xf>
    <xf numFmtId="0" fontId="10" fillId="32" borderId="10" xfId="0" applyFont="1" applyFill="1" applyBorder="1" applyAlignment="1" applyProtection="1">
      <alignment vertical="center" shrinkToFit="1"/>
      <protection locked="0"/>
    </xf>
    <xf numFmtId="0" fontId="10" fillId="32" borderId="11" xfId="0" applyFont="1" applyFill="1" applyBorder="1" applyAlignment="1" applyProtection="1">
      <alignment vertical="center" shrinkToFit="1"/>
      <protection locked="0"/>
    </xf>
    <xf numFmtId="0" fontId="10" fillId="0" borderId="59" xfId="0" applyFont="1" applyBorder="1" applyAlignment="1">
      <alignment horizontal="center" vertical="center" wrapText="1"/>
    </xf>
    <xf numFmtId="0" fontId="10" fillId="0" borderId="74" xfId="0" applyFont="1" applyBorder="1" applyAlignment="1" quotePrefix="1">
      <alignment horizontal="center" vertical="center" wrapText="1"/>
    </xf>
    <xf numFmtId="0" fontId="10" fillId="0" borderId="84" xfId="0" applyFont="1" applyBorder="1" applyAlignment="1" quotePrefix="1">
      <alignment horizontal="center" vertical="center" wrapText="1"/>
    </xf>
    <xf numFmtId="0" fontId="14" fillId="0" borderId="74" xfId="0" applyFont="1" applyBorder="1" applyAlignment="1">
      <alignment horizontal="center" vertical="center" wrapText="1"/>
    </xf>
    <xf numFmtId="0" fontId="14" fillId="0" borderId="84" xfId="0" applyFont="1" applyBorder="1" applyAlignment="1">
      <alignment horizontal="center" vertical="center" wrapText="1"/>
    </xf>
    <xf numFmtId="0" fontId="10" fillId="0" borderId="23" xfId="0" applyFont="1" applyBorder="1" applyAlignment="1" quotePrefix="1">
      <alignment horizontal="center" vertical="center" wrapText="1"/>
    </xf>
    <xf numFmtId="0" fontId="10" fillId="0" borderId="60" xfId="0" applyFont="1" applyBorder="1" applyAlignment="1" quotePrefix="1">
      <alignment horizontal="center" vertical="center" wrapText="1"/>
    </xf>
    <xf numFmtId="0" fontId="10" fillId="0" borderId="75" xfId="0" applyFont="1" applyFill="1" applyBorder="1" applyAlignment="1" quotePrefix="1">
      <alignment horizontal="center" vertical="center" wrapText="1"/>
    </xf>
    <xf numFmtId="0" fontId="10" fillId="0" borderId="62" xfId="0" applyFont="1" applyFill="1" applyBorder="1" applyAlignment="1" quotePrefix="1">
      <alignment horizontal="center" vertical="center" wrapText="1"/>
    </xf>
    <xf numFmtId="0" fontId="10" fillId="35" borderId="23" xfId="0" applyFont="1" applyFill="1" applyBorder="1" applyAlignment="1">
      <alignment horizontal="center" vertical="center" textRotation="255"/>
    </xf>
    <xf numFmtId="0" fontId="10" fillId="35" borderId="53" xfId="0" applyFont="1" applyFill="1" applyBorder="1" applyAlignment="1">
      <alignment horizontal="center" vertical="center" textRotation="255"/>
    </xf>
    <xf numFmtId="0" fontId="14" fillId="0" borderId="74" xfId="0" applyFont="1" applyBorder="1" applyAlignment="1" quotePrefix="1">
      <alignment horizontal="center" vertical="center" wrapText="1"/>
    </xf>
    <xf numFmtId="0" fontId="14" fillId="0" borderId="84" xfId="0" applyFont="1" applyBorder="1" applyAlignment="1" quotePrefix="1">
      <alignment horizontal="center" vertical="center" wrapText="1"/>
    </xf>
    <xf numFmtId="0" fontId="31" fillId="0" borderId="16" xfId="0" applyFont="1" applyFill="1" applyBorder="1" applyAlignment="1" applyProtection="1">
      <alignment horizontal="center" vertical="center" wrapText="1" shrinkToFit="1"/>
      <protection locked="0"/>
    </xf>
    <xf numFmtId="0" fontId="31" fillId="0" borderId="10" xfId="0" applyFont="1" applyFill="1" applyBorder="1" applyAlignment="1" applyProtection="1">
      <alignment horizontal="center" vertical="center" wrapText="1" shrinkToFit="1"/>
      <protection locked="0"/>
    </xf>
    <xf numFmtId="0" fontId="31" fillId="0" borderId="11" xfId="0" applyFont="1" applyFill="1" applyBorder="1" applyAlignment="1" applyProtection="1">
      <alignment horizontal="center" vertical="center" wrapText="1" shrinkToFit="1"/>
      <protection locked="0"/>
    </xf>
    <xf numFmtId="0" fontId="14" fillId="0" borderId="23" xfId="0" applyFont="1" applyBorder="1" applyAlignment="1" quotePrefix="1">
      <alignment horizontal="center" vertical="center" wrapText="1"/>
    </xf>
    <xf numFmtId="0" fontId="14" fillId="0" borderId="60" xfId="0" applyFont="1" applyBorder="1" applyAlignment="1" quotePrefix="1">
      <alignment horizontal="center" vertical="center" wrapText="1"/>
    </xf>
    <xf numFmtId="0" fontId="14" fillId="0" borderId="52" xfId="0" applyFont="1" applyBorder="1" applyAlignment="1">
      <alignment vertical="center"/>
    </xf>
    <xf numFmtId="0" fontId="14" fillId="0" borderId="49" xfId="0" applyFont="1" applyBorder="1" applyAlignment="1">
      <alignment vertical="center"/>
    </xf>
    <xf numFmtId="0" fontId="10" fillId="3" borderId="25"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14" fillId="0" borderId="75" xfId="0" applyFont="1" applyBorder="1" applyAlignment="1">
      <alignment horizontal="center" vertical="center" wrapText="1"/>
    </xf>
    <xf numFmtId="0" fontId="14" fillId="0" borderId="62" xfId="0" applyFont="1" applyBorder="1" applyAlignment="1">
      <alignment horizontal="center" vertical="center" wrapText="1"/>
    </xf>
    <xf numFmtId="0" fontId="15" fillId="0" borderId="16" xfId="0" applyFont="1" applyFill="1" applyBorder="1" applyAlignment="1">
      <alignment horizontal="left" vertical="center" shrinkToFit="1"/>
    </xf>
    <xf numFmtId="0" fontId="0" fillId="0" borderId="10" xfId="0" applyBorder="1" applyAlignment="1">
      <alignment vertical="center"/>
    </xf>
    <xf numFmtId="0" fontId="0" fillId="0" borderId="11" xfId="0" applyBorder="1" applyAlignment="1">
      <alignment vertical="center"/>
    </xf>
    <xf numFmtId="0" fontId="15" fillId="0" borderId="76" xfId="0" applyFont="1" applyFill="1" applyBorder="1" applyAlignment="1">
      <alignment horizontal="left" vertical="center" shrinkToFit="1"/>
    </xf>
    <xf numFmtId="0" fontId="0" fillId="0" borderId="77" xfId="0" applyBorder="1" applyAlignment="1">
      <alignment vertical="center"/>
    </xf>
    <xf numFmtId="0" fontId="0" fillId="0" borderId="90" xfId="0" applyBorder="1" applyAlignment="1">
      <alignment vertical="center"/>
    </xf>
    <xf numFmtId="0" fontId="10" fillId="0" borderId="59" xfId="0" applyFont="1" applyBorder="1" applyAlignment="1">
      <alignment horizontal="center" vertical="center"/>
    </xf>
    <xf numFmtId="0" fontId="10"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textRotation="255"/>
    </xf>
    <xf numFmtId="0" fontId="10" fillId="0" borderId="59" xfId="0" applyFont="1" applyBorder="1" applyAlignment="1">
      <alignment horizontal="center" vertical="center" textRotation="255"/>
    </xf>
    <xf numFmtId="0" fontId="10" fillId="0" borderId="24" xfId="0" applyFont="1" applyBorder="1" applyAlignment="1">
      <alignment horizontal="center" vertical="center" textRotation="255"/>
    </xf>
    <xf numFmtId="0" fontId="14" fillId="0" borderId="68" xfId="0" applyFont="1" applyBorder="1" applyAlignment="1" quotePrefix="1">
      <alignment horizontal="center" vertical="center" wrapText="1"/>
    </xf>
    <xf numFmtId="0" fontId="14" fillId="0" borderId="52" xfId="0" applyFont="1" applyBorder="1" applyAlignment="1" quotePrefix="1">
      <alignment horizontal="center" vertical="center" wrapText="1"/>
    </xf>
    <xf numFmtId="0" fontId="14" fillId="0" borderId="49"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25" xfId="0" applyFont="1" applyBorder="1" applyAlignment="1" quotePrefix="1">
      <alignment horizontal="center" vertical="center" wrapText="1"/>
    </xf>
    <xf numFmtId="0" fontId="14" fillId="0" borderId="59" xfId="0" applyFont="1" applyBorder="1" applyAlignment="1" quotePrefix="1">
      <alignment horizontal="center" vertical="center" wrapText="1"/>
    </xf>
    <xf numFmtId="0" fontId="10" fillId="0" borderId="23" xfId="0" applyFont="1" applyBorder="1" applyAlignment="1">
      <alignment horizontal="center" vertical="center" wrapText="1"/>
    </xf>
    <xf numFmtId="0" fontId="10" fillId="0" borderId="60" xfId="0" applyFont="1" applyBorder="1" applyAlignment="1">
      <alignment horizontal="center" vertical="center" wrapText="1"/>
    </xf>
    <xf numFmtId="0" fontId="14" fillId="0" borderId="25" xfId="0" applyFont="1" applyBorder="1" applyAlignment="1">
      <alignment horizontal="distributed" vertical="center"/>
    </xf>
    <xf numFmtId="0" fontId="15" fillId="0" borderId="10"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15" fillId="0" borderId="16" xfId="0" applyFont="1" applyFill="1" applyBorder="1" applyAlignment="1">
      <alignment horizontal="right" vertical="center"/>
    </xf>
    <xf numFmtId="0" fontId="0" fillId="0" borderId="11" xfId="0" applyBorder="1" applyAlignment="1">
      <alignment horizontal="right" vertical="center"/>
    </xf>
    <xf numFmtId="0" fontId="14" fillId="0" borderId="67" xfId="0" applyFont="1" applyBorder="1" applyAlignment="1">
      <alignment horizontal="distributed" vertical="center"/>
    </xf>
    <xf numFmtId="0" fontId="15" fillId="0" borderId="77" xfId="0" applyFont="1" applyFill="1" applyBorder="1" applyAlignment="1">
      <alignment horizontal="left" vertical="center" shrinkToFit="1"/>
    </xf>
    <xf numFmtId="0" fontId="15" fillId="0" borderId="90" xfId="0" applyFont="1" applyFill="1" applyBorder="1" applyAlignment="1">
      <alignment horizontal="left" vertical="center" shrinkToFit="1"/>
    </xf>
    <xf numFmtId="0" fontId="15" fillId="0" borderId="76" xfId="0" applyFont="1" applyFill="1" applyBorder="1" applyAlignment="1">
      <alignment horizontal="right" vertical="center"/>
    </xf>
    <xf numFmtId="0" fontId="0" fillId="0" borderId="90" xfId="0" applyBorder="1" applyAlignment="1">
      <alignment horizontal="right" vertical="center"/>
    </xf>
    <xf numFmtId="0" fontId="10" fillId="0" borderId="74"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25" xfId="0" applyFont="1" applyBorder="1" applyAlignment="1" quotePrefix="1">
      <alignment horizontal="center" vertical="center" wrapText="1"/>
    </xf>
    <xf numFmtId="0" fontId="0" fillId="0" borderId="59" xfId="0"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0" fillId="4" borderId="25" xfId="0" applyFont="1" applyFill="1" applyBorder="1" applyAlignment="1">
      <alignment horizontal="center" vertical="center" wrapText="1"/>
    </xf>
    <xf numFmtId="0" fontId="10" fillId="4" borderId="59" xfId="0" applyFont="1" applyFill="1" applyBorder="1" applyAlignment="1">
      <alignment horizontal="center" vertical="center" wrapText="1"/>
    </xf>
    <xf numFmtId="0" fontId="10" fillId="4" borderId="59" xfId="0" applyFont="1" applyFill="1" applyBorder="1" applyAlignment="1">
      <alignment horizontal="center" vertical="center"/>
    </xf>
    <xf numFmtId="0" fontId="10"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4" fillId="0" borderId="1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0" fillId="0" borderId="68" xfId="0" applyFont="1" applyBorder="1" applyAlignment="1">
      <alignment horizontal="distributed" vertical="center" indent="3"/>
    </xf>
    <xf numFmtId="0" fontId="10" fillId="0" borderId="52" xfId="0" applyFont="1" applyBorder="1" applyAlignment="1">
      <alignment horizontal="distributed" vertical="center" indent="3"/>
    </xf>
    <xf numFmtId="0" fontId="10" fillId="0" borderId="49" xfId="0" applyFont="1" applyBorder="1" applyAlignment="1">
      <alignment horizontal="distributed" vertical="center" indent="3"/>
    </xf>
    <xf numFmtId="0" fontId="10" fillId="0" borderId="16"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68" xfId="0" applyFont="1" applyBorder="1" applyAlignment="1">
      <alignment horizontal="distributed" vertical="center" indent="4"/>
    </xf>
    <xf numFmtId="0" fontId="10" fillId="0" borderId="52" xfId="0" applyFont="1" applyBorder="1" applyAlignment="1">
      <alignment horizontal="distributed" vertical="center" indent="4"/>
    </xf>
    <xf numFmtId="0" fontId="10" fillId="0" borderId="49" xfId="0" applyFont="1" applyBorder="1" applyAlignment="1">
      <alignment horizontal="distributed" vertical="center" indent="4"/>
    </xf>
    <xf numFmtId="0" fontId="10" fillId="0" borderId="17" xfId="0" applyFont="1" applyBorder="1" applyAlignment="1">
      <alignment horizontal="center" vertical="center"/>
    </xf>
    <xf numFmtId="0" fontId="10" fillId="0" borderId="66" xfId="0" applyFont="1" applyBorder="1" applyAlignment="1">
      <alignment horizontal="center" vertical="center"/>
    </xf>
    <xf numFmtId="0" fontId="10" fillId="0" borderId="65" xfId="0" applyFont="1" applyBorder="1" applyAlignment="1">
      <alignment horizontal="center" vertical="center"/>
    </xf>
    <xf numFmtId="0" fontId="10" fillId="0" borderId="87" xfId="0" applyFont="1" applyBorder="1" applyAlignment="1">
      <alignment horizontal="center" vertical="center"/>
    </xf>
    <xf numFmtId="0" fontId="10" fillId="0" borderId="74" xfId="0" applyFont="1" applyBorder="1" applyAlignment="1">
      <alignment horizontal="center" vertical="center"/>
    </xf>
    <xf numFmtId="0" fontId="10" fillId="0" borderId="84" xfId="0" applyFont="1" applyBorder="1" applyAlignment="1">
      <alignment horizontal="center" vertical="center"/>
    </xf>
    <xf numFmtId="0" fontId="10" fillId="0" borderId="31" xfId="0" applyFont="1" applyBorder="1" applyAlignment="1">
      <alignment horizontal="center" vertical="center"/>
    </xf>
    <xf numFmtId="0" fontId="10" fillId="0" borderId="75" xfId="0" applyFont="1" applyBorder="1" applyAlignment="1">
      <alignment horizontal="center" vertical="center"/>
    </xf>
    <xf numFmtId="0" fontId="10" fillId="0" borderId="62" xfId="0" applyFont="1" applyBorder="1" applyAlignment="1">
      <alignment horizontal="center" vertical="center"/>
    </xf>
    <xf numFmtId="0" fontId="10" fillId="0" borderId="23" xfId="0" applyFont="1" applyBorder="1" applyAlignment="1">
      <alignment horizontal="center" vertical="center"/>
    </xf>
    <xf numFmtId="0" fontId="10" fillId="0" borderId="60" xfId="0" applyFont="1" applyBorder="1" applyAlignment="1">
      <alignment horizontal="center" vertical="center"/>
    </xf>
    <xf numFmtId="0" fontId="17" fillId="34" borderId="25"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8" fillId="0" borderId="18" xfId="0" applyFont="1" applyFill="1" applyBorder="1" applyAlignment="1" applyProtection="1">
      <alignment horizontal="left" vertical="center" shrinkToFit="1"/>
      <protection/>
    </xf>
    <xf numFmtId="0" fontId="18" fillId="0" borderId="34" xfId="0" applyFont="1" applyFill="1" applyBorder="1" applyAlignment="1" applyProtection="1">
      <alignment horizontal="left" vertical="center" shrinkToFit="1"/>
      <protection/>
    </xf>
    <xf numFmtId="0" fontId="18" fillId="0" borderId="46" xfId="0" applyFont="1" applyFill="1" applyBorder="1" applyAlignment="1" applyProtection="1">
      <alignment horizontal="left" vertical="center" shrinkToFit="1"/>
      <protection/>
    </xf>
    <xf numFmtId="0" fontId="18" fillId="0" borderId="19" xfId="0" applyFont="1" applyFill="1" applyBorder="1" applyAlignment="1" applyProtection="1">
      <alignment horizontal="left" vertical="center" shrinkToFit="1"/>
      <protection/>
    </xf>
    <xf numFmtId="0" fontId="18" fillId="0" borderId="36" xfId="0" applyFont="1" applyFill="1" applyBorder="1" applyAlignment="1" applyProtection="1">
      <alignment horizontal="left" vertical="center" shrinkToFit="1"/>
      <protection/>
    </xf>
    <xf numFmtId="0" fontId="18" fillId="0" borderId="48" xfId="0" applyFont="1" applyFill="1" applyBorder="1" applyAlignment="1" applyProtection="1">
      <alignment horizontal="left" vertical="center" shrinkToFit="1"/>
      <protection/>
    </xf>
    <xf numFmtId="0" fontId="10" fillId="0" borderId="72" xfId="0" applyFont="1" applyBorder="1" applyAlignment="1">
      <alignment horizontal="center" vertical="center" textRotation="255"/>
    </xf>
    <xf numFmtId="0" fontId="10" fillId="0" borderId="61" xfId="0" applyFont="1" applyBorder="1" applyAlignment="1">
      <alignment horizontal="center" vertical="center" textRotation="255"/>
    </xf>
    <xf numFmtId="0" fontId="10" fillId="0" borderId="58"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4" xfId="0" applyFont="1" applyBorder="1" applyAlignment="1">
      <alignment horizontal="center" vertical="center" textRotation="255"/>
    </xf>
    <xf numFmtId="0" fontId="18" fillId="0" borderId="78" xfId="0" applyFont="1" applyFill="1" applyBorder="1" applyAlignment="1" applyProtection="1">
      <alignment horizontal="left" vertical="center" shrinkToFit="1"/>
      <protection/>
    </xf>
    <xf numFmtId="0" fontId="18" fillId="0" borderId="73" xfId="0" applyFont="1" applyFill="1" applyBorder="1" applyAlignment="1" applyProtection="1">
      <alignment horizontal="left" vertical="center" shrinkToFit="1"/>
      <protection/>
    </xf>
    <xf numFmtId="0" fontId="18" fillId="0" borderId="54" xfId="0" applyFont="1" applyFill="1" applyBorder="1" applyAlignment="1" applyProtection="1">
      <alignment horizontal="left" vertical="center" shrinkToFit="1"/>
      <protection/>
    </xf>
    <xf numFmtId="0" fontId="9" fillId="0" borderId="52"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10" fillId="0" borderId="17" xfId="0" applyFont="1" applyFill="1" applyBorder="1" applyAlignment="1">
      <alignment horizontal="left" vertical="center" shrinkToFit="1"/>
    </xf>
    <xf numFmtId="0" fontId="10" fillId="0" borderId="14"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4" fillId="0" borderId="49" xfId="0" applyFont="1" applyBorder="1" applyAlignment="1" quotePrefix="1">
      <alignment horizontal="center" vertical="center" wrapText="1"/>
    </xf>
    <xf numFmtId="0" fontId="84" fillId="0" borderId="25" xfId="0" applyFont="1" applyBorder="1" applyAlignment="1">
      <alignment horizontal="center" vertical="center" wrapText="1"/>
    </xf>
    <xf numFmtId="0" fontId="84" fillId="0" borderId="59" xfId="0" applyFont="1" applyBorder="1" applyAlignment="1">
      <alignment horizontal="center" vertical="center" wrapText="1"/>
    </xf>
    <xf numFmtId="0" fontId="15" fillId="0" borderId="32"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15" fillId="0" borderId="83" xfId="0" applyFont="1" applyFill="1" applyBorder="1" applyAlignment="1">
      <alignment horizontal="center" vertical="center" shrinkToFit="1"/>
    </xf>
    <xf numFmtId="0" fontId="15" fillId="0" borderId="76" xfId="0" applyFont="1" applyFill="1" applyBorder="1" applyAlignment="1">
      <alignment horizontal="center" vertical="center" shrinkToFit="1"/>
    </xf>
    <xf numFmtId="0" fontId="15" fillId="0" borderId="77" xfId="0" applyFont="1" applyFill="1" applyBorder="1" applyAlignment="1">
      <alignment horizontal="center" vertical="center" shrinkToFit="1"/>
    </xf>
    <xf numFmtId="0" fontId="15" fillId="0" borderId="90" xfId="0" applyFont="1" applyFill="1" applyBorder="1" applyAlignment="1">
      <alignment horizontal="center" vertical="center" shrinkToFit="1"/>
    </xf>
    <xf numFmtId="0" fontId="18" fillId="0" borderId="19" xfId="0" applyFont="1" applyFill="1" applyBorder="1" applyAlignment="1" applyProtection="1">
      <alignment vertical="center" shrinkToFit="1"/>
      <protection/>
    </xf>
    <xf numFmtId="0" fontId="18" fillId="0" borderId="36" xfId="0" applyFont="1" applyFill="1" applyBorder="1" applyAlignment="1" applyProtection="1">
      <alignment vertical="center" shrinkToFit="1"/>
      <protection/>
    </xf>
    <xf numFmtId="0" fontId="18" fillId="0" borderId="48" xfId="0" applyFont="1" applyFill="1" applyBorder="1" applyAlignment="1" applyProtection="1">
      <alignment vertical="center" shrinkToFit="1"/>
      <protection/>
    </xf>
    <xf numFmtId="0" fontId="18" fillId="0" borderId="78" xfId="0" applyFont="1" applyFill="1" applyBorder="1" applyAlignment="1" applyProtection="1">
      <alignment vertical="center" shrinkToFit="1"/>
      <protection/>
    </xf>
    <xf numFmtId="0" fontId="18" fillId="0" borderId="73" xfId="0" applyFont="1" applyFill="1" applyBorder="1" applyAlignment="1" applyProtection="1">
      <alignment vertical="center" shrinkToFit="1"/>
      <protection/>
    </xf>
    <xf numFmtId="0" fontId="18" fillId="0" borderId="54" xfId="0" applyFont="1" applyFill="1" applyBorder="1" applyAlignment="1" applyProtection="1">
      <alignment vertical="center" shrinkToFit="1"/>
      <protection/>
    </xf>
    <xf numFmtId="0" fontId="18" fillId="0" borderId="18" xfId="0" applyFont="1" applyFill="1" applyBorder="1" applyAlignment="1" applyProtection="1">
      <alignment vertical="center" shrinkToFit="1"/>
      <protection/>
    </xf>
    <xf numFmtId="0" fontId="18" fillId="0" borderId="34" xfId="0" applyFont="1" applyFill="1" applyBorder="1" applyAlignment="1" applyProtection="1">
      <alignment vertical="center" shrinkToFit="1"/>
      <protection/>
    </xf>
    <xf numFmtId="0" fontId="18" fillId="0" borderId="46" xfId="0" applyFont="1" applyFill="1" applyBorder="1" applyAlignment="1" applyProtection="1">
      <alignment vertical="center" shrinkToFit="1"/>
      <protection/>
    </xf>
    <xf numFmtId="0" fontId="10" fillId="0" borderId="72" xfId="0" applyFont="1" applyFill="1" applyBorder="1" applyAlignment="1">
      <alignment horizontal="center" vertical="center" textRotation="255"/>
    </xf>
    <xf numFmtId="0" fontId="10" fillId="0" borderId="61" xfId="0" applyFont="1" applyFill="1" applyBorder="1" applyAlignment="1">
      <alignment horizontal="center" vertical="center" textRotation="255"/>
    </xf>
    <xf numFmtId="0" fontId="10" fillId="0" borderId="58" xfId="0" applyFont="1" applyFill="1" applyBorder="1" applyAlignment="1">
      <alignment horizontal="center" vertical="center" textRotation="255"/>
    </xf>
    <xf numFmtId="0" fontId="10" fillId="0" borderId="10"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14" xfId="0" applyFont="1" applyFill="1" applyBorder="1" applyAlignment="1">
      <alignment horizontal="center" vertical="center" textRotation="255"/>
    </xf>
    <xf numFmtId="0" fontId="10" fillId="0" borderId="23"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84"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68" xfId="0" applyFont="1" applyFill="1" applyBorder="1" applyAlignment="1">
      <alignment horizontal="distributed" vertical="center" indent="4"/>
    </xf>
    <xf numFmtId="0" fontId="10" fillId="0" borderId="52" xfId="0" applyFont="1" applyFill="1" applyBorder="1" applyAlignment="1">
      <alignment horizontal="distributed" vertical="center" indent="4"/>
    </xf>
    <xf numFmtId="0" fontId="10" fillId="0" borderId="49" xfId="0" applyFont="1" applyFill="1" applyBorder="1" applyAlignment="1">
      <alignment horizontal="distributed" vertical="center" indent="4"/>
    </xf>
    <xf numFmtId="0" fontId="10" fillId="0" borderId="1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0" xfId="0" applyFont="1" applyFill="1" applyBorder="1" applyAlignment="1">
      <alignment horizontal="center" vertical="center"/>
    </xf>
    <xf numFmtId="0" fontId="14" fillId="0" borderId="10" xfId="0"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10" fillId="0" borderId="68" xfId="0" applyFont="1" applyFill="1" applyBorder="1" applyAlignment="1">
      <alignment horizontal="distributed" vertical="center" indent="3"/>
    </xf>
    <xf numFmtId="0" fontId="10" fillId="0" borderId="52" xfId="0" applyFont="1" applyFill="1" applyBorder="1" applyAlignment="1">
      <alignment horizontal="distributed" vertical="center" indent="3"/>
    </xf>
    <xf numFmtId="0" fontId="10" fillId="0" borderId="49" xfId="0" applyFont="1" applyFill="1" applyBorder="1" applyAlignment="1">
      <alignment horizontal="distributed" vertical="center" indent="3"/>
    </xf>
    <xf numFmtId="0" fontId="10" fillId="0" borderId="16" xfId="0" applyFont="1" applyFill="1" applyBorder="1" applyAlignment="1">
      <alignment horizontal="center" vertical="center" textRotation="255"/>
    </xf>
    <xf numFmtId="0" fontId="10" fillId="0" borderId="12" xfId="0" applyFont="1" applyFill="1" applyBorder="1" applyAlignment="1">
      <alignment horizontal="center" vertical="center" textRotation="255"/>
    </xf>
    <xf numFmtId="0" fontId="10" fillId="0" borderId="74" xfId="0" applyFont="1" applyFill="1" applyBorder="1" applyAlignment="1">
      <alignment horizontal="center" vertical="center" wrapText="1"/>
    </xf>
    <xf numFmtId="0" fontId="10" fillId="0" borderId="84" xfId="0" applyFont="1" applyFill="1" applyBorder="1" applyAlignment="1">
      <alignment horizontal="center" vertical="center" wrapText="1"/>
    </xf>
    <xf numFmtId="0" fontId="10" fillId="0" borderId="25" xfId="0" applyFont="1" applyFill="1" applyBorder="1" applyAlignment="1">
      <alignment horizontal="center" vertical="center" textRotation="255"/>
    </xf>
    <xf numFmtId="0" fontId="10" fillId="0" borderId="59" xfId="0" applyFont="1" applyFill="1" applyBorder="1" applyAlignment="1">
      <alignment horizontal="center" vertical="center" textRotation="255"/>
    </xf>
    <xf numFmtId="0" fontId="10" fillId="0" borderId="24" xfId="0" applyFont="1" applyFill="1" applyBorder="1" applyAlignment="1">
      <alignment horizontal="center" vertical="center" textRotation="255"/>
    </xf>
    <xf numFmtId="0" fontId="10" fillId="0" borderId="25"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quotePrefix="1">
      <alignment horizontal="center" vertical="center" wrapText="1"/>
    </xf>
    <xf numFmtId="0" fontId="0" fillId="0" borderId="59" xfId="0" applyFill="1" applyBorder="1" applyAlignment="1">
      <alignment horizontal="center" vertical="center"/>
    </xf>
    <xf numFmtId="38" fontId="9" fillId="0" borderId="102" xfId="49" applyFont="1" applyBorder="1" applyAlignment="1">
      <alignment vertical="center"/>
    </xf>
    <xf numFmtId="38" fontId="9" fillId="32" borderId="59" xfId="49" applyFont="1" applyFill="1" applyBorder="1" applyAlignment="1" applyProtection="1">
      <alignment vertical="center"/>
      <protection locked="0"/>
    </xf>
    <xf numFmtId="38" fontId="31" fillId="0" borderId="59" xfId="49" applyFont="1" applyBorder="1" applyAlignment="1">
      <alignment vertical="center"/>
    </xf>
    <xf numFmtId="38" fontId="31" fillId="0" borderId="24" xfId="49" applyFont="1" applyBorder="1" applyAlignment="1">
      <alignment vertical="center"/>
    </xf>
    <xf numFmtId="38" fontId="9" fillId="0" borderId="101" xfId="49" applyFont="1" applyBorder="1" applyAlignment="1">
      <alignment vertical="center"/>
    </xf>
    <xf numFmtId="38" fontId="9" fillId="32" borderId="24" xfId="49" applyFont="1" applyFill="1" applyBorder="1" applyAlignment="1" applyProtection="1">
      <alignment vertical="center"/>
      <protection locked="0"/>
    </xf>
    <xf numFmtId="38" fontId="9" fillId="35" borderId="20" xfId="49" applyFont="1" applyFill="1" applyBorder="1" applyAlignment="1" applyProtection="1">
      <alignment vertical="center"/>
      <protection locked="0"/>
    </xf>
    <xf numFmtId="38" fontId="9" fillId="35" borderId="25" xfId="49" applyFont="1" applyFill="1" applyBorder="1" applyAlignment="1" applyProtection="1">
      <alignment vertical="center"/>
      <protection locked="0"/>
    </xf>
    <xf numFmtId="38" fontId="31" fillId="35" borderId="59" xfId="49" applyFont="1" applyFill="1" applyBorder="1" applyAlignment="1">
      <alignment vertical="center"/>
    </xf>
    <xf numFmtId="38" fontId="31" fillId="35" borderId="24" xfId="49" applyFont="1" applyFill="1" applyBorder="1" applyAlignment="1">
      <alignment vertical="center"/>
    </xf>
    <xf numFmtId="38" fontId="5" fillId="0" borderId="25" xfId="49" applyFont="1" applyBorder="1" applyAlignment="1">
      <alignment vertical="center"/>
    </xf>
    <xf numFmtId="38" fontId="5" fillId="0" borderId="59" xfId="49" applyFont="1" applyBorder="1" applyAlignment="1">
      <alignment vertical="center"/>
    </xf>
    <xf numFmtId="38" fontId="5" fillId="0" borderId="24" xfId="49" applyFont="1" applyBorder="1" applyAlignment="1">
      <alignment vertical="center"/>
    </xf>
    <xf numFmtId="38" fontId="5" fillId="0" borderId="20" xfId="49" applyFont="1" applyBorder="1" applyAlignment="1">
      <alignment vertical="center"/>
    </xf>
    <xf numFmtId="38" fontId="9" fillId="0" borderId="99" xfId="49" applyFont="1" applyBorder="1" applyAlignment="1">
      <alignment vertical="center"/>
    </xf>
    <xf numFmtId="38" fontId="9" fillId="0" borderId="100" xfId="49" applyFont="1" applyBorder="1" applyAlignment="1">
      <alignment vertical="center"/>
    </xf>
    <xf numFmtId="0" fontId="31" fillId="35" borderId="75" xfId="0" applyFont="1" applyFill="1" applyBorder="1" applyAlignment="1" applyProtection="1">
      <alignment horizontal="center" vertical="center" wrapText="1" shrinkToFit="1"/>
      <protection locked="0"/>
    </xf>
    <xf numFmtId="0" fontId="31" fillId="35" borderId="50" xfId="0" applyFont="1" applyFill="1" applyBorder="1" applyAlignment="1" applyProtection="1">
      <alignment horizontal="center" vertical="center" wrapText="1" shrinkToFit="1"/>
      <protection locked="0"/>
    </xf>
    <xf numFmtId="0" fontId="14" fillId="0" borderId="49" xfId="0" applyFont="1" applyBorder="1" applyAlignment="1">
      <alignment horizontal="center" vertical="center"/>
    </xf>
    <xf numFmtId="0" fontId="10" fillId="0" borderId="10" xfId="0" applyFont="1" applyBorder="1" applyAlignment="1" quotePrefix="1">
      <alignment horizontal="center" vertical="center" wrapText="1"/>
    </xf>
    <xf numFmtId="0" fontId="10" fillId="0" borderId="0" xfId="0" applyFont="1" applyBorder="1" applyAlignment="1" quotePrefix="1">
      <alignment horizontal="center" vertical="center" wrapText="1"/>
    </xf>
    <xf numFmtId="0" fontId="10" fillId="35" borderId="60" xfId="0" applyFont="1" applyFill="1" applyBorder="1" applyAlignment="1">
      <alignment horizontal="center" vertical="center" textRotation="255"/>
    </xf>
    <xf numFmtId="0" fontId="14" fillId="0" borderId="59" xfId="0" applyFont="1" applyBorder="1" applyAlignment="1">
      <alignment horizontal="center" vertical="center" wrapText="1"/>
    </xf>
    <xf numFmtId="0" fontId="14" fillId="0" borderId="11" xfId="0" applyFont="1" applyBorder="1" applyAlignment="1" quotePrefix="1">
      <alignment horizontal="center" vertical="center" wrapText="1"/>
    </xf>
    <xf numFmtId="0" fontId="14" fillId="0" borderId="13" xfId="0" applyFont="1" applyBorder="1" applyAlignment="1" quotePrefix="1">
      <alignment horizontal="center" vertical="center" wrapText="1"/>
    </xf>
    <xf numFmtId="0" fontId="14" fillId="0" borderId="16" xfId="0" applyFont="1" applyBorder="1" applyAlignment="1" quotePrefix="1">
      <alignment horizontal="center" vertical="center" wrapText="1"/>
    </xf>
    <xf numFmtId="0" fontId="14" fillId="0" borderId="12" xfId="0" applyFont="1" applyBorder="1" applyAlignment="1" quotePrefix="1">
      <alignment horizontal="center" vertical="center" wrapText="1"/>
    </xf>
    <xf numFmtId="0" fontId="17" fillId="34" borderId="26" xfId="0" applyFont="1" applyFill="1" applyBorder="1" applyAlignment="1">
      <alignment horizontal="center" vertical="center" wrapText="1"/>
    </xf>
    <xf numFmtId="0" fontId="10" fillId="0" borderId="1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11" xfId="0" applyFont="1" applyBorder="1" applyAlignment="1" quotePrefix="1">
      <alignment horizontal="center" vertical="center" wrapText="1"/>
    </xf>
    <xf numFmtId="0" fontId="10" fillId="0" borderId="13" xfId="0" applyFont="1" applyBorder="1" applyAlignment="1" quotePrefix="1">
      <alignment horizontal="center" vertical="center" wrapText="1"/>
    </xf>
    <xf numFmtId="0" fontId="9" fillId="0" borderId="17"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10" fillId="3" borderId="59" xfId="0" applyFont="1" applyFill="1" applyBorder="1" applyAlignment="1">
      <alignment horizontal="center" vertical="center"/>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0" fillId="0" borderId="51" xfId="0" applyFont="1" applyBorder="1" applyAlignment="1">
      <alignment horizontal="center" vertical="center"/>
    </xf>
    <xf numFmtId="0" fontId="10" fillId="0" borderId="23" xfId="0" applyFont="1" applyFill="1" applyBorder="1" applyAlignment="1">
      <alignment horizontal="center" vertical="center" textRotation="255"/>
    </xf>
    <xf numFmtId="0" fontId="10" fillId="0" borderId="60" xfId="0" applyFont="1" applyFill="1" applyBorder="1" applyAlignment="1">
      <alignment horizontal="center" vertical="center" textRotation="255"/>
    </xf>
    <xf numFmtId="0" fontId="10" fillId="0" borderId="53" xfId="0" applyFont="1" applyFill="1" applyBorder="1" applyAlignment="1">
      <alignment horizontal="center" vertical="center" textRotation="255"/>
    </xf>
    <xf numFmtId="0" fontId="10" fillId="0" borderId="11" xfId="0" applyFont="1" applyFill="1" applyBorder="1" applyAlignment="1">
      <alignment horizontal="center" vertical="center" textRotation="255"/>
    </xf>
    <xf numFmtId="0" fontId="10" fillId="0" borderId="13" xfId="0" applyFont="1" applyFill="1" applyBorder="1" applyAlignment="1">
      <alignment horizontal="center" vertical="center" textRotation="255"/>
    </xf>
    <xf numFmtId="0" fontId="10" fillId="0" borderId="15" xfId="0" applyFont="1" applyFill="1" applyBorder="1" applyAlignment="1">
      <alignment horizontal="center" vertical="center" textRotation="255"/>
    </xf>
    <xf numFmtId="0" fontId="10" fillId="0" borderId="20" xfId="0" applyFont="1" applyBorder="1" applyAlignment="1">
      <alignment horizontal="center" vertical="center"/>
    </xf>
    <xf numFmtId="0" fontId="10" fillId="0" borderId="25" xfId="0" applyFont="1" applyBorder="1" applyAlignment="1">
      <alignment horizontal="center" vertical="center" wrapText="1" shrinkToFit="1"/>
    </xf>
    <xf numFmtId="0" fontId="10" fillId="0" borderId="59" xfId="0" applyFont="1" applyBorder="1" applyAlignment="1">
      <alignment horizontal="center" vertical="center" shrinkToFit="1"/>
    </xf>
    <xf numFmtId="0" fontId="10" fillId="0" borderId="24" xfId="0" applyFont="1" applyBorder="1" applyAlignment="1">
      <alignment horizontal="center" vertical="center" shrinkToFit="1"/>
    </xf>
    <xf numFmtId="0" fontId="15" fillId="0" borderId="0" xfId="0" applyFont="1" applyFill="1" applyBorder="1" applyAlignment="1">
      <alignment horizontal="left" vertical="center" shrinkToFit="1"/>
    </xf>
    <xf numFmtId="0" fontId="0" fillId="0" borderId="0" xfId="0" applyBorder="1" applyAlignment="1">
      <alignment horizontal="left" vertical="center" shrinkToFit="1"/>
    </xf>
    <xf numFmtId="0" fontId="10" fillId="32" borderId="45" xfId="0" applyFont="1" applyFill="1" applyBorder="1" applyAlignment="1" applyProtection="1">
      <alignment vertical="center" shrinkToFit="1"/>
      <protection locked="0"/>
    </xf>
    <xf numFmtId="0" fontId="10" fillId="32" borderId="36" xfId="0" applyFont="1" applyFill="1" applyBorder="1" applyAlignment="1" applyProtection="1">
      <alignment vertical="center" shrinkToFit="1"/>
      <protection locked="0"/>
    </xf>
    <xf numFmtId="0" fontId="10" fillId="32" borderId="48" xfId="0" applyFont="1" applyFill="1" applyBorder="1" applyAlignment="1" applyProtection="1">
      <alignment vertical="center" shrinkToFit="1"/>
      <protection locked="0"/>
    </xf>
    <xf numFmtId="0" fontId="10" fillId="32" borderId="89" xfId="0" applyFont="1" applyFill="1" applyBorder="1" applyAlignment="1" applyProtection="1">
      <alignment vertical="center" shrinkToFit="1"/>
      <protection locked="0"/>
    </xf>
    <xf numFmtId="0" fontId="10" fillId="32" borderId="73" xfId="0" applyFont="1" applyFill="1" applyBorder="1" applyAlignment="1" applyProtection="1">
      <alignment vertical="center" shrinkToFit="1"/>
      <protection locked="0"/>
    </xf>
    <xf numFmtId="0" fontId="10" fillId="32" borderId="54" xfId="0" applyFont="1" applyFill="1" applyBorder="1" applyAlignment="1" applyProtection="1">
      <alignment vertical="center" shrinkToFit="1"/>
      <protection locked="0"/>
    </xf>
    <xf numFmtId="0" fontId="10" fillId="32" borderId="43" xfId="0" applyFont="1" applyFill="1" applyBorder="1" applyAlignment="1" applyProtection="1">
      <alignment vertical="center" shrinkToFit="1"/>
      <protection locked="0"/>
    </xf>
    <xf numFmtId="0" fontId="10" fillId="32" borderId="34" xfId="0" applyFont="1" applyFill="1" applyBorder="1" applyAlignment="1" applyProtection="1">
      <alignment vertical="center" shrinkToFit="1"/>
      <protection locked="0"/>
    </xf>
    <xf numFmtId="0" fontId="10" fillId="32" borderId="46" xfId="0" applyFont="1" applyFill="1" applyBorder="1" applyAlignment="1" applyProtection="1">
      <alignment vertical="center" shrinkToFit="1"/>
      <protection locked="0"/>
    </xf>
    <xf numFmtId="0" fontId="14" fillId="0" borderId="72" xfId="0" applyFont="1" applyBorder="1" applyAlignment="1" quotePrefix="1">
      <alignment horizontal="center" vertical="center" wrapText="1"/>
    </xf>
    <xf numFmtId="0" fontId="14" fillId="0" borderId="61" xfId="0" applyFont="1" applyBorder="1" applyAlignment="1" quotePrefix="1">
      <alignment horizontal="center" vertical="center" wrapText="1"/>
    </xf>
    <xf numFmtId="0" fontId="10" fillId="0" borderId="23" xfId="0" applyFont="1" applyBorder="1" applyAlignment="1">
      <alignment horizontal="center" vertical="center" textRotation="255"/>
    </xf>
    <xf numFmtId="0" fontId="10" fillId="0" borderId="60"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5" xfId="0" applyFont="1" applyBorder="1" applyAlignment="1">
      <alignment horizontal="center" vertical="center" textRotation="255"/>
    </xf>
    <xf numFmtId="0" fontId="15" fillId="0" borderId="68"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49" xfId="0" applyFont="1" applyFill="1" applyBorder="1" applyAlignment="1">
      <alignment horizontal="center" vertical="center"/>
    </xf>
    <xf numFmtId="0" fontId="85" fillId="0" borderId="25" xfId="0" applyFont="1" applyBorder="1" applyAlignment="1">
      <alignment horizontal="center" vertical="center" wrapText="1"/>
    </xf>
    <xf numFmtId="0" fontId="85" fillId="0" borderId="59" xfId="0" applyFont="1" applyBorder="1" applyAlignment="1">
      <alignment horizontal="center" vertical="center" wrapText="1"/>
    </xf>
    <xf numFmtId="0" fontId="10" fillId="35" borderId="25" xfId="0" applyFont="1" applyFill="1" applyBorder="1" applyAlignment="1">
      <alignment horizontal="center" vertical="center" textRotation="255"/>
    </xf>
    <xf numFmtId="0" fontId="10" fillId="35" borderId="59" xfId="0" applyFont="1" applyFill="1" applyBorder="1" applyAlignment="1">
      <alignment horizontal="center" vertical="center" textRotation="255"/>
    </xf>
    <xf numFmtId="0" fontId="10" fillId="32" borderId="19" xfId="0" applyFont="1" applyFill="1" applyBorder="1" applyAlignment="1" applyProtection="1">
      <alignment vertical="center" shrinkToFit="1"/>
      <protection locked="0"/>
    </xf>
    <xf numFmtId="0" fontId="10" fillId="32" borderId="18" xfId="0" applyFont="1" applyFill="1" applyBorder="1" applyAlignment="1" applyProtection="1">
      <alignment vertical="center" shrinkToFit="1"/>
      <protection locked="0"/>
    </xf>
    <xf numFmtId="0" fontId="10" fillId="32" borderId="78" xfId="0" applyFont="1" applyFill="1" applyBorder="1" applyAlignment="1" applyProtection="1">
      <alignment vertical="center" shrinkToFit="1"/>
      <protection locked="0"/>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textRotation="255"/>
    </xf>
    <xf numFmtId="0" fontId="18" fillId="0" borderId="32" xfId="0" applyFont="1" applyFill="1" applyBorder="1" applyAlignment="1" applyProtection="1">
      <alignment horizontal="center" vertical="center" shrinkToFit="1"/>
      <protection/>
    </xf>
    <xf numFmtId="0" fontId="18" fillId="0" borderId="40" xfId="0" applyFont="1" applyFill="1" applyBorder="1" applyAlignment="1" applyProtection="1">
      <alignment horizontal="center" vertical="center" shrinkToFit="1"/>
      <protection/>
    </xf>
    <xf numFmtId="0" fontId="18" fillId="0" borderId="83" xfId="0" applyFont="1" applyFill="1" applyBorder="1" applyAlignment="1" applyProtection="1">
      <alignment horizontal="center"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2 2" xfId="63"/>
    <cellStyle name="標準_ひな形" xfId="64"/>
    <cellStyle name="標準_様式第２号　授業料支援補助金交付申請書"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6</xdr:row>
      <xdr:rowOff>180975</xdr:rowOff>
    </xdr:to>
    <xdr:sp>
      <xdr:nvSpPr>
        <xdr:cNvPr id="1" name="Line 1"/>
        <xdr:cNvSpPr>
          <a:spLocks/>
        </xdr:cNvSpPr>
      </xdr:nvSpPr>
      <xdr:spPr>
        <a:xfrm>
          <a:off x="9525" y="1114425"/>
          <a:ext cx="51435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A1:V51"/>
  <sheetViews>
    <sheetView view="pageBreakPreview" zoomScaleSheetLayoutView="100" zoomScalePageLayoutView="0" workbookViewId="0" topLeftCell="A34">
      <selection activeCell="F39" sqref="F39:G39"/>
    </sheetView>
  </sheetViews>
  <sheetFormatPr defaultColWidth="8.00390625" defaultRowHeight="13.5"/>
  <cols>
    <col min="1" max="6" width="8.125" style="264" customWidth="1"/>
    <col min="7" max="7" width="12.875" style="264" customWidth="1"/>
    <col min="8" max="16" width="4.125" style="264" customWidth="1"/>
    <col min="17" max="16384" width="8.00390625" style="264" customWidth="1"/>
  </cols>
  <sheetData>
    <row r="1" ht="14.25">
      <c r="A1" s="278" t="s">
        <v>241</v>
      </c>
    </row>
    <row r="2" spans="8:15" ht="12">
      <c r="H2" s="277"/>
      <c r="I2" s="276"/>
      <c r="J2" s="750"/>
      <c r="K2" s="751"/>
      <c r="L2" s="751"/>
      <c r="M2" s="751"/>
      <c r="N2" s="751"/>
      <c r="O2" s="752"/>
    </row>
    <row r="3" spans="8:15" ht="12" customHeight="1">
      <c r="H3" s="759" t="s">
        <v>26</v>
      </c>
      <c r="I3" s="760"/>
      <c r="J3" s="753"/>
      <c r="K3" s="754"/>
      <c r="L3" s="754"/>
      <c r="M3" s="754"/>
      <c r="N3" s="754"/>
      <c r="O3" s="755"/>
    </row>
    <row r="4" spans="8:15" ht="12">
      <c r="H4" s="275"/>
      <c r="I4" s="274"/>
      <c r="J4" s="756"/>
      <c r="K4" s="757"/>
      <c r="L4" s="757"/>
      <c r="M4" s="757"/>
      <c r="N4" s="757"/>
      <c r="O4" s="758"/>
    </row>
    <row r="9" spans="9:18" ht="21">
      <c r="I9" s="273"/>
      <c r="J9" s="352"/>
      <c r="K9" s="273"/>
      <c r="L9" s="35"/>
      <c r="M9" s="273"/>
      <c r="N9" s="35"/>
      <c r="O9" s="353" t="s">
        <v>274</v>
      </c>
      <c r="Q9" s="272" t="s">
        <v>218</v>
      </c>
      <c r="R9" s="172"/>
    </row>
    <row r="12" ht="17.25">
      <c r="A12" s="266" t="s">
        <v>217</v>
      </c>
    </row>
    <row r="16" spans="7:16" ht="16.5" customHeight="1">
      <c r="G16" s="270" t="s">
        <v>72</v>
      </c>
      <c r="I16" s="765"/>
      <c r="J16" s="765"/>
      <c r="K16" s="765"/>
      <c r="L16" s="765"/>
      <c r="M16" s="765"/>
      <c r="N16" s="765"/>
      <c r="O16" s="765"/>
      <c r="P16" s="765"/>
    </row>
    <row r="17" spans="7:16" ht="12">
      <c r="G17" s="271"/>
      <c r="I17" s="303"/>
      <c r="J17" s="303"/>
      <c r="K17" s="303"/>
      <c r="L17" s="303"/>
      <c r="M17" s="303"/>
      <c r="N17" s="303"/>
      <c r="O17" s="303"/>
      <c r="P17" s="303"/>
    </row>
    <row r="18" spans="7:16" ht="17.25">
      <c r="G18" s="270" t="s">
        <v>25</v>
      </c>
      <c r="I18" s="764"/>
      <c r="J18" s="764"/>
      <c r="K18" s="764"/>
      <c r="L18" s="764"/>
      <c r="M18" s="764"/>
      <c r="N18" s="764"/>
      <c r="O18" s="764"/>
      <c r="P18" s="304"/>
    </row>
    <row r="19" spans="9:16" ht="12">
      <c r="I19" s="271"/>
      <c r="J19" s="271"/>
      <c r="K19" s="271"/>
      <c r="L19" s="271"/>
      <c r="M19" s="271"/>
      <c r="N19" s="271"/>
      <c r="O19" s="271"/>
      <c r="P19" s="271"/>
    </row>
    <row r="20" spans="7:16" ht="17.25" customHeight="1">
      <c r="G20" s="270" t="s">
        <v>73</v>
      </c>
      <c r="I20" s="766" t="s">
        <v>216</v>
      </c>
      <c r="J20" s="766"/>
      <c r="K20" s="766"/>
      <c r="L20" s="766"/>
      <c r="M20" s="766"/>
      <c r="N20" s="766"/>
      <c r="O20" s="766"/>
      <c r="P20" s="271"/>
    </row>
    <row r="21" spans="7:14" ht="18.75">
      <c r="G21" s="269"/>
      <c r="I21" s="36"/>
      <c r="J21" s="36"/>
      <c r="K21" s="36"/>
      <c r="L21" s="36"/>
      <c r="M21" s="36"/>
      <c r="N21" s="268"/>
    </row>
    <row r="22" spans="7:14" ht="18.75">
      <c r="G22" s="269"/>
      <c r="I22" s="36"/>
      <c r="J22" s="36"/>
      <c r="K22" s="36"/>
      <c r="L22" s="36"/>
      <c r="M22" s="36"/>
      <c r="N22" s="268"/>
    </row>
    <row r="23" ht="17.25">
      <c r="A23" s="266" t="s">
        <v>275</v>
      </c>
    </row>
    <row r="24" ht="17.25">
      <c r="A24" s="266" t="s">
        <v>242</v>
      </c>
    </row>
    <row r="25" ht="21" customHeight="1"/>
    <row r="26" ht="17.25" customHeight="1"/>
    <row r="27" spans="1:16" ht="18.75" customHeight="1">
      <c r="A27" s="769" t="s">
        <v>276</v>
      </c>
      <c r="B27" s="769"/>
      <c r="C27" s="769"/>
      <c r="D27" s="769"/>
      <c r="E27" s="769"/>
      <c r="F27" s="769"/>
      <c r="G27" s="769"/>
      <c r="H27" s="769"/>
      <c r="I27" s="769"/>
      <c r="J27" s="769"/>
      <c r="K27" s="769"/>
      <c r="L27" s="769"/>
      <c r="M27" s="769"/>
      <c r="N27" s="769"/>
      <c r="O27" s="769"/>
      <c r="P27" s="769"/>
    </row>
    <row r="28" spans="1:16" ht="18.75" customHeight="1">
      <c r="A28" s="769" t="s">
        <v>277</v>
      </c>
      <c r="B28" s="769"/>
      <c r="C28" s="769"/>
      <c r="D28" s="769"/>
      <c r="E28" s="769"/>
      <c r="F28" s="769"/>
      <c r="G28" s="769"/>
      <c r="H28" s="769"/>
      <c r="I28" s="769"/>
      <c r="J28" s="769"/>
      <c r="K28" s="769"/>
      <c r="L28" s="769"/>
      <c r="M28" s="769"/>
      <c r="N28" s="769"/>
      <c r="O28" s="769"/>
      <c r="P28" s="769"/>
    </row>
    <row r="29" spans="1:16" ht="17.25">
      <c r="A29" s="769" t="s">
        <v>236</v>
      </c>
      <c r="B29" s="769"/>
      <c r="C29" s="769"/>
      <c r="D29" s="769"/>
      <c r="E29" s="769"/>
      <c r="F29" s="769"/>
      <c r="G29" s="769"/>
      <c r="H29" s="769"/>
      <c r="I29" s="769"/>
      <c r="J29" s="769"/>
      <c r="K29" s="769"/>
      <c r="L29" s="769"/>
      <c r="M29" s="769"/>
      <c r="N29" s="769"/>
      <c r="O29" s="769"/>
      <c r="P29" s="769"/>
    </row>
    <row r="30" spans="1:16" ht="17.25">
      <c r="A30" s="769" t="s">
        <v>234</v>
      </c>
      <c r="B30" s="769"/>
      <c r="C30" s="769"/>
      <c r="D30" s="769"/>
      <c r="E30" s="769"/>
      <c r="F30" s="769"/>
      <c r="G30" s="769"/>
      <c r="H30" s="769"/>
      <c r="I30" s="769"/>
      <c r="J30" s="769"/>
      <c r="K30" s="769"/>
      <c r="L30" s="769"/>
      <c r="M30" s="769"/>
      <c r="N30" s="769"/>
      <c r="O30" s="769"/>
      <c r="P30" s="769"/>
    </row>
    <row r="31" spans="1:16" ht="17.25">
      <c r="A31" s="768" t="s">
        <v>235</v>
      </c>
      <c r="B31" s="768"/>
      <c r="C31" s="768"/>
      <c r="D31" s="768"/>
      <c r="E31" s="768"/>
      <c r="F31" s="768"/>
      <c r="G31" s="768"/>
      <c r="H31" s="768"/>
      <c r="I31" s="768"/>
      <c r="J31" s="768"/>
      <c r="K31" s="768"/>
      <c r="L31" s="768"/>
      <c r="M31" s="768"/>
      <c r="N31" s="768"/>
      <c r="O31" s="768"/>
      <c r="P31" s="266"/>
    </row>
    <row r="32" spans="1:15" ht="17.25">
      <c r="A32" s="319"/>
      <c r="B32" s="320"/>
      <c r="C32" s="320"/>
      <c r="D32" s="320"/>
      <c r="E32" s="320"/>
      <c r="F32" s="320"/>
      <c r="G32" s="320"/>
      <c r="H32" s="320"/>
      <c r="I32" s="320"/>
      <c r="J32" s="320"/>
      <c r="K32" s="320"/>
      <c r="L32" s="320"/>
      <c r="M32" s="320"/>
      <c r="N32" s="320"/>
      <c r="O32" s="320"/>
    </row>
    <row r="33" spans="1:16" ht="17.25">
      <c r="A33" s="761" t="s">
        <v>74</v>
      </c>
      <c r="B33" s="761"/>
      <c r="C33" s="761"/>
      <c r="D33" s="761"/>
      <c r="E33" s="761"/>
      <c r="F33" s="761"/>
      <c r="G33" s="761"/>
      <c r="H33" s="761"/>
      <c r="I33" s="761"/>
      <c r="J33" s="761"/>
      <c r="K33" s="761"/>
      <c r="L33" s="761"/>
      <c r="M33" s="761"/>
      <c r="N33" s="761"/>
      <c r="O33" s="761"/>
      <c r="P33" s="761"/>
    </row>
    <row r="34" spans="1:16" ht="17.25">
      <c r="A34" s="163"/>
      <c r="B34" s="163"/>
      <c r="C34" s="163"/>
      <c r="D34" s="163"/>
      <c r="E34" s="163"/>
      <c r="F34" s="163"/>
      <c r="G34" s="163"/>
      <c r="H34" s="163"/>
      <c r="I34" s="163"/>
      <c r="J34" s="163"/>
      <c r="K34" s="163"/>
      <c r="L34" s="163"/>
      <c r="M34" s="163"/>
      <c r="N34" s="163"/>
      <c r="O34" s="163"/>
      <c r="P34" s="267"/>
    </row>
    <row r="35" spans="1:16" ht="17.25">
      <c r="A35" s="163"/>
      <c r="B35" s="163"/>
      <c r="C35" s="163"/>
      <c r="D35" s="163"/>
      <c r="E35" s="163"/>
      <c r="F35" s="163"/>
      <c r="G35" s="163"/>
      <c r="H35" s="163"/>
      <c r="I35" s="163"/>
      <c r="J35" s="163"/>
      <c r="K35" s="163"/>
      <c r="L35" s="163"/>
      <c r="M35" s="163"/>
      <c r="N35" s="163"/>
      <c r="O35" s="163"/>
      <c r="P35" s="267"/>
    </row>
    <row r="36" spans="1:15" ht="12">
      <c r="A36" s="162"/>
      <c r="B36" s="162"/>
      <c r="C36" s="162"/>
      <c r="D36" s="162"/>
      <c r="E36" s="162"/>
      <c r="F36" s="162"/>
      <c r="G36" s="162"/>
      <c r="H36" s="162"/>
      <c r="I36" s="162"/>
      <c r="J36" s="162"/>
      <c r="K36" s="162"/>
      <c r="L36" s="162"/>
      <c r="M36" s="162"/>
      <c r="N36" s="162"/>
      <c r="O36" s="162"/>
    </row>
    <row r="37" spans="1:22" ht="21" customHeight="1">
      <c r="A37" s="321" t="s">
        <v>237</v>
      </c>
      <c r="B37" s="271"/>
      <c r="C37" s="271"/>
      <c r="D37" s="271"/>
      <c r="E37" s="271"/>
      <c r="F37" s="762">
        <f>'6-1_集計表①(旧々・旧制度)'!N28+'6-1_集計表②(旧々・新制度)'!N28+'6-1_集計表③(旧・旧制度)'!N28+'6-1_集計表④(旧・新制度)'!N32+'6-1_集計表⑤(新・新制度)'!N28</f>
        <v>0</v>
      </c>
      <c r="G37" s="762"/>
      <c r="H37" s="321" t="s">
        <v>20</v>
      </c>
      <c r="J37" s="321"/>
      <c r="K37" s="325"/>
      <c r="Q37" s="171" t="s">
        <v>154</v>
      </c>
      <c r="R37" s="767" t="str">
        <f>IF(F39=+'6-2_算定表④(旧・新制度)'!AE45+'6-2_算定表②(旧々・新制度)'!AG45+'6-2_算定表⑤(新・新制度)'!AE45+'6-2_算定表③(旧・旧制度)'!AG45+'6-2_算定表①(旧々・旧制度)'!AG45,"確認OK です。 3-2 授業料支援補助対象経費算定表①～⑤の「補助金申請額の合計(S)」欄と合計値が一致していますので、このまま申請書を印刷してください。","申請額が不一致です。3-2 授業料支援補助対象経費算定表①～⑤の「補助金申請額の合計(S)」欄と合計値が一致していませんので、もう一度確認してください。")</f>
        <v>確認OK です。 3-2 授業料支援補助対象経費算定表①～⑤の「補助金申請額の合計(S)」欄と合計値が一致していますので、このまま申請書を印刷してください。</v>
      </c>
      <c r="S37" s="767"/>
      <c r="T37" s="767"/>
      <c r="U37" s="767"/>
      <c r="V37" s="767"/>
    </row>
    <row r="38" spans="1:22" ht="12" customHeight="1">
      <c r="A38" s="322"/>
      <c r="B38" s="322"/>
      <c r="C38" s="322"/>
      <c r="D38" s="322"/>
      <c r="E38" s="322"/>
      <c r="F38" s="354"/>
      <c r="G38" s="355"/>
      <c r="H38" s="322"/>
      <c r="J38" s="322"/>
      <c r="K38" s="323"/>
      <c r="N38" s="162"/>
      <c r="O38" s="162"/>
      <c r="Q38" s="162"/>
      <c r="R38" s="767"/>
      <c r="S38" s="767"/>
      <c r="T38" s="767"/>
      <c r="U38" s="767"/>
      <c r="V38" s="767"/>
    </row>
    <row r="39" spans="1:22" ht="19.5" customHeight="1">
      <c r="A39" s="321" t="s">
        <v>238</v>
      </c>
      <c r="B39" s="271"/>
      <c r="C39" s="271"/>
      <c r="D39" s="271"/>
      <c r="E39" s="271"/>
      <c r="F39" s="762">
        <f>'6-1_集計表①(旧々・旧制度)'!P28+'6-1_集計表②(旧々・新制度)'!P28+'6-1_集計表③(旧・旧制度)'!P28+'6-1_集計表④(旧・新制度)'!P32+'6-1_集計表⑤(新・新制度)'!P28</f>
        <v>0</v>
      </c>
      <c r="G39" s="762"/>
      <c r="H39" s="321" t="s">
        <v>20</v>
      </c>
      <c r="J39" s="321"/>
      <c r="K39" s="325"/>
      <c r="Q39" s="162"/>
      <c r="R39" s="767"/>
      <c r="S39" s="767"/>
      <c r="T39" s="767"/>
      <c r="U39" s="767"/>
      <c r="V39" s="767"/>
    </row>
    <row r="40" spans="1:22" ht="12">
      <c r="A40" s="271"/>
      <c r="B40" s="271"/>
      <c r="C40" s="271"/>
      <c r="D40" s="271"/>
      <c r="E40" s="271"/>
      <c r="F40" s="356"/>
      <c r="G40" s="355"/>
      <c r="H40" s="271"/>
      <c r="J40" s="271"/>
      <c r="K40" s="324"/>
      <c r="Q40" s="162"/>
      <c r="R40" s="767"/>
      <c r="S40" s="767"/>
      <c r="T40" s="767"/>
      <c r="U40" s="767"/>
      <c r="V40" s="767"/>
    </row>
    <row r="41" spans="1:22" ht="21" customHeight="1">
      <c r="A41" s="321" t="s">
        <v>239</v>
      </c>
      <c r="B41" s="271"/>
      <c r="C41" s="271"/>
      <c r="D41" s="271"/>
      <c r="E41" s="271"/>
      <c r="F41" s="763">
        <f>'6-1_集計表①(旧々・旧制度)'!R28+'6-1_集計表②(旧々・新制度)'!R28+'6-1_集計表③(旧・旧制度)'!R28+'6-1_集計表④(旧・新制度)'!R32+'6-1_集計表⑤(新・新制度)'!R28</f>
        <v>0</v>
      </c>
      <c r="G41" s="763"/>
      <c r="H41" s="321" t="s">
        <v>20</v>
      </c>
      <c r="J41" s="321"/>
      <c r="K41" s="326"/>
      <c r="Q41" s="162"/>
      <c r="R41" s="767"/>
      <c r="S41" s="767"/>
      <c r="T41" s="767"/>
      <c r="U41" s="767"/>
      <c r="V41" s="767"/>
    </row>
    <row r="42" spans="1:22" ht="12">
      <c r="A42" s="271"/>
      <c r="B42" s="271"/>
      <c r="C42" s="271"/>
      <c r="D42" s="271"/>
      <c r="E42" s="271"/>
      <c r="F42" s="271"/>
      <c r="G42" s="271"/>
      <c r="H42" s="271"/>
      <c r="I42" s="271"/>
      <c r="J42" s="271"/>
      <c r="K42" s="271"/>
      <c r="L42" s="271"/>
      <c r="M42" s="271"/>
      <c r="Q42" s="162"/>
      <c r="R42" s="767"/>
      <c r="S42" s="767"/>
      <c r="T42" s="767"/>
      <c r="U42" s="767"/>
      <c r="V42" s="767"/>
    </row>
    <row r="43" spans="1:15" ht="21" customHeight="1">
      <c r="A43" s="321" t="s">
        <v>240</v>
      </c>
      <c r="B43" s="322"/>
      <c r="C43" s="322"/>
      <c r="D43" s="322"/>
      <c r="E43" s="322"/>
      <c r="F43" s="743"/>
      <c r="G43" s="743"/>
      <c r="H43" s="743"/>
      <c r="I43" s="743"/>
      <c r="J43" s="743"/>
      <c r="K43" s="743"/>
      <c r="L43" s="743"/>
      <c r="M43" s="743"/>
      <c r="N43" s="743"/>
      <c r="O43" s="322"/>
    </row>
    <row r="44" spans="1:15" ht="17.25">
      <c r="A44" s="266"/>
      <c r="B44" s="162"/>
      <c r="C44" s="162"/>
      <c r="D44" s="162"/>
      <c r="E44" s="162"/>
      <c r="F44" s="743"/>
      <c r="G44" s="743"/>
      <c r="H44" s="743"/>
      <c r="I44" s="743"/>
      <c r="J44" s="743"/>
      <c r="K44" s="743"/>
      <c r="L44" s="743"/>
      <c r="M44" s="743"/>
      <c r="N44" s="743"/>
      <c r="O44" s="322"/>
    </row>
    <row r="45" spans="1:15" ht="17.25">
      <c r="A45" s="266"/>
      <c r="B45" s="162"/>
      <c r="C45" s="162"/>
      <c r="D45" s="162"/>
      <c r="E45" s="162"/>
      <c r="F45" s="743"/>
      <c r="G45" s="743"/>
      <c r="H45" s="743"/>
      <c r="I45" s="743"/>
      <c r="J45" s="743"/>
      <c r="K45" s="743"/>
      <c r="L45" s="743"/>
      <c r="M45" s="743"/>
      <c r="N45" s="743"/>
      <c r="O45" s="327"/>
    </row>
    <row r="46" spans="1:15" ht="17.25">
      <c r="A46" s="266"/>
      <c r="B46" s="162"/>
      <c r="C46" s="162"/>
      <c r="D46" s="162"/>
      <c r="E46" s="162"/>
      <c r="F46" s="327"/>
      <c r="G46" s="327"/>
      <c r="H46" s="327"/>
      <c r="I46" s="327"/>
      <c r="J46" s="327"/>
      <c r="K46" s="327"/>
      <c r="L46" s="327"/>
      <c r="M46" s="327"/>
      <c r="N46" s="327"/>
      <c r="O46" s="327"/>
    </row>
    <row r="47" spans="1:15" ht="17.25">
      <c r="A47" s="266"/>
      <c r="B47" s="162"/>
      <c r="C47" s="162"/>
      <c r="D47" s="162"/>
      <c r="E47" s="162"/>
      <c r="F47" s="162"/>
      <c r="G47" s="162"/>
      <c r="H47" s="162"/>
      <c r="I47" s="162"/>
      <c r="J47" s="162"/>
      <c r="K47" s="162"/>
      <c r="L47" s="162"/>
      <c r="M47" s="162"/>
      <c r="N47" s="162"/>
      <c r="O47" s="162"/>
    </row>
    <row r="48" spans="1:15" ht="24.75" customHeight="1">
      <c r="A48" s="162"/>
      <c r="B48" s="162"/>
      <c r="C48" s="162"/>
      <c r="D48" s="162"/>
      <c r="E48" s="162"/>
      <c r="F48" s="162"/>
      <c r="G48" s="265" t="s">
        <v>183</v>
      </c>
      <c r="H48" s="744"/>
      <c r="I48" s="745"/>
      <c r="J48" s="745"/>
      <c r="K48" s="745"/>
      <c r="L48" s="745"/>
      <c r="M48" s="745"/>
      <c r="N48" s="745"/>
      <c r="O48" s="746"/>
    </row>
    <row r="49" spans="1:15" ht="24.75" customHeight="1">
      <c r="A49" s="162"/>
      <c r="B49" s="162"/>
      <c r="C49" s="162"/>
      <c r="D49" s="162"/>
      <c r="E49" s="162"/>
      <c r="F49" s="162"/>
      <c r="G49" s="265" t="s">
        <v>184</v>
      </c>
      <c r="H49" s="747"/>
      <c r="I49" s="748"/>
      <c r="J49" s="748"/>
      <c r="K49" s="748"/>
      <c r="L49" s="748"/>
      <c r="M49" s="748"/>
      <c r="N49" s="748"/>
      <c r="O49" s="749"/>
    </row>
    <row r="50" spans="1:15" ht="24.75" customHeight="1">
      <c r="A50" s="162"/>
      <c r="B50" s="162"/>
      <c r="C50" s="162"/>
      <c r="D50" s="162"/>
      <c r="E50" s="162"/>
      <c r="F50" s="162"/>
      <c r="G50" s="265" t="s">
        <v>185</v>
      </c>
      <c r="H50" s="747"/>
      <c r="I50" s="748"/>
      <c r="J50" s="748"/>
      <c r="K50" s="748"/>
      <c r="L50" s="748"/>
      <c r="M50" s="748"/>
      <c r="N50" s="748"/>
      <c r="O50" s="749"/>
    </row>
    <row r="51" spans="1:15" ht="12">
      <c r="A51" s="162"/>
      <c r="B51" s="162"/>
      <c r="C51" s="162"/>
      <c r="D51" s="162"/>
      <c r="E51" s="162"/>
      <c r="F51" s="162"/>
      <c r="G51" s="162"/>
      <c r="H51" s="162"/>
      <c r="I51" s="162"/>
      <c r="J51" s="162"/>
      <c r="K51" s="162"/>
      <c r="L51" s="162"/>
      <c r="M51" s="162"/>
      <c r="N51" s="162"/>
      <c r="O51" s="162"/>
    </row>
  </sheetData>
  <sheetProtection/>
  <mergeCells count="19">
    <mergeCell ref="I18:O18"/>
    <mergeCell ref="I16:P16"/>
    <mergeCell ref="I20:O20"/>
    <mergeCell ref="R37:V42"/>
    <mergeCell ref="A31:O31"/>
    <mergeCell ref="A28:P28"/>
    <mergeCell ref="A27:P27"/>
    <mergeCell ref="A29:P29"/>
    <mergeCell ref="A30:P30"/>
    <mergeCell ref="F43:N45"/>
    <mergeCell ref="H48:O48"/>
    <mergeCell ref="H49:O49"/>
    <mergeCell ref="H50:O50"/>
    <mergeCell ref="J2:O4"/>
    <mergeCell ref="H3:I3"/>
    <mergeCell ref="A33:P33"/>
    <mergeCell ref="F37:G37"/>
    <mergeCell ref="F39:G39"/>
    <mergeCell ref="F41:G41"/>
  </mergeCells>
  <printOptions/>
  <pageMargins left="0.9055118110236221" right="0.9055118110236221" top="1.141732283464567" bottom="0.7480314960629921" header="0.31496062992125984" footer="0.31496062992125984"/>
  <pageSetup cellComments="asDisplayed" fitToHeight="0" fitToWidth="0"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codeName="Sheet4">
    <tabColor rgb="FF00B050"/>
    <pageSetUpPr fitToPage="1"/>
  </sheetPr>
  <dimension ref="A1:AP59"/>
  <sheetViews>
    <sheetView tabSelected="1" view="pageBreakPreview" zoomScale="75" zoomScaleNormal="75" zoomScaleSheetLayoutView="75" zoomScalePageLayoutView="0" workbookViewId="0" topLeftCell="H1">
      <selection activeCell="N11" sqref="N11"/>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6" width="10.375" style="40" customWidth="1"/>
    <col min="7" max="7" width="12.25390625" style="40" customWidth="1"/>
    <col min="8" max="8" width="12.375" style="40" customWidth="1"/>
    <col min="9" max="9" width="12.25390625" style="40" bestFit="1" customWidth="1"/>
    <col min="10" max="10" width="5.50390625" style="40" bestFit="1" customWidth="1"/>
    <col min="11" max="12" width="11.50390625" style="40" customWidth="1"/>
    <col min="13" max="13" width="14.125" style="40" bestFit="1" customWidth="1"/>
    <col min="14" max="14" width="13.125" style="40" bestFit="1" customWidth="1"/>
    <col min="15" max="15" width="6.125" style="40" customWidth="1"/>
    <col min="16" max="16" width="9.50390625" style="40" hidden="1" customWidth="1"/>
    <col min="17" max="17" width="10.00390625" style="40" customWidth="1"/>
    <col min="18" max="18" width="5.25390625" style="40" customWidth="1"/>
    <col min="19" max="19" width="10.00390625" style="40" hidden="1" customWidth="1"/>
    <col min="20" max="20" width="10.00390625" style="40" customWidth="1"/>
    <col min="21" max="21" width="10.75390625" style="40" customWidth="1"/>
    <col min="22" max="22" width="10.625" style="40" customWidth="1"/>
    <col min="23" max="23" width="10.875" style="40" customWidth="1"/>
    <col min="24" max="24" width="12.50390625" style="40" customWidth="1"/>
    <col min="25" max="25" width="13.25390625" style="40" customWidth="1"/>
    <col min="26" max="26" width="11.25390625" style="40" customWidth="1"/>
    <col min="27" max="30" width="11.625" style="40" customWidth="1"/>
    <col min="31" max="32" width="11.25390625" style="40" customWidth="1"/>
    <col min="33" max="33" width="13.00390625" style="40" customWidth="1"/>
    <col min="34" max="34" width="1.37890625" style="40" customWidth="1"/>
    <col min="35" max="35" width="9.125" style="40" customWidth="1"/>
    <col min="36" max="36" width="16.375" style="40" customWidth="1"/>
    <col min="37" max="37" width="3.125" style="40" customWidth="1"/>
    <col min="38" max="38" width="5.625" style="41" customWidth="1"/>
    <col min="39" max="39" width="3.125" style="41" customWidth="1"/>
    <col min="40" max="40" width="3.125" style="40" customWidth="1"/>
    <col min="41" max="41" width="8.25390625" style="40" customWidth="1"/>
    <col min="42" max="16384" width="9.625" style="40" customWidth="1"/>
  </cols>
  <sheetData>
    <row r="1" spans="1:36" ht="24.75" customHeight="1">
      <c r="A1" s="189" t="s">
        <v>248</v>
      </c>
      <c r="B1" s="39"/>
      <c r="AA1" s="164" t="s">
        <v>25</v>
      </c>
      <c r="AB1" s="992">
        <f>'5_総括表'!E3</f>
        <v>0</v>
      </c>
      <c r="AC1" s="993"/>
      <c r="AD1" s="993"/>
      <c r="AE1" s="993"/>
      <c r="AF1" s="993"/>
      <c r="AG1" s="993"/>
      <c r="AH1" s="994"/>
      <c r="AI1" s="164" t="s">
        <v>26</v>
      </c>
      <c r="AJ1" s="166">
        <f>'5_総括表'!Z3</f>
        <v>0</v>
      </c>
    </row>
    <row r="2" spans="1:36" ht="24.75" customHeight="1" thickBot="1">
      <c r="A2" s="42"/>
      <c r="AA2" s="165" t="s">
        <v>23</v>
      </c>
      <c r="AB2" s="995">
        <f>'5_総括表'!E4</f>
        <v>0</v>
      </c>
      <c r="AC2" s="996"/>
      <c r="AD2" s="996"/>
      <c r="AE2" s="996"/>
      <c r="AF2" s="996"/>
      <c r="AG2" s="996"/>
      <c r="AH2" s="997"/>
      <c r="AI2" s="165" t="s">
        <v>24</v>
      </c>
      <c r="AJ2" s="167">
        <f>'5_総括表'!Z4</f>
        <v>0</v>
      </c>
    </row>
    <row r="3" spans="1:36" ht="31.5" customHeight="1" thickBot="1">
      <c r="A3" s="283" t="s">
        <v>226</v>
      </c>
      <c r="B3" s="282"/>
      <c r="AI3" s="43"/>
      <c r="AJ3" s="43" t="s">
        <v>28</v>
      </c>
    </row>
    <row r="4" spans="1:39" s="44" customFormat="1" ht="22.5" customHeight="1" thickBot="1">
      <c r="A4" s="814" t="s">
        <v>32</v>
      </c>
      <c r="B4" s="809" t="s">
        <v>167</v>
      </c>
      <c r="C4" s="906" t="s">
        <v>119</v>
      </c>
      <c r="D4" s="914" t="s">
        <v>117</v>
      </c>
      <c r="E4" s="909" t="s">
        <v>100</v>
      </c>
      <c r="F4" s="910"/>
      <c r="G4" s="911"/>
      <c r="H4" s="912" t="s">
        <v>109</v>
      </c>
      <c r="I4" s="913"/>
      <c r="J4" s="913"/>
      <c r="K4" s="913"/>
      <c r="L4" s="913"/>
      <c r="M4" s="913"/>
      <c r="N4" s="911"/>
      <c r="O4" s="823" t="s">
        <v>113</v>
      </c>
      <c r="P4" s="824"/>
      <c r="Q4" s="824"/>
      <c r="R4" s="891"/>
      <c r="S4" s="891"/>
      <c r="T4" s="891"/>
      <c r="U4" s="891"/>
      <c r="V4" s="891"/>
      <c r="W4" s="892"/>
      <c r="X4" s="809" t="s">
        <v>4</v>
      </c>
      <c r="Y4" s="809" t="s">
        <v>115</v>
      </c>
      <c r="Z4" s="809" t="s">
        <v>116</v>
      </c>
      <c r="AA4" s="809" t="s">
        <v>69</v>
      </c>
      <c r="AB4" s="990" t="s">
        <v>267</v>
      </c>
      <c r="AC4" s="990" t="s">
        <v>267</v>
      </c>
      <c r="AD4" s="990" t="s">
        <v>267</v>
      </c>
      <c r="AE4" s="809" t="s">
        <v>31</v>
      </c>
      <c r="AF4" s="809" t="s">
        <v>99</v>
      </c>
      <c r="AG4" s="893" t="s">
        <v>187</v>
      </c>
      <c r="AH4" s="858" t="s">
        <v>7</v>
      </c>
      <c r="AI4" s="859"/>
      <c r="AJ4" s="860"/>
      <c r="AL4" s="867" t="s">
        <v>30</v>
      </c>
      <c r="AM4" s="867" t="s">
        <v>78</v>
      </c>
    </row>
    <row r="5" spans="1:39" s="44" customFormat="1" ht="40.5" customHeight="1" thickBot="1">
      <c r="A5" s="903"/>
      <c r="B5" s="873"/>
      <c r="C5" s="907"/>
      <c r="D5" s="915"/>
      <c r="E5" s="45"/>
      <c r="F5" s="572" t="s">
        <v>256</v>
      </c>
      <c r="G5" s="1072" t="s">
        <v>76</v>
      </c>
      <c r="H5" s="1074" t="s">
        <v>3</v>
      </c>
      <c r="I5" s="895" t="s">
        <v>77</v>
      </c>
      <c r="J5" s="1085" t="s">
        <v>158</v>
      </c>
      <c r="K5" s="573" t="s">
        <v>267</v>
      </c>
      <c r="L5" s="573" t="s">
        <v>258</v>
      </c>
      <c r="M5" s="889" t="s">
        <v>157</v>
      </c>
      <c r="N5" s="1072" t="s">
        <v>2</v>
      </c>
      <c r="O5" s="823" t="s">
        <v>186</v>
      </c>
      <c r="P5" s="824"/>
      <c r="Q5" s="824"/>
      <c r="R5" s="823" t="s">
        <v>180</v>
      </c>
      <c r="S5" s="824"/>
      <c r="T5" s="1067"/>
      <c r="U5" s="1068" t="s">
        <v>110</v>
      </c>
      <c r="V5" s="880" t="s">
        <v>112</v>
      </c>
      <c r="W5" s="1079" t="s">
        <v>111</v>
      </c>
      <c r="X5" s="873"/>
      <c r="Y5" s="873"/>
      <c r="Z5" s="873"/>
      <c r="AA5" s="873"/>
      <c r="AB5" s="991"/>
      <c r="AC5" s="991"/>
      <c r="AD5" s="991"/>
      <c r="AE5" s="873"/>
      <c r="AF5" s="873"/>
      <c r="AG5" s="894"/>
      <c r="AH5" s="1077"/>
      <c r="AI5" s="1078"/>
      <c r="AJ5" s="863"/>
      <c r="AL5" s="1076"/>
      <c r="AM5" s="1076"/>
    </row>
    <row r="6" spans="1:39" s="44" customFormat="1" ht="50.25" customHeight="1">
      <c r="A6" s="903"/>
      <c r="B6" s="873"/>
      <c r="C6" s="907"/>
      <c r="D6" s="1071"/>
      <c r="E6" s="257" t="s">
        <v>146</v>
      </c>
      <c r="F6" s="46" t="s">
        <v>266</v>
      </c>
      <c r="G6" s="1073"/>
      <c r="H6" s="1075"/>
      <c r="I6" s="896"/>
      <c r="J6" s="1086"/>
      <c r="K6" s="500" t="s">
        <v>260</v>
      </c>
      <c r="L6" s="500" t="s">
        <v>268</v>
      </c>
      <c r="M6" s="890"/>
      <c r="N6" s="1073"/>
      <c r="O6" s="882" t="s">
        <v>18</v>
      </c>
      <c r="P6" s="1065" t="s">
        <v>166</v>
      </c>
      <c r="Q6" s="190" t="s">
        <v>169</v>
      </c>
      <c r="R6" s="882" t="s">
        <v>18</v>
      </c>
      <c r="S6" s="1065" t="s">
        <v>172</v>
      </c>
      <c r="T6" s="245" t="s">
        <v>169</v>
      </c>
      <c r="U6" s="1069"/>
      <c r="V6" s="881"/>
      <c r="W6" s="1080"/>
      <c r="X6" s="931"/>
      <c r="Y6" s="903"/>
      <c r="Z6" s="873"/>
      <c r="AA6" s="903"/>
      <c r="AB6" s="488" t="s">
        <v>272</v>
      </c>
      <c r="AC6" s="488" t="s">
        <v>264</v>
      </c>
      <c r="AD6" s="488" t="s">
        <v>269</v>
      </c>
      <c r="AE6" s="903"/>
      <c r="AF6" s="903"/>
      <c r="AG6" s="1084"/>
      <c r="AH6" s="861"/>
      <c r="AI6" s="862"/>
      <c r="AJ6" s="863"/>
      <c r="AL6" s="868"/>
      <c r="AM6" s="868"/>
    </row>
    <row r="7" spans="1:39" s="44" customFormat="1" ht="17.25" customHeight="1" thickBot="1">
      <c r="A7" s="903"/>
      <c r="B7" s="873"/>
      <c r="C7" s="907"/>
      <c r="D7" s="492" t="s">
        <v>104</v>
      </c>
      <c r="E7" s="575" t="s">
        <v>0</v>
      </c>
      <c r="F7" s="500"/>
      <c r="G7" s="494" t="s">
        <v>1</v>
      </c>
      <c r="H7" s="489" t="s">
        <v>105</v>
      </c>
      <c r="I7" s="500" t="s">
        <v>79</v>
      </c>
      <c r="J7" s="487" t="s">
        <v>101</v>
      </c>
      <c r="K7" s="500"/>
      <c r="L7" s="500"/>
      <c r="M7" s="105" t="s">
        <v>102</v>
      </c>
      <c r="N7" s="106" t="s">
        <v>103</v>
      </c>
      <c r="O7" s="1070"/>
      <c r="P7" s="1066"/>
      <c r="Q7" s="576" t="s">
        <v>212</v>
      </c>
      <c r="R7" s="1070"/>
      <c r="S7" s="1066"/>
      <c r="T7" s="577" t="s">
        <v>213</v>
      </c>
      <c r="U7" s="504" t="s">
        <v>82</v>
      </c>
      <c r="V7" s="505" t="s">
        <v>83</v>
      </c>
      <c r="W7" s="491" t="s">
        <v>92</v>
      </c>
      <c r="X7" s="490" t="s">
        <v>93</v>
      </c>
      <c r="Y7" s="490" t="s">
        <v>94</v>
      </c>
      <c r="Z7" s="490" t="s">
        <v>95</v>
      </c>
      <c r="AA7" s="490" t="s">
        <v>96</v>
      </c>
      <c r="AB7" s="490"/>
      <c r="AC7" s="490"/>
      <c r="AD7" s="490"/>
      <c r="AE7" s="490" t="s">
        <v>97</v>
      </c>
      <c r="AF7" s="490" t="s">
        <v>98</v>
      </c>
      <c r="AG7" s="493" t="s">
        <v>114</v>
      </c>
      <c r="AH7" s="861"/>
      <c r="AI7" s="862"/>
      <c r="AJ7" s="863"/>
      <c r="AL7" s="870"/>
      <c r="AM7" s="870"/>
    </row>
    <row r="8" spans="1:42" s="53" customFormat="1" ht="18.75" customHeight="1" thickBot="1">
      <c r="A8" s="578">
        <f>IF(B8="","",ROW($A8)-ROW($A$7))</f>
      </c>
      <c r="B8" s="580"/>
      <c r="C8" s="583"/>
      <c r="D8" s="464"/>
      <c r="E8" s="585"/>
      <c r="F8" s="231"/>
      <c r="G8" s="586">
        <f>IF(A8="","",IF(F8&gt;30,30,F8))</f>
      </c>
      <c r="H8" s="643">
        <f>IF(A8="","",(D8*G8))</f>
      </c>
      <c r="I8" s="522"/>
      <c r="J8" s="634"/>
      <c r="K8" s="551"/>
      <c r="L8" s="552"/>
      <c r="M8" s="406">
        <f>IF(A8="","",ROUNDDOWN((I8*J8/12+H8),0))</f>
      </c>
      <c r="N8" s="548">
        <f>IF(A8="","",ROUNDDOWN(10032*G8*(K8/J8),0))</f>
      </c>
      <c r="O8" s="638"/>
      <c r="P8" s="193"/>
      <c r="Q8" s="542">
        <f>IF($H8="","",IF($O8="Ａ",LOOKUP($D8,{8000,8500,9000,10000,12000},{0,1532,1032,408,408}),IF($O8="Ｂ",LOOKUP($D8,{8000,8500,9000,10000,12000},{782,2814,2814,2814,2814}),IF($O8="Ｃ",LOOKUP($D8,{8000,8500,9000,10000,12000},{3188,5220,5220,5220,5220}),0))))</f>
      </c>
      <c r="R8" s="631"/>
      <c r="S8" s="231"/>
      <c r="T8" s="542">
        <f>IF($H8="","",IF($R8="Ａ",LOOKUP($D8,{8000,8500,9000,10000,12000},{0,1532,1032,408,408}),IF($R8="Ｂ",LOOKUP($D8,{8000,8500,9000,10000,12000},{782,2814,2814,2814,2814}),IF($R8="Ｃ",LOOKUP($D8,{8000,8500,9000,10000,12000},{3188,5220,5220,5220,5220}),0))))</f>
      </c>
      <c r="U8" s="410">
        <f>IF(L8&gt;=7,T8,IF(AND(J8+L8&lt;=7,L8&gt;=4),Q8,IF(ISERROR(ROUNDUP(Q8*3/12+T8*9/12,0)),"",ROUNDUP(Q8*3/12+T8*9/12,0))))</f>
      </c>
      <c r="V8" s="539">
        <f>IF(B8="","",SUMIF('6-3_調整額内訳③(旧・旧制度)'!B:B,$B8,'6-3_調整額内訳③(旧・旧制度)'!AF:AF))</f>
      </c>
      <c r="W8" s="529">
        <f>IF(B8="","",SUM(U8:V8))</f>
      </c>
      <c r="X8" s="596">
        <f>IF(B8="","",ROUNDDOWN(W8*G8,0))</f>
      </c>
      <c r="Y8" s="597">
        <f>IF(M8&gt;=N8,N8,M8)</f>
      </c>
      <c r="Z8" s="569"/>
      <c r="AA8" s="410">
        <f aca="true" t="shared" si="0" ref="AA8:AA44">IF(A8="","",IF((M8-Y8)&lt;Z8,Y8-(M8-Z8),0))</f>
      </c>
      <c r="AB8" s="569"/>
      <c r="AC8" s="426" t="str">
        <f aca="true" t="shared" si="1" ref="AC8:AC44">_xlfn.IFERROR(D8*(E8-F8)*(K8/J8),"0")</f>
        <v>0</v>
      </c>
      <c r="AD8" s="410">
        <f>_xlfn.IFERROR(IF(AC8-AB8&gt;0,0,AC8-AB8),"0")</f>
        <v>0</v>
      </c>
      <c r="AE8" s="671"/>
      <c r="AF8" s="426">
        <f>IF(B8="","",MAX(0,Y8-AA8-AE8))</f>
      </c>
      <c r="AG8" s="602">
        <f>IF(B8="","",IF(MIN(X8,AF8)+AD8&gt;0,MIN(X8,AF8)+AD8,0))</f>
      </c>
      <c r="AH8" s="871"/>
      <c r="AI8" s="871"/>
      <c r="AJ8" s="872"/>
      <c r="AL8" s="54">
        <f aca="true" t="shared" si="2" ref="AL8:AL44">IF(A8&gt;0,ASC(C8&amp;R8),"")</f>
      </c>
      <c r="AM8" s="54">
        <f aca="true" t="shared" si="3" ref="AM8:AM44">IF(B8="","",IF(AG8&gt;0,1,0))</f>
      </c>
      <c r="AO8" s="55" t="s">
        <v>15</v>
      </c>
      <c r="AP8" s="44"/>
    </row>
    <row r="9" spans="1:42" s="53" customFormat="1" ht="18.75" customHeight="1" thickBot="1" thickTop="1">
      <c r="A9" s="181">
        <f aca="true" t="shared" si="4" ref="A9:A44">IF(B9="","",ROW($A9)-ROW($A$7))</f>
      </c>
      <c r="B9" s="581"/>
      <c r="C9" s="56"/>
      <c r="D9" s="466"/>
      <c r="E9" s="238"/>
      <c r="F9" s="202"/>
      <c r="G9" s="191">
        <f aca="true" t="shared" si="5" ref="G9:G44">IF(A9="","",IF(F9&gt;30,30,F9))</f>
      </c>
      <c r="H9" s="643">
        <f aca="true" t="shared" si="6" ref="H9:H44">IF(A9="","",(D9*G9))</f>
      </c>
      <c r="I9" s="521"/>
      <c r="J9" s="635"/>
      <c r="K9" s="553"/>
      <c r="L9" s="109"/>
      <c r="M9" s="404">
        <f aca="true" t="shared" si="7" ref="M9:M44">IF(A9="","",ROUNDDOWN((I9*J9/12+H9),0))</f>
      </c>
      <c r="N9" s="549">
        <f aca="true" t="shared" si="8" ref="N9:N44">IF(A9="","",ROUNDDOWN(10032*G9*(K9/J9),0))</f>
      </c>
      <c r="O9" s="639"/>
      <c r="P9" s="194"/>
      <c r="Q9" s="543">
        <f>IF($H9="","",IF($O9="Ａ",LOOKUP($D9,{8000,8500,9000,10000,12000},{0,1532,1032,408,408}),IF($O9="Ｂ",LOOKUP($D9,{8000,8500,9000,10000,12000},{782,2814,2814,2814,2814}),IF($O9="Ｃ",LOOKUP($D9,{8000,8500,9000,10000,12000},{3188,5220,5220,5220,5220}),0))))</f>
      </c>
      <c r="R9" s="632"/>
      <c r="S9" s="202"/>
      <c r="T9" s="543">
        <f>IF($H9="","",IF($R9="Ａ",LOOKUP($D9,{8000,8500,9000,10000,12000},{0,1532,1032,408,408}),IF($R9="Ｂ",LOOKUP($D9,{8000,8500,9000,10000,12000},{782,2814,2814,2814,2814}),IF($R9="Ｃ",LOOKUP($D9,{8000,8500,9000,10000,12000},{3188,5220,5220,5220,5220}),0))))</f>
      </c>
      <c r="U9" s="413">
        <f aca="true" t="shared" si="9" ref="U9:U44">IF(L9&gt;=7,T9,IF(AND(J9+L9&lt;=7,L9&gt;=4),Q9,IF(ISERROR(ROUNDUP(Q9*3/12+T9*9/12,0)),"",ROUNDUP(Q9*3/12+T9*9/12,0))))</f>
      </c>
      <c r="V9" s="540">
        <f>IF(B9="","",SUMIF('6-3_調整額内訳③(旧・旧制度)'!B:B,$B9,'6-3_調整額内訳③(旧・旧制度)'!AF:AF))</f>
      </c>
      <c r="W9" s="530">
        <f aca="true" t="shared" si="10" ref="W9:W44">IF(B9="","",SUM(U9:V9))</f>
      </c>
      <c r="X9" s="598">
        <f aca="true" t="shared" si="11" ref="X9:X44">IF(B9="","",ROUNDDOWN(W9*G9,0))</f>
      </c>
      <c r="Y9" s="599">
        <f aca="true" t="shared" si="12" ref="Y9:Y44">IF(M9&gt;=N9,N9,M9)</f>
      </c>
      <c r="Z9" s="570"/>
      <c r="AA9" s="413">
        <f t="shared" si="0"/>
      </c>
      <c r="AB9" s="570"/>
      <c r="AC9" s="411" t="str">
        <f t="shared" si="1"/>
        <v>0</v>
      </c>
      <c r="AD9" s="413">
        <f aca="true" t="shared" si="13" ref="AD9:AD44">_xlfn.IFERROR(IF(AC9-AB9&gt;0,0,AC9-AB9),"0")</f>
        <v>0</v>
      </c>
      <c r="AE9" s="672"/>
      <c r="AF9" s="411">
        <f aca="true" t="shared" si="14" ref="AF9:AF44">IF(B9="","",MAX(0,Y9-AA9-AE9))</f>
      </c>
      <c r="AG9" s="603">
        <f aca="true" t="shared" si="15" ref="AG9:AG44">IF(B9="","",IF(MIN(X9,AF9)+AD9&gt;0,MIN(X9,AF9)+AD9,0))</f>
      </c>
      <c r="AH9" s="850"/>
      <c r="AI9" s="850"/>
      <c r="AJ9" s="851"/>
      <c r="AL9" s="60">
        <f t="shared" si="2"/>
      </c>
      <c r="AM9" s="60">
        <f t="shared" si="3"/>
      </c>
      <c r="AO9" s="55" t="s">
        <v>14</v>
      </c>
      <c r="AP9" s="61" t="str">
        <f>IF(V45='6-3_調整額内訳③(旧・旧制度)'!AF39,"OK","ERR")</f>
        <v>OK</v>
      </c>
    </row>
    <row r="10" spans="1:42" s="53" customFormat="1" ht="18.75" customHeight="1" thickTop="1">
      <c r="A10" s="181">
        <f t="shared" si="4"/>
      </c>
      <c r="B10" s="581"/>
      <c r="C10" s="56"/>
      <c r="D10" s="466"/>
      <c r="E10" s="238"/>
      <c r="F10" s="202"/>
      <c r="G10" s="191">
        <f t="shared" si="5"/>
      </c>
      <c r="H10" s="643">
        <f t="shared" si="6"/>
      </c>
      <c r="I10" s="521"/>
      <c r="J10" s="635"/>
      <c r="K10" s="553"/>
      <c r="L10" s="109"/>
      <c r="M10" s="404">
        <f t="shared" si="7"/>
      </c>
      <c r="N10" s="549">
        <f t="shared" si="8"/>
      </c>
      <c r="O10" s="639"/>
      <c r="P10" s="194"/>
      <c r="Q10" s="543">
        <f>IF($H10="","",IF($O10="Ａ",LOOKUP($D10,{8000,8500,9000,10000,12000},{0,1532,1032,408,408}),IF($O10="Ｂ",LOOKUP($D10,{8000,8500,9000,10000,12000},{782,2814,2814,2814,2814}),IF($O10="Ｃ",LOOKUP($D10,{8000,8500,9000,10000,12000},{3188,5220,5220,5220,5220}),0))))</f>
      </c>
      <c r="R10" s="632"/>
      <c r="S10" s="202"/>
      <c r="T10" s="543">
        <f>IF($H10="","",IF($R10="Ａ",LOOKUP($D10,{8000,8500,9000,10000,12000},{0,1532,1032,408,408}),IF($R10="Ｂ",LOOKUP($D10,{8000,8500,9000,10000,12000},{782,2814,2814,2814,2814}),IF($R10="Ｃ",LOOKUP($D10,{8000,8500,9000,10000,12000},{3188,5220,5220,5220,5220}),0))))</f>
      </c>
      <c r="U10" s="413">
        <f t="shared" si="9"/>
      </c>
      <c r="V10" s="540">
        <f>IF(B10="","",SUMIF('6-3_調整額内訳③(旧・旧制度)'!B:B,$B10,'6-3_調整額内訳③(旧・旧制度)'!AF:AF))</f>
      </c>
      <c r="W10" s="530">
        <f t="shared" si="10"/>
      </c>
      <c r="X10" s="598">
        <f t="shared" si="11"/>
      </c>
      <c r="Y10" s="599">
        <f t="shared" si="12"/>
      </c>
      <c r="Z10" s="570"/>
      <c r="AA10" s="413">
        <f t="shared" si="0"/>
      </c>
      <c r="AB10" s="570"/>
      <c r="AC10" s="411" t="str">
        <f t="shared" si="1"/>
        <v>0</v>
      </c>
      <c r="AD10" s="413">
        <f t="shared" si="13"/>
        <v>0</v>
      </c>
      <c r="AE10" s="672"/>
      <c r="AF10" s="411">
        <f t="shared" si="14"/>
      </c>
      <c r="AG10" s="603">
        <f t="shared" si="15"/>
      </c>
      <c r="AH10" s="850"/>
      <c r="AI10" s="850"/>
      <c r="AJ10" s="851"/>
      <c r="AL10" s="60">
        <f t="shared" si="2"/>
      </c>
      <c r="AM10" s="60">
        <f t="shared" si="3"/>
      </c>
      <c r="AO10" s="55"/>
      <c r="AP10" s="62"/>
    </row>
    <row r="11" spans="1:39" s="53" customFormat="1" ht="18.75" customHeight="1">
      <c r="A11" s="181">
        <f t="shared" si="4"/>
      </c>
      <c r="B11" s="581"/>
      <c r="C11" s="56"/>
      <c r="D11" s="466"/>
      <c r="E11" s="238"/>
      <c r="F11" s="202"/>
      <c r="G11" s="191">
        <f t="shared" si="5"/>
      </c>
      <c r="H11" s="643">
        <f t="shared" si="6"/>
      </c>
      <c r="I11" s="521"/>
      <c r="J11" s="635"/>
      <c r="K11" s="553"/>
      <c r="L11" s="109"/>
      <c r="M11" s="404">
        <f t="shared" si="7"/>
      </c>
      <c r="N11" s="549">
        <f t="shared" si="8"/>
      </c>
      <c r="O11" s="639"/>
      <c r="P11" s="194"/>
      <c r="Q11" s="543">
        <f>IF($H11="","",IF($O11="Ａ",LOOKUP($D11,{8000,8500,9000,10000,12000},{0,1532,1032,408,408}),IF($O11="Ｂ",LOOKUP($D11,{8000,8500,9000,10000,12000},{782,2814,2814,2814,2814}),IF($O11="Ｃ",LOOKUP($D11,{8000,8500,9000,10000,12000},{3188,5220,5220,5220,5220}),0))))</f>
      </c>
      <c r="R11" s="632"/>
      <c r="S11" s="202"/>
      <c r="T11" s="543">
        <f>IF($H11="","",IF($R11="Ａ",LOOKUP($D11,{8000,8500,9000,10000,12000},{0,1532,1032,408,408}),IF($R11="Ｂ",LOOKUP($D11,{8000,8500,9000,10000,12000},{782,2814,2814,2814,2814}),IF($R11="Ｃ",LOOKUP($D11,{8000,8500,9000,10000,12000},{3188,5220,5220,5220,5220}),0))))</f>
      </c>
      <c r="U11" s="413">
        <f t="shared" si="9"/>
      </c>
      <c r="V11" s="540">
        <f>IF(B11="","",SUMIF('6-3_調整額内訳③(旧・旧制度)'!B:B,$B11,'6-3_調整額内訳③(旧・旧制度)'!AF:AF))</f>
      </c>
      <c r="W11" s="530">
        <f t="shared" si="10"/>
      </c>
      <c r="X11" s="598">
        <f t="shared" si="11"/>
      </c>
      <c r="Y11" s="599">
        <f t="shared" si="12"/>
      </c>
      <c r="Z11" s="570"/>
      <c r="AA11" s="413">
        <f t="shared" si="0"/>
      </c>
      <c r="AB11" s="570"/>
      <c r="AC11" s="411" t="str">
        <f t="shared" si="1"/>
        <v>0</v>
      </c>
      <c r="AD11" s="413">
        <f t="shared" si="13"/>
        <v>0</v>
      </c>
      <c r="AE11" s="672"/>
      <c r="AF11" s="411">
        <f t="shared" si="14"/>
      </c>
      <c r="AG11" s="603">
        <f t="shared" si="15"/>
      </c>
      <c r="AH11" s="850"/>
      <c r="AI11" s="850"/>
      <c r="AJ11" s="851"/>
      <c r="AL11" s="60">
        <f t="shared" si="2"/>
      </c>
      <c r="AM11" s="60">
        <f t="shared" si="3"/>
      </c>
    </row>
    <row r="12" spans="1:39" s="53" customFormat="1" ht="18.75" customHeight="1">
      <c r="A12" s="181">
        <f t="shared" si="4"/>
      </c>
      <c r="B12" s="581"/>
      <c r="C12" s="56"/>
      <c r="D12" s="466"/>
      <c r="E12" s="238"/>
      <c r="F12" s="202"/>
      <c r="G12" s="191">
        <f t="shared" si="5"/>
      </c>
      <c r="H12" s="643">
        <f t="shared" si="6"/>
      </c>
      <c r="I12" s="521"/>
      <c r="J12" s="635"/>
      <c r="K12" s="553"/>
      <c r="L12" s="109"/>
      <c r="M12" s="404">
        <f t="shared" si="7"/>
      </c>
      <c r="N12" s="549">
        <f t="shared" si="8"/>
      </c>
      <c r="O12" s="639"/>
      <c r="P12" s="194"/>
      <c r="Q12" s="543">
        <f>IF($H12="","",IF($O12="Ａ",LOOKUP($D12,{8000,8500,9000,10000,12000},{0,1532,1032,408,408}),IF($O12="Ｂ",LOOKUP($D12,{8000,8500,9000,10000,12000},{782,2814,2814,2814,2814}),IF($O12="Ｃ",LOOKUP($D12,{8000,8500,9000,10000,12000},{3188,5220,5220,5220,5220}),0))))</f>
      </c>
      <c r="R12" s="632"/>
      <c r="S12" s="202"/>
      <c r="T12" s="543">
        <f>IF($H12="","",IF($R12="Ａ",LOOKUP($D12,{8000,8500,9000,10000,12000},{0,1532,1032,408,408}),IF($R12="Ｂ",LOOKUP($D12,{8000,8500,9000,10000,12000},{782,2814,2814,2814,2814}),IF($R12="Ｃ",LOOKUP($D12,{8000,8500,9000,10000,12000},{3188,5220,5220,5220,5220}),0))))</f>
      </c>
      <c r="U12" s="413">
        <f t="shared" si="9"/>
      </c>
      <c r="V12" s="540">
        <f>IF(B12="","",SUMIF('6-3_調整額内訳③(旧・旧制度)'!B:B,$B12,'6-3_調整額内訳③(旧・旧制度)'!AF:AF))</f>
      </c>
      <c r="W12" s="530">
        <f t="shared" si="10"/>
      </c>
      <c r="X12" s="598">
        <f t="shared" si="11"/>
      </c>
      <c r="Y12" s="599">
        <f t="shared" si="12"/>
      </c>
      <c r="Z12" s="570"/>
      <c r="AA12" s="413">
        <f t="shared" si="0"/>
      </c>
      <c r="AB12" s="570"/>
      <c r="AC12" s="411" t="str">
        <f t="shared" si="1"/>
        <v>0</v>
      </c>
      <c r="AD12" s="413">
        <f t="shared" si="13"/>
        <v>0</v>
      </c>
      <c r="AE12" s="672"/>
      <c r="AF12" s="411">
        <f t="shared" si="14"/>
      </c>
      <c r="AG12" s="603">
        <f t="shared" si="15"/>
      </c>
      <c r="AH12" s="850"/>
      <c r="AI12" s="850"/>
      <c r="AJ12" s="851"/>
      <c r="AL12" s="60">
        <f t="shared" si="2"/>
      </c>
      <c r="AM12" s="60">
        <f t="shared" si="3"/>
      </c>
    </row>
    <row r="13" spans="1:39" s="53" customFormat="1" ht="18.75" customHeight="1">
      <c r="A13" s="181">
        <f t="shared" si="4"/>
      </c>
      <c r="B13" s="581"/>
      <c r="C13" s="56"/>
      <c r="D13" s="466"/>
      <c r="E13" s="238"/>
      <c r="F13" s="202"/>
      <c r="G13" s="191">
        <f t="shared" si="5"/>
      </c>
      <c r="H13" s="643">
        <f t="shared" si="6"/>
      </c>
      <c r="I13" s="521"/>
      <c r="J13" s="635"/>
      <c r="K13" s="553"/>
      <c r="L13" s="109"/>
      <c r="M13" s="404">
        <f t="shared" si="7"/>
      </c>
      <c r="N13" s="549">
        <f t="shared" si="8"/>
      </c>
      <c r="O13" s="639"/>
      <c r="P13" s="194"/>
      <c r="Q13" s="543">
        <f>IF($H13="","",IF($O13="Ａ",LOOKUP($D13,{8000,8500,9000,10000,12000},{0,1532,1032,408,408}),IF($O13="Ｂ",LOOKUP($D13,{8000,8500,9000,10000,12000},{782,2814,2814,2814,2814}),IF($O13="Ｃ",LOOKUP($D13,{8000,8500,9000,10000,12000},{3188,5220,5220,5220,5220}),0))))</f>
      </c>
      <c r="R13" s="632"/>
      <c r="S13" s="202"/>
      <c r="T13" s="543">
        <f>IF($H13="","",IF($R13="Ａ",LOOKUP($D13,{8000,8500,9000,10000,12000},{0,1532,1032,408,408}),IF($R13="Ｂ",LOOKUP($D13,{8000,8500,9000,10000,12000},{782,2814,2814,2814,2814}),IF($R13="Ｃ",LOOKUP($D13,{8000,8500,9000,10000,12000},{3188,5220,5220,5220,5220}),0))))</f>
      </c>
      <c r="U13" s="413">
        <f t="shared" si="9"/>
      </c>
      <c r="V13" s="540">
        <f>IF(B13="","",SUMIF('6-3_調整額内訳③(旧・旧制度)'!B:B,$B13,'6-3_調整額内訳③(旧・旧制度)'!AF:AF))</f>
      </c>
      <c r="W13" s="530">
        <f t="shared" si="10"/>
      </c>
      <c r="X13" s="598">
        <f t="shared" si="11"/>
      </c>
      <c r="Y13" s="599">
        <f t="shared" si="12"/>
      </c>
      <c r="Z13" s="570"/>
      <c r="AA13" s="413">
        <f t="shared" si="0"/>
      </c>
      <c r="AB13" s="570"/>
      <c r="AC13" s="411" t="str">
        <f t="shared" si="1"/>
        <v>0</v>
      </c>
      <c r="AD13" s="413">
        <f t="shared" si="13"/>
        <v>0</v>
      </c>
      <c r="AE13" s="672"/>
      <c r="AF13" s="411">
        <f t="shared" si="14"/>
      </c>
      <c r="AG13" s="603">
        <f t="shared" si="15"/>
      </c>
      <c r="AH13" s="850"/>
      <c r="AI13" s="850"/>
      <c r="AJ13" s="851"/>
      <c r="AL13" s="60">
        <f t="shared" si="2"/>
      </c>
      <c r="AM13" s="60">
        <f t="shared" si="3"/>
      </c>
    </row>
    <row r="14" spans="1:39" s="53" customFormat="1" ht="18.75" customHeight="1">
      <c r="A14" s="181">
        <f t="shared" si="4"/>
      </c>
      <c r="B14" s="581"/>
      <c r="C14" s="56"/>
      <c r="D14" s="466"/>
      <c r="E14" s="238"/>
      <c r="F14" s="202"/>
      <c r="G14" s="191">
        <f t="shared" si="5"/>
      </c>
      <c r="H14" s="643">
        <f t="shared" si="6"/>
      </c>
      <c r="I14" s="521"/>
      <c r="J14" s="635"/>
      <c r="K14" s="553"/>
      <c r="L14" s="109"/>
      <c r="M14" s="404">
        <f t="shared" si="7"/>
      </c>
      <c r="N14" s="549">
        <f t="shared" si="8"/>
      </c>
      <c r="O14" s="639"/>
      <c r="P14" s="194"/>
      <c r="Q14" s="543">
        <f>IF($H14="","",IF($O14="Ａ",LOOKUP($D14,{8000,8500,9000,10000,12000},{0,1532,1032,408,408}),IF($O14="Ｂ",LOOKUP($D14,{8000,8500,9000,10000,12000},{782,2814,2814,2814,2814}),IF($O14="Ｃ",LOOKUP($D14,{8000,8500,9000,10000,12000},{3188,5220,5220,5220,5220}),0))))</f>
      </c>
      <c r="R14" s="632"/>
      <c r="S14" s="202"/>
      <c r="T14" s="543">
        <f>IF($H14="","",IF($R14="Ａ",LOOKUP($D14,{8000,8500,9000,10000,12000},{0,1532,1032,408,408}),IF($R14="Ｂ",LOOKUP($D14,{8000,8500,9000,10000,12000},{782,2814,2814,2814,2814}),IF($R14="Ｃ",LOOKUP($D14,{8000,8500,9000,10000,12000},{3188,5220,5220,5220,5220}),0))))</f>
      </c>
      <c r="U14" s="413">
        <f t="shared" si="9"/>
      </c>
      <c r="V14" s="540">
        <f>IF(B14="","",SUMIF('6-3_調整額内訳③(旧・旧制度)'!B:B,$B14,'6-3_調整額内訳③(旧・旧制度)'!AF:AF))</f>
      </c>
      <c r="W14" s="530">
        <f t="shared" si="10"/>
      </c>
      <c r="X14" s="598">
        <f t="shared" si="11"/>
      </c>
      <c r="Y14" s="599">
        <f t="shared" si="12"/>
      </c>
      <c r="Z14" s="570"/>
      <c r="AA14" s="413">
        <f t="shared" si="0"/>
      </c>
      <c r="AB14" s="570"/>
      <c r="AC14" s="411" t="str">
        <f t="shared" si="1"/>
        <v>0</v>
      </c>
      <c r="AD14" s="413">
        <f t="shared" si="13"/>
        <v>0</v>
      </c>
      <c r="AE14" s="672"/>
      <c r="AF14" s="411">
        <f t="shared" si="14"/>
      </c>
      <c r="AG14" s="603">
        <f t="shared" si="15"/>
      </c>
      <c r="AH14" s="850"/>
      <c r="AI14" s="850"/>
      <c r="AJ14" s="851"/>
      <c r="AL14" s="60">
        <f t="shared" si="2"/>
      </c>
      <c r="AM14" s="60">
        <f t="shared" si="3"/>
      </c>
    </row>
    <row r="15" spans="1:39" s="53" customFormat="1" ht="18.75" customHeight="1">
      <c r="A15" s="181">
        <f t="shared" si="4"/>
      </c>
      <c r="B15" s="581"/>
      <c r="C15" s="56"/>
      <c r="D15" s="466"/>
      <c r="E15" s="238"/>
      <c r="F15" s="202"/>
      <c r="G15" s="191">
        <f t="shared" si="5"/>
      </c>
      <c r="H15" s="643">
        <f t="shared" si="6"/>
      </c>
      <c r="I15" s="521"/>
      <c r="J15" s="635"/>
      <c r="K15" s="553"/>
      <c r="L15" s="109"/>
      <c r="M15" s="404">
        <f t="shared" si="7"/>
      </c>
      <c r="N15" s="549">
        <f t="shared" si="8"/>
      </c>
      <c r="O15" s="639"/>
      <c r="P15" s="194"/>
      <c r="Q15" s="543">
        <f>IF($H15="","",IF($O15="Ａ",LOOKUP($D15,{8000,8500,9000,10000,12000},{0,1532,1032,408,408}),IF($O15="Ｂ",LOOKUP($D15,{8000,8500,9000,10000,12000},{782,2814,2814,2814,2814}),IF($O15="Ｃ",LOOKUP($D15,{8000,8500,9000,10000,12000},{3188,5220,5220,5220,5220}),0))))</f>
      </c>
      <c r="R15" s="632"/>
      <c r="S15" s="202"/>
      <c r="T15" s="543">
        <f>IF($H15="","",IF($R15="Ａ",LOOKUP($D15,{8000,8500,9000,10000,12000},{0,1532,1032,408,408}),IF($R15="Ｂ",LOOKUP($D15,{8000,8500,9000,10000,12000},{782,2814,2814,2814,2814}),IF($R15="Ｃ",LOOKUP($D15,{8000,8500,9000,10000,12000},{3188,5220,5220,5220,5220}),0))))</f>
      </c>
      <c r="U15" s="413">
        <f t="shared" si="9"/>
      </c>
      <c r="V15" s="540">
        <f>IF(B15="","",SUMIF('6-3_調整額内訳③(旧・旧制度)'!B:B,$B15,'6-3_調整額内訳③(旧・旧制度)'!AF:AF))</f>
      </c>
      <c r="W15" s="530">
        <f t="shared" si="10"/>
      </c>
      <c r="X15" s="598">
        <f t="shared" si="11"/>
      </c>
      <c r="Y15" s="599">
        <f t="shared" si="12"/>
      </c>
      <c r="Z15" s="570"/>
      <c r="AA15" s="413">
        <f t="shared" si="0"/>
      </c>
      <c r="AB15" s="570"/>
      <c r="AC15" s="411" t="str">
        <f t="shared" si="1"/>
        <v>0</v>
      </c>
      <c r="AD15" s="413">
        <f t="shared" si="13"/>
        <v>0</v>
      </c>
      <c r="AE15" s="672"/>
      <c r="AF15" s="411">
        <f t="shared" si="14"/>
      </c>
      <c r="AG15" s="603">
        <f t="shared" si="15"/>
      </c>
      <c r="AH15" s="850"/>
      <c r="AI15" s="850"/>
      <c r="AJ15" s="851"/>
      <c r="AL15" s="60">
        <f t="shared" si="2"/>
      </c>
      <c r="AM15" s="60">
        <f t="shared" si="3"/>
      </c>
    </row>
    <row r="16" spans="1:39" s="53" customFormat="1" ht="18.75" customHeight="1">
      <c r="A16" s="181">
        <f t="shared" si="4"/>
      </c>
      <c r="B16" s="581"/>
      <c r="C16" s="56"/>
      <c r="D16" s="466"/>
      <c r="E16" s="238"/>
      <c r="F16" s="202"/>
      <c r="G16" s="191">
        <f t="shared" si="5"/>
      </c>
      <c r="H16" s="643">
        <f t="shared" si="6"/>
      </c>
      <c r="I16" s="521"/>
      <c r="J16" s="635"/>
      <c r="K16" s="553"/>
      <c r="L16" s="109"/>
      <c r="M16" s="404">
        <f t="shared" si="7"/>
      </c>
      <c r="N16" s="549">
        <f t="shared" si="8"/>
      </c>
      <c r="O16" s="639"/>
      <c r="P16" s="194"/>
      <c r="Q16" s="543">
        <f>IF($H16="","",IF($O16="Ａ",LOOKUP($D16,{8000,8500,9000,10000,12000},{0,1532,1032,408,408}),IF($O16="Ｂ",LOOKUP($D16,{8000,8500,9000,10000,12000},{782,2814,2814,2814,2814}),IF($O16="Ｃ",LOOKUP($D16,{8000,8500,9000,10000,12000},{3188,5220,5220,5220,5220}),0))))</f>
      </c>
      <c r="R16" s="632"/>
      <c r="S16" s="202"/>
      <c r="T16" s="543">
        <f>IF($H16="","",IF($R16="Ａ",LOOKUP($D16,{8000,8500,9000,10000,12000},{0,1532,1032,408,408}),IF($R16="Ｂ",LOOKUP($D16,{8000,8500,9000,10000,12000},{782,2814,2814,2814,2814}),IF($R16="Ｃ",LOOKUP($D16,{8000,8500,9000,10000,12000},{3188,5220,5220,5220,5220}),0))))</f>
      </c>
      <c r="U16" s="413">
        <f t="shared" si="9"/>
      </c>
      <c r="V16" s="540">
        <f>IF(B16="","",SUMIF('6-3_調整額内訳③(旧・旧制度)'!B:B,$B16,'6-3_調整額内訳③(旧・旧制度)'!AF:AF))</f>
      </c>
      <c r="W16" s="530">
        <f t="shared" si="10"/>
      </c>
      <c r="X16" s="598">
        <f t="shared" si="11"/>
      </c>
      <c r="Y16" s="599">
        <f t="shared" si="12"/>
      </c>
      <c r="Z16" s="570"/>
      <c r="AA16" s="413">
        <f t="shared" si="0"/>
      </c>
      <c r="AB16" s="570"/>
      <c r="AC16" s="411" t="str">
        <f t="shared" si="1"/>
        <v>0</v>
      </c>
      <c r="AD16" s="413">
        <f t="shared" si="13"/>
        <v>0</v>
      </c>
      <c r="AE16" s="672"/>
      <c r="AF16" s="411">
        <f t="shared" si="14"/>
      </c>
      <c r="AG16" s="603">
        <f t="shared" si="15"/>
      </c>
      <c r="AH16" s="850"/>
      <c r="AI16" s="850"/>
      <c r="AJ16" s="851"/>
      <c r="AL16" s="60">
        <f t="shared" si="2"/>
      </c>
      <c r="AM16" s="60">
        <f t="shared" si="3"/>
      </c>
    </row>
    <row r="17" spans="1:39" s="53" customFormat="1" ht="18.75" customHeight="1">
      <c r="A17" s="181">
        <f t="shared" si="4"/>
      </c>
      <c r="B17" s="581"/>
      <c r="C17" s="56"/>
      <c r="D17" s="466"/>
      <c r="E17" s="238"/>
      <c r="F17" s="202"/>
      <c r="G17" s="191">
        <f t="shared" si="5"/>
      </c>
      <c r="H17" s="643">
        <f t="shared" si="6"/>
      </c>
      <c r="I17" s="521"/>
      <c r="J17" s="635"/>
      <c r="K17" s="553"/>
      <c r="L17" s="109"/>
      <c r="M17" s="404">
        <f t="shared" si="7"/>
      </c>
      <c r="N17" s="549">
        <f t="shared" si="8"/>
      </c>
      <c r="O17" s="639"/>
      <c r="P17" s="194"/>
      <c r="Q17" s="543">
        <f>IF($H17="","",IF($O17="Ａ",LOOKUP($D17,{8000,8500,9000,10000,12000},{0,1532,1032,408,408}),IF($O17="Ｂ",LOOKUP($D17,{8000,8500,9000,10000,12000},{782,2814,2814,2814,2814}),IF($O17="Ｃ",LOOKUP($D17,{8000,8500,9000,10000,12000},{3188,5220,5220,5220,5220}),0))))</f>
      </c>
      <c r="R17" s="632"/>
      <c r="S17" s="202"/>
      <c r="T17" s="543">
        <f>IF($H17="","",IF($R17="Ａ",LOOKUP($D17,{8000,8500,9000,10000,12000},{0,1532,1032,408,408}),IF($R17="Ｂ",LOOKUP($D17,{8000,8500,9000,10000,12000},{782,2814,2814,2814,2814}),IF($R17="Ｃ",LOOKUP($D17,{8000,8500,9000,10000,12000},{3188,5220,5220,5220,5220}),0))))</f>
      </c>
      <c r="U17" s="413">
        <f t="shared" si="9"/>
      </c>
      <c r="V17" s="540">
        <f>IF(B17="","",SUMIF('6-3_調整額内訳③(旧・旧制度)'!B:B,$B17,'6-3_調整額内訳③(旧・旧制度)'!AF:AF))</f>
      </c>
      <c r="W17" s="530">
        <f t="shared" si="10"/>
      </c>
      <c r="X17" s="598">
        <f t="shared" si="11"/>
      </c>
      <c r="Y17" s="599">
        <f t="shared" si="12"/>
      </c>
      <c r="Z17" s="570"/>
      <c r="AA17" s="413">
        <f t="shared" si="0"/>
      </c>
      <c r="AB17" s="570"/>
      <c r="AC17" s="411" t="str">
        <f t="shared" si="1"/>
        <v>0</v>
      </c>
      <c r="AD17" s="413">
        <f t="shared" si="13"/>
        <v>0</v>
      </c>
      <c r="AE17" s="672"/>
      <c r="AF17" s="411">
        <f t="shared" si="14"/>
      </c>
      <c r="AG17" s="603">
        <f t="shared" si="15"/>
      </c>
      <c r="AH17" s="850"/>
      <c r="AI17" s="850"/>
      <c r="AJ17" s="851"/>
      <c r="AL17" s="60">
        <f t="shared" si="2"/>
      </c>
      <c r="AM17" s="60">
        <f t="shared" si="3"/>
      </c>
    </row>
    <row r="18" spans="1:39" s="53" customFormat="1" ht="18.75" customHeight="1">
      <c r="A18" s="181">
        <f t="shared" si="4"/>
      </c>
      <c r="B18" s="581"/>
      <c r="C18" s="56"/>
      <c r="D18" s="466"/>
      <c r="E18" s="238"/>
      <c r="F18" s="202"/>
      <c r="G18" s="191">
        <f t="shared" si="5"/>
      </c>
      <c r="H18" s="643">
        <f t="shared" si="6"/>
      </c>
      <c r="I18" s="521"/>
      <c r="J18" s="635"/>
      <c r="K18" s="553"/>
      <c r="L18" s="109"/>
      <c r="M18" s="404">
        <f t="shared" si="7"/>
      </c>
      <c r="N18" s="549">
        <f t="shared" si="8"/>
      </c>
      <c r="O18" s="639"/>
      <c r="P18" s="194"/>
      <c r="Q18" s="543">
        <f>IF($H18="","",IF($O18="Ａ",LOOKUP($D18,{8000,8500,9000,10000,12000},{0,1532,1032,408,408}),IF($O18="Ｂ",LOOKUP($D18,{8000,8500,9000,10000,12000},{782,2814,2814,2814,2814}),IF($O18="Ｃ",LOOKUP($D18,{8000,8500,9000,10000,12000},{3188,5220,5220,5220,5220}),0))))</f>
      </c>
      <c r="R18" s="632"/>
      <c r="S18" s="202"/>
      <c r="T18" s="543">
        <f>IF($H18="","",IF($R18="Ａ",LOOKUP($D18,{8000,8500,9000,10000,12000},{0,1532,1032,408,408}),IF($R18="Ｂ",LOOKUP($D18,{8000,8500,9000,10000,12000},{782,2814,2814,2814,2814}),IF($R18="Ｃ",LOOKUP($D18,{8000,8500,9000,10000,12000},{3188,5220,5220,5220,5220}),0))))</f>
      </c>
      <c r="U18" s="413">
        <f t="shared" si="9"/>
      </c>
      <c r="V18" s="540">
        <f>IF(B18="","",SUMIF('6-3_調整額内訳③(旧・旧制度)'!B:B,$B18,'6-3_調整額内訳③(旧・旧制度)'!AF:AF))</f>
      </c>
      <c r="W18" s="530">
        <f t="shared" si="10"/>
      </c>
      <c r="X18" s="598">
        <f t="shared" si="11"/>
      </c>
      <c r="Y18" s="599">
        <f t="shared" si="12"/>
      </c>
      <c r="Z18" s="570"/>
      <c r="AA18" s="413">
        <f t="shared" si="0"/>
      </c>
      <c r="AB18" s="570"/>
      <c r="AC18" s="411" t="str">
        <f t="shared" si="1"/>
        <v>0</v>
      </c>
      <c r="AD18" s="413">
        <f t="shared" si="13"/>
        <v>0</v>
      </c>
      <c r="AE18" s="672"/>
      <c r="AF18" s="411">
        <f t="shared" si="14"/>
      </c>
      <c r="AG18" s="603">
        <f t="shared" si="15"/>
      </c>
      <c r="AH18" s="850"/>
      <c r="AI18" s="850"/>
      <c r="AJ18" s="851"/>
      <c r="AL18" s="60">
        <f t="shared" si="2"/>
      </c>
      <c r="AM18" s="60">
        <f t="shared" si="3"/>
      </c>
    </row>
    <row r="19" spans="1:39" s="53" customFormat="1" ht="18.75" customHeight="1">
      <c r="A19" s="181">
        <f t="shared" si="4"/>
      </c>
      <c r="B19" s="581"/>
      <c r="C19" s="56"/>
      <c r="D19" s="466"/>
      <c r="E19" s="238"/>
      <c r="F19" s="202"/>
      <c r="G19" s="191">
        <f t="shared" si="5"/>
      </c>
      <c r="H19" s="643">
        <f t="shared" si="6"/>
      </c>
      <c r="I19" s="521"/>
      <c r="J19" s="635"/>
      <c r="K19" s="553"/>
      <c r="L19" s="109"/>
      <c r="M19" s="404">
        <f t="shared" si="7"/>
      </c>
      <c r="N19" s="549">
        <f t="shared" si="8"/>
      </c>
      <c r="O19" s="639"/>
      <c r="P19" s="194"/>
      <c r="Q19" s="543">
        <f>IF($H19="","",IF($O19="Ａ",LOOKUP($D19,{8000,8500,9000,10000,12000},{0,1532,1032,408,408}),IF($O19="Ｂ",LOOKUP($D19,{8000,8500,9000,10000,12000},{782,2814,2814,2814,2814}),IF($O19="Ｃ",LOOKUP($D19,{8000,8500,9000,10000,12000},{3188,5220,5220,5220,5220}),0))))</f>
      </c>
      <c r="R19" s="632"/>
      <c r="S19" s="202"/>
      <c r="T19" s="543">
        <f>IF($H19="","",IF($R19="Ａ",LOOKUP($D19,{8000,8500,9000,10000,12000},{0,1532,1032,408,408}),IF($R19="Ｂ",LOOKUP($D19,{8000,8500,9000,10000,12000},{782,2814,2814,2814,2814}),IF($R19="Ｃ",LOOKUP($D19,{8000,8500,9000,10000,12000},{3188,5220,5220,5220,5220}),0))))</f>
      </c>
      <c r="U19" s="413">
        <f t="shared" si="9"/>
      </c>
      <c r="V19" s="540">
        <f>IF(B19="","",SUMIF('6-3_調整額内訳③(旧・旧制度)'!B:B,$B19,'6-3_調整額内訳③(旧・旧制度)'!AF:AF))</f>
      </c>
      <c r="W19" s="530">
        <f t="shared" si="10"/>
      </c>
      <c r="X19" s="598">
        <f t="shared" si="11"/>
      </c>
      <c r="Y19" s="599">
        <f t="shared" si="12"/>
      </c>
      <c r="Z19" s="570"/>
      <c r="AA19" s="413">
        <f t="shared" si="0"/>
      </c>
      <c r="AB19" s="570"/>
      <c r="AC19" s="411" t="str">
        <f t="shared" si="1"/>
        <v>0</v>
      </c>
      <c r="AD19" s="413">
        <f t="shared" si="13"/>
        <v>0</v>
      </c>
      <c r="AE19" s="672"/>
      <c r="AF19" s="411">
        <f t="shared" si="14"/>
      </c>
      <c r="AG19" s="603">
        <f t="shared" si="15"/>
      </c>
      <c r="AH19" s="850"/>
      <c r="AI19" s="850"/>
      <c r="AJ19" s="851"/>
      <c r="AL19" s="60">
        <f t="shared" si="2"/>
      </c>
      <c r="AM19" s="60">
        <f t="shared" si="3"/>
      </c>
    </row>
    <row r="20" spans="1:39" s="53" customFormat="1" ht="18.75" customHeight="1">
      <c r="A20" s="181">
        <f t="shared" si="4"/>
      </c>
      <c r="B20" s="581"/>
      <c r="C20" s="56"/>
      <c r="D20" s="466"/>
      <c r="E20" s="238"/>
      <c r="F20" s="202"/>
      <c r="G20" s="191">
        <f t="shared" si="5"/>
      </c>
      <c r="H20" s="643">
        <f t="shared" si="6"/>
      </c>
      <c r="I20" s="521"/>
      <c r="J20" s="635"/>
      <c r="K20" s="553"/>
      <c r="L20" s="109"/>
      <c r="M20" s="404">
        <f t="shared" si="7"/>
      </c>
      <c r="N20" s="549">
        <f t="shared" si="8"/>
      </c>
      <c r="O20" s="639"/>
      <c r="P20" s="194"/>
      <c r="Q20" s="543">
        <f>IF($H20="","",IF($O20="Ａ",LOOKUP($D20,{8000,8500,9000,10000,12000},{0,1532,1032,408,408}),IF($O20="Ｂ",LOOKUP($D20,{8000,8500,9000,10000,12000},{782,2814,2814,2814,2814}),IF($O20="Ｃ",LOOKUP($D20,{8000,8500,9000,10000,12000},{3188,5220,5220,5220,5220}),0))))</f>
      </c>
      <c r="R20" s="632"/>
      <c r="S20" s="202"/>
      <c r="T20" s="543">
        <f>IF($H20="","",IF($R20="Ａ",LOOKUP($D20,{8000,8500,9000,10000,12000},{0,1532,1032,408,408}),IF($R20="Ｂ",LOOKUP($D20,{8000,8500,9000,10000,12000},{782,2814,2814,2814,2814}),IF($R20="Ｃ",LOOKUP($D20,{8000,8500,9000,10000,12000},{3188,5220,5220,5220,5220}),0))))</f>
      </c>
      <c r="U20" s="413">
        <f t="shared" si="9"/>
      </c>
      <c r="V20" s="540">
        <f>IF(B20="","",SUMIF('6-3_調整額内訳③(旧・旧制度)'!B:B,$B20,'6-3_調整額内訳③(旧・旧制度)'!AF:AF))</f>
      </c>
      <c r="W20" s="530">
        <f t="shared" si="10"/>
      </c>
      <c r="X20" s="598">
        <f t="shared" si="11"/>
      </c>
      <c r="Y20" s="599">
        <f t="shared" si="12"/>
      </c>
      <c r="Z20" s="570"/>
      <c r="AA20" s="413">
        <f t="shared" si="0"/>
      </c>
      <c r="AB20" s="570"/>
      <c r="AC20" s="411" t="str">
        <f t="shared" si="1"/>
        <v>0</v>
      </c>
      <c r="AD20" s="413">
        <f t="shared" si="13"/>
        <v>0</v>
      </c>
      <c r="AE20" s="672"/>
      <c r="AF20" s="411">
        <f t="shared" si="14"/>
      </c>
      <c r="AG20" s="603">
        <f t="shared" si="15"/>
      </c>
      <c r="AH20" s="850"/>
      <c r="AI20" s="850"/>
      <c r="AJ20" s="851"/>
      <c r="AL20" s="60">
        <f t="shared" si="2"/>
      </c>
      <c r="AM20" s="60">
        <f t="shared" si="3"/>
      </c>
    </row>
    <row r="21" spans="1:39" s="53" customFormat="1" ht="18.75" customHeight="1">
      <c r="A21" s="181">
        <f t="shared" si="4"/>
      </c>
      <c r="B21" s="581"/>
      <c r="C21" s="56"/>
      <c r="D21" s="466"/>
      <c r="E21" s="238"/>
      <c r="F21" s="202"/>
      <c r="G21" s="191">
        <f t="shared" si="5"/>
      </c>
      <c r="H21" s="643">
        <f t="shared" si="6"/>
      </c>
      <c r="I21" s="521"/>
      <c r="J21" s="635"/>
      <c r="K21" s="553"/>
      <c r="L21" s="109"/>
      <c r="M21" s="404">
        <f t="shared" si="7"/>
      </c>
      <c r="N21" s="549">
        <f t="shared" si="8"/>
      </c>
      <c r="O21" s="639"/>
      <c r="P21" s="194"/>
      <c r="Q21" s="543">
        <f>IF($H21="","",IF($O21="Ａ",LOOKUP($D21,{8000,8500,9000,10000,12000},{0,1532,1032,408,408}),IF($O21="Ｂ",LOOKUP($D21,{8000,8500,9000,10000,12000},{782,2814,2814,2814,2814}),IF($O21="Ｃ",LOOKUP($D21,{8000,8500,9000,10000,12000},{3188,5220,5220,5220,5220}),0))))</f>
      </c>
      <c r="R21" s="632"/>
      <c r="S21" s="202"/>
      <c r="T21" s="543">
        <f>IF($H21="","",IF($R21="Ａ",LOOKUP($D21,{8000,8500,9000,10000,12000},{0,1532,1032,408,408}),IF($R21="Ｂ",LOOKUP($D21,{8000,8500,9000,10000,12000},{782,2814,2814,2814,2814}),IF($R21="Ｃ",LOOKUP($D21,{8000,8500,9000,10000,12000},{3188,5220,5220,5220,5220}),0))))</f>
      </c>
      <c r="U21" s="413">
        <f t="shared" si="9"/>
      </c>
      <c r="V21" s="540">
        <f>IF(B21="","",SUMIF('6-3_調整額内訳③(旧・旧制度)'!B:B,$B21,'6-3_調整額内訳③(旧・旧制度)'!AF:AF))</f>
      </c>
      <c r="W21" s="530">
        <f t="shared" si="10"/>
      </c>
      <c r="X21" s="598">
        <f t="shared" si="11"/>
      </c>
      <c r="Y21" s="599">
        <f t="shared" si="12"/>
      </c>
      <c r="Z21" s="570"/>
      <c r="AA21" s="413">
        <f t="shared" si="0"/>
      </c>
      <c r="AB21" s="570"/>
      <c r="AC21" s="411" t="str">
        <f t="shared" si="1"/>
        <v>0</v>
      </c>
      <c r="AD21" s="413">
        <f t="shared" si="13"/>
        <v>0</v>
      </c>
      <c r="AE21" s="672"/>
      <c r="AF21" s="411">
        <f t="shared" si="14"/>
      </c>
      <c r="AG21" s="603">
        <f t="shared" si="15"/>
      </c>
      <c r="AH21" s="850"/>
      <c r="AI21" s="850"/>
      <c r="AJ21" s="851"/>
      <c r="AL21" s="60">
        <f t="shared" si="2"/>
      </c>
      <c r="AM21" s="60">
        <f t="shared" si="3"/>
      </c>
    </row>
    <row r="22" spans="1:39" s="53" customFormat="1" ht="18.75" customHeight="1">
      <c r="A22" s="181">
        <f t="shared" si="4"/>
      </c>
      <c r="B22" s="581"/>
      <c r="C22" s="56"/>
      <c r="D22" s="466"/>
      <c r="E22" s="238"/>
      <c r="F22" s="202"/>
      <c r="G22" s="191">
        <f t="shared" si="5"/>
      </c>
      <c r="H22" s="643">
        <f t="shared" si="6"/>
      </c>
      <c r="I22" s="521"/>
      <c r="J22" s="635"/>
      <c r="K22" s="553"/>
      <c r="L22" s="109"/>
      <c r="M22" s="404">
        <f t="shared" si="7"/>
      </c>
      <c r="N22" s="549">
        <f t="shared" si="8"/>
      </c>
      <c r="O22" s="639"/>
      <c r="P22" s="194"/>
      <c r="Q22" s="543">
        <f>IF($H22="","",IF($O22="Ａ",LOOKUP($D22,{8000,8500,9000,10000,12000},{0,1532,1032,408,408}),IF($O22="Ｂ",LOOKUP($D22,{8000,8500,9000,10000,12000},{782,2814,2814,2814,2814}),IF($O22="Ｃ",LOOKUP($D22,{8000,8500,9000,10000,12000},{3188,5220,5220,5220,5220}),0))))</f>
      </c>
      <c r="R22" s="632"/>
      <c r="S22" s="202"/>
      <c r="T22" s="543">
        <f>IF($H22="","",IF($R22="Ａ",LOOKUP($D22,{8000,8500,9000,10000,12000},{0,1532,1032,408,408}),IF($R22="Ｂ",LOOKUP($D22,{8000,8500,9000,10000,12000},{782,2814,2814,2814,2814}),IF($R22="Ｃ",LOOKUP($D22,{8000,8500,9000,10000,12000},{3188,5220,5220,5220,5220}),0))))</f>
      </c>
      <c r="U22" s="413">
        <f t="shared" si="9"/>
      </c>
      <c r="V22" s="540">
        <f>IF(B22="","",SUMIF('6-3_調整額内訳③(旧・旧制度)'!B:B,$B22,'6-3_調整額内訳③(旧・旧制度)'!AF:AF))</f>
      </c>
      <c r="W22" s="530">
        <f t="shared" si="10"/>
      </c>
      <c r="X22" s="598">
        <f t="shared" si="11"/>
      </c>
      <c r="Y22" s="599">
        <f t="shared" si="12"/>
      </c>
      <c r="Z22" s="570"/>
      <c r="AA22" s="413">
        <f t="shared" si="0"/>
      </c>
      <c r="AB22" s="570"/>
      <c r="AC22" s="411" t="str">
        <f t="shared" si="1"/>
        <v>0</v>
      </c>
      <c r="AD22" s="413">
        <f t="shared" si="13"/>
        <v>0</v>
      </c>
      <c r="AE22" s="672"/>
      <c r="AF22" s="411">
        <f t="shared" si="14"/>
      </c>
      <c r="AG22" s="603">
        <f t="shared" si="15"/>
      </c>
      <c r="AH22" s="850"/>
      <c r="AI22" s="850"/>
      <c r="AJ22" s="851"/>
      <c r="AL22" s="60">
        <f t="shared" si="2"/>
      </c>
      <c r="AM22" s="60">
        <f t="shared" si="3"/>
      </c>
    </row>
    <row r="23" spans="1:39" s="53" customFormat="1" ht="18.75" customHeight="1">
      <c r="A23" s="181">
        <f t="shared" si="4"/>
      </c>
      <c r="B23" s="581"/>
      <c r="C23" s="56"/>
      <c r="D23" s="466"/>
      <c r="E23" s="238"/>
      <c r="F23" s="202"/>
      <c r="G23" s="191">
        <f t="shared" si="5"/>
      </c>
      <c r="H23" s="643">
        <f t="shared" si="6"/>
      </c>
      <c r="I23" s="521"/>
      <c r="J23" s="635"/>
      <c r="K23" s="553"/>
      <c r="L23" s="109"/>
      <c r="M23" s="404">
        <f t="shared" si="7"/>
      </c>
      <c r="N23" s="549">
        <f t="shared" si="8"/>
      </c>
      <c r="O23" s="639"/>
      <c r="P23" s="194"/>
      <c r="Q23" s="543">
        <f>IF($H23="","",IF($O23="Ａ",LOOKUP($D23,{8000,8500,9000,10000,12000},{0,1532,1032,408,408}),IF($O23="Ｂ",LOOKUP($D23,{8000,8500,9000,10000,12000},{782,2814,2814,2814,2814}),IF($O23="Ｃ",LOOKUP($D23,{8000,8500,9000,10000,12000},{3188,5220,5220,5220,5220}),0))))</f>
      </c>
      <c r="R23" s="632"/>
      <c r="S23" s="202"/>
      <c r="T23" s="543">
        <f>IF($H23="","",IF($R23="Ａ",LOOKUP($D23,{8000,8500,9000,10000,12000},{0,1532,1032,408,408}),IF($R23="Ｂ",LOOKUP($D23,{8000,8500,9000,10000,12000},{782,2814,2814,2814,2814}),IF($R23="Ｃ",LOOKUP($D23,{8000,8500,9000,10000,12000},{3188,5220,5220,5220,5220}),0))))</f>
      </c>
      <c r="U23" s="413">
        <f t="shared" si="9"/>
      </c>
      <c r="V23" s="540">
        <f>IF(B23="","",SUMIF('6-3_調整額内訳③(旧・旧制度)'!B:B,$B23,'6-3_調整額内訳③(旧・旧制度)'!AF:AF))</f>
      </c>
      <c r="W23" s="530">
        <f t="shared" si="10"/>
      </c>
      <c r="X23" s="598">
        <f t="shared" si="11"/>
      </c>
      <c r="Y23" s="599">
        <f t="shared" si="12"/>
      </c>
      <c r="Z23" s="570"/>
      <c r="AA23" s="413">
        <f t="shared" si="0"/>
      </c>
      <c r="AB23" s="570"/>
      <c r="AC23" s="411" t="str">
        <f t="shared" si="1"/>
        <v>0</v>
      </c>
      <c r="AD23" s="413">
        <f t="shared" si="13"/>
        <v>0</v>
      </c>
      <c r="AE23" s="672"/>
      <c r="AF23" s="411">
        <f t="shared" si="14"/>
      </c>
      <c r="AG23" s="603">
        <f t="shared" si="15"/>
      </c>
      <c r="AH23" s="850"/>
      <c r="AI23" s="850"/>
      <c r="AJ23" s="851"/>
      <c r="AL23" s="60">
        <f t="shared" si="2"/>
      </c>
      <c r="AM23" s="60">
        <f t="shared" si="3"/>
      </c>
    </row>
    <row r="24" spans="1:39" s="53" customFormat="1" ht="18.75" customHeight="1">
      <c r="A24" s="181">
        <f t="shared" si="4"/>
      </c>
      <c r="B24" s="581"/>
      <c r="C24" s="56"/>
      <c r="D24" s="466"/>
      <c r="E24" s="238"/>
      <c r="F24" s="202"/>
      <c r="G24" s="191">
        <f t="shared" si="5"/>
      </c>
      <c r="H24" s="643">
        <f t="shared" si="6"/>
      </c>
      <c r="I24" s="521"/>
      <c r="J24" s="635"/>
      <c r="K24" s="553"/>
      <c r="L24" s="109"/>
      <c r="M24" s="404">
        <f t="shared" si="7"/>
      </c>
      <c r="N24" s="549">
        <f t="shared" si="8"/>
      </c>
      <c r="O24" s="639"/>
      <c r="P24" s="194"/>
      <c r="Q24" s="543">
        <f>IF($H24="","",IF($O24="Ａ",LOOKUP($D24,{8000,8500,9000,10000,12000},{0,1532,1032,408,408}),IF($O24="Ｂ",LOOKUP($D24,{8000,8500,9000,10000,12000},{782,2814,2814,2814,2814}),IF($O24="Ｃ",LOOKUP($D24,{8000,8500,9000,10000,12000},{3188,5220,5220,5220,5220}),0))))</f>
      </c>
      <c r="R24" s="632"/>
      <c r="S24" s="202"/>
      <c r="T24" s="543">
        <f>IF($H24="","",IF($R24="Ａ",LOOKUP($D24,{8000,8500,9000,10000,12000},{0,1532,1032,408,408}),IF($R24="Ｂ",LOOKUP($D24,{8000,8500,9000,10000,12000},{782,2814,2814,2814,2814}),IF($R24="Ｃ",LOOKUP($D24,{8000,8500,9000,10000,12000},{3188,5220,5220,5220,5220}),0))))</f>
      </c>
      <c r="U24" s="413">
        <f t="shared" si="9"/>
      </c>
      <c r="V24" s="540">
        <f>IF(B24="","",SUMIF('6-3_調整額内訳③(旧・旧制度)'!B:B,$B24,'6-3_調整額内訳③(旧・旧制度)'!AF:AF))</f>
      </c>
      <c r="W24" s="530">
        <f t="shared" si="10"/>
      </c>
      <c r="X24" s="598">
        <f t="shared" si="11"/>
      </c>
      <c r="Y24" s="599">
        <f t="shared" si="12"/>
      </c>
      <c r="Z24" s="570"/>
      <c r="AA24" s="413">
        <f t="shared" si="0"/>
      </c>
      <c r="AB24" s="570"/>
      <c r="AC24" s="411" t="str">
        <f t="shared" si="1"/>
        <v>0</v>
      </c>
      <c r="AD24" s="413">
        <f t="shared" si="13"/>
        <v>0</v>
      </c>
      <c r="AE24" s="672"/>
      <c r="AF24" s="411">
        <f t="shared" si="14"/>
      </c>
      <c r="AG24" s="603">
        <f t="shared" si="15"/>
      </c>
      <c r="AH24" s="850"/>
      <c r="AI24" s="850"/>
      <c r="AJ24" s="851"/>
      <c r="AL24" s="60">
        <f t="shared" si="2"/>
      </c>
      <c r="AM24" s="60">
        <f t="shared" si="3"/>
      </c>
    </row>
    <row r="25" spans="1:39" s="53" customFormat="1" ht="18.75" customHeight="1">
      <c r="A25" s="181">
        <f t="shared" si="4"/>
      </c>
      <c r="B25" s="581"/>
      <c r="C25" s="56"/>
      <c r="D25" s="466"/>
      <c r="E25" s="238"/>
      <c r="F25" s="202"/>
      <c r="G25" s="191">
        <f t="shared" si="5"/>
      </c>
      <c r="H25" s="643">
        <f t="shared" si="6"/>
      </c>
      <c r="I25" s="521"/>
      <c r="J25" s="635"/>
      <c r="K25" s="553"/>
      <c r="L25" s="109"/>
      <c r="M25" s="404">
        <f t="shared" si="7"/>
      </c>
      <c r="N25" s="549">
        <f t="shared" si="8"/>
      </c>
      <c r="O25" s="639"/>
      <c r="P25" s="194"/>
      <c r="Q25" s="543">
        <f>IF($H25="","",IF($O25="Ａ",LOOKUP($D25,{8000,8500,9000,10000,12000},{0,1532,1032,408,408}),IF($O25="Ｂ",LOOKUP($D25,{8000,8500,9000,10000,12000},{782,2814,2814,2814,2814}),IF($O25="Ｃ",LOOKUP($D25,{8000,8500,9000,10000,12000},{3188,5220,5220,5220,5220}),0))))</f>
      </c>
      <c r="R25" s="632"/>
      <c r="S25" s="202"/>
      <c r="T25" s="543">
        <f>IF($H25="","",IF($R25="Ａ",LOOKUP($D25,{8000,8500,9000,10000,12000},{0,1532,1032,408,408}),IF($R25="Ｂ",LOOKUP($D25,{8000,8500,9000,10000,12000},{782,2814,2814,2814,2814}),IF($R25="Ｃ",LOOKUP($D25,{8000,8500,9000,10000,12000},{3188,5220,5220,5220,5220}),0))))</f>
      </c>
      <c r="U25" s="413">
        <f t="shared" si="9"/>
      </c>
      <c r="V25" s="540">
        <f>IF(B25="","",SUMIF('6-3_調整額内訳③(旧・旧制度)'!B:B,$B25,'6-3_調整額内訳③(旧・旧制度)'!AF:AF))</f>
      </c>
      <c r="W25" s="530">
        <f t="shared" si="10"/>
      </c>
      <c r="X25" s="598">
        <f t="shared" si="11"/>
      </c>
      <c r="Y25" s="599">
        <f t="shared" si="12"/>
      </c>
      <c r="Z25" s="570"/>
      <c r="AA25" s="413">
        <f t="shared" si="0"/>
      </c>
      <c r="AB25" s="570"/>
      <c r="AC25" s="411" t="str">
        <f t="shared" si="1"/>
        <v>0</v>
      </c>
      <c r="AD25" s="413">
        <f t="shared" si="13"/>
        <v>0</v>
      </c>
      <c r="AE25" s="672"/>
      <c r="AF25" s="411">
        <f t="shared" si="14"/>
      </c>
      <c r="AG25" s="603">
        <f t="shared" si="15"/>
      </c>
      <c r="AH25" s="850"/>
      <c r="AI25" s="850"/>
      <c r="AJ25" s="851"/>
      <c r="AL25" s="60">
        <f t="shared" si="2"/>
      </c>
      <c r="AM25" s="60">
        <f t="shared" si="3"/>
      </c>
    </row>
    <row r="26" spans="1:39" s="53" customFormat="1" ht="18.75" customHeight="1">
      <c r="A26" s="181">
        <f t="shared" si="4"/>
      </c>
      <c r="B26" s="581"/>
      <c r="C26" s="56"/>
      <c r="D26" s="466"/>
      <c r="E26" s="238"/>
      <c r="F26" s="202"/>
      <c r="G26" s="191">
        <f t="shared" si="5"/>
      </c>
      <c r="H26" s="643">
        <f t="shared" si="6"/>
      </c>
      <c r="I26" s="521"/>
      <c r="J26" s="635"/>
      <c r="K26" s="553"/>
      <c r="L26" s="109"/>
      <c r="M26" s="404">
        <f t="shared" si="7"/>
      </c>
      <c r="N26" s="549">
        <f t="shared" si="8"/>
      </c>
      <c r="O26" s="639"/>
      <c r="P26" s="194"/>
      <c r="Q26" s="543">
        <f>IF($H26="","",IF($O26="Ａ",LOOKUP($D26,{8000,8500,9000,10000,12000},{0,1532,1032,408,408}),IF($O26="Ｂ",LOOKUP($D26,{8000,8500,9000,10000,12000},{782,2814,2814,2814,2814}),IF($O26="Ｃ",LOOKUP($D26,{8000,8500,9000,10000,12000},{3188,5220,5220,5220,5220}),0))))</f>
      </c>
      <c r="R26" s="632"/>
      <c r="S26" s="202"/>
      <c r="T26" s="543">
        <f>IF($H26="","",IF($R26="Ａ",LOOKUP($D26,{8000,8500,9000,10000,12000},{0,1532,1032,408,408}),IF($R26="Ｂ",LOOKUP($D26,{8000,8500,9000,10000,12000},{782,2814,2814,2814,2814}),IF($R26="Ｃ",LOOKUP($D26,{8000,8500,9000,10000,12000},{3188,5220,5220,5220,5220}),0))))</f>
      </c>
      <c r="U26" s="413">
        <f t="shared" si="9"/>
      </c>
      <c r="V26" s="540">
        <f>IF(B26="","",SUMIF('6-3_調整額内訳③(旧・旧制度)'!B:B,$B26,'6-3_調整額内訳③(旧・旧制度)'!AF:AF))</f>
      </c>
      <c r="W26" s="530">
        <f t="shared" si="10"/>
      </c>
      <c r="X26" s="598">
        <f t="shared" si="11"/>
      </c>
      <c r="Y26" s="599">
        <f t="shared" si="12"/>
      </c>
      <c r="Z26" s="570"/>
      <c r="AA26" s="413">
        <f t="shared" si="0"/>
      </c>
      <c r="AB26" s="570"/>
      <c r="AC26" s="411" t="str">
        <f t="shared" si="1"/>
        <v>0</v>
      </c>
      <c r="AD26" s="413">
        <f t="shared" si="13"/>
        <v>0</v>
      </c>
      <c r="AE26" s="672"/>
      <c r="AF26" s="411">
        <f t="shared" si="14"/>
      </c>
      <c r="AG26" s="603">
        <f t="shared" si="15"/>
      </c>
      <c r="AH26" s="850"/>
      <c r="AI26" s="850"/>
      <c r="AJ26" s="851"/>
      <c r="AL26" s="60">
        <f t="shared" si="2"/>
      </c>
      <c r="AM26" s="60">
        <f t="shared" si="3"/>
      </c>
    </row>
    <row r="27" spans="1:39" s="53" customFormat="1" ht="18.75" customHeight="1">
      <c r="A27" s="181">
        <f t="shared" si="4"/>
      </c>
      <c r="B27" s="581"/>
      <c r="C27" s="56"/>
      <c r="D27" s="466"/>
      <c r="E27" s="238"/>
      <c r="F27" s="202"/>
      <c r="G27" s="191">
        <f t="shared" si="5"/>
      </c>
      <c r="H27" s="643">
        <f t="shared" si="6"/>
      </c>
      <c r="I27" s="521"/>
      <c r="J27" s="635"/>
      <c r="K27" s="553"/>
      <c r="L27" s="109"/>
      <c r="M27" s="404">
        <f t="shared" si="7"/>
      </c>
      <c r="N27" s="549">
        <f t="shared" si="8"/>
      </c>
      <c r="O27" s="639"/>
      <c r="P27" s="194"/>
      <c r="Q27" s="543">
        <f>IF($H27="","",IF($O27="Ａ",LOOKUP($D27,{8000,8500,9000,10000,12000},{0,1532,1032,408,408}),IF($O27="Ｂ",LOOKUP($D27,{8000,8500,9000,10000,12000},{782,2814,2814,2814,2814}),IF($O27="Ｃ",LOOKUP($D27,{8000,8500,9000,10000,12000},{3188,5220,5220,5220,5220}),0))))</f>
      </c>
      <c r="R27" s="632"/>
      <c r="S27" s="202"/>
      <c r="T27" s="543">
        <f>IF($H27="","",IF($R27="Ａ",LOOKUP($D27,{8000,8500,9000,10000,12000},{0,1532,1032,408,408}),IF($R27="Ｂ",LOOKUP($D27,{8000,8500,9000,10000,12000},{782,2814,2814,2814,2814}),IF($R27="Ｃ",LOOKUP($D27,{8000,8500,9000,10000,12000},{3188,5220,5220,5220,5220}),0))))</f>
      </c>
      <c r="U27" s="413">
        <f t="shared" si="9"/>
      </c>
      <c r="V27" s="540">
        <f>IF(B27="","",SUMIF('6-3_調整額内訳③(旧・旧制度)'!B:B,$B27,'6-3_調整額内訳③(旧・旧制度)'!AF:AF))</f>
      </c>
      <c r="W27" s="530">
        <f t="shared" si="10"/>
      </c>
      <c r="X27" s="598">
        <f t="shared" si="11"/>
      </c>
      <c r="Y27" s="599">
        <f t="shared" si="12"/>
      </c>
      <c r="Z27" s="570"/>
      <c r="AA27" s="413">
        <f t="shared" si="0"/>
      </c>
      <c r="AB27" s="570"/>
      <c r="AC27" s="411" t="str">
        <f t="shared" si="1"/>
        <v>0</v>
      </c>
      <c r="AD27" s="413">
        <f t="shared" si="13"/>
        <v>0</v>
      </c>
      <c r="AE27" s="672"/>
      <c r="AF27" s="411">
        <f t="shared" si="14"/>
      </c>
      <c r="AG27" s="603">
        <f t="shared" si="15"/>
      </c>
      <c r="AH27" s="850"/>
      <c r="AI27" s="850"/>
      <c r="AJ27" s="851"/>
      <c r="AL27" s="60">
        <f t="shared" si="2"/>
      </c>
      <c r="AM27" s="60">
        <f t="shared" si="3"/>
      </c>
    </row>
    <row r="28" spans="1:39" s="53" customFormat="1" ht="18.75" customHeight="1">
      <c r="A28" s="181">
        <f t="shared" si="4"/>
      </c>
      <c r="B28" s="581"/>
      <c r="C28" s="56"/>
      <c r="D28" s="466"/>
      <c r="E28" s="238"/>
      <c r="F28" s="202"/>
      <c r="G28" s="191">
        <f t="shared" si="5"/>
      </c>
      <c r="H28" s="643">
        <f t="shared" si="6"/>
      </c>
      <c r="I28" s="521"/>
      <c r="J28" s="635"/>
      <c r="K28" s="553"/>
      <c r="L28" s="109"/>
      <c r="M28" s="404">
        <f t="shared" si="7"/>
      </c>
      <c r="N28" s="549">
        <f t="shared" si="8"/>
      </c>
      <c r="O28" s="639"/>
      <c r="P28" s="194"/>
      <c r="Q28" s="543">
        <f>IF($H28="","",IF($O28="Ａ",LOOKUP($D28,{8000,8500,9000,10000,12000},{0,1532,1032,408,408}),IF($O28="Ｂ",LOOKUP($D28,{8000,8500,9000,10000,12000},{782,2814,2814,2814,2814}),IF($O28="Ｃ",LOOKUP($D28,{8000,8500,9000,10000,12000},{3188,5220,5220,5220,5220}),0))))</f>
      </c>
      <c r="R28" s="632"/>
      <c r="S28" s="202"/>
      <c r="T28" s="543">
        <f>IF($H28="","",IF($R28="Ａ",LOOKUP($D28,{8000,8500,9000,10000,12000},{0,1532,1032,408,408}),IF($R28="Ｂ",LOOKUP($D28,{8000,8500,9000,10000,12000},{782,2814,2814,2814,2814}),IF($R28="Ｃ",LOOKUP($D28,{8000,8500,9000,10000,12000},{3188,5220,5220,5220,5220}),0))))</f>
      </c>
      <c r="U28" s="413">
        <f t="shared" si="9"/>
      </c>
      <c r="V28" s="540">
        <f>IF(B28="","",SUMIF('6-3_調整額内訳③(旧・旧制度)'!B:B,$B28,'6-3_調整額内訳③(旧・旧制度)'!AF:AF))</f>
      </c>
      <c r="W28" s="530">
        <f t="shared" si="10"/>
      </c>
      <c r="X28" s="598">
        <f t="shared" si="11"/>
      </c>
      <c r="Y28" s="599">
        <f t="shared" si="12"/>
      </c>
      <c r="Z28" s="570"/>
      <c r="AA28" s="413">
        <f t="shared" si="0"/>
      </c>
      <c r="AB28" s="570"/>
      <c r="AC28" s="411" t="str">
        <f t="shared" si="1"/>
        <v>0</v>
      </c>
      <c r="AD28" s="413">
        <f t="shared" si="13"/>
        <v>0</v>
      </c>
      <c r="AE28" s="672"/>
      <c r="AF28" s="411">
        <f t="shared" si="14"/>
      </c>
      <c r="AG28" s="603">
        <f t="shared" si="15"/>
      </c>
      <c r="AH28" s="850"/>
      <c r="AI28" s="850"/>
      <c r="AJ28" s="851"/>
      <c r="AL28" s="60">
        <f t="shared" si="2"/>
      </c>
      <c r="AM28" s="60">
        <f t="shared" si="3"/>
      </c>
    </row>
    <row r="29" spans="1:39" s="53" customFormat="1" ht="18.75" customHeight="1">
      <c r="A29" s="181">
        <f t="shared" si="4"/>
      </c>
      <c r="B29" s="581"/>
      <c r="C29" s="56"/>
      <c r="D29" s="466"/>
      <c r="E29" s="238"/>
      <c r="F29" s="202"/>
      <c r="G29" s="191">
        <f t="shared" si="5"/>
      </c>
      <c r="H29" s="643">
        <f t="shared" si="6"/>
      </c>
      <c r="I29" s="521"/>
      <c r="J29" s="635"/>
      <c r="K29" s="553"/>
      <c r="L29" s="109"/>
      <c r="M29" s="404">
        <f t="shared" si="7"/>
      </c>
      <c r="N29" s="549">
        <f t="shared" si="8"/>
      </c>
      <c r="O29" s="639"/>
      <c r="P29" s="194"/>
      <c r="Q29" s="543">
        <f>IF($H29="","",IF($O29="Ａ",LOOKUP($D29,{8000,8500,9000,10000,12000},{0,1532,1032,408,408}),IF($O29="Ｂ",LOOKUP($D29,{8000,8500,9000,10000,12000},{782,2814,2814,2814,2814}),IF($O29="Ｃ",LOOKUP($D29,{8000,8500,9000,10000,12000},{3188,5220,5220,5220,5220}),0))))</f>
      </c>
      <c r="R29" s="632"/>
      <c r="S29" s="202"/>
      <c r="T29" s="543">
        <f>IF($H29="","",IF($R29="Ａ",LOOKUP($D29,{8000,8500,9000,10000,12000},{0,1532,1032,408,408}),IF($R29="Ｂ",LOOKUP($D29,{8000,8500,9000,10000,12000},{782,2814,2814,2814,2814}),IF($R29="Ｃ",LOOKUP($D29,{8000,8500,9000,10000,12000},{3188,5220,5220,5220,5220}),0))))</f>
      </c>
      <c r="U29" s="413">
        <f t="shared" si="9"/>
      </c>
      <c r="V29" s="540">
        <f>IF(B29="","",SUMIF('6-3_調整額内訳③(旧・旧制度)'!B:B,$B29,'6-3_調整額内訳③(旧・旧制度)'!AF:AF))</f>
      </c>
      <c r="W29" s="530">
        <f t="shared" si="10"/>
      </c>
      <c r="X29" s="598">
        <f t="shared" si="11"/>
      </c>
      <c r="Y29" s="599">
        <f t="shared" si="12"/>
      </c>
      <c r="Z29" s="570"/>
      <c r="AA29" s="413">
        <f t="shared" si="0"/>
      </c>
      <c r="AB29" s="570"/>
      <c r="AC29" s="411" t="str">
        <f t="shared" si="1"/>
        <v>0</v>
      </c>
      <c r="AD29" s="413">
        <f t="shared" si="13"/>
        <v>0</v>
      </c>
      <c r="AE29" s="672"/>
      <c r="AF29" s="411">
        <f t="shared" si="14"/>
      </c>
      <c r="AG29" s="603">
        <f t="shared" si="15"/>
      </c>
      <c r="AH29" s="850"/>
      <c r="AI29" s="850"/>
      <c r="AJ29" s="851"/>
      <c r="AL29" s="60">
        <f t="shared" si="2"/>
      </c>
      <c r="AM29" s="60">
        <f t="shared" si="3"/>
      </c>
    </row>
    <row r="30" spans="1:39" s="53" customFormat="1" ht="18.75" customHeight="1">
      <c r="A30" s="181">
        <f t="shared" si="4"/>
      </c>
      <c r="B30" s="581"/>
      <c r="C30" s="56"/>
      <c r="D30" s="466"/>
      <c r="E30" s="238"/>
      <c r="F30" s="202"/>
      <c r="G30" s="191">
        <f t="shared" si="5"/>
      </c>
      <c r="H30" s="643">
        <f t="shared" si="6"/>
      </c>
      <c r="I30" s="521"/>
      <c r="J30" s="635"/>
      <c r="K30" s="553"/>
      <c r="L30" s="109"/>
      <c r="M30" s="404">
        <f t="shared" si="7"/>
      </c>
      <c r="N30" s="549">
        <f t="shared" si="8"/>
      </c>
      <c r="O30" s="639"/>
      <c r="P30" s="194"/>
      <c r="Q30" s="543">
        <f>IF($H30="","",IF($O30="Ａ",LOOKUP($D30,{8000,8500,9000,10000,12000},{0,1532,1032,408,408}),IF($O30="Ｂ",LOOKUP($D30,{8000,8500,9000,10000,12000},{782,2814,2814,2814,2814}),IF($O30="Ｃ",LOOKUP($D30,{8000,8500,9000,10000,12000},{3188,5220,5220,5220,5220}),0))))</f>
      </c>
      <c r="R30" s="632"/>
      <c r="S30" s="202"/>
      <c r="T30" s="543">
        <f>IF($H30="","",IF($R30="Ａ",LOOKUP($D30,{8000,8500,9000,10000,12000},{0,1532,1032,408,408}),IF($R30="Ｂ",LOOKUP($D30,{8000,8500,9000,10000,12000},{782,2814,2814,2814,2814}),IF($R30="Ｃ",LOOKUP($D30,{8000,8500,9000,10000,12000},{3188,5220,5220,5220,5220}),0))))</f>
      </c>
      <c r="U30" s="413">
        <f t="shared" si="9"/>
      </c>
      <c r="V30" s="540">
        <f>IF(B30="","",SUMIF('6-3_調整額内訳③(旧・旧制度)'!B:B,$B30,'6-3_調整額内訳③(旧・旧制度)'!AF:AF))</f>
      </c>
      <c r="W30" s="530">
        <f t="shared" si="10"/>
      </c>
      <c r="X30" s="598">
        <f t="shared" si="11"/>
      </c>
      <c r="Y30" s="599">
        <f t="shared" si="12"/>
      </c>
      <c r="Z30" s="570"/>
      <c r="AA30" s="413">
        <f t="shared" si="0"/>
      </c>
      <c r="AB30" s="570"/>
      <c r="AC30" s="411" t="str">
        <f t="shared" si="1"/>
        <v>0</v>
      </c>
      <c r="AD30" s="413">
        <f t="shared" si="13"/>
        <v>0</v>
      </c>
      <c r="AE30" s="672"/>
      <c r="AF30" s="411">
        <f t="shared" si="14"/>
      </c>
      <c r="AG30" s="603">
        <f t="shared" si="15"/>
      </c>
      <c r="AH30" s="850"/>
      <c r="AI30" s="850"/>
      <c r="AJ30" s="851"/>
      <c r="AL30" s="60">
        <f t="shared" si="2"/>
      </c>
      <c r="AM30" s="60">
        <f t="shared" si="3"/>
      </c>
    </row>
    <row r="31" spans="1:39" s="53" customFormat="1" ht="18.75" customHeight="1">
      <c r="A31" s="181">
        <f t="shared" si="4"/>
      </c>
      <c r="B31" s="581"/>
      <c r="C31" s="56"/>
      <c r="D31" s="466"/>
      <c r="E31" s="238"/>
      <c r="F31" s="202"/>
      <c r="G31" s="191">
        <f t="shared" si="5"/>
      </c>
      <c r="H31" s="643">
        <f t="shared" si="6"/>
      </c>
      <c r="I31" s="521"/>
      <c r="J31" s="635"/>
      <c r="K31" s="553"/>
      <c r="L31" s="109"/>
      <c r="M31" s="404">
        <f t="shared" si="7"/>
      </c>
      <c r="N31" s="549">
        <f t="shared" si="8"/>
      </c>
      <c r="O31" s="639"/>
      <c r="P31" s="194"/>
      <c r="Q31" s="543">
        <f>IF($H31="","",IF($O31="Ａ",LOOKUP($D31,{8000,8500,9000,10000,12000},{0,1532,1032,408,408}),IF($O31="Ｂ",LOOKUP($D31,{8000,8500,9000,10000,12000},{782,2814,2814,2814,2814}),IF($O31="Ｃ",LOOKUP($D31,{8000,8500,9000,10000,12000},{3188,5220,5220,5220,5220}),0))))</f>
      </c>
      <c r="R31" s="632"/>
      <c r="S31" s="202"/>
      <c r="T31" s="543">
        <f>IF($H31="","",IF($R31="Ａ",LOOKUP($D31,{8000,8500,9000,10000,12000},{0,1532,1032,408,408}),IF($R31="Ｂ",LOOKUP($D31,{8000,8500,9000,10000,12000},{782,2814,2814,2814,2814}),IF($R31="Ｃ",LOOKUP($D31,{8000,8500,9000,10000,12000},{3188,5220,5220,5220,5220}),0))))</f>
      </c>
      <c r="U31" s="413">
        <f t="shared" si="9"/>
      </c>
      <c r="V31" s="540">
        <f>IF(B31="","",SUMIF('6-3_調整額内訳③(旧・旧制度)'!B:B,$B31,'6-3_調整額内訳③(旧・旧制度)'!AF:AF))</f>
      </c>
      <c r="W31" s="530">
        <f t="shared" si="10"/>
      </c>
      <c r="X31" s="598">
        <f t="shared" si="11"/>
      </c>
      <c r="Y31" s="599">
        <f t="shared" si="12"/>
      </c>
      <c r="Z31" s="570"/>
      <c r="AA31" s="413">
        <f t="shared" si="0"/>
      </c>
      <c r="AB31" s="570"/>
      <c r="AC31" s="411" t="str">
        <f t="shared" si="1"/>
        <v>0</v>
      </c>
      <c r="AD31" s="413">
        <f t="shared" si="13"/>
        <v>0</v>
      </c>
      <c r="AE31" s="672"/>
      <c r="AF31" s="411">
        <f t="shared" si="14"/>
      </c>
      <c r="AG31" s="603">
        <f t="shared" si="15"/>
      </c>
      <c r="AH31" s="850"/>
      <c r="AI31" s="850"/>
      <c r="AJ31" s="851"/>
      <c r="AL31" s="60">
        <f t="shared" si="2"/>
      </c>
      <c r="AM31" s="60">
        <f t="shared" si="3"/>
      </c>
    </row>
    <row r="32" spans="1:39" s="53" customFormat="1" ht="18.75" customHeight="1">
      <c r="A32" s="181">
        <f t="shared" si="4"/>
      </c>
      <c r="B32" s="581"/>
      <c r="C32" s="56"/>
      <c r="D32" s="466"/>
      <c r="E32" s="238"/>
      <c r="F32" s="202"/>
      <c r="G32" s="191">
        <f t="shared" si="5"/>
      </c>
      <c r="H32" s="643">
        <f t="shared" si="6"/>
      </c>
      <c r="I32" s="521"/>
      <c r="J32" s="635"/>
      <c r="K32" s="553"/>
      <c r="L32" s="109"/>
      <c r="M32" s="404">
        <f t="shared" si="7"/>
      </c>
      <c r="N32" s="549">
        <f t="shared" si="8"/>
      </c>
      <c r="O32" s="639"/>
      <c r="P32" s="194"/>
      <c r="Q32" s="543">
        <f>IF($H32="","",IF($O32="Ａ",LOOKUP($D32,{8000,8500,9000,10000,12000},{0,1532,1032,408,408}),IF($O32="Ｂ",LOOKUP($D32,{8000,8500,9000,10000,12000},{782,2814,2814,2814,2814}),IF($O32="Ｃ",LOOKUP($D32,{8000,8500,9000,10000,12000},{3188,5220,5220,5220,5220}),0))))</f>
      </c>
      <c r="R32" s="632"/>
      <c r="S32" s="202"/>
      <c r="T32" s="543">
        <f>IF($H32="","",IF($R32="Ａ",LOOKUP($D32,{8000,8500,9000,10000,12000},{0,1532,1032,408,408}),IF($R32="Ｂ",LOOKUP($D32,{8000,8500,9000,10000,12000},{782,2814,2814,2814,2814}),IF($R32="Ｃ",LOOKUP($D32,{8000,8500,9000,10000,12000},{3188,5220,5220,5220,5220}),0))))</f>
      </c>
      <c r="U32" s="413">
        <f t="shared" si="9"/>
      </c>
      <c r="V32" s="540">
        <f>IF(B32="","",SUMIF('6-3_調整額内訳③(旧・旧制度)'!B:B,$B32,'6-3_調整額内訳③(旧・旧制度)'!AF:AF))</f>
      </c>
      <c r="W32" s="530">
        <f t="shared" si="10"/>
      </c>
      <c r="X32" s="598">
        <f t="shared" si="11"/>
      </c>
      <c r="Y32" s="599">
        <f t="shared" si="12"/>
      </c>
      <c r="Z32" s="570"/>
      <c r="AA32" s="413">
        <f t="shared" si="0"/>
      </c>
      <c r="AB32" s="570"/>
      <c r="AC32" s="411" t="str">
        <f t="shared" si="1"/>
        <v>0</v>
      </c>
      <c r="AD32" s="413">
        <f t="shared" si="13"/>
        <v>0</v>
      </c>
      <c r="AE32" s="672"/>
      <c r="AF32" s="411">
        <f t="shared" si="14"/>
      </c>
      <c r="AG32" s="603">
        <f t="shared" si="15"/>
      </c>
      <c r="AH32" s="850"/>
      <c r="AI32" s="850"/>
      <c r="AJ32" s="851"/>
      <c r="AL32" s="60">
        <f t="shared" si="2"/>
      </c>
      <c r="AM32" s="60">
        <f t="shared" si="3"/>
      </c>
    </row>
    <row r="33" spans="1:39" s="53" customFormat="1" ht="18.75" customHeight="1">
      <c r="A33" s="181">
        <f t="shared" si="4"/>
      </c>
      <c r="B33" s="581"/>
      <c r="C33" s="56"/>
      <c r="D33" s="466"/>
      <c r="E33" s="238"/>
      <c r="F33" s="202"/>
      <c r="G33" s="191">
        <f t="shared" si="5"/>
      </c>
      <c r="H33" s="643">
        <f t="shared" si="6"/>
      </c>
      <c r="I33" s="521"/>
      <c r="J33" s="635"/>
      <c r="K33" s="553"/>
      <c r="L33" s="109"/>
      <c r="M33" s="404">
        <f t="shared" si="7"/>
      </c>
      <c r="N33" s="549">
        <f t="shared" si="8"/>
      </c>
      <c r="O33" s="639"/>
      <c r="P33" s="194"/>
      <c r="Q33" s="543">
        <f>IF($H33="","",IF($O33="Ａ",LOOKUP($D33,{8000,8500,9000,10000,12000},{0,1532,1032,408,408}),IF($O33="Ｂ",LOOKUP($D33,{8000,8500,9000,10000,12000},{782,2814,2814,2814,2814}),IF($O33="Ｃ",LOOKUP($D33,{8000,8500,9000,10000,12000},{3188,5220,5220,5220,5220}),0))))</f>
      </c>
      <c r="R33" s="632"/>
      <c r="S33" s="202"/>
      <c r="T33" s="543">
        <f>IF($H33="","",IF($R33="Ａ",LOOKUP($D33,{8000,8500,9000,10000,12000},{0,1532,1032,408,408}),IF($R33="Ｂ",LOOKUP($D33,{8000,8500,9000,10000,12000},{782,2814,2814,2814,2814}),IF($R33="Ｃ",LOOKUP($D33,{8000,8500,9000,10000,12000},{3188,5220,5220,5220,5220}),0))))</f>
      </c>
      <c r="U33" s="413">
        <f t="shared" si="9"/>
      </c>
      <c r="V33" s="540">
        <f>IF(B33="","",SUMIF('6-3_調整額内訳③(旧・旧制度)'!B:B,$B33,'6-3_調整額内訳③(旧・旧制度)'!AF:AF))</f>
      </c>
      <c r="W33" s="530">
        <f t="shared" si="10"/>
      </c>
      <c r="X33" s="598">
        <f t="shared" si="11"/>
      </c>
      <c r="Y33" s="599">
        <f t="shared" si="12"/>
      </c>
      <c r="Z33" s="570"/>
      <c r="AA33" s="413">
        <f t="shared" si="0"/>
      </c>
      <c r="AB33" s="570"/>
      <c r="AC33" s="411" t="str">
        <f t="shared" si="1"/>
        <v>0</v>
      </c>
      <c r="AD33" s="413">
        <f t="shared" si="13"/>
        <v>0</v>
      </c>
      <c r="AE33" s="672"/>
      <c r="AF33" s="411">
        <f t="shared" si="14"/>
      </c>
      <c r="AG33" s="603">
        <f t="shared" si="15"/>
      </c>
      <c r="AH33" s="850"/>
      <c r="AI33" s="850"/>
      <c r="AJ33" s="851"/>
      <c r="AL33" s="60">
        <f t="shared" si="2"/>
      </c>
      <c r="AM33" s="60">
        <f t="shared" si="3"/>
      </c>
    </row>
    <row r="34" spans="1:39" s="53" customFormat="1" ht="18.75" customHeight="1">
      <c r="A34" s="181">
        <f t="shared" si="4"/>
      </c>
      <c r="B34" s="581"/>
      <c r="C34" s="56"/>
      <c r="D34" s="466"/>
      <c r="E34" s="238"/>
      <c r="F34" s="202"/>
      <c r="G34" s="191">
        <f t="shared" si="5"/>
      </c>
      <c r="H34" s="643">
        <f t="shared" si="6"/>
      </c>
      <c r="I34" s="521"/>
      <c r="J34" s="635"/>
      <c r="K34" s="553"/>
      <c r="L34" s="109"/>
      <c r="M34" s="404">
        <f t="shared" si="7"/>
      </c>
      <c r="N34" s="549">
        <f t="shared" si="8"/>
      </c>
      <c r="O34" s="639"/>
      <c r="P34" s="194"/>
      <c r="Q34" s="543">
        <f>IF($H34="","",IF($O34="Ａ",LOOKUP($D34,{8000,8500,9000,10000,12000},{0,1532,1032,408,408}),IF($O34="Ｂ",LOOKUP($D34,{8000,8500,9000,10000,12000},{782,2814,2814,2814,2814}),IF($O34="Ｃ",LOOKUP($D34,{8000,8500,9000,10000,12000},{3188,5220,5220,5220,5220}),0))))</f>
      </c>
      <c r="R34" s="632"/>
      <c r="S34" s="202"/>
      <c r="T34" s="543">
        <f>IF($H34="","",IF($R34="Ａ",LOOKUP($D34,{8000,8500,9000,10000,12000},{0,1532,1032,408,408}),IF($R34="Ｂ",LOOKUP($D34,{8000,8500,9000,10000,12000},{782,2814,2814,2814,2814}),IF($R34="Ｃ",LOOKUP($D34,{8000,8500,9000,10000,12000},{3188,5220,5220,5220,5220}),0))))</f>
      </c>
      <c r="U34" s="413">
        <f t="shared" si="9"/>
      </c>
      <c r="V34" s="540">
        <f>IF(B34="","",SUMIF('6-3_調整額内訳③(旧・旧制度)'!B:B,$B34,'6-3_調整額内訳③(旧・旧制度)'!AF:AF))</f>
      </c>
      <c r="W34" s="530">
        <f t="shared" si="10"/>
      </c>
      <c r="X34" s="598">
        <f t="shared" si="11"/>
      </c>
      <c r="Y34" s="599">
        <f t="shared" si="12"/>
      </c>
      <c r="Z34" s="570"/>
      <c r="AA34" s="413">
        <f t="shared" si="0"/>
      </c>
      <c r="AB34" s="570"/>
      <c r="AC34" s="411" t="str">
        <f t="shared" si="1"/>
        <v>0</v>
      </c>
      <c r="AD34" s="413">
        <f t="shared" si="13"/>
        <v>0</v>
      </c>
      <c r="AE34" s="672"/>
      <c r="AF34" s="411">
        <f t="shared" si="14"/>
      </c>
      <c r="AG34" s="603">
        <f t="shared" si="15"/>
      </c>
      <c r="AH34" s="850"/>
      <c r="AI34" s="850"/>
      <c r="AJ34" s="851"/>
      <c r="AL34" s="60">
        <f t="shared" si="2"/>
      </c>
      <c r="AM34" s="60">
        <f t="shared" si="3"/>
      </c>
    </row>
    <row r="35" spans="1:39" s="53" customFormat="1" ht="18.75" customHeight="1">
      <c r="A35" s="181">
        <f t="shared" si="4"/>
      </c>
      <c r="B35" s="581"/>
      <c r="C35" s="56"/>
      <c r="D35" s="466"/>
      <c r="E35" s="644"/>
      <c r="F35" s="608"/>
      <c r="G35" s="191">
        <f t="shared" si="5"/>
      </c>
      <c r="H35" s="643">
        <f t="shared" si="6"/>
      </c>
      <c r="I35" s="521"/>
      <c r="J35" s="636"/>
      <c r="K35" s="641"/>
      <c r="L35" s="642"/>
      <c r="M35" s="404">
        <f t="shared" si="7"/>
      </c>
      <c r="N35" s="549">
        <f t="shared" si="8"/>
      </c>
      <c r="O35" s="639"/>
      <c r="P35" s="194"/>
      <c r="Q35" s="543">
        <f>IF($H35="","",IF($O35="Ａ",LOOKUP($D35,{8000,8500,9000,10000,12000},{0,1532,1032,408,408}),IF($O35="Ｂ",LOOKUP($D35,{8000,8500,9000,10000,12000},{782,2814,2814,2814,2814}),IF($O35="Ｃ",LOOKUP($D35,{8000,8500,9000,10000,12000},{3188,5220,5220,5220,5220}),0))))</f>
      </c>
      <c r="R35" s="632"/>
      <c r="S35" s="202"/>
      <c r="T35" s="543">
        <f>IF($H35="","",IF($R35="Ａ",LOOKUP($D35,{8000,8500,9000,10000,12000},{0,1532,1032,408,408}),IF($R35="Ｂ",LOOKUP($D35,{8000,8500,9000,10000,12000},{782,2814,2814,2814,2814}),IF($R35="Ｃ",LOOKUP($D35,{8000,8500,9000,10000,12000},{3188,5220,5220,5220,5220}),0))))</f>
      </c>
      <c r="U35" s="413">
        <f t="shared" si="9"/>
      </c>
      <c r="V35" s="540">
        <f>IF(B35="","",SUMIF('6-3_調整額内訳③(旧・旧制度)'!B:B,$B35,'6-3_調整額内訳③(旧・旧制度)'!AF:AF))</f>
      </c>
      <c r="W35" s="530">
        <f t="shared" si="10"/>
      </c>
      <c r="X35" s="598">
        <f t="shared" si="11"/>
      </c>
      <c r="Y35" s="599">
        <f t="shared" si="12"/>
      </c>
      <c r="Z35" s="570"/>
      <c r="AA35" s="413">
        <f t="shared" si="0"/>
      </c>
      <c r="AB35" s="570"/>
      <c r="AC35" s="411" t="str">
        <f t="shared" si="1"/>
        <v>0</v>
      </c>
      <c r="AD35" s="413">
        <f t="shared" si="13"/>
        <v>0</v>
      </c>
      <c r="AE35" s="672"/>
      <c r="AF35" s="411">
        <f t="shared" si="14"/>
      </c>
      <c r="AG35" s="603">
        <f t="shared" si="15"/>
      </c>
      <c r="AH35" s="850"/>
      <c r="AI35" s="850"/>
      <c r="AJ35" s="851"/>
      <c r="AL35" s="60">
        <f t="shared" si="2"/>
      </c>
      <c r="AM35" s="60">
        <f t="shared" si="3"/>
      </c>
    </row>
    <row r="36" spans="1:39" s="53" customFormat="1" ht="18.75" customHeight="1">
      <c r="A36" s="181">
        <f t="shared" si="4"/>
      </c>
      <c r="B36" s="581"/>
      <c r="C36" s="56"/>
      <c r="D36" s="466"/>
      <c r="E36" s="238"/>
      <c r="F36" s="202"/>
      <c r="G36" s="191">
        <f t="shared" si="5"/>
      </c>
      <c r="H36" s="643">
        <f t="shared" si="6"/>
      </c>
      <c r="I36" s="521"/>
      <c r="J36" s="635"/>
      <c r="K36" s="553"/>
      <c r="L36" s="109"/>
      <c r="M36" s="404">
        <f t="shared" si="7"/>
      </c>
      <c r="N36" s="549">
        <f t="shared" si="8"/>
      </c>
      <c r="O36" s="639"/>
      <c r="P36" s="194"/>
      <c r="Q36" s="543">
        <f>IF($H36="","",IF($O36="Ａ",LOOKUP($D36,{8000,8500,9000,10000,12000},{0,1532,1032,408,408}),IF($O36="Ｂ",LOOKUP($D36,{8000,8500,9000,10000,12000},{782,2814,2814,2814,2814}),IF($O36="Ｃ",LOOKUP($D36,{8000,8500,9000,10000,12000},{3188,5220,5220,5220,5220}),0))))</f>
      </c>
      <c r="R36" s="632"/>
      <c r="S36" s="202"/>
      <c r="T36" s="543">
        <f>IF($H36="","",IF($R36="Ａ",LOOKUP($D36,{8000,8500,9000,10000,12000},{0,1532,1032,408,408}),IF($R36="Ｂ",LOOKUP($D36,{8000,8500,9000,10000,12000},{782,2814,2814,2814,2814}),IF($R36="Ｃ",LOOKUP($D36,{8000,8500,9000,10000,12000},{3188,5220,5220,5220,5220}),0))))</f>
      </c>
      <c r="U36" s="413">
        <f t="shared" si="9"/>
      </c>
      <c r="V36" s="540">
        <f>IF(B36="","",SUMIF('6-3_調整額内訳③(旧・旧制度)'!B:B,$B36,'6-3_調整額内訳③(旧・旧制度)'!AF:AF))</f>
      </c>
      <c r="W36" s="530">
        <f t="shared" si="10"/>
      </c>
      <c r="X36" s="598">
        <f t="shared" si="11"/>
      </c>
      <c r="Y36" s="599">
        <f t="shared" si="12"/>
      </c>
      <c r="Z36" s="570"/>
      <c r="AA36" s="413">
        <f t="shared" si="0"/>
      </c>
      <c r="AB36" s="570"/>
      <c r="AC36" s="411" t="str">
        <f t="shared" si="1"/>
        <v>0</v>
      </c>
      <c r="AD36" s="413">
        <f t="shared" si="13"/>
        <v>0</v>
      </c>
      <c r="AE36" s="672"/>
      <c r="AF36" s="411">
        <f t="shared" si="14"/>
      </c>
      <c r="AG36" s="603">
        <f t="shared" si="15"/>
      </c>
      <c r="AH36" s="850"/>
      <c r="AI36" s="850"/>
      <c r="AJ36" s="851"/>
      <c r="AL36" s="60">
        <f t="shared" si="2"/>
      </c>
      <c r="AM36" s="60">
        <f t="shared" si="3"/>
      </c>
    </row>
    <row r="37" spans="1:39" s="53" customFormat="1" ht="18.75" customHeight="1">
      <c r="A37" s="181">
        <f t="shared" si="4"/>
      </c>
      <c r="B37" s="581"/>
      <c r="C37" s="56"/>
      <c r="D37" s="466"/>
      <c r="E37" s="238"/>
      <c r="F37" s="202"/>
      <c r="G37" s="191">
        <f t="shared" si="5"/>
      </c>
      <c r="H37" s="643">
        <f t="shared" si="6"/>
      </c>
      <c r="I37" s="521"/>
      <c r="J37" s="635"/>
      <c r="K37" s="553"/>
      <c r="L37" s="109"/>
      <c r="M37" s="404">
        <f t="shared" si="7"/>
      </c>
      <c r="N37" s="549">
        <f t="shared" si="8"/>
      </c>
      <c r="O37" s="639"/>
      <c r="P37" s="194"/>
      <c r="Q37" s="543">
        <f>IF($H37="","",IF($O37="Ａ",LOOKUP($D37,{8000,8500,9000,10000,12000},{0,1532,1032,408,408}),IF($O37="Ｂ",LOOKUP($D37,{8000,8500,9000,10000,12000},{782,2814,2814,2814,2814}),IF($O37="Ｃ",LOOKUP($D37,{8000,8500,9000,10000,12000},{3188,5220,5220,5220,5220}),0))))</f>
      </c>
      <c r="R37" s="632"/>
      <c r="S37" s="202"/>
      <c r="T37" s="543">
        <f>IF($H37="","",IF($R37="Ａ",LOOKUP($D37,{8000,8500,9000,10000,12000},{0,1532,1032,408,408}),IF($R37="Ｂ",LOOKUP($D37,{8000,8500,9000,10000,12000},{782,2814,2814,2814,2814}),IF($R37="Ｃ",LOOKUP($D37,{8000,8500,9000,10000,12000},{3188,5220,5220,5220,5220}),0))))</f>
      </c>
      <c r="U37" s="413">
        <f t="shared" si="9"/>
      </c>
      <c r="V37" s="540">
        <f>IF(B37="","",SUMIF('6-3_調整額内訳③(旧・旧制度)'!B:B,$B37,'6-3_調整額内訳③(旧・旧制度)'!AF:AF))</f>
      </c>
      <c r="W37" s="530">
        <f t="shared" si="10"/>
      </c>
      <c r="X37" s="598">
        <f t="shared" si="11"/>
      </c>
      <c r="Y37" s="599">
        <f t="shared" si="12"/>
      </c>
      <c r="Z37" s="570"/>
      <c r="AA37" s="413">
        <f t="shared" si="0"/>
      </c>
      <c r="AB37" s="570"/>
      <c r="AC37" s="411" t="str">
        <f t="shared" si="1"/>
        <v>0</v>
      </c>
      <c r="AD37" s="413">
        <f t="shared" si="13"/>
        <v>0</v>
      </c>
      <c r="AE37" s="672"/>
      <c r="AF37" s="411">
        <f t="shared" si="14"/>
      </c>
      <c r="AG37" s="603">
        <f t="shared" si="15"/>
      </c>
      <c r="AH37" s="850"/>
      <c r="AI37" s="850"/>
      <c r="AJ37" s="851"/>
      <c r="AL37" s="60">
        <f t="shared" si="2"/>
      </c>
      <c r="AM37" s="60">
        <f t="shared" si="3"/>
      </c>
    </row>
    <row r="38" spans="1:39" s="53" customFormat="1" ht="18.75" customHeight="1">
      <c r="A38" s="181">
        <f t="shared" si="4"/>
      </c>
      <c r="B38" s="581"/>
      <c r="C38" s="56"/>
      <c r="D38" s="466"/>
      <c r="E38" s="238"/>
      <c r="F38" s="202"/>
      <c r="G38" s="191">
        <f t="shared" si="5"/>
      </c>
      <c r="H38" s="643">
        <f t="shared" si="6"/>
      </c>
      <c r="I38" s="521"/>
      <c r="J38" s="635"/>
      <c r="K38" s="553"/>
      <c r="L38" s="109"/>
      <c r="M38" s="404">
        <f t="shared" si="7"/>
      </c>
      <c r="N38" s="549">
        <f t="shared" si="8"/>
      </c>
      <c r="O38" s="639"/>
      <c r="P38" s="194"/>
      <c r="Q38" s="543">
        <f>IF($H38="","",IF($O38="Ａ",LOOKUP($D38,{8000,8500,9000,10000,12000},{0,1532,1032,408,408}),IF($O38="Ｂ",LOOKUP($D38,{8000,8500,9000,10000,12000},{782,2814,2814,2814,2814}),IF($O38="Ｃ",LOOKUP($D38,{8000,8500,9000,10000,12000},{3188,5220,5220,5220,5220}),0))))</f>
      </c>
      <c r="R38" s="632"/>
      <c r="S38" s="202"/>
      <c r="T38" s="543">
        <f>IF($H38="","",IF($R38="Ａ",LOOKUP($D38,{8000,8500,9000,10000,12000},{0,1532,1032,408,408}),IF($R38="Ｂ",LOOKUP($D38,{8000,8500,9000,10000,12000},{782,2814,2814,2814,2814}),IF($R38="Ｃ",LOOKUP($D38,{8000,8500,9000,10000,12000},{3188,5220,5220,5220,5220}),0))))</f>
      </c>
      <c r="U38" s="413">
        <f t="shared" si="9"/>
      </c>
      <c r="V38" s="540">
        <f>IF(B38="","",SUMIF('6-3_調整額内訳③(旧・旧制度)'!B:B,$B38,'6-3_調整額内訳③(旧・旧制度)'!AF:AF))</f>
      </c>
      <c r="W38" s="530">
        <f t="shared" si="10"/>
      </c>
      <c r="X38" s="598">
        <f t="shared" si="11"/>
      </c>
      <c r="Y38" s="599">
        <f t="shared" si="12"/>
      </c>
      <c r="Z38" s="570"/>
      <c r="AA38" s="413">
        <f t="shared" si="0"/>
      </c>
      <c r="AB38" s="570"/>
      <c r="AC38" s="411" t="str">
        <f t="shared" si="1"/>
        <v>0</v>
      </c>
      <c r="AD38" s="413">
        <f t="shared" si="13"/>
        <v>0</v>
      </c>
      <c r="AE38" s="672"/>
      <c r="AF38" s="411">
        <f t="shared" si="14"/>
      </c>
      <c r="AG38" s="603">
        <f t="shared" si="15"/>
      </c>
      <c r="AH38" s="850"/>
      <c r="AI38" s="850"/>
      <c r="AJ38" s="851"/>
      <c r="AL38" s="60">
        <f t="shared" si="2"/>
      </c>
      <c r="AM38" s="60">
        <f t="shared" si="3"/>
      </c>
    </row>
    <row r="39" spans="1:39" s="53" customFormat="1" ht="18.75" customHeight="1">
      <c r="A39" s="181">
        <f t="shared" si="4"/>
      </c>
      <c r="B39" s="581"/>
      <c r="C39" s="56"/>
      <c r="D39" s="466"/>
      <c r="E39" s="238"/>
      <c r="F39" s="202"/>
      <c r="G39" s="191">
        <f t="shared" si="5"/>
      </c>
      <c r="H39" s="643">
        <f t="shared" si="6"/>
      </c>
      <c r="I39" s="521"/>
      <c r="J39" s="635"/>
      <c r="K39" s="553"/>
      <c r="L39" s="109"/>
      <c r="M39" s="404">
        <f t="shared" si="7"/>
      </c>
      <c r="N39" s="549">
        <f t="shared" si="8"/>
      </c>
      <c r="O39" s="639"/>
      <c r="P39" s="194"/>
      <c r="Q39" s="543">
        <f>IF($H39="","",IF($O39="Ａ",LOOKUP($D39,{8000,8500,9000,10000,12000},{0,1532,1032,408,408}),IF($O39="Ｂ",LOOKUP($D39,{8000,8500,9000,10000,12000},{782,2814,2814,2814,2814}),IF($O39="Ｃ",LOOKUP($D39,{8000,8500,9000,10000,12000},{3188,5220,5220,5220,5220}),0))))</f>
      </c>
      <c r="R39" s="632"/>
      <c r="S39" s="202"/>
      <c r="T39" s="543">
        <f>IF($H39="","",IF($R39="Ａ",LOOKUP($D39,{8000,8500,9000,10000,12000},{0,1532,1032,408,408}),IF($R39="Ｂ",LOOKUP($D39,{8000,8500,9000,10000,12000},{782,2814,2814,2814,2814}),IF($R39="Ｃ",LOOKUP($D39,{8000,8500,9000,10000,12000},{3188,5220,5220,5220,5220}),0))))</f>
      </c>
      <c r="U39" s="413">
        <f t="shared" si="9"/>
      </c>
      <c r="V39" s="540">
        <f>IF(B39="","",SUMIF('6-3_調整額内訳③(旧・旧制度)'!B:B,$B39,'6-3_調整額内訳③(旧・旧制度)'!AF:AF))</f>
      </c>
      <c r="W39" s="530">
        <f t="shared" si="10"/>
      </c>
      <c r="X39" s="598">
        <f t="shared" si="11"/>
      </c>
      <c r="Y39" s="599">
        <f t="shared" si="12"/>
      </c>
      <c r="Z39" s="570"/>
      <c r="AA39" s="413">
        <f t="shared" si="0"/>
      </c>
      <c r="AB39" s="570"/>
      <c r="AC39" s="411" t="str">
        <f t="shared" si="1"/>
        <v>0</v>
      </c>
      <c r="AD39" s="413">
        <f t="shared" si="13"/>
        <v>0</v>
      </c>
      <c r="AE39" s="672"/>
      <c r="AF39" s="411">
        <f t="shared" si="14"/>
      </c>
      <c r="AG39" s="603">
        <f t="shared" si="15"/>
      </c>
      <c r="AH39" s="850"/>
      <c r="AI39" s="850"/>
      <c r="AJ39" s="851"/>
      <c r="AL39" s="60">
        <f t="shared" si="2"/>
      </c>
      <c r="AM39" s="60">
        <f t="shared" si="3"/>
      </c>
    </row>
    <row r="40" spans="1:39" s="53" customFormat="1" ht="18.75" customHeight="1">
      <c r="A40" s="181">
        <f t="shared" si="4"/>
      </c>
      <c r="B40" s="581"/>
      <c r="C40" s="56"/>
      <c r="D40" s="466"/>
      <c r="E40" s="238"/>
      <c r="F40" s="202"/>
      <c r="G40" s="191">
        <f t="shared" si="5"/>
      </c>
      <c r="H40" s="643">
        <f t="shared" si="6"/>
      </c>
      <c r="I40" s="521"/>
      <c r="J40" s="635"/>
      <c r="K40" s="553"/>
      <c r="L40" s="109"/>
      <c r="M40" s="404">
        <f t="shared" si="7"/>
      </c>
      <c r="N40" s="549">
        <f t="shared" si="8"/>
      </c>
      <c r="O40" s="639"/>
      <c r="P40" s="194"/>
      <c r="Q40" s="543">
        <f>IF($H40="","",IF($O40="Ａ",LOOKUP($D40,{8000,8500,9000,10000,12000},{0,1532,1032,408,408}),IF($O40="Ｂ",LOOKUP($D40,{8000,8500,9000,10000,12000},{782,2814,2814,2814,2814}),IF($O40="Ｃ",LOOKUP($D40,{8000,8500,9000,10000,12000},{3188,5220,5220,5220,5220}),0))))</f>
      </c>
      <c r="R40" s="632"/>
      <c r="S40" s="202"/>
      <c r="T40" s="543">
        <f>IF($H40="","",IF($R40="Ａ",LOOKUP($D40,{8000,8500,9000,10000,12000},{0,1532,1032,408,408}),IF($R40="Ｂ",LOOKUP($D40,{8000,8500,9000,10000,12000},{782,2814,2814,2814,2814}),IF($R40="Ｃ",LOOKUP($D40,{8000,8500,9000,10000,12000},{3188,5220,5220,5220,5220}),0))))</f>
      </c>
      <c r="U40" s="413">
        <f t="shared" si="9"/>
      </c>
      <c r="V40" s="540">
        <f>IF(B40="","",SUMIF('6-3_調整額内訳③(旧・旧制度)'!B:B,$B40,'6-3_調整額内訳③(旧・旧制度)'!AF:AF))</f>
      </c>
      <c r="W40" s="530">
        <f t="shared" si="10"/>
      </c>
      <c r="X40" s="598">
        <f t="shared" si="11"/>
      </c>
      <c r="Y40" s="599">
        <f t="shared" si="12"/>
      </c>
      <c r="Z40" s="570"/>
      <c r="AA40" s="413">
        <f t="shared" si="0"/>
      </c>
      <c r="AB40" s="570"/>
      <c r="AC40" s="411" t="str">
        <f t="shared" si="1"/>
        <v>0</v>
      </c>
      <c r="AD40" s="413">
        <f t="shared" si="13"/>
        <v>0</v>
      </c>
      <c r="AE40" s="672"/>
      <c r="AF40" s="411">
        <f t="shared" si="14"/>
      </c>
      <c r="AG40" s="603">
        <f t="shared" si="15"/>
      </c>
      <c r="AH40" s="850"/>
      <c r="AI40" s="850"/>
      <c r="AJ40" s="851"/>
      <c r="AL40" s="60">
        <f t="shared" si="2"/>
      </c>
      <c r="AM40" s="60">
        <f t="shared" si="3"/>
      </c>
    </row>
    <row r="41" spans="1:39" s="53" customFormat="1" ht="18.75" customHeight="1">
      <c r="A41" s="181">
        <f t="shared" si="4"/>
      </c>
      <c r="B41" s="581"/>
      <c r="C41" s="56"/>
      <c r="D41" s="466"/>
      <c r="E41" s="238"/>
      <c r="F41" s="202"/>
      <c r="G41" s="191">
        <f t="shared" si="5"/>
      </c>
      <c r="H41" s="643">
        <f t="shared" si="6"/>
      </c>
      <c r="I41" s="521"/>
      <c r="J41" s="635"/>
      <c r="K41" s="553"/>
      <c r="L41" s="109"/>
      <c r="M41" s="404">
        <f t="shared" si="7"/>
      </c>
      <c r="N41" s="549">
        <f t="shared" si="8"/>
      </c>
      <c r="O41" s="639"/>
      <c r="P41" s="194"/>
      <c r="Q41" s="543">
        <f>IF($H41="","",IF($O41="Ａ",LOOKUP($D41,{8000,8500,9000,10000,12000},{0,1532,1032,408,408}),IF($O41="Ｂ",LOOKUP($D41,{8000,8500,9000,10000,12000},{782,2814,2814,2814,2814}),IF($O41="Ｃ",LOOKUP($D41,{8000,8500,9000,10000,12000},{3188,5220,5220,5220,5220}),0))))</f>
      </c>
      <c r="R41" s="632"/>
      <c r="S41" s="202"/>
      <c r="T41" s="543">
        <f>IF($H41="","",IF($R41="Ａ",LOOKUP($D41,{8000,8500,9000,10000,12000},{0,1532,1032,408,408}),IF($R41="Ｂ",LOOKUP($D41,{8000,8500,9000,10000,12000},{782,2814,2814,2814,2814}),IF($R41="Ｃ",LOOKUP($D41,{8000,8500,9000,10000,12000},{3188,5220,5220,5220,5220}),0))))</f>
      </c>
      <c r="U41" s="413">
        <f t="shared" si="9"/>
      </c>
      <c r="V41" s="540">
        <f>IF(B41="","",SUMIF('6-3_調整額内訳③(旧・旧制度)'!B:B,$B41,'6-3_調整額内訳③(旧・旧制度)'!AF:AF))</f>
      </c>
      <c r="W41" s="530">
        <f t="shared" si="10"/>
      </c>
      <c r="X41" s="598">
        <f t="shared" si="11"/>
      </c>
      <c r="Y41" s="599">
        <f t="shared" si="12"/>
      </c>
      <c r="Z41" s="570"/>
      <c r="AA41" s="413">
        <f t="shared" si="0"/>
      </c>
      <c r="AB41" s="570"/>
      <c r="AC41" s="411" t="str">
        <f t="shared" si="1"/>
        <v>0</v>
      </c>
      <c r="AD41" s="413">
        <f t="shared" si="13"/>
        <v>0</v>
      </c>
      <c r="AE41" s="672"/>
      <c r="AF41" s="411">
        <f t="shared" si="14"/>
      </c>
      <c r="AG41" s="603">
        <f t="shared" si="15"/>
      </c>
      <c r="AH41" s="850"/>
      <c r="AI41" s="850"/>
      <c r="AJ41" s="851"/>
      <c r="AL41" s="60">
        <f t="shared" si="2"/>
      </c>
      <c r="AM41" s="60">
        <f t="shared" si="3"/>
      </c>
    </row>
    <row r="42" spans="1:39" s="53" customFormat="1" ht="18.75" customHeight="1">
      <c r="A42" s="181">
        <f t="shared" si="4"/>
      </c>
      <c r="B42" s="581"/>
      <c r="C42" s="56"/>
      <c r="D42" s="466"/>
      <c r="E42" s="238"/>
      <c r="F42" s="202"/>
      <c r="G42" s="191">
        <f t="shared" si="5"/>
      </c>
      <c r="H42" s="643">
        <f t="shared" si="6"/>
      </c>
      <c r="I42" s="521"/>
      <c r="J42" s="635"/>
      <c r="K42" s="553"/>
      <c r="L42" s="109"/>
      <c r="M42" s="404">
        <f t="shared" si="7"/>
      </c>
      <c r="N42" s="549">
        <f t="shared" si="8"/>
      </c>
      <c r="O42" s="639"/>
      <c r="P42" s="194"/>
      <c r="Q42" s="543">
        <f>IF($H42="","",IF($O42="Ａ",LOOKUP($D42,{8000,8500,9000,10000,12000},{0,1532,1032,408,408}),IF($O42="Ｂ",LOOKUP($D42,{8000,8500,9000,10000,12000},{782,2814,2814,2814,2814}),IF($O42="Ｃ",LOOKUP($D42,{8000,8500,9000,10000,12000},{3188,5220,5220,5220,5220}),0))))</f>
      </c>
      <c r="R42" s="632"/>
      <c r="S42" s="202"/>
      <c r="T42" s="543">
        <f>IF($H42="","",IF($R42="Ａ",LOOKUP($D42,{8000,8500,9000,10000,12000},{0,1532,1032,408,408}),IF($R42="Ｂ",LOOKUP($D42,{8000,8500,9000,10000,12000},{782,2814,2814,2814,2814}),IF($R42="Ｃ",LOOKUP($D42,{8000,8500,9000,10000,12000},{3188,5220,5220,5220,5220}),0))))</f>
      </c>
      <c r="U42" s="413">
        <f t="shared" si="9"/>
      </c>
      <c r="V42" s="540">
        <f>IF(B42="","",SUMIF('6-3_調整額内訳③(旧・旧制度)'!B:B,$B42,'6-3_調整額内訳③(旧・旧制度)'!AF:AF))</f>
      </c>
      <c r="W42" s="530">
        <f t="shared" si="10"/>
      </c>
      <c r="X42" s="598">
        <f t="shared" si="11"/>
      </c>
      <c r="Y42" s="599">
        <f t="shared" si="12"/>
      </c>
      <c r="Z42" s="570"/>
      <c r="AA42" s="413">
        <f t="shared" si="0"/>
      </c>
      <c r="AB42" s="570"/>
      <c r="AC42" s="411" t="str">
        <f t="shared" si="1"/>
        <v>0</v>
      </c>
      <c r="AD42" s="413">
        <f t="shared" si="13"/>
        <v>0</v>
      </c>
      <c r="AE42" s="672"/>
      <c r="AF42" s="411">
        <f t="shared" si="14"/>
      </c>
      <c r="AG42" s="603">
        <f t="shared" si="15"/>
      </c>
      <c r="AH42" s="850"/>
      <c r="AI42" s="850"/>
      <c r="AJ42" s="851"/>
      <c r="AL42" s="60">
        <f t="shared" si="2"/>
      </c>
      <c r="AM42" s="60">
        <f t="shared" si="3"/>
      </c>
    </row>
    <row r="43" spans="1:39" s="53" customFormat="1" ht="18.75" customHeight="1">
      <c r="A43" s="181">
        <f t="shared" si="4"/>
      </c>
      <c r="B43" s="581"/>
      <c r="C43" s="56"/>
      <c r="D43" s="466"/>
      <c r="E43" s="238"/>
      <c r="F43" s="202"/>
      <c r="G43" s="191">
        <f t="shared" si="5"/>
      </c>
      <c r="H43" s="643">
        <f t="shared" si="6"/>
      </c>
      <c r="I43" s="521"/>
      <c r="J43" s="635"/>
      <c r="K43" s="553"/>
      <c r="L43" s="109"/>
      <c r="M43" s="404">
        <f t="shared" si="7"/>
      </c>
      <c r="N43" s="549">
        <f t="shared" si="8"/>
      </c>
      <c r="O43" s="639"/>
      <c r="P43" s="194"/>
      <c r="Q43" s="543">
        <f>IF($H43="","",IF($O43="Ａ",LOOKUP($D43,{8000,8500,9000,10000,12000},{0,1532,1032,408,408}),IF($O43="Ｂ",LOOKUP($D43,{8000,8500,9000,10000,12000},{782,2814,2814,2814,2814}),IF($O43="Ｃ",LOOKUP($D43,{8000,8500,9000,10000,12000},{3188,5220,5220,5220,5220}),0))))</f>
      </c>
      <c r="R43" s="632"/>
      <c r="S43" s="202"/>
      <c r="T43" s="543">
        <f>IF($H43="","",IF($R43="Ａ",LOOKUP($D43,{8000,8500,9000,10000,12000},{0,1532,1032,408,408}),IF($R43="Ｂ",LOOKUP($D43,{8000,8500,9000,10000,12000},{782,2814,2814,2814,2814}),IF($R43="Ｃ",LOOKUP($D43,{8000,8500,9000,10000,12000},{3188,5220,5220,5220,5220}),0))))</f>
      </c>
      <c r="U43" s="413">
        <f t="shared" si="9"/>
      </c>
      <c r="V43" s="540">
        <f>IF(B43="","",SUMIF('6-3_調整額内訳③(旧・旧制度)'!B:B,$B43,'6-3_調整額内訳③(旧・旧制度)'!AF:AF))</f>
      </c>
      <c r="W43" s="530">
        <f t="shared" si="10"/>
      </c>
      <c r="X43" s="598">
        <f t="shared" si="11"/>
      </c>
      <c r="Y43" s="599">
        <f t="shared" si="12"/>
      </c>
      <c r="Z43" s="570"/>
      <c r="AA43" s="413">
        <f t="shared" si="0"/>
      </c>
      <c r="AB43" s="570"/>
      <c r="AC43" s="411" t="str">
        <f t="shared" si="1"/>
        <v>0</v>
      </c>
      <c r="AD43" s="413">
        <f t="shared" si="13"/>
        <v>0</v>
      </c>
      <c r="AE43" s="672"/>
      <c r="AF43" s="411">
        <f t="shared" si="14"/>
      </c>
      <c r="AG43" s="603">
        <f t="shared" si="15"/>
      </c>
      <c r="AH43" s="850"/>
      <c r="AI43" s="850"/>
      <c r="AJ43" s="851"/>
      <c r="AL43" s="60">
        <f t="shared" si="2"/>
      </c>
      <c r="AM43" s="60">
        <f t="shared" si="3"/>
      </c>
    </row>
    <row r="44" spans="1:39" s="53" customFormat="1" ht="18.75" customHeight="1" thickBot="1">
      <c r="A44" s="579">
        <f t="shared" si="4"/>
      </c>
      <c r="B44" s="582"/>
      <c r="C44" s="584"/>
      <c r="D44" s="468"/>
      <c r="E44" s="587"/>
      <c r="F44" s="203"/>
      <c r="G44" s="192">
        <f t="shared" si="5"/>
      </c>
      <c r="H44" s="643">
        <f t="shared" si="6"/>
      </c>
      <c r="I44" s="523"/>
      <c r="J44" s="637"/>
      <c r="K44" s="554"/>
      <c r="L44" s="110"/>
      <c r="M44" s="405">
        <f t="shared" si="7"/>
      </c>
      <c r="N44" s="550">
        <f t="shared" si="8"/>
      </c>
      <c r="O44" s="640"/>
      <c r="P44" s="195"/>
      <c r="Q44" s="544">
        <f>IF($H44="","",IF($O44="Ａ",LOOKUP($D44,{8000,8500,9000,10000,12000},{0,1532,1032,408,408}),IF($O44="Ｂ",LOOKUP($D44,{8000,8500,9000,10000,12000},{782,2814,2814,2814,2814}),IF($O44="Ｃ",LOOKUP($D44,{8000,8500,9000,10000,12000},{3188,5220,5220,5220,5220}),0))))</f>
      </c>
      <c r="R44" s="633"/>
      <c r="S44" s="203"/>
      <c r="T44" s="544">
        <f>IF($H44="","",IF($R44="Ａ",LOOKUP($D44,{8000,8500,9000,10000,12000},{0,1532,1032,408,408}),IF($R44="Ｂ",LOOKUP($D44,{8000,8500,9000,10000,12000},{782,2814,2814,2814,2814}),IF($R44="Ｃ",LOOKUP($D44,{8000,8500,9000,10000,12000},{3188,5220,5220,5220,5220}),0))))</f>
      </c>
      <c r="U44" s="415">
        <f t="shared" si="9"/>
      </c>
      <c r="V44" s="541">
        <f>IF(B44="","",SUMIF('6-3_調整額内訳③(旧・旧制度)'!B:B,$B44,'6-3_調整額内訳③(旧・旧制度)'!AF:AF))</f>
      </c>
      <c r="W44" s="531">
        <f t="shared" si="10"/>
      </c>
      <c r="X44" s="600">
        <f t="shared" si="11"/>
      </c>
      <c r="Y44" s="601">
        <f t="shared" si="12"/>
      </c>
      <c r="Z44" s="571"/>
      <c r="AA44" s="415">
        <f t="shared" si="0"/>
      </c>
      <c r="AB44" s="571"/>
      <c r="AC44" s="656" t="str">
        <f t="shared" si="1"/>
        <v>0</v>
      </c>
      <c r="AD44" s="415">
        <f t="shared" si="13"/>
        <v>0</v>
      </c>
      <c r="AE44" s="673"/>
      <c r="AF44" s="656">
        <f t="shared" si="14"/>
      </c>
      <c r="AG44" s="604">
        <f t="shared" si="15"/>
      </c>
      <c r="AH44" s="848"/>
      <c r="AI44" s="848"/>
      <c r="AJ44" s="849"/>
      <c r="AL44" s="60">
        <f t="shared" si="2"/>
      </c>
      <c r="AM44" s="60">
        <f t="shared" si="3"/>
      </c>
    </row>
    <row r="45" spans="1:39" s="65" customFormat="1" ht="25.5" customHeight="1" thickBot="1">
      <c r="A45" s="1081" t="s">
        <v>161</v>
      </c>
      <c r="B45" s="1082"/>
      <c r="C45" s="1082"/>
      <c r="D45" s="1083"/>
      <c r="E45" s="507">
        <f>SUM(E8:E44)</f>
        <v>0</v>
      </c>
      <c r="F45" s="507">
        <f>SUM(F8:F44)</f>
        <v>0</v>
      </c>
      <c r="G45" s="606">
        <f>SUM(G8:G44)</f>
        <v>0</v>
      </c>
      <c r="H45" s="469" t="s">
        <v>162</v>
      </c>
      <c r="I45" s="607" t="s">
        <v>162</v>
      </c>
      <c r="J45" s="511" t="s">
        <v>162</v>
      </c>
      <c r="K45" s="512"/>
      <c r="L45" s="512"/>
      <c r="M45" s="514">
        <f>SUM(M8:M44)</f>
        <v>0</v>
      </c>
      <c r="N45" s="515" t="s">
        <v>155</v>
      </c>
      <c r="O45" s="512" t="s">
        <v>162</v>
      </c>
      <c r="P45" s="512"/>
      <c r="Q45" s="515"/>
      <c r="R45" s="506" t="s">
        <v>162</v>
      </c>
      <c r="S45" s="512"/>
      <c r="T45" s="515"/>
      <c r="U45" s="516">
        <f aca="true" t="shared" si="16" ref="U45:AG45">SUM(U8:U44)</f>
        <v>0</v>
      </c>
      <c r="V45" s="517">
        <f t="shared" si="16"/>
        <v>0</v>
      </c>
      <c r="W45" s="518">
        <f t="shared" si="16"/>
        <v>0</v>
      </c>
      <c r="X45" s="519">
        <f t="shared" si="16"/>
        <v>0</v>
      </c>
      <c r="Y45" s="519">
        <f>SUM(Y8:Y44)</f>
        <v>0</v>
      </c>
      <c r="Z45" s="519">
        <f t="shared" si="16"/>
        <v>0</v>
      </c>
      <c r="AA45" s="519">
        <f t="shared" si="16"/>
        <v>0</v>
      </c>
      <c r="AB45" s="519">
        <f t="shared" si="16"/>
        <v>0</v>
      </c>
      <c r="AC45" s="519">
        <f t="shared" si="16"/>
        <v>0</v>
      </c>
      <c r="AD45" s="519">
        <f t="shared" si="16"/>
        <v>0</v>
      </c>
      <c r="AE45" s="519">
        <f t="shared" si="16"/>
        <v>0</v>
      </c>
      <c r="AF45" s="519">
        <f t="shared" si="16"/>
        <v>0</v>
      </c>
      <c r="AG45" s="520">
        <f t="shared" si="16"/>
        <v>0</v>
      </c>
      <c r="AH45" s="986"/>
      <c r="AI45" s="987"/>
      <c r="AJ45" s="988"/>
      <c r="AL45" s="66"/>
      <c r="AM45" s="66"/>
    </row>
    <row r="46" spans="1:39" s="295" customFormat="1" ht="15.75" customHeight="1">
      <c r="A46" s="295" t="s">
        <v>29</v>
      </c>
      <c r="O46" s="296"/>
      <c r="R46" s="296"/>
      <c r="AL46" s="297"/>
      <c r="AM46" s="297"/>
    </row>
    <row r="47" spans="1:39" s="295" customFormat="1" ht="15.75" customHeight="1">
      <c r="A47" s="295" t="s">
        <v>153</v>
      </c>
      <c r="O47" s="296"/>
      <c r="R47" s="296"/>
      <c r="AL47" s="297"/>
      <c r="AM47" s="297"/>
    </row>
    <row r="48" spans="1:39" s="295" customFormat="1" ht="15.75" customHeight="1">
      <c r="A48" s="295" t="s">
        <v>168</v>
      </c>
      <c r="O48" s="296"/>
      <c r="R48" s="296"/>
      <c r="AL48" s="297"/>
      <c r="AM48" s="297"/>
    </row>
    <row r="49" spans="1:39" s="295" customFormat="1" ht="15.75" customHeight="1">
      <c r="A49" s="295" t="s">
        <v>159</v>
      </c>
      <c r="O49" s="296"/>
      <c r="R49" s="296"/>
      <c r="AL49" s="297"/>
      <c r="AM49" s="297"/>
    </row>
    <row r="50" spans="1:39" s="295" customFormat="1" ht="15.75" customHeight="1">
      <c r="A50" s="295" t="s">
        <v>249</v>
      </c>
      <c r="O50" s="296"/>
      <c r="R50" s="296"/>
      <c r="AL50" s="297"/>
      <c r="AM50" s="297"/>
    </row>
    <row r="51" spans="1:39" s="295" customFormat="1" ht="15.75" customHeight="1">
      <c r="A51" s="295" t="s">
        <v>255</v>
      </c>
      <c r="O51" s="296"/>
      <c r="R51" s="296"/>
      <c r="AL51" s="297"/>
      <c r="AM51" s="297"/>
    </row>
    <row r="52" spans="1:39" s="295" customFormat="1" ht="15.75" customHeight="1">
      <c r="A52" s="295" t="s">
        <v>176</v>
      </c>
      <c r="O52" s="296"/>
      <c r="R52" s="296"/>
      <c r="AL52" s="297"/>
      <c r="AM52" s="297"/>
    </row>
    <row r="53" spans="1:39" s="295" customFormat="1" ht="15.75" customHeight="1">
      <c r="A53" s="295" t="s">
        <v>177</v>
      </c>
      <c r="O53" s="296"/>
      <c r="R53" s="296"/>
      <c r="AL53" s="297"/>
      <c r="AM53" s="297"/>
    </row>
    <row r="54" spans="1:39" s="295" customFormat="1" ht="15.75" customHeight="1">
      <c r="A54" s="295" t="s">
        <v>250</v>
      </c>
      <c r="O54" s="296"/>
      <c r="R54" s="296"/>
      <c r="AL54" s="297"/>
      <c r="AM54" s="297"/>
    </row>
    <row r="55" spans="1:39" s="295" customFormat="1" ht="15.75" customHeight="1">
      <c r="A55" s="295" t="s">
        <v>229</v>
      </c>
      <c r="O55" s="296"/>
      <c r="R55" s="296"/>
      <c r="AL55" s="297"/>
      <c r="AM55" s="297"/>
    </row>
    <row r="56" spans="1:38" s="295" customFormat="1" ht="15.75" customHeight="1">
      <c r="A56" s="295" t="s">
        <v>230</v>
      </c>
      <c r="O56" s="296"/>
      <c r="R56" s="296"/>
      <c r="AK56" s="297"/>
      <c r="AL56" s="297"/>
    </row>
    <row r="57" spans="1:39" s="295" customFormat="1" ht="15.75" customHeight="1">
      <c r="A57" s="295" t="s">
        <v>163</v>
      </c>
      <c r="O57" s="296"/>
      <c r="R57" s="296"/>
      <c r="AL57" s="297"/>
      <c r="AM57" s="297"/>
    </row>
    <row r="58" spans="1:39" s="295" customFormat="1" ht="15.75" customHeight="1">
      <c r="A58" s="295" t="s">
        <v>164</v>
      </c>
      <c r="O58" s="296"/>
      <c r="R58" s="296"/>
      <c r="AL58" s="297"/>
      <c r="AM58" s="297"/>
    </row>
    <row r="59" spans="1:39" s="295" customFormat="1" ht="15.75" customHeight="1">
      <c r="A59" s="295" t="s">
        <v>165</v>
      </c>
      <c r="O59" s="296"/>
      <c r="R59" s="296"/>
      <c r="AL59" s="297"/>
      <c r="AM59" s="297"/>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6">
    <mergeCell ref="I5:I6"/>
    <mergeCell ref="J5:J6"/>
    <mergeCell ref="M5:M6"/>
    <mergeCell ref="N5:N6"/>
    <mergeCell ref="O5:Q5"/>
    <mergeCell ref="P6:P7"/>
    <mergeCell ref="AH44:AJ44"/>
    <mergeCell ref="AH43:AJ43"/>
    <mergeCell ref="AH45:AJ45"/>
    <mergeCell ref="AH42:AJ42"/>
    <mergeCell ref="AF4:AF6"/>
    <mergeCell ref="AG4:AG6"/>
    <mergeCell ref="AH38:AJ38"/>
    <mergeCell ref="AH9:AJ9"/>
    <mergeCell ref="AH41:AJ41"/>
    <mergeCell ref="AH26:AJ26"/>
    <mergeCell ref="W5:W6"/>
    <mergeCell ref="A45:D45"/>
    <mergeCell ref="AH34:AJ34"/>
    <mergeCell ref="AH35:AJ35"/>
    <mergeCell ref="AH36:AJ36"/>
    <mergeCell ref="AH37:AJ37"/>
    <mergeCell ref="AE4:AE6"/>
    <mergeCell ref="AH16:AJ16"/>
    <mergeCell ref="R6:R7"/>
    <mergeCell ref="Y4:Y6"/>
    <mergeCell ref="AA4:AA6"/>
    <mergeCell ref="AM4:AM7"/>
    <mergeCell ref="AH14:AJ14"/>
    <mergeCell ref="AH15:AJ15"/>
    <mergeCell ref="AL4:AL7"/>
    <mergeCell ref="AH11:AJ11"/>
    <mergeCell ref="AH12:AJ12"/>
    <mergeCell ref="AH10:AJ10"/>
    <mergeCell ref="AH4:AJ7"/>
    <mergeCell ref="AH8:AJ8"/>
    <mergeCell ref="A4:A7"/>
    <mergeCell ref="O6:O7"/>
    <mergeCell ref="E4:G4"/>
    <mergeCell ref="D4:D6"/>
    <mergeCell ref="H4:N4"/>
    <mergeCell ref="O4:W4"/>
    <mergeCell ref="C4:C7"/>
    <mergeCell ref="B4:B7"/>
    <mergeCell ref="G5:G6"/>
    <mergeCell ref="H5:H6"/>
    <mergeCell ref="S6:S7"/>
    <mergeCell ref="X4:X6"/>
    <mergeCell ref="Z4:Z6"/>
    <mergeCell ref="AH25:AJ25"/>
    <mergeCell ref="AH30:AJ30"/>
    <mergeCell ref="AH27:AJ27"/>
    <mergeCell ref="R5:T5"/>
    <mergeCell ref="U5:U6"/>
    <mergeCell ref="V5:V6"/>
    <mergeCell ref="AH19:AJ19"/>
    <mergeCell ref="AH40:AJ40"/>
    <mergeCell ref="AH18:AJ18"/>
    <mergeCell ref="AH28:AJ28"/>
    <mergeCell ref="AH29:AJ29"/>
    <mergeCell ref="AH32:AJ32"/>
    <mergeCell ref="AH33:AJ33"/>
    <mergeCell ref="AH20:AJ20"/>
    <mergeCell ref="AH21:AJ21"/>
    <mergeCell ref="AH39:AJ39"/>
    <mergeCell ref="AH22:AJ22"/>
    <mergeCell ref="AB1:AH1"/>
    <mergeCell ref="AB2:AH2"/>
    <mergeCell ref="AB4:AB5"/>
    <mergeCell ref="AC4:AC5"/>
    <mergeCell ref="AD4:AD5"/>
    <mergeCell ref="AH31:AJ31"/>
    <mergeCell ref="AH13:AJ13"/>
    <mergeCell ref="AH17:AJ17"/>
    <mergeCell ref="AH23:AJ23"/>
    <mergeCell ref="AH24:AJ24"/>
  </mergeCells>
  <dataValidations count="4">
    <dataValidation type="whole" allowBlank="1" showInputMessage="1" showErrorMessage="1" sqref="M8:M44 Z8:Z44 AB8:AB44 H8:I44">
      <formula1>0</formula1>
      <formula2>9999999</formula2>
    </dataValidation>
    <dataValidation type="whole" allowBlank="1" showInputMessage="1" showErrorMessage="1" sqref="C8:C44">
      <formula1>1</formula1>
      <formula2>4</formula2>
    </dataValidation>
    <dataValidation type="list" allowBlank="1" showInputMessage="1" showErrorMessage="1" sqref="O9:O44">
      <formula1>"Ａ,Ｂ,Ｃ,,Ｄ"</formula1>
    </dataValidation>
    <dataValidation type="list" allowBlank="1" showInputMessage="1" showErrorMessage="1" sqref="R8:R44 O8">
      <formula1>"Ａ,Ｂ,Ｃ,Ｄ"</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35" r:id="rId3"/>
  <legacyDrawing r:id="rId2"/>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AO44"/>
  <sheetViews>
    <sheetView view="pageBreakPreview" zoomScale="75" zoomScaleNormal="75" zoomScaleSheetLayoutView="75" zoomScalePageLayoutView="0" workbookViewId="0" topLeftCell="A1">
      <selection activeCell="A1" sqref="A1"/>
    </sheetView>
  </sheetViews>
  <sheetFormatPr defaultColWidth="9.625" defaultRowHeight="13.5"/>
  <cols>
    <col min="1" max="1" width="6.25390625" style="40" customWidth="1"/>
    <col min="2" max="2" width="15.625" style="227" customWidth="1"/>
    <col min="3" max="3" width="6.00390625" style="246"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0" width="4.375" style="40" customWidth="1"/>
    <col min="31" max="32" width="10.25390625" style="40" bestFit="1" customWidth="1"/>
    <col min="33" max="33" width="9.75390625" style="40" customWidth="1"/>
    <col min="34" max="34" width="6.50390625" style="40" customWidth="1"/>
    <col min="35" max="35" width="8.25390625" style="40" customWidth="1"/>
    <col min="36" max="36" width="3.125" style="40" customWidth="1"/>
    <col min="37" max="37" width="8.625" style="41" bestFit="1" customWidth="1"/>
    <col min="38" max="38" width="5.25390625" style="41" bestFit="1" customWidth="1"/>
    <col min="39" max="16384" width="9.625" style="40" customWidth="1"/>
  </cols>
  <sheetData>
    <row r="1" spans="1:38" ht="24.75" customHeight="1">
      <c r="A1" s="39" t="s">
        <v>251</v>
      </c>
      <c r="B1" s="226"/>
      <c r="W1" s="918" t="s">
        <v>25</v>
      </c>
      <c r="X1" s="918"/>
      <c r="Y1" s="918"/>
      <c r="Z1" s="897">
        <f>'5_総括表'!E3</f>
        <v>0</v>
      </c>
      <c r="AA1" s="919"/>
      <c r="AB1" s="919"/>
      <c r="AC1" s="919"/>
      <c r="AD1" s="919"/>
      <c r="AE1" s="919"/>
      <c r="AF1" s="920"/>
      <c r="AG1" s="164" t="s">
        <v>26</v>
      </c>
      <c r="AH1" s="921">
        <f>'5_総括表'!Z3</f>
        <v>0</v>
      </c>
      <c r="AI1" s="922"/>
      <c r="AK1" s="46"/>
      <c r="AL1" s="46"/>
    </row>
    <row r="2" spans="1:38" ht="24.75" customHeight="1" thickBot="1">
      <c r="A2" s="42"/>
      <c r="W2" s="923" t="s">
        <v>23</v>
      </c>
      <c r="X2" s="923"/>
      <c r="Y2" s="923"/>
      <c r="Z2" s="900">
        <f>'5_総括表'!E4</f>
        <v>0</v>
      </c>
      <c r="AA2" s="924"/>
      <c r="AB2" s="924"/>
      <c r="AC2" s="924"/>
      <c r="AD2" s="924"/>
      <c r="AE2" s="924"/>
      <c r="AF2" s="925"/>
      <c r="AG2" s="165" t="s">
        <v>24</v>
      </c>
      <c r="AH2" s="926">
        <f>'5_総括表'!Z4</f>
        <v>0</v>
      </c>
      <c r="AI2" s="927"/>
      <c r="AK2" s="69"/>
      <c r="AL2" s="70"/>
    </row>
    <row r="3" spans="1:38" ht="21" thickBot="1">
      <c r="A3" s="281" t="s">
        <v>223</v>
      </c>
      <c r="B3" s="228"/>
      <c r="AH3" s="43"/>
      <c r="AI3" s="43" t="s">
        <v>28</v>
      </c>
      <c r="AK3" s="69"/>
      <c r="AL3" s="70"/>
    </row>
    <row r="4" spans="1:38" s="44" customFormat="1" ht="18.75" customHeight="1" thickBot="1">
      <c r="A4" s="814" t="s">
        <v>32</v>
      </c>
      <c r="B4" s="1095" t="s">
        <v>170</v>
      </c>
      <c r="C4" s="906" t="s">
        <v>16</v>
      </c>
      <c r="D4" s="809" t="s">
        <v>75</v>
      </c>
      <c r="E4" s="809" t="s">
        <v>106</v>
      </c>
      <c r="F4" s="803" t="s">
        <v>253</v>
      </c>
      <c r="G4" s="804"/>
      <c r="H4" s="804"/>
      <c r="I4" s="804"/>
      <c r="J4" s="805"/>
      <c r="K4" s="932" t="s">
        <v>65</v>
      </c>
      <c r="L4" s="933"/>
      <c r="M4" s="933"/>
      <c r="N4" s="933"/>
      <c r="O4" s="933"/>
      <c r="P4" s="933"/>
      <c r="Q4" s="933"/>
      <c r="R4" s="933"/>
      <c r="S4" s="933"/>
      <c r="T4" s="933"/>
      <c r="U4" s="933"/>
      <c r="V4" s="933"/>
      <c r="W4" s="933"/>
      <c r="X4" s="933"/>
      <c r="Y4" s="933"/>
      <c r="Z4" s="933"/>
      <c r="AA4" s="933"/>
      <c r="AB4" s="933"/>
      <c r="AC4" s="933"/>
      <c r="AD4" s="939"/>
      <c r="AE4" s="809" t="s">
        <v>63</v>
      </c>
      <c r="AF4" s="934" t="s">
        <v>64</v>
      </c>
      <c r="AG4" s="937" t="s">
        <v>66</v>
      </c>
      <c r="AH4" s="938"/>
      <c r="AI4" s="939"/>
      <c r="AK4" s="69"/>
      <c r="AL4" s="70"/>
    </row>
    <row r="5" spans="1:38" s="44" customFormat="1" ht="18.75" customHeight="1" thickBot="1">
      <c r="A5" s="903"/>
      <c r="B5" s="1096"/>
      <c r="C5" s="907"/>
      <c r="D5" s="873"/>
      <c r="E5" s="873"/>
      <c r="F5" s="932" t="s">
        <v>107</v>
      </c>
      <c r="G5" s="945"/>
      <c r="H5" s="946"/>
      <c r="I5" s="946"/>
      <c r="J5" s="947"/>
      <c r="K5" s="948" t="s">
        <v>62</v>
      </c>
      <c r="L5" s="949"/>
      <c r="M5" s="949"/>
      <c r="N5" s="949"/>
      <c r="O5" s="949"/>
      <c r="P5" s="949"/>
      <c r="Q5" s="949"/>
      <c r="R5" s="949"/>
      <c r="S5" s="949"/>
      <c r="T5" s="949"/>
      <c r="U5" s="949"/>
      <c r="V5" s="950"/>
      <c r="W5" s="803" t="s">
        <v>118</v>
      </c>
      <c r="X5" s="804"/>
      <c r="Y5" s="804"/>
      <c r="Z5" s="804"/>
      <c r="AA5" s="804"/>
      <c r="AB5" s="804"/>
      <c r="AC5" s="804"/>
      <c r="AD5" s="805"/>
      <c r="AE5" s="873"/>
      <c r="AF5" s="935"/>
      <c r="AG5" s="940"/>
      <c r="AH5" s="941"/>
      <c r="AI5" s="942"/>
      <c r="AK5" s="69"/>
      <c r="AL5" s="70"/>
    </row>
    <row r="6" spans="1:38" s="44" customFormat="1" ht="21.75" customHeight="1" thickBot="1">
      <c r="A6" s="903"/>
      <c r="B6" s="1096"/>
      <c r="C6" s="907"/>
      <c r="D6" s="873"/>
      <c r="E6" s="873"/>
      <c r="F6" s="951" t="s">
        <v>18</v>
      </c>
      <c r="G6" s="928" t="s">
        <v>50</v>
      </c>
      <c r="H6" s="951" t="s">
        <v>18</v>
      </c>
      <c r="I6" s="928" t="s">
        <v>50</v>
      </c>
      <c r="J6" s="930" t="s">
        <v>190</v>
      </c>
      <c r="K6" s="1094" t="s">
        <v>60</v>
      </c>
      <c r="L6" s="1094"/>
      <c r="M6" s="1094"/>
      <c r="N6" s="953" t="s">
        <v>61</v>
      </c>
      <c r="O6" s="954"/>
      <c r="P6" s="954"/>
      <c r="Q6" s="954"/>
      <c r="R6" s="954"/>
      <c r="S6" s="954"/>
      <c r="T6" s="954"/>
      <c r="U6" s="954"/>
      <c r="V6" s="955"/>
      <c r="W6" s="932" t="s">
        <v>191</v>
      </c>
      <c r="X6" s="957" t="s">
        <v>191</v>
      </c>
      <c r="Y6" s="932" t="s">
        <v>192</v>
      </c>
      <c r="Z6" s="960" t="s">
        <v>192</v>
      </c>
      <c r="AA6" s="1007" t="s">
        <v>193</v>
      </c>
      <c r="AB6" s="1010" t="s">
        <v>193</v>
      </c>
      <c r="AC6" s="1088" t="s">
        <v>194</v>
      </c>
      <c r="AD6" s="1091" t="s">
        <v>194</v>
      </c>
      <c r="AE6" s="873"/>
      <c r="AF6" s="936"/>
      <c r="AG6" s="943"/>
      <c r="AH6" s="944"/>
      <c r="AI6" s="942"/>
      <c r="AK6" s="69"/>
      <c r="AL6" s="71"/>
    </row>
    <row r="7" spans="1:41" s="44" customFormat="1" ht="20.25" customHeight="1" thickBot="1">
      <c r="A7" s="903"/>
      <c r="B7" s="1096"/>
      <c r="C7" s="907"/>
      <c r="D7" s="873"/>
      <c r="E7" s="873"/>
      <c r="F7" s="952"/>
      <c r="G7" s="929"/>
      <c r="H7" s="952"/>
      <c r="I7" s="929"/>
      <c r="J7" s="931"/>
      <c r="K7" s="803" t="s">
        <v>54</v>
      </c>
      <c r="L7" s="1087" t="s">
        <v>55</v>
      </c>
      <c r="M7" s="805" t="s">
        <v>56</v>
      </c>
      <c r="N7" s="803" t="s">
        <v>51</v>
      </c>
      <c r="O7" s="1087" t="s">
        <v>195</v>
      </c>
      <c r="P7" s="1087" t="s">
        <v>196</v>
      </c>
      <c r="Q7" s="1087" t="s">
        <v>197</v>
      </c>
      <c r="R7" s="1087" t="s">
        <v>52</v>
      </c>
      <c r="S7" s="1087" t="s">
        <v>53</v>
      </c>
      <c r="T7" s="1087" t="s">
        <v>57</v>
      </c>
      <c r="U7" s="1087" t="s">
        <v>58</v>
      </c>
      <c r="V7" s="805" t="s">
        <v>59</v>
      </c>
      <c r="W7" s="943"/>
      <c r="X7" s="958"/>
      <c r="Y7" s="943"/>
      <c r="Z7" s="961"/>
      <c r="AA7" s="1008"/>
      <c r="AB7" s="1011"/>
      <c r="AC7" s="1089"/>
      <c r="AD7" s="1092"/>
      <c r="AE7" s="873"/>
      <c r="AF7" s="936"/>
      <c r="AG7" s="943"/>
      <c r="AH7" s="944"/>
      <c r="AI7" s="942"/>
      <c r="AK7" s="967" t="s">
        <v>30</v>
      </c>
      <c r="AL7" s="967" t="s">
        <v>198</v>
      </c>
      <c r="AM7" s="72"/>
      <c r="AN7" s="72"/>
      <c r="AO7" s="72"/>
    </row>
    <row r="8" spans="1:38" s="44" customFormat="1" ht="18.75" customHeight="1" thickBot="1">
      <c r="A8" s="904"/>
      <c r="B8" s="1097"/>
      <c r="C8" s="908"/>
      <c r="D8" s="905"/>
      <c r="E8" s="873"/>
      <c r="F8" s="952"/>
      <c r="G8" s="676" t="s">
        <v>199</v>
      </c>
      <c r="H8" s="952"/>
      <c r="I8" s="73" t="s">
        <v>200</v>
      </c>
      <c r="J8" s="47" t="s">
        <v>201</v>
      </c>
      <c r="K8" s="932"/>
      <c r="L8" s="963"/>
      <c r="M8" s="939"/>
      <c r="N8" s="932"/>
      <c r="O8" s="963"/>
      <c r="P8" s="963"/>
      <c r="Q8" s="963"/>
      <c r="R8" s="963"/>
      <c r="S8" s="963"/>
      <c r="T8" s="963"/>
      <c r="U8" s="963"/>
      <c r="V8" s="939"/>
      <c r="W8" s="956"/>
      <c r="X8" s="959"/>
      <c r="Y8" s="956"/>
      <c r="Z8" s="962"/>
      <c r="AA8" s="1009"/>
      <c r="AB8" s="1012"/>
      <c r="AC8" s="1090"/>
      <c r="AD8" s="1093"/>
      <c r="AE8" s="490" t="s">
        <v>202</v>
      </c>
      <c r="AF8" s="74" t="s">
        <v>203</v>
      </c>
      <c r="AG8" s="943"/>
      <c r="AH8" s="944"/>
      <c r="AI8" s="942"/>
      <c r="AK8" s="968"/>
      <c r="AL8" s="968"/>
    </row>
    <row r="9" spans="1:38" s="53" customFormat="1" ht="18.75" customHeight="1">
      <c r="A9" s="26">
        <f>IF(B9="","",ROW($A9)-ROW($A$8))</f>
      </c>
      <c r="B9" s="259"/>
      <c r="C9" s="247">
        <f>IF(B9="","",VLOOKUP($B9,'6-2_算定表③(旧・旧制度)'!$B$8:$U$65536,2,FALSE))</f>
      </c>
      <c r="D9" s="417">
        <f>IF(B9="","",VLOOKUP($B9,'6-2_算定表③(旧・旧制度)'!$B$8:$U$65536,3,FALSE))</f>
      </c>
      <c r="E9" s="417">
        <f>IF(B9="","",VLOOKUP($B9,'6-2_算定表③(旧・旧制度)'!$B$8:$U$65536,6,FALSE))</f>
      </c>
      <c r="F9" s="418">
        <f>IF(B9="","",VLOOKUP($B9,'6-2_算定表③(旧・旧制度)'!$B$8:$U$65536,14,FALSE))</f>
      </c>
      <c r="G9" s="417">
        <f>IF(B9="","",VLOOKUP($B9,'6-2_算定表③(旧・旧制度)'!$B$8:$U$65536,16,FALSE))</f>
      </c>
      <c r="H9" s="692">
        <f>IF(B9="","",VLOOKUP($B9,'6-2_算定表③(旧・旧制度)'!$B$8:$U$65536,17,FALSE))</f>
      </c>
      <c r="I9" s="689">
        <f>IF(B9="","",VLOOKUP($B9,'6-2_算定表③(旧・旧制度)'!$B$8:$U$65536,19,FALSE))</f>
      </c>
      <c r="J9" s="426">
        <f>IF(B9="","",VLOOKUP($B9,'6-2_算定表③(旧・旧制度)'!$B$8:$U$65536,20,FALSE))</f>
      </c>
      <c r="K9" s="700">
        <f>IF($B9="","",VLOOKUP($B9,'6-2_算定表③(旧・旧制度)'!$B$8:$U$65536,14,FALSE))</f>
      </c>
      <c r="L9" s="419">
        <f>IF($B9="","",VLOOKUP($B9,'6-2_算定表③(旧・旧制度)'!$B$8:$U$65536,14,FALSE))</f>
      </c>
      <c r="M9" s="701">
        <f>IF($B9="","",VLOOKUP($B9,'6-2_算定表③(旧・旧制度)'!$B$8:$U$65536,14,FALSE))</f>
      </c>
      <c r="N9" s="700">
        <f>IF($B9="","",VLOOKUP($B9,'6-2_算定表③(旧・旧制度)'!$B$8:$U$65536,17,FALSE))</f>
      </c>
      <c r="O9" s="419">
        <f>IF($B9="","",VLOOKUP($B9,'6-2_算定表③(旧・旧制度)'!$B$8:$U$65536,17,FALSE))</f>
      </c>
      <c r="P9" s="419">
        <f>IF($B9="","",VLOOKUP($B9,'6-2_算定表③(旧・旧制度)'!$B$8:$U$65536,17,FALSE))</f>
      </c>
      <c r="Q9" s="419">
        <f>IF($B9="","",VLOOKUP($B9,'6-2_算定表③(旧・旧制度)'!$B$8:$U$65536,17,FALSE))</f>
      </c>
      <c r="R9" s="419">
        <f>IF($B9="","",VLOOKUP($B9,'6-2_算定表③(旧・旧制度)'!$B$8:$U$65536,17,FALSE))</f>
      </c>
      <c r="S9" s="419">
        <f>IF($B9="","",VLOOKUP($B9,'6-2_算定表③(旧・旧制度)'!$B$8:$U$65536,17,FALSE))</f>
      </c>
      <c r="T9" s="419">
        <f>IF($B9="","",VLOOKUP($B9,'6-2_算定表③(旧・旧制度)'!$B$8:$U$65536,17,FALSE))</f>
      </c>
      <c r="U9" s="419">
        <f>IF($B9="","",VLOOKUP($B9,'6-2_算定表③(旧・旧制度)'!$B$8:$U$65536,17,FALSE))</f>
      </c>
      <c r="V9" s="701">
        <f>IF($B9="","",VLOOKUP($B9,'6-2_算定表③(旧・旧制度)'!$B$8:$U$65536,17,FALSE))</f>
      </c>
      <c r="W9" s="424">
        <f>IF($B9="","",COUNTIF($K9:$M9,W$6))</f>
      </c>
      <c r="X9" s="421">
        <f>IF($B9="","",COUNTIF($N9:$V9,X$6))</f>
      </c>
      <c r="Y9" s="420">
        <f>IF($B9="","",COUNTIF($K9:$M9,Y$6))</f>
      </c>
      <c r="Z9" s="422">
        <f>IF($B9="","",COUNTIF($N9:$V9,Z$6))</f>
      </c>
      <c r="AA9" s="423">
        <f>IF($B9="","",COUNTIF($K9:$M9,AA$6))</f>
      </c>
      <c r="AB9" s="424">
        <f>IF($B9="","",COUNTIF($N9:$V9,AB$6))</f>
      </c>
      <c r="AC9" s="423">
        <f>IF($B9="","",COUNTIF($K9:$M9,AC$6))</f>
      </c>
      <c r="AD9" s="424">
        <f>IF($B9="","",COUNTIF($N9:$V9,AD$6))</f>
      </c>
      <c r="AE9" s="410">
        <f>IF(B9="","",ROUNDUP((G9/'6-2_算定表③(旧・旧制度)'!J8*W9)+(I9/'6-2_算定表③(旧・旧制度)'!J8*X9)+(G9/'6-2_算定表③(旧・旧制度)'!J8*Y9)+(I9/'6-2_算定表③(旧・旧制度)'!J8*Z9)+(G9/'6-2_算定表③(旧・旧制度)'!J8*AA9)+(I9/'6-2_算定表③(旧・旧制度)'!J8*AB9),0))</f>
      </c>
      <c r="AF9" s="535">
        <f>IF(B9="","",AE9-J9)</f>
      </c>
      <c r="AG9" s="1004">
        <f>IF(B9="","",VLOOKUP($B9,'6-2_算定表③(旧・旧制度)'!$B$8:$AH$65536,33,FALSE))</f>
      </c>
      <c r="AH9" s="1005" t="s">
        <v>205</v>
      </c>
      <c r="AI9" s="1006" t="s">
        <v>205</v>
      </c>
      <c r="AK9" s="60">
        <f>IF(A9&gt;0,ASC(C9&amp;H9),"")</f>
      </c>
      <c r="AL9" s="60">
        <f>IF(B9="","",IF(AF9=0,0,1))</f>
      </c>
    </row>
    <row r="10" spans="1:38" s="53" customFormat="1" ht="18.75" customHeight="1">
      <c r="A10" s="34">
        <f>IF(B10="","",ROW($A10)-ROW($A$8))</f>
      </c>
      <c r="B10" s="240"/>
      <c r="C10" s="80">
        <f>IF(B10="","",VLOOKUP($B10,'6-2_算定表③(旧・旧制度)'!$B$8:$U$65536,2,FALSE))</f>
      </c>
      <c r="D10" s="427">
        <f>IF(B10="","",VLOOKUP($B10,'6-2_算定表③(旧・旧制度)'!$B$8:$U$65536,3,FALSE))</f>
      </c>
      <c r="E10" s="441">
        <f>IF(B10="","",VLOOKUP($B10,'6-2_算定表③(旧・旧制度)'!$B$8:$U$65536,6,FALSE))</f>
      </c>
      <c r="F10" s="442">
        <f>IF(B10="","",VLOOKUP($B10,'6-2_算定表③(旧・旧制度)'!$B$8:$U$65536,14,FALSE))</f>
      </c>
      <c r="G10" s="441">
        <f>IF(B10="","",VLOOKUP($B10,'6-2_算定表③(旧・旧制度)'!$B$8:$U$65536,16,FALSE))</f>
      </c>
      <c r="H10" s="693">
        <f>IF(B10="","",VLOOKUP($B10,'6-2_算定表③(旧・旧制度)'!$B$8:$U$65536,17,FALSE))</f>
      </c>
      <c r="I10" s="690">
        <f>IF(B10="","",VLOOKUP($B10,'6-2_算定表③(旧・旧制度)'!$B$8:$U$65536,16,FALSE))</f>
      </c>
      <c r="J10" s="440">
        <f>IF(B10="","",VLOOKUP($B10,'6-2_算定表③(旧・旧制度)'!$B$8:$U$65536,17,FALSE))</f>
      </c>
      <c r="K10" s="702">
        <f>IF($B10="","",VLOOKUP($B10,'6-2_算定表③(旧・旧制度)'!$B$8:$U$65536,14,FALSE))</f>
      </c>
      <c r="L10" s="443">
        <f>IF($B10="","",VLOOKUP($B10,'6-2_算定表③(旧・旧制度)'!$B$8:$U$65536,14,FALSE))</f>
      </c>
      <c r="M10" s="703">
        <f>IF($B10="","",VLOOKUP($B10,'6-2_算定表③(旧・旧制度)'!$B$8:$U$65536,14,FALSE))</f>
      </c>
      <c r="N10" s="702">
        <f>IF($B10="","",VLOOKUP($B10,'6-2_算定表③(旧・旧制度)'!$B$8:$U$65536,17,FALSE))</f>
      </c>
      <c r="O10" s="443">
        <f>IF($B10="","",VLOOKUP($B10,'6-2_算定表③(旧・旧制度)'!$B$8:$U$65536,17,FALSE))</f>
      </c>
      <c r="P10" s="443">
        <f>IF($B10="","",VLOOKUP($B10,'6-2_算定表③(旧・旧制度)'!$B$8:$U$65536,17,FALSE))</f>
      </c>
      <c r="Q10" s="443">
        <f>IF($B10="","",VLOOKUP($B10,'6-2_算定表③(旧・旧制度)'!$B$8:$U$65536,17,FALSE))</f>
      </c>
      <c r="R10" s="443">
        <f>IF($B10="","",VLOOKUP($B10,'6-2_算定表③(旧・旧制度)'!$B$8:$U$65536,17,FALSE))</f>
      </c>
      <c r="S10" s="443">
        <f>IF($B10="","",VLOOKUP($B10,'6-2_算定表③(旧・旧制度)'!$B$8:$U$65536,17,FALSE))</f>
      </c>
      <c r="T10" s="443">
        <f>IF($B10="","",VLOOKUP($B10,'6-2_算定表③(旧・旧制度)'!$B$8:$U$65536,17,FALSE))</f>
      </c>
      <c r="U10" s="443">
        <f>IF($B10="","",VLOOKUP($B10,'6-2_算定表③(旧・旧制度)'!$B$8:$U$65536,17,FALSE))</f>
      </c>
      <c r="V10" s="703">
        <f>IF($B10="","",VLOOKUP($B10,'6-2_算定表③(旧・旧制度)'!$B$8:$U$65536,17,FALSE))</f>
      </c>
      <c r="W10" s="451">
        <f>IF($B10="","",COUNTIF($K10:$M10,W$6))</f>
      </c>
      <c r="X10" s="435">
        <f>IF($B10="","",COUNTIF($N10:$V10,X$6))</f>
      </c>
      <c r="Y10" s="434">
        <f>IF($B10="","",COUNTIF($K10:$M10,Y$6))</f>
      </c>
      <c r="Z10" s="436">
        <f>IF($B10="","",COUNTIF($N10:$V10,Z$6))</f>
      </c>
      <c r="AA10" s="437">
        <f>IF($B10="","",COUNTIF($K10:$M10,AA$6))</f>
      </c>
      <c r="AB10" s="438">
        <f>IF($B10="","",COUNTIF($N10:$V10,AB$6))</f>
      </c>
      <c r="AC10" s="437">
        <f>IF($B10="","",COUNTIF($K10:$M10,AC$6))</f>
      </c>
      <c r="AD10" s="438">
        <f>IF($B10="","",COUNTIF($N10:$V10,AD$6))</f>
      </c>
      <c r="AE10" s="413">
        <f>IF(B10="","",ROUNDUP((G10/'6-2_算定表③(旧・旧制度)'!J9*W10)+(I10/'6-2_算定表③(旧・旧制度)'!J9*X10)+(G10/'6-2_算定表③(旧・旧制度)'!J9*Y10)+(I10/'6-2_算定表③(旧・旧制度)'!J9*Z10)+(G10/'6-2_算定表③(旧・旧制度)'!J9*AA10)+(I10/'6-2_算定表③(旧・旧制度)'!J9*AB10),0))</f>
      </c>
      <c r="AF10" s="605">
        <f>IF(B10="","",AE10-J10)</f>
      </c>
      <c r="AG10" s="998">
        <f>IF(B10="","",VLOOKUP($B10,'6-2_算定表③(旧・旧制度)'!$B$8:$AH$65536,33,FALSE))</f>
      </c>
      <c r="AH10" s="999" t="s">
        <v>205</v>
      </c>
      <c r="AI10" s="1000" t="s">
        <v>205</v>
      </c>
      <c r="AK10" s="54">
        <f>IF(A10&gt;0,ASC(C10&amp;H10),"")</f>
      </c>
      <c r="AL10" s="54">
        <f>IF(B10="","",IF(AF10=0,0,1))</f>
      </c>
    </row>
    <row r="11" spans="1:38" s="53" customFormat="1" ht="18.75" customHeight="1">
      <c r="A11" s="27">
        <f aca="true" t="shared" si="0" ref="A11:A38">IF(B11="","",ROW($A11)-ROW($A$8))</f>
      </c>
      <c r="B11" s="240"/>
      <c r="C11" s="83">
        <f>IF(B11="","",VLOOKUP($B11,'6-2_算定表③(旧・旧制度)'!$B$8:$U$65536,2,FALSE))</f>
      </c>
      <c r="D11" s="441">
        <f>IF(B11="","",VLOOKUP($B11,'6-2_算定表③(旧・旧制度)'!$B$8:$U$65536,3,FALSE))</f>
      </c>
      <c r="E11" s="441">
        <f>IF(B11="","",VLOOKUP($B11,'6-2_算定表③(旧・旧制度)'!$B$8:$U$65536,6,FALSE))</f>
      </c>
      <c r="F11" s="442">
        <f>IF(B11="","",VLOOKUP($B11,'6-2_算定表③(旧・旧制度)'!$B$8:$U$65536,14,FALSE))</f>
      </c>
      <c r="G11" s="441">
        <f>IF(B11="","",VLOOKUP($B11,'6-2_算定表③(旧・旧制度)'!$B$8:$U$65536,16,FALSE))</f>
      </c>
      <c r="H11" s="693">
        <f>IF(B11="","",VLOOKUP($B11,'6-2_算定表③(旧・旧制度)'!$B$8:$U$65536,17,FALSE))</f>
      </c>
      <c r="I11" s="691">
        <f>IF(B11="","",VLOOKUP($B11,'6-2_算定表③(旧・旧制度)'!$B$8:$U$65536,16,FALSE))</f>
      </c>
      <c r="J11" s="411">
        <f>IF(B11="","",VLOOKUP($B11,'6-2_算定表③(旧・旧制度)'!$B$8:$U$65536,17,FALSE))</f>
      </c>
      <c r="K11" s="702">
        <f>IF($B11="","",VLOOKUP($B11,'6-2_算定表③(旧・旧制度)'!$B$8:$U$65536,14,FALSE))</f>
      </c>
      <c r="L11" s="443">
        <f>IF($B11="","",VLOOKUP($B11,'6-2_算定表③(旧・旧制度)'!$B$8:$U$65536,14,FALSE))</f>
      </c>
      <c r="M11" s="703">
        <f>IF($B11="","",VLOOKUP($B11,'6-2_算定表③(旧・旧制度)'!$B$8:$U$65536,14,FALSE))</f>
      </c>
      <c r="N11" s="702">
        <f>IF($B11="","",VLOOKUP($B11,'6-2_算定表③(旧・旧制度)'!$B$8:$U$65536,17,FALSE))</f>
      </c>
      <c r="O11" s="443">
        <f>IF($B11="","",VLOOKUP($B11,'6-2_算定表③(旧・旧制度)'!$B$8:$U$65536,17,FALSE))</f>
      </c>
      <c r="P11" s="443">
        <f>IF($B11="","",VLOOKUP($B11,'6-2_算定表③(旧・旧制度)'!$B$8:$U$65536,17,FALSE))</f>
      </c>
      <c r="Q11" s="443">
        <f>IF($B11="","",VLOOKUP($B11,'6-2_算定表③(旧・旧制度)'!$B$8:$U$65536,17,FALSE))</f>
      </c>
      <c r="R11" s="443">
        <f>IF($B11="","",VLOOKUP($B11,'6-2_算定表③(旧・旧制度)'!$B$8:$U$65536,17,FALSE))</f>
      </c>
      <c r="S11" s="443">
        <f>IF($B11="","",VLOOKUP($B11,'6-2_算定表③(旧・旧制度)'!$B$8:$U$65536,17,FALSE))</f>
      </c>
      <c r="T11" s="443">
        <f>IF($B11="","",VLOOKUP($B11,'6-2_算定表③(旧・旧制度)'!$B$8:$U$65536,17,FALSE))</f>
      </c>
      <c r="U11" s="443">
        <f>IF($B11="","",VLOOKUP($B11,'6-2_算定表③(旧・旧制度)'!$B$8:$U$65536,17,FALSE))</f>
      </c>
      <c r="V11" s="703">
        <f>IF($B11="","",VLOOKUP($B11,'6-2_算定表③(旧・旧制度)'!$B$8:$U$65536,17,FALSE))</f>
      </c>
      <c r="W11" s="451">
        <f aca="true" t="shared" si="1" ref="W11:W38">IF($B11="","",COUNTIF($K11:$M11,W$6))</f>
      </c>
      <c r="X11" s="435">
        <f aca="true" t="shared" si="2" ref="X11:X38">IF($B11="","",COUNTIF($N11:$V11,X$6))</f>
      </c>
      <c r="Y11" s="434">
        <f aca="true" t="shared" si="3" ref="Y11:Y38">IF($B11="","",COUNTIF($K11:$M11,Y$6))</f>
      </c>
      <c r="Z11" s="436">
        <f aca="true" t="shared" si="4" ref="Z11:Z38">IF($B11="","",COUNTIF($N11:$V11,Z$6))</f>
      </c>
      <c r="AA11" s="437">
        <f aca="true" t="shared" si="5" ref="AA11:AA38">IF($B11="","",COUNTIF($K11:$M11,AA$6))</f>
      </c>
      <c r="AB11" s="438">
        <f aca="true" t="shared" si="6" ref="AB11:AB38">IF($B11="","",COUNTIF($N11:$V11,AB$6))</f>
      </c>
      <c r="AC11" s="437">
        <f aca="true" t="shared" si="7" ref="AC11:AC38">IF($B11="","",COUNTIF($K11:$M11,AC$6))</f>
      </c>
      <c r="AD11" s="438">
        <f aca="true" t="shared" si="8" ref="AD11:AD38">IF($B11="","",COUNTIF($N11:$V11,AD$6))</f>
      </c>
      <c r="AE11" s="413">
        <f>IF(B11="","",ROUNDUP((G11/'6-2_算定表③(旧・旧制度)'!J10*W11)+(I11/'6-2_算定表③(旧・旧制度)'!J10*X11)+(G11/'6-2_算定表③(旧・旧制度)'!J10*Y11)+(I11/'6-2_算定表③(旧・旧制度)'!J10*Z11)+(G11/'6-2_算定表③(旧・旧制度)'!J10*AA11)+(I11/'6-2_算定表③(旧・旧制度)'!J10*AB11),0))</f>
      </c>
      <c r="AF11" s="412">
        <f aca="true" t="shared" si="9" ref="AF11:AF38">IF(B11="","",AE11-J11)</f>
      </c>
      <c r="AG11" s="998">
        <f>IF(B11="","",VLOOKUP($B11,'6-2_算定表③(旧・旧制度)'!$B$8:$AH$65536,33,FALSE))</f>
      </c>
      <c r="AH11" s="999" t="s">
        <v>205</v>
      </c>
      <c r="AI11" s="1000" t="s">
        <v>205</v>
      </c>
      <c r="AK11" s="60">
        <f aca="true" t="shared" si="10" ref="AK11:AK38">IF(A11&gt;0,ASC(C11&amp;H11),"")</f>
      </c>
      <c r="AL11" s="60">
        <f aca="true" t="shared" si="11" ref="AL11:AL38">IF(B11="","",IF(AF11=0,0,1))</f>
      </c>
    </row>
    <row r="12" spans="1:38" s="53" customFormat="1" ht="18.75" customHeight="1">
      <c r="A12" s="27">
        <f t="shared" si="0"/>
      </c>
      <c r="B12" s="240"/>
      <c r="C12" s="83">
        <f>IF(B12="","",VLOOKUP($B12,'6-2_算定表③(旧・旧制度)'!$B$8:$U$65536,2,FALSE))</f>
      </c>
      <c r="D12" s="441">
        <f>IF(B12="","",VLOOKUP($B12,'6-2_算定表③(旧・旧制度)'!$B$8:$U$65536,3,FALSE))</f>
      </c>
      <c r="E12" s="441">
        <f>IF(B12="","",VLOOKUP($B12,'6-2_算定表③(旧・旧制度)'!$B$8:$U$65536,6,FALSE))</f>
      </c>
      <c r="F12" s="442">
        <f>IF(B12="","",VLOOKUP($B12,'6-2_算定表③(旧・旧制度)'!$B$8:$U$65536,14,FALSE))</f>
      </c>
      <c r="G12" s="441">
        <f>IF(B12="","",VLOOKUP($B12,'6-2_算定表③(旧・旧制度)'!$B$8:$U$65536,16,FALSE))</f>
      </c>
      <c r="H12" s="693">
        <f>IF(B12="","",VLOOKUP($B12,'6-2_算定表③(旧・旧制度)'!$B$8:$U$65536,17,FALSE))</f>
      </c>
      <c r="I12" s="691">
        <f>IF(B12="","",VLOOKUP($B12,'6-2_算定表③(旧・旧制度)'!$B$8:$U$65536,16,FALSE))</f>
      </c>
      <c r="J12" s="411">
        <f>IF(B12="","",VLOOKUP($B12,'6-2_算定表③(旧・旧制度)'!$B$8:$U$65536,17,FALSE))</f>
      </c>
      <c r="K12" s="702">
        <f>IF($B12="","",VLOOKUP($B12,'6-2_算定表③(旧・旧制度)'!$B$8:$U$65536,14,FALSE))</f>
      </c>
      <c r="L12" s="443">
        <f>IF($B12="","",VLOOKUP($B12,'6-2_算定表③(旧・旧制度)'!$B$8:$U$65536,14,FALSE))</f>
      </c>
      <c r="M12" s="703">
        <f>IF($B12="","",VLOOKUP($B12,'6-2_算定表③(旧・旧制度)'!$B$8:$U$65536,14,FALSE))</f>
      </c>
      <c r="N12" s="702">
        <f>IF($B12="","",VLOOKUP($B12,'6-2_算定表③(旧・旧制度)'!$B$8:$U$65536,17,FALSE))</f>
      </c>
      <c r="O12" s="443">
        <f>IF($B12="","",VLOOKUP($B12,'6-2_算定表③(旧・旧制度)'!$B$8:$U$65536,17,FALSE))</f>
      </c>
      <c r="P12" s="443">
        <f>IF($B12="","",VLOOKUP($B12,'6-2_算定表③(旧・旧制度)'!$B$8:$U$65536,17,FALSE))</f>
      </c>
      <c r="Q12" s="443">
        <f>IF($B12="","",VLOOKUP($B12,'6-2_算定表③(旧・旧制度)'!$B$8:$U$65536,17,FALSE))</f>
      </c>
      <c r="R12" s="443">
        <f>IF($B12="","",VLOOKUP($B12,'6-2_算定表③(旧・旧制度)'!$B$8:$U$65536,17,FALSE))</f>
      </c>
      <c r="S12" s="443">
        <f>IF($B12="","",VLOOKUP($B12,'6-2_算定表③(旧・旧制度)'!$B$8:$U$65536,17,FALSE))</f>
      </c>
      <c r="T12" s="443">
        <f>IF($B12="","",VLOOKUP($B12,'6-2_算定表③(旧・旧制度)'!$B$8:$U$65536,17,FALSE))</f>
      </c>
      <c r="U12" s="443">
        <f>IF($B12="","",VLOOKUP($B12,'6-2_算定表③(旧・旧制度)'!$B$8:$U$65536,17,FALSE))</f>
      </c>
      <c r="V12" s="703">
        <f>IF($B12="","",VLOOKUP($B12,'6-2_算定表③(旧・旧制度)'!$B$8:$U$65536,17,FALSE))</f>
      </c>
      <c r="W12" s="438">
        <f t="shared" si="1"/>
      </c>
      <c r="X12" s="445">
        <f t="shared" si="2"/>
      </c>
      <c r="Y12" s="444">
        <f t="shared" si="3"/>
      </c>
      <c r="Z12" s="446">
        <f t="shared" si="4"/>
      </c>
      <c r="AA12" s="437">
        <f t="shared" si="5"/>
      </c>
      <c r="AB12" s="438">
        <f t="shared" si="6"/>
      </c>
      <c r="AC12" s="437">
        <f t="shared" si="7"/>
      </c>
      <c r="AD12" s="438">
        <f t="shared" si="8"/>
      </c>
      <c r="AE12" s="413">
        <f>IF(B12="","",ROUNDUP((G12/'6-2_算定表③(旧・旧制度)'!J11*W12)+(I12/'6-2_算定表③(旧・旧制度)'!J11*X12)+(G12/'6-2_算定表③(旧・旧制度)'!J11*Y12)+(I12/'6-2_算定表③(旧・旧制度)'!J11*Z12)+(G12/'6-2_算定表③(旧・旧制度)'!J11*AA12)+(I12/'6-2_算定表③(旧・旧制度)'!J11*AB12),0))</f>
      </c>
      <c r="AF12" s="412">
        <f t="shared" si="9"/>
      </c>
      <c r="AG12" s="998">
        <f>IF(B12="","",VLOOKUP($B12,'6-2_算定表③(旧・旧制度)'!$B$8:$AH$65536,33,FALSE))</f>
      </c>
      <c r="AH12" s="999" t="s">
        <v>205</v>
      </c>
      <c r="AI12" s="1000" t="s">
        <v>205</v>
      </c>
      <c r="AK12" s="60">
        <f t="shared" si="10"/>
      </c>
      <c r="AL12" s="60">
        <f t="shared" si="11"/>
      </c>
    </row>
    <row r="13" spans="1:38" s="53" customFormat="1" ht="18.75" customHeight="1">
      <c r="A13" s="27">
        <f t="shared" si="0"/>
      </c>
      <c r="B13" s="240"/>
      <c r="C13" s="83">
        <f>IF(B13="","",VLOOKUP($B13,'6-2_算定表③(旧・旧制度)'!$B$8:$U$65536,2,FALSE))</f>
      </c>
      <c r="D13" s="441">
        <f>IF(B13="","",VLOOKUP($B13,'6-2_算定表③(旧・旧制度)'!$B$8:$U$65536,3,FALSE))</f>
      </c>
      <c r="E13" s="441">
        <f>IF(B13="","",VLOOKUP($B13,'6-2_算定表③(旧・旧制度)'!$B$8:$U$65536,6,FALSE))</f>
      </c>
      <c r="F13" s="442">
        <f>IF(B13="","",VLOOKUP($B13,'6-2_算定表③(旧・旧制度)'!$B$8:$U$65536,14,FALSE))</f>
      </c>
      <c r="G13" s="441">
        <f>IF(B13="","",VLOOKUP($B13,'6-2_算定表③(旧・旧制度)'!$B$8:$U$65536,16,FALSE))</f>
      </c>
      <c r="H13" s="693">
        <f>IF(B13="","",VLOOKUP($B13,'6-2_算定表③(旧・旧制度)'!$B$8:$U$65536,17,FALSE))</f>
      </c>
      <c r="I13" s="691">
        <f>IF(B13="","",VLOOKUP($B13,'6-2_算定表③(旧・旧制度)'!$B$8:$U$65536,16,FALSE))</f>
      </c>
      <c r="J13" s="411">
        <f>IF(B13="","",VLOOKUP($B13,'6-2_算定表③(旧・旧制度)'!$B$8:$U$65536,17,FALSE))</f>
      </c>
      <c r="K13" s="702">
        <f>IF($B13="","",VLOOKUP($B13,'6-2_算定表③(旧・旧制度)'!$B$8:$U$65536,14,FALSE))</f>
      </c>
      <c r="L13" s="443">
        <f>IF($B13="","",VLOOKUP($B13,'6-2_算定表③(旧・旧制度)'!$B$8:$U$65536,14,FALSE))</f>
      </c>
      <c r="M13" s="703">
        <f>IF($B13="","",VLOOKUP($B13,'6-2_算定表③(旧・旧制度)'!$B$8:$U$65536,14,FALSE))</f>
      </c>
      <c r="N13" s="702">
        <f>IF($B13="","",VLOOKUP($B13,'6-2_算定表③(旧・旧制度)'!$B$8:$U$65536,17,FALSE))</f>
      </c>
      <c r="O13" s="443">
        <f>IF($B13="","",VLOOKUP($B13,'6-2_算定表③(旧・旧制度)'!$B$8:$U$65536,17,FALSE))</f>
      </c>
      <c r="P13" s="443">
        <f>IF($B13="","",VLOOKUP($B13,'6-2_算定表③(旧・旧制度)'!$B$8:$U$65536,17,FALSE))</f>
      </c>
      <c r="Q13" s="443">
        <f>IF($B13="","",VLOOKUP($B13,'6-2_算定表③(旧・旧制度)'!$B$8:$U$65536,17,FALSE))</f>
      </c>
      <c r="R13" s="443">
        <f>IF($B13="","",VLOOKUP($B13,'6-2_算定表③(旧・旧制度)'!$B$8:$U$65536,17,FALSE))</f>
      </c>
      <c r="S13" s="443">
        <f>IF($B13="","",VLOOKUP($B13,'6-2_算定表③(旧・旧制度)'!$B$8:$U$65536,17,FALSE))</f>
      </c>
      <c r="T13" s="443">
        <f>IF($B13="","",VLOOKUP($B13,'6-2_算定表③(旧・旧制度)'!$B$8:$U$65536,17,FALSE))</f>
      </c>
      <c r="U13" s="443">
        <f>IF($B13="","",VLOOKUP($B13,'6-2_算定表③(旧・旧制度)'!$B$8:$U$65536,17,FALSE))</f>
      </c>
      <c r="V13" s="703">
        <f>IF($B13="","",VLOOKUP($B13,'6-2_算定表③(旧・旧制度)'!$B$8:$U$65536,17,FALSE))</f>
      </c>
      <c r="W13" s="438">
        <f t="shared" si="1"/>
      </c>
      <c r="X13" s="445">
        <f t="shared" si="2"/>
      </c>
      <c r="Y13" s="444">
        <f t="shared" si="3"/>
      </c>
      <c r="Z13" s="446">
        <f t="shared" si="4"/>
      </c>
      <c r="AA13" s="437">
        <f t="shared" si="5"/>
      </c>
      <c r="AB13" s="438">
        <f t="shared" si="6"/>
      </c>
      <c r="AC13" s="437">
        <f t="shared" si="7"/>
      </c>
      <c r="AD13" s="438">
        <f t="shared" si="8"/>
      </c>
      <c r="AE13" s="413">
        <f>IF(B13="","",ROUNDUP((G13/'6-2_算定表③(旧・旧制度)'!J12*W13)+(I13/'6-2_算定表③(旧・旧制度)'!J12*X13)+(G13/'6-2_算定表③(旧・旧制度)'!J12*Y13)+(I13/'6-2_算定表③(旧・旧制度)'!J12*Z13)+(G13/'6-2_算定表③(旧・旧制度)'!J12*AA13)+(I13/'6-2_算定表③(旧・旧制度)'!J12*AB13),0))</f>
      </c>
      <c r="AF13" s="412">
        <f>IF(B13="","",AE13-J13)</f>
      </c>
      <c r="AG13" s="998">
        <f>IF(B13="","",VLOOKUP($B13,'6-2_算定表③(旧・旧制度)'!$B$8:$AH$65536,33,FALSE))</f>
      </c>
      <c r="AH13" s="999" t="s">
        <v>205</v>
      </c>
      <c r="AI13" s="1000" t="s">
        <v>205</v>
      </c>
      <c r="AK13" s="60">
        <f t="shared" si="10"/>
      </c>
      <c r="AL13" s="60">
        <f t="shared" si="11"/>
      </c>
    </row>
    <row r="14" spans="1:38" s="53" customFormat="1" ht="18.75" customHeight="1">
      <c r="A14" s="27">
        <f t="shared" si="0"/>
      </c>
      <c r="B14" s="240"/>
      <c r="C14" s="83">
        <f>IF(B14="","",VLOOKUP($B14,'6-2_算定表③(旧・旧制度)'!$B$8:$U$65536,2,FALSE))</f>
      </c>
      <c r="D14" s="441">
        <f>IF(B14="","",VLOOKUP($B14,'6-2_算定表③(旧・旧制度)'!$B$8:$U$65536,3,FALSE))</f>
      </c>
      <c r="E14" s="441">
        <f>IF(B14="","",VLOOKUP($B14,'6-2_算定表③(旧・旧制度)'!$B$8:$U$65536,6,FALSE))</f>
      </c>
      <c r="F14" s="442">
        <f>IF(B14="","",VLOOKUP($B14,'6-2_算定表③(旧・旧制度)'!$B$8:$U$65536,14,FALSE))</f>
      </c>
      <c r="G14" s="441">
        <f>IF(B14="","",VLOOKUP($B14,'6-2_算定表③(旧・旧制度)'!$B$8:$U$65536,16,FALSE))</f>
      </c>
      <c r="H14" s="693">
        <f>IF(B14="","",VLOOKUP($B14,'6-2_算定表③(旧・旧制度)'!$B$8:$U$65536,17,FALSE))</f>
      </c>
      <c r="I14" s="691">
        <f>IF(B14="","",VLOOKUP($B14,'6-2_算定表③(旧・旧制度)'!$B$8:$U$65536,16,FALSE))</f>
      </c>
      <c r="J14" s="411">
        <f>IF(B14="","",VLOOKUP($B14,'6-2_算定表③(旧・旧制度)'!$B$8:$U$65536,17,FALSE))</f>
      </c>
      <c r="K14" s="702">
        <f>IF($B14="","",VLOOKUP($B14,'6-2_算定表③(旧・旧制度)'!$B$8:$U$65536,14,FALSE))</f>
      </c>
      <c r="L14" s="443">
        <f>IF($B14="","",VLOOKUP($B14,'6-2_算定表③(旧・旧制度)'!$B$8:$U$65536,14,FALSE))</f>
      </c>
      <c r="M14" s="703">
        <f>IF($B14="","",VLOOKUP($B14,'6-2_算定表③(旧・旧制度)'!$B$8:$U$65536,14,FALSE))</f>
      </c>
      <c r="N14" s="702">
        <f>IF($B14="","",VLOOKUP($B14,'6-2_算定表③(旧・旧制度)'!$B$8:$U$65536,17,FALSE))</f>
      </c>
      <c r="O14" s="443">
        <f>IF($B14="","",VLOOKUP($B14,'6-2_算定表③(旧・旧制度)'!$B$8:$U$65536,17,FALSE))</f>
      </c>
      <c r="P14" s="443">
        <f>IF($B14="","",VLOOKUP($B14,'6-2_算定表③(旧・旧制度)'!$B$8:$U$65536,17,FALSE))</f>
      </c>
      <c r="Q14" s="443">
        <f>IF($B14="","",VLOOKUP($B14,'6-2_算定表③(旧・旧制度)'!$B$8:$U$65536,17,FALSE))</f>
      </c>
      <c r="R14" s="443">
        <f>IF($B14="","",VLOOKUP($B14,'6-2_算定表③(旧・旧制度)'!$B$8:$U$65536,17,FALSE))</f>
      </c>
      <c r="S14" s="443">
        <f>IF($B14="","",VLOOKUP($B14,'6-2_算定表③(旧・旧制度)'!$B$8:$U$65536,17,FALSE))</f>
      </c>
      <c r="T14" s="443">
        <f>IF($B14="","",VLOOKUP($B14,'6-2_算定表③(旧・旧制度)'!$B$8:$U$65536,17,FALSE))</f>
      </c>
      <c r="U14" s="443">
        <f>IF($B14="","",VLOOKUP($B14,'6-2_算定表③(旧・旧制度)'!$B$8:$U$65536,17,FALSE))</f>
      </c>
      <c r="V14" s="703">
        <f>IF($B14="","",VLOOKUP($B14,'6-2_算定表③(旧・旧制度)'!$B$8:$U$65536,17,FALSE))</f>
      </c>
      <c r="W14" s="438">
        <f t="shared" si="1"/>
      </c>
      <c r="X14" s="445">
        <f t="shared" si="2"/>
      </c>
      <c r="Y14" s="444">
        <f t="shared" si="3"/>
      </c>
      <c r="Z14" s="446">
        <f t="shared" si="4"/>
      </c>
      <c r="AA14" s="437">
        <f t="shared" si="5"/>
      </c>
      <c r="AB14" s="438">
        <f t="shared" si="6"/>
      </c>
      <c r="AC14" s="437">
        <f t="shared" si="7"/>
      </c>
      <c r="AD14" s="438">
        <f t="shared" si="8"/>
      </c>
      <c r="AE14" s="413">
        <f>IF(B14="","",ROUNDUP((G14/'6-2_算定表③(旧・旧制度)'!J13*W14)+(I14/'6-2_算定表③(旧・旧制度)'!J13*X14)+(G14/'6-2_算定表③(旧・旧制度)'!J13*Y14)+(I14/'6-2_算定表③(旧・旧制度)'!J13*Z14)+(G14/'6-2_算定表③(旧・旧制度)'!J13*AA14)+(I14/'6-2_算定表③(旧・旧制度)'!J13*AB14),0))</f>
      </c>
      <c r="AF14" s="412">
        <f t="shared" si="9"/>
      </c>
      <c r="AG14" s="998">
        <f>IF(B14="","",VLOOKUP($B14,'6-2_算定表③(旧・旧制度)'!$B$8:$AH$65536,33,FALSE))</f>
      </c>
      <c r="AH14" s="999" t="s">
        <v>205</v>
      </c>
      <c r="AI14" s="1000" t="s">
        <v>205</v>
      </c>
      <c r="AK14" s="60">
        <f t="shared" si="10"/>
      </c>
      <c r="AL14" s="60">
        <f t="shared" si="11"/>
      </c>
    </row>
    <row r="15" spans="1:38" s="53" customFormat="1" ht="18.75" customHeight="1">
      <c r="A15" s="27">
        <f t="shared" si="0"/>
      </c>
      <c r="B15" s="240"/>
      <c r="C15" s="83">
        <f>IF(B15="","",VLOOKUP($B15,'6-2_算定表③(旧・旧制度)'!$B$8:$U$65536,2,FALSE))</f>
      </c>
      <c r="D15" s="441">
        <f>IF(B15="","",VLOOKUP($B15,'6-2_算定表③(旧・旧制度)'!$B$8:$U$65536,3,FALSE))</f>
      </c>
      <c r="E15" s="441">
        <f>IF(B15="","",VLOOKUP($B15,'6-2_算定表③(旧・旧制度)'!$B$8:$U$65536,6,FALSE))</f>
      </c>
      <c r="F15" s="442">
        <f>IF(B15="","",VLOOKUP($B15,'6-2_算定表③(旧・旧制度)'!$B$8:$U$65536,14,FALSE))</f>
      </c>
      <c r="G15" s="441">
        <f>IF(B15="","",VLOOKUP($B15,'6-2_算定表③(旧・旧制度)'!$B$8:$U$65536,16,FALSE))</f>
      </c>
      <c r="H15" s="693">
        <f>IF(B15="","",VLOOKUP($B15,'6-2_算定表③(旧・旧制度)'!$B$8:$U$65536,17,FALSE))</f>
      </c>
      <c r="I15" s="691">
        <f>IF(B15="","",VLOOKUP($B15,'6-2_算定表③(旧・旧制度)'!$B$8:$U$65536,16,FALSE))</f>
      </c>
      <c r="J15" s="411">
        <f>IF(B15="","",VLOOKUP($B15,'6-2_算定表③(旧・旧制度)'!$B$8:$U$65536,17,FALSE))</f>
      </c>
      <c r="K15" s="702">
        <f>IF($B15="","",VLOOKUP($B15,'6-2_算定表③(旧・旧制度)'!$B$8:$U$65536,14,FALSE))</f>
      </c>
      <c r="L15" s="443">
        <f>IF($B15="","",VLOOKUP($B15,'6-2_算定表③(旧・旧制度)'!$B$8:$U$65536,14,FALSE))</f>
      </c>
      <c r="M15" s="703">
        <f>IF($B15="","",VLOOKUP($B15,'6-2_算定表③(旧・旧制度)'!$B$8:$U$65536,14,FALSE))</f>
      </c>
      <c r="N15" s="702">
        <f>IF($B15="","",VLOOKUP($B15,'6-2_算定表③(旧・旧制度)'!$B$8:$U$65536,17,FALSE))</f>
      </c>
      <c r="O15" s="443">
        <f>IF($B15="","",VLOOKUP($B15,'6-2_算定表③(旧・旧制度)'!$B$8:$U$65536,17,FALSE))</f>
      </c>
      <c r="P15" s="443">
        <f>IF($B15="","",VLOOKUP($B15,'6-2_算定表③(旧・旧制度)'!$B$8:$U$65536,17,FALSE))</f>
      </c>
      <c r="Q15" s="443">
        <f>IF($B15="","",VLOOKUP($B15,'6-2_算定表③(旧・旧制度)'!$B$8:$U$65536,17,FALSE))</f>
      </c>
      <c r="R15" s="443">
        <f>IF($B15="","",VLOOKUP($B15,'6-2_算定表③(旧・旧制度)'!$B$8:$U$65536,17,FALSE))</f>
      </c>
      <c r="S15" s="443">
        <f>IF($B15="","",VLOOKUP($B15,'6-2_算定表③(旧・旧制度)'!$B$8:$U$65536,17,FALSE))</f>
      </c>
      <c r="T15" s="443">
        <f>IF($B15="","",VLOOKUP($B15,'6-2_算定表③(旧・旧制度)'!$B$8:$U$65536,17,FALSE))</f>
      </c>
      <c r="U15" s="443">
        <f>IF($B15="","",VLOOKUP($B15,'6-2_算定表③(旧・旧制度)'!$B$8:$U$65536,17,FALSE))</f>
      </c>
      <c r="V15" s="703">
        <f>IF($B15="","",VLOOKUP($B15,'6-2_算定表③(旧・旧制度)'!$B$8:$U$65536,17,FALSE))</f>
      </c>
      <c r="W15" s="438">
        <f t="shared" si="1"/>
      </c>
      <c r="X15" s="445">
        <f t="shared" si="2"/>
      </c>
      <c r="Y15" s="444">
        <f>IF($B15="","",COUNTIF($K15:$M15,Y$6))</f>
      </c>
      <c r="Z15" s="446">
        <f t="shared" si="4"/>
      </c>
      <c r="AA15" s="437">
        <f t="shared" si="5"/>
      </c>
      <c r="AB15" s="438">
        <f t="shared" si="6"/>
      </c>
      <c r="AC15" s="437">
        <f t="shared" si="7"/>
      </c>
      <c r="AD15" s="438">
        <f t="shared" si="8"/>
      </c>
      <c r="AE15" s="413">
        <f>IF(B15="","",ROUNDUP((G15/'6-2_算定表③(旧・旧制度)'!J14*W15)+(I15/'6-2_算定表③(旧・旧制度)'!J14*X15)+(G15/'6-2_算定表③(旧・旧制度)'!J14*Y15)+(I15/'6-2_算定表③(旧・旧制度)'!J14*Z15)+(G15/'6-2_算定表③(旧・旧制度)'!J14*AA15)+(I15/'6-2_算定表③(旧・旧制度)'!J14*AB15),0))</f>
      </c>
      <c r="AF15" s="412">
        <f t="shared" si="9"/>
      </c>
      <c r="AG15" s="998">
        <f>IF(B15="","",VLOOKUP($B15,'6-2_算定表③(旧・旧制度)'!$B$8:$AH$65536,33,FALSE))</f>
      </c>
      <c r="AH15" s="999" t="s">
        <v>205</v>
      </c>
      <c r="AI15" s="1000" t="s">
        <v>205</v>
      </c>
      <c r="AK15" s="60">
        <f t="shared" si="10"/>
      </c>
      <c r="AL15" s="60">
        <f t="shared" si="11"/>
      </c>
    </row>
    <row r="16" spans="1:38" s="53" customFormat="1" ht="18.75" customHeight="1">
      <c r="A16" s="27">
        <f t="shared" si="0"/>
      </c>
      <c r="B16" s="240"/>
      <c r="C16" s="83">
        <f>IF(B16="","",VLOOKUP($B16,'6-2_算定表③(旧・旧制度)'!$B$8:$U$65536,2,FALSE))</f>
      </c>
      <c r="D16" s="441">
        <f>IF(B16="","",VLOOKUP($B16,'6-2_算定表③(旧・旧制度)'!$B$8:$U$65536,3,FALSE))</f>
      </c>
      <c r="E16" s="441">
        <f>IF(B16="","",VLOOKUP($B16,'6-2_算定表③(旧・旧制度)'!$B$8:$U$65536,6,FALSE))</f>
      </c>
      <c r="F16" s="442">
        <f>IF(B16="","",VLOOKUP($B16,'6-2_算定表③(旧・旧制度)'!$B$8:$U$65536,14,FALSE))</f>
      </c>
      <c r="G16" s="441">
        <f>IF(B16="","",VLOOKUP($B16,'6-2_算定表③(旧・旧制度)'!$B$8:$U$65536,16,FALSE))</f>
      </c>
      <c r="H16" s="693">
        <f>IF(B16="","",VLOOKUP($B16,'6-2_算定表③(旧・旧制度)'!$B$8:$U$65536,17,FALSE))</f>
      </c>
      <c r="I16" s="691">
        <f>IF(B16="","",VLOOKUP($B16,'6-2_算定表③(旧・旧制度)'!$B$8:$U$65536,16,FALSE))</f>
      </c>
      <c r="J16" s="411">
        <f>IF(B16="","",VLOOKUP($B16,'6-2_算定表③(旧・旧制度)'!$B$8:$U$65536,17,FALSE))</f>
      </c>
      <c r="K16" s="702">
        <f>IF($B16="","",VLOOKUP($B16,'6-2_算定表③(旧・旧制度)'!$B$8:$U$65536,14,FALSE))</f>
      </c>
      <c r="L16" s="443">
        <f>IF($B16="","",VLOOKUP($B16,'6-2_算定表③(旧・旧制度)'!$B$8:$U$65536,14,FALSE))</f>
      </c>
      <c r="M16" s="703">
        <f>IF($B16="","",VLOOKUP($B16,'6-2_算定表③(旧・旧制度)'!$B$8:$U$65536,14,FALSE))</f>
      </c>
      <c r="N16" s="702">
        <f>IF($B16="","",VLOOKUP($B16,'6-2_算定表③(旧・旧制度)'!$B$8:$U$65536,17,FALSE))</f>
      </c>
      <c r="O16" s="443">
        <f>IF($B16="","",VLOOKUP($B16,'6-2_算定表③(旧・旧制度)'!$B$8:$U$65536,17,FALSE))</f>
      </c>
      <c r="P16" s="443">
        <f>IF($B16="","",VLOOKUP($B16,'6-2_算定表③(旧・旧制度)'!$B$8:$U$65536,17,FALSE))</f>
      </c>
      <c r="Q16" s="443">
        <f>IF($B16="","",VLOOKUP($B16,'6-2_算定表③(旧・旧制度)'!$B$8:$U$65536,17,FALSE))</f>
      </c>
      <c r="R16" s="443">
        <f>IF($B16="","",VLOOKUP($B16,'6-2_算定表③(旧・旧制度)'!$B$8:$U$65536,17,FALSE))</f>
      </c>
      <c r="S16" s="443">
        <f>IF($B16="","",VLOOKUP($B16,'6-2_算定表③(旧・旧制度)'!$B$8:$U$65536,17,FALSE))</f>
      </c>
      <c r="T16" s="443">
        <f>IF($B16="","",VLOOKUP($B16,'6-2_算定表③(旧・旧制度)'!$B$8:$U$65536,17,FALSE))</f>
      </c>
      <c r="U16" s="443">
        <f>IF($B16="","",VLOOKUP($B16,'6-2_算定表③(旧・旧制度)'!$B$8:$U$65536,17,FALSE))</f>
      </c>
      <c r="V16" s="703">
        <f>IF($B16="","",VLOOKUP($B16,'6-2_算定表③(旧・旧制度)'!$B$8:$U$65536,17,FALSE))</f>
      </c>
      <c r="W16" s="438">
        <f t="shared" si="1"/>
      </c>
      <c r="X16" s="445">
        <f t="shared" si="2"/>
      </c>
      <c r="Y16" s="444">
        <f t="shared" si="3"/>
      </c>
      <c r="Z16" s="446">
        <f t="shared" si="4"/>
      </c>
      <c r="AA16" s="437">
        <f t="shared" si="5"/>
      </c>
      <c r="AB16" s="438">
        <f t="shared" si="6"/>
      </c>
      <c r="AC16" s="437">
        <f t="shared" si="7"/>
      </c>
      <c r="AD16" s="438">
        <f t="shared" si="8"/>
      </c>
      <c r="AE16" s="413">
        <f>IF(B16="","",ROUNDUP((G16/'6-2_算定表③(旧・旧制度)'!J15*W16)+(I16/'6-2_算定表③(旧・旧制度)'!J15*X16)+(G16/'6-2_算定表③(旧・旧制度)'!J15*Y16)+(I16/'6-2_算定表③(旧・旧制度)'!J15*Z16)+(G16/'6-2_算定表③(旧・旧制度)'!J15*AA16)+(I16/'6-2_算定表③(旧・旧制度)'!J15*AB16),0))</f>
      </c>
      <c r="AF16" s="412">
        <f t="shared" si="9"/>
      </c>
      <c r="AG16" s="998">
        <f>IF(B16="","",VLOOKUP($B16,'6-2_算定表③(旧・旧制度)'!$B$8:$AH$65536,33,FALSE))</f>
      </c>
      <c r="AH16" s="999" t="s">
        <v>205</v>
      </c>
      <c r="AI16" s="1000" t="s">
        <v>205</v>
      </c>
      <c r="AK16" s="60">
        <f t="shared" si="10"/>
      </c>
      <c r="AL16" s="60">
        <f t="shared" si="11"/>
      </c>
    </row>
    <row r="17" spans="1:38" s="53" customFormat="1" ht="18.75" customHeight="1">
      <c r="A17" s="27">
        <f t="shared" si="0"/>
      </c>
      <c r="B17" s="240"/>
      <c r="C17" s="83">
        <f>IF(B17="","",VLOOKUP($B17,'6-2_算定表③(旧・旧制度)'!$B$8:$U$65536,2,FALSE))</f>
      </c>
      <c r="D17" s="441">
        <f>IF(B17="","",VLOOKUP($B17,'6-2_算定表③(旧・旧制度)'!$B$8:$U$65536,3,FALSE))</f>
      </c>
      <c r="E17" s="441">
        <f>IF(B17="","",VLOOKUP($B17,'6-2_算定表③(旧・旧制度)'!$B$8:$U$65536,6,FALSE))</f>
      </c>
      <c r="F17" s="442">
        <f>IF(B17="","",VLOOKUP($B17,'6-2_算定表③(旧・旧制度)'!$B$8:$U$65536,14,FALSE))</f>
      </c>
      <c r="G17" s="441">
        <f>IF(B17="","",VLOOKUP($B17,'6-2_算定表③(旧・旧制度)'!$B$8:$U$65536,16,FALSE))</f>
      </c>
      <c r="H17" s="693">
        <f>IF(B17="","",VLOOKUP($B17,'6-2_算定表③(旧・旧制度)'!$B$8:$U$65536,17,FALSE))</f>
      </c>
      <c r="I17" s="691">
        <f>IF(B17="","",VLOOKUP($B17,'6-2_算定表③(旧・旧制度)'!$B$8:$U$65536,16,FALSE))</f>
      </c>
      <c r="J17" s="411">
        <f>IF(B17="","",VLOOKUP($B17,'6-2_算定表③(旧・旧制度)'!$B$8:$U$65536,17,FALSE))</f>
      </c>
      <c r="K17" s="702">
        <f>IF($B17="","",VLOOKUP($B17,'6-2_算定表③(旧・旧制度)'!$B$8:$U$65536,14,FALSE))</f>
      </c>
      <c r="L17" s="443">
        <f>IF($B17="","",VLOOKUP($B17,'6-2_算定表③(旧・旧制度)'!$B$8:$U$65536,14,FALSE))</f>
      </c>
      <c r="M17" s="703">
        <f>IF($B17="","",VLOOKUP($B17,'6-2_算定表③(旧・旧制度)'!$B$8:$U$65536,14,FALSE))</f>
      </c>
      <c r="N17" s="702">
        <f>IF($B17="","",VLOOKUP($B17,'6-2_算定表③(旧・旧制度)'!$B$8:$U$65536,17,FALSE))</f>
      </c>
      <c r="O17" s="443">
        <f>IF($B17="","",VLOOKUP($B17,'6-2_算定表③(旧・旧制度)'!$B$8:$U$65536,17,FALSE))</f>
      </c>
      <c r="P17" s="443">
        <f>IF($B17="","",VLOOKUP($B17,'6-2_算定表③(旧・旧制度)'!$B$8:$U$65536,17,FALSE))</f>
      </c>
      <c r="Q17" s="443">
        <f>IF($B17="","",VLOOKUP($B17,'6-2_算定表③(旧・旧制度)'!$B$8:$U$65536,17,FALSE))</f>
      </c>
      <c r="R17" s="443">
        <f>IF($B17="","",VLOOKUP($B17,'6-2_算定表③(旧・旧制度)'!$B$8:$U$65536,17,FALSE))</f>
      </c>
      <c r="S17" s="443">
        <f>IF($B17="","",VLOOKUP($B17,'6-2_算定表③(旧・旧制度)'!$B$8:$U$65536,17,FALSE))</f>
      </c>
      <c r="T17" s="443">
        <f>IF($B17="","",VLOOKUP($B17,'6-2_算定表③(旧・旧制度)'!$B$8:$U$65536,17,FALSE))</f>
      </c>
      <c r="U17" s="443">
        <f>IF($B17="","",VLOOKUP($B17,'6-2_算定表③(旧・旧制度)'!$B$8:$U$65536,17,FALSE))</f>
      </c>
      <c r="V17" s="703">
        <f>IF($B17="","",VLOOKUP($B17,'6-2_算定表③(旧・旧制度)'!$B$8:$U$65536,17,FALSE))</f>
      </c>
      <c r="W17" s="438">
        <f t="shared" si="1"/>
      </c>
      <c r="X17" s="445">
        <f t="shared" si="2"/>
      </c>
      <c r="Y17" s="444">
        <f t="shared" si="3"/>
      </c>
      <c r="Z17" s="446">
        <f t="shared" si="4"/>
      </c>
      <c r="AA17" s="437">
        <f t="shared" si="5"/>
      </c>
      <c r="AB17" s="438">
        <f t="shared" si="6"/>
      </c>
      <c r="AC17" s="437">
        <f t="shared" si="7"/>
      </c>
      <c r="AD17" s="438">
        <f t="shared" si="8"/>
      </c>
      <c r="AE17" s="413">
        <f>IF(B17="","",ROUNDUP((G17/'6-2_算定表③(旧・旧制度)'!J16*W17)+(I17/'6-2_算定表③(旧・旧制度)'!J16*X17)+(G17/'6-2_算定表③(旧・旧制度)'!J16*Y17)+(I17/'6-2_算定表③(旧・旧制度)'!J16*Z17)+(G17/'6-2_算定表③(旧・旧制度)'!J16*AA17)+(I17/'6-2_算定表③(旧・旧制度)'!J16*AB17),0))</f>
      </c>
      <c r="AF17" s="412">
        <f t="shared" si="9"/>
      </c>
      <c r="AG17" s="998">
        <f>IF(B17="","",VLOOKUP($B17,'6-2_算定表③(旧・旧制度)'!$B$8:$AH$65536,33,FALSE))</f>
      </c>
      <c r="AH17" s="999" t="s">
        <v>205</v>
      </c>
      <c r="AI17" s="1000" t="s">
        <v>205</v>
      </c>
      <c r="AK17" s="60">
        <f t="shared" si="10"/>
      </c>
      <c r="AL17" s="60">
        <f t="shared" si="11"/>
      </c>
    </row>
    <row r="18" spans="1:38" s="53" customFormat="1" ht="18.75" customHeight="1">
      <c r="A18" s="27">
        <f t="shared" si="0"/>
      </c>
      <c r="B18" s="240"/>
      <c r="C18" s="83">
        <f>IF(B18="","",VLOOKUP($B18,'6-2_算定表③(旧・旧制度)'!$B$8:$U$65536,2,FALSE))</f>
      </c>
      <c r="D18" s="441">
        <f>IF(B18="","",VLOOKUP($B18,'6-2_算定表③(旧・旧制度)'!$B$8:$U$65536,3,FALSE))</f>
      </c>
      <c r="E18" s="441">
        <f>IF(B18="","",VLOOKUP($B18,'6-2_算定表③(旧・旧制度)'!$B$8:$U$65536,6,FALSE))</f>
      </c>
      <c r="F18" s="442">
        <f>IF(B18="","",VLOOKUP($B18,'6-2_算定表③(旧・旧制度)'!$B$8:$U$65536,14,FALSE))</f>
      </c>
      <c r="G18" s="441">
        <f>IF(B18="","",VLOOKUP($B18,'6-2_算定表③(旧・旧制度)'!$B$8:$U$65536,16,FALSE))</f>
      </c>
      <c r="H18" s="693">
        <f>IF(B18="","",VLOOKUP($B18,'6-2_算定表③(旧・旧制度)'!$B$8:$U$65536,17,FALSE))</f>
      </c>
      <c r="I18" s="691">
        <f>IF(B18="","",VLOOKUP($B18,'6-2_算定表③(旧・旧制度)'!$B$8:$U$65536,16,FALSE))</f>
      </c>
      <c r="J18" s="411">
        <f>IF(B18="","",VLOOKUP($B18,'6-2_算定表③(旧・旧制度)'!$B$8:$U$65536,17,FALSE))</f>
      </c>
      <c r="K18" s="702">
        <f>IF($B18="","",VLOOKUP($B18,'6-2_算定表③(旧・旧制度)'!$B$8:$U$65536,14,FALSE))</f>
      </c>
      <c r="L18" s="443">
        <f>IF($B18="","",VLOOKUP($B18,'6-2_算定表③(旧・旧制度)'!$B$8:$U$65536,14,FALSE))</f>
      </c>
      <c r="M18" s="703">
        <f>IF($B18="","",VLOOKUP($B18,'6-2_算定表③(旧・旧制度)'!$B$8:$U$65536,14,FALSE))</f>
      </c>
      <c r="N18" s="702">
        <f>IF($B18="","",VLOOKUP($B18,'6-2_算定表③(旧・旧制度)'!$B$8:$U$65536,17,FALSE))</f>
      </c>
      <c r="O18" s="443">
        <f>IF($B18="","",VLOOKUP($B18,'6-2_算定表③(旧・旧制度)'!$B$8:$U$65536,17,FALSE))</f>
      </c>
      <c r="P18" s="443">
        <f>IF($B18="","",VLOOKUP($B18,'6-2_算定表③(旧・旧制度)'!$B$8:$U$65536,17,FALSE))</f>
      </c>
      <c r="Q18" s="443">
        <f>IF($B18="","",VLOOKUP($B18,'6-2_算定表③(旧・旧制度)'!$B$8:$U$65536,17,FALSE))</f>
      </c>
      <c r="R18" s="443">
        <f>IF($B18="","",VLOOKUP($B18,'6-2_算定表③(旧・旧制度)'!$B$8:$U$65536,17,FALSE))</f>
      </c>
      <c r="S18" s="443">
        <f>IF($B18="","",VLOOKUP($B18,'6-2_算定表③(旧・旧制度)'!$B$8:$U$65536,17,FALSE))</f>
      </c>
      <c r="T18" s="443">
        <f>IF($B18="","",VLOOKUP($B18,'6-2_算定表③(旧・旧制度)'!$B$8:$U$65536,17,FALSE))</f>
      </c>
      <c r="U18" s="443">
        <f>IF($B18="","",VLOOKUP($B18,'6-2_算定表③(旧・旧制度)'!$B$8:$U$65536,17,FALSE))</f>
      </c>
      <c r="V18" s="703">
        <f>IF($B18="","",VLOOKUP($B18,'6-2_算定表③(旧・旧制度)'!$B$8:$U$65536,17,FALSE))</f>
      </c>
      <c r="W18" s="438">
        <f t="shared" si="1"/>
      </c>
      <c r="X18" s="445">
        <f t="shared" si="2"/>
      </c>
      <c r="Y18" s="444">
        <f t="shared" si="3"/>
      </c>
      <c r="Z18" s="446">
        <f t="shared" si="4"/>
      </c>
      <c r="AA18" s="437">
        <f t="shared" si="5"/>
      </c>
      <c r="AB18" s="438">
        <f t="shared" si="6"/>
      </c>
      <c r="AC18" s="437">
        <f t="shared" si="7"/>
      </c>
      <c r="AD18" s="438">
        <f t="shared" si="8"/>
      </c>
      <c r="AE18" s="413">
        <f>IF(B18="","",ROUNDUP((G18/'6-2_算定表③(旧・旧制度)'!J17*W18)+(I18/'6-2_算定表③(旧・旧制度)'!J17*X18)+(G18/'6-2_算定表③(旧・旧制度)'!J17*Y18)+(I18/'6-2_算定表③(旧・旧制度)'!J17*Z18)+(G18/'6-2_算定表③(旧・旧制度)'!J17*AA18)+(I18/'6-2_算定表③(旧・旧制度)'!J17*AB18),0))</f>
      </c>
      <c r="AF18" s="412">
        <f t="shared" si="9"/>
      </c>
      <c r="AG18" s="998">
        <f>IF(B18="","",VLOOKUP($B18,'6-2_算定表③(旧・旧制度)'!$B$8:$AH$65536,33,FALSE))</f>
      </c>
      <c r="AH18" s="999" t="s">
        <v>205</v>
      </c>
      <c r="AI18" s="1000" t="s">
        <v>205</v>
      </c>
      <c r="AK18" s="60">
        <f t="shared" si="10"/>
      </c>
      <c r="AL18" s="60">
        <f t="shared" si="11"/>
      </c>
    </row>
    <row r="19" spans="1:38" s="53" customFormat="1" ht="18.75" customHeight="1">
      <c r="A19" s="27">
        <f t="shared" si="0"/>
      </c>
      <c r="B19" s="240"/>
      <c r="C19" s="83">
        <f>IF(B19="","",VLOOKUP($B19,'6-2_算定表③(旧・旧制度)'!$B$8:$U$65536,2,FALSE))</f>
      </c>
      <c r="D19" s="441">
        <f>IF(B19="","",VLOOKUP($B19,'6-2_算定表③(旧・旧制度)'!$B$8:$U$65536,3,FALSE))</f>
      </c>
      <c r="E19" s="441">
        <f>IF(B19="","",VLOOKUP($B19,'6-2_算定表③(旧・旧制度)'!$B$8:$U$65536,6,FALSE))</f>
      </c>
      <c r="F19" s="442">
        <f>IF(B19="","",VLOOKUP($B19,'6-2_算定表③(旧・旧制度)'!$B$8:$U$65536,14,FALSE))</f>
      </c>
      <c r="G19" s="441">
        <f>IF(B19="","",VLOOKUP($B19,'6-2_算定表③(旧・旧制度)'!$B$8:$U$65536,16,FALSE))</f>
      </c>
      <c r="H19" s="693">
        <f>IF(B19="","",VLOOKUP($B19,'6-2_算定表③(旧・旧制度)'!$B$8:$U$65536,17,FALSE))</f>
      </c>
      <c r="I19" s="691">
        <f>IF(B19="","",VLOOKUP($B19,'6-2_算定表③(旧・旧制度)'!$B$8:$U$65536,16,FALSE))</f>
      </c>
      <c r="J19" s="411">
        <f>IF(B19="","",VLOOKUP($B19,'6-2_算定表③(旧・旧制度)'!$B$8:$U$65536,17,FALSE))</f>
      </c>
      <c r="K19" s="702">
        <f>IF($B19="","",VLOOKUP($B19,'6-2_算定表③(旧・旧制度)'!$B$8:$U$65536,14,FALSE))</f>
      </c>
      <c r="L19" s="443">
        <f>IF($B19="","",VLOOKUP($B19,'6-2_算定表③(旧・旧制度)'!$B$8:$U$65536,14,FALSE))</f>
      </c>
      <c r="M19" s="703">
        <f>IF($B19="","",VLOOKUP($B19,'6-2_算定表③(旧・旧制度)'!$B$8:$U$65536,14,FALSE))</f>
      </c>
      <c r="N19" s="702">
        <f>IF($B19="","",VLOOKUP($B19,'6-2_算定表③(旧・旧制度)'!$B$8:$U$65536,17,FALSE))</f>
      </c>
      <c r="O19" s="443">
        <f>IF($B19="","",VLOOKUP($B19,'6-2_算定表③(旧・旧制度)'!$B$8:$U$65536,17,FALSE))</f>
      </c>
      <c r="P19" s="443">
        <f>IF($B19="","",VLOOKUP($B19,'6-2_算定表③(旧・旧制度)'!$B$8:$U$65536,17,FALSE))</f>
      </c>
      <c r="Q19" s="443">
        <f>IF($B19="","",VLOOKUP($B19,'6-2_算定表③(旧・旧制度)'!$B$8:$U$65536,17,FALSE))</f>
      </c>
      <c r="R19" s="443">
        <f>IF($B19="","",VLOOKUP($B19,'6-2_算定表③(旧・旧制度)'!$B$8:$U$65536,17,FALSE))</f>
      </c>
      <c r="S19" s="443">
        <f>IF($B19="","",VLOOKUP($B19,'6-2_算定表③(旧・旧制度)'!$B$8:$U$65536,17,FALSE))</f>
      </c>
      <c r="T19" s="443">
        <f>IF($B19="","",VLOOKUP($B19,'6-2_算定表③(旧・旧制度)'!$B$8:$U$65536,17,FALSE))</f>
      </c>
      <c r="U19" s="443">
        <f>IF($B19="","",VLOOKUP($B19,'6-2_算定表③(旧・旧制度)'!$B$8:$U$65536,17,FALSE))</f>
      </c>
      <c r="V19" s="703">
        <f>IF($B19="","",VLOOKUP($B19,'6-2_算定表③(旧・旧制度)'!$B$8:$U$65536,17,FALSE))</f>
      </c>
      <c r="W19" s="438">
        <f t="shared" si="1"/>
      </c>
      <c r="X19" s="445">
        <f t="shared" si="2"/>
      </c>
      <c r="Y19" s="444">
        <f t="shared" si="3"/>
      </c>
      <c r="Z19" s="446">
        <f t="shared" si="4"/>
      </c>
      <c r="AA19" s="437">
        <f t="shared" si="5"/>
      </c>
      <c r="AB19" s="438">
        <f t="shared" si="6"/>
      </c>
      <c r="AC19" s="437">
        <f t="shared" si="7"/>
      </c>
      <c r="AD19" s="438">
        <f t="shared" si="8"/>
      </c>
      <c r="AE19" s="413">
        <f>IF(B19="","",ROUNDUP((G19/'6-2_算定表③(旧・旧制度)'!J18*W19)+(I19/'6-2_算定表③(旧・旧制度)'!J18*X19)+(G19/'6-2_算定表③(旧・旧制度)'!J18*Y19)+(I19/'6-2_算定表③(旧・旧制度)'!J18*Z19)+(G19/'6-2_算定表③(旧・旧制度)'!J18*AA19)+(I19/'6-2_算定表③(旧・旧制度)'!J18*AB19),0))</f>
      </c>
      <c r="AF19" s="412">
        <f t="shared" si="9"/>
      </c>
      <c r="AG19" s="998">
        <f>IF(B19="","",VLOOKUP($B19,'6-2_算定表③(旧・旧制度)'!$B$8:$AH$65536,33,FALSE))</f>
      </c>
      <c r="AH19" s="999" t="s">
        <v>205</v>
      </c>
      <c r="AI19" s="1000" t="s">
        <v>205</v>
      </c>
      <c r="AK19" s="60">
        <f t="shared" si="10"/>
      </c>
      <c r="AL19" s="60">
        <f t="shared" si="11"/>
      </c>
    </row>
    <row r="20" spans="1:38" s="53" customFormat="1" ht="18.75" customHeight="1">
      <c r="A20" s="27">
        <f t="shared" si="0"/>
      </c>
      <c r="B20" s="240"/>
      <c r="C20" s="83">
        <f>IF(B20="","",VLOOKUP($B20,'6-2_算定表③(旧・旧制度)'!$B$8:$U$65536,2,FALSE))</f>
      </c>
      <c r="D20" s="441">
        <f>IF(B20="","",VLOOKUP($B20,'6-2_算定表③(旧・旧制度)'!$B$8:$U$65536,3,FALSE))</f>
      </c>
      <c r="E20" s="441">
        <f>IF(B20="","",VLOOKUP($B20,'6-2_算定表③(旧・旧制度)'!$B$8:$U$65536,6,FALSE))</f>
      </c>
      <c r="F20" s="442">
        <f>IF(B20="","",VLOOKUP($B20,'6-2_算定表③(旧・旧制度)'!$B$8:$U$65536,14,FALSE))</f>
      </c>
      <c r="G20" s="441">
        <f>IF(B20="","",VLOOKUP($B20,'6-2_算定表③(旧・旧制度)'!$B$8:$U$65536,16,FALSE))</f>
      </c>
      <c r="H20" s="693">
        <f>IF(B20="","",VLOOKUP($B20,'6-2_算定表③(旧・旧制度)'!$B$8:$U$65536,17,FALSE))</f>
      </c>
      <c r="I20" s="691">
        <f>IF(B20="","",VLOOKUP($B20,'6-2_算定表③(旧・旧制度)'!$B$8:$U$65536,16,FALSE))</f>
      </c>
      <c r="J20" s="411">
        <f>IF(B20="","",VLOOKUP($B20,'6-2_算定表③(旧・旧制度)'!$B$8:$U$65536,17,FALSE))</f>
      </c>
      <c r="K20" s="702">
        <f>IF($B20="","",VLOOKUP($B20,'6-2_算定表③(旧・旧制度)'!$B$8:$U$65536,14,FALSE))</f>
      </c>
      <c r="L20" s="443">
        <f>IF($B20="","",VLOOKUP($B20,'6-2_算定表③(旧・旧制度)'!$B$8:$U$65536,14,FALSE))</f>
      </c>
      <c r="M20" s="703">
        <f>IF($B20="","",VLOOKUP($B20,'6-2_算定表③(旧・旧制度)'!$B$8:$U$65536,14,FALSE))</f>
      </c>
      <c r="N20" s="702">
        <f>IF($B20="","",VLOOKUP($B20,'6-2_算定表③(旧・旧制度)'!$B$8:$U$65536,17,FALSE))</f>
      </c>
      <c r="O20" s="443">
        <f>IF($B20="","",VLOOKUP($B20,'6-2_算定表③(旧・旧制度)'!$B$8:$U$65536,17,FALSE))</f>
      </c>
      <c r="P20" s="443">
        <f>IF($B20="","",VLOOKUP($B20,'6-2_算定表③(旧・旧制度)'!$B$8:$U$65536,17,FALSE))</f>
      </c>
      <c r="Q20" s="443">
        <f>IF($B20="","",VLOOKUP($B20,'6-2_算定表③(旧・旧制度)'!$B$8:$U$65536,17,FALSE))</f>
      </c>
      <c r="R20" s="443">
        <f>IF($B20="","",VLOOKUP($B20,'6-2_算定表③(旧・旧制度)'!$B$8:$U$65536,17,FALSE))</f>
      </c>
      <c r="S20" s="443">
        <f>IF($B20="","",VLOOKUP($B20,'6-2_算定表③(旧・旧制度)'!$B$8:$U$65536,17,FALSE))</f>
      </c>
      <c r="T20" s="443">
        <f>IF($B20="","",VLOOKUP($B20,'6-2_算定表③(旧・旧制度)'!$B$8:$U$65536,17,FALSE))</f>
      </c>
      <c r="U20" s="443">
        <f>IF($B20="","",VLOOKUP($B20,'6-2_算定表③(旧・旧制度)'!$B$8:$U$65536,17,FALSE))</f>
      </c>
      <c r="V20" s="703">
        <f>IF($B20="","",VLOOKUP($B20,'6-2_算定表③(旧・旧制度)'!$B$8:$U$65536,17,FALSE))</f>
      </c>
      <c r="W20" s="438">
        <f t="shared" si="1"/>
      </c>
      <c r="X20" s="445">
        <f t="shared" si="2"/>
      </c>
      <c r="Y20" s="444">
        <f t="shared" si="3"/>
      </c>
      <c r="Z20" s="446">
        <f t="shared" si="4"/>
      </c>
      <c r="AA20" s="437">
        <f t="shared" si="5"/>
      </c>
      <c r="AB20" s="438">
        <f t="shared" si="6"/>
      </c>
      <c r="AC20" s="437">
        <f t="shared" si="7"/>
      </c>
      <c r="AD20" s="438">
        <f t="shared" si="8"/>
      </c>
      <c r="AE20" s="413">
        <f>IF(B20="","",ROUNDUP((G20/'6-2_算定表③(旧・旧制度)'!J19*W20)+(I20/'6-2_算定表③(旧・旧制度)'!J19*X20)+(G20/'6-2_算定表③(旧・旧制度)'!J19*Y20)+(I20/'6-2_算定表③(旧・旧制度)'!J19*Z20)+(G20/'6-2_算定表③(旧・旧制度)'!J19*AA20)+(I20/'6-2_算定表③(旧・旧制度)'!J19*AB20),0))</f>
      </c>
      <c r="AF20" s="412">
        <f t="shared" si="9"/>
      </c>
      <c r="AG20" s="998">
        <f>IF(B20="","",VLOOKUP($B20,'6-2_算定表③(旧・旧制度)'!$B$8:$AH$65536,33,FALSE))</f>
      </c>
      <c r="AH20" s="999" t="s">
        <v>205</v>
      </c>
      <c r="AI20" s="1000" t="s">
        <v>205</v>
      </c>
      <c r="AK20" s="60">
        <f t="shared" si="10"/>
      </c>
      <c r="AL20" s="60">
        <f t="shared" si="11"/>
      </c>
    </row>
    <row r="21" spans="1:38" s="53" customFormat="1" ht="18.75" customHeight="1">
      <c r="A21" s="27">
        <f t="shared" si="0"/>
      </c>
      <c r="B21" s="240"/>
      <c r="C21" s="83">
        <f>IF(B21="","",VLOOKUP($B21,'6-2_算定表③(旧・旧制度)'!$B$8:$U$65536,2,FALSE))</f>
      </c>
      <c r="D21" s="441">
        <f>IF(B21="","",VLOOKUP($B21,'6-2_算定表③(旧・旧制度)'!$B$8:$U$65536,3,FALSE))</f>
      </c>
      <c r="E21" s="441">
        <f>IF(B21="","",VLOOKUP($B21,'6-2_算定表③(旧・旧制度)'!$B$8:$U$65536,6,FALSE))</f>
      </c>
      <c r="F21" s="442">
        <f>IF(B21="","",VLOOKUP($B21,'6-2_算定表③(旧・旧制度)'!$B$8:$U$65536,14,FALSE))</f>
      </c>
      <c r="G21" s="441">
        <f>IF(B21="","",VLOOKUP($B21,'6-2_算定表③(旧・旧制度)'!$B$8:$U$65536,16,FALSE))</f>
      </c>
      <c r="H21" s="693">
        <f>IF(B21="","",VLOOKUP($B21,'6-2_算定表③(旧・旧制度)'!$B$8:$U$65536,17,FALSE))</f>
      </c>
      <c r="I21" s="691">
        <f>IF(B21="","",VLOOKUP($B21,'6-2_算定表③(旧・旧制度)'!$B$8:$U$65536,16,FALSE))</f>
      </c>
      <c r="J21" s="411">
        <f>IF(B21="","",VLOOKUP($B21,'6-2_算定表③(旧・旧制度)'!$B$8:$U$65536,17,FALSE))</f>
      </c>
      <c r="K21" s="702">
        <f>IF($B21="","",VLOOKUP($B21,'6-2_算定表③(旧・旧制度)'!$B$8:$U$65536,14,FALSE))</f>
      </c>
      <c r="L21" s="443">
        <f>IF($B21="","",VLOOKUP($B21,'6-2_算定表③(旧・旧制度)'!$B$8:$U$65536,14,FALSE))</f>
      </c>
      <c r="M21" s="703">
        <f>IF($B21="","",VLOOKUP($B21,'6-2_算定表③(旧・旧制度)'!$B$8:$U$65536,14,FALSE))</f>
      </c>
      <c r="N21" s="702">
        <f>IF($B21="","",VLOOKUP($B21,'6-2_算定表③(旧・旧制度)'!$B$8:$U$65536,17,FALSE))</f>
      </c>
      <c r="O21" s="443">
        <f>IF($B21="","",VLOOKUP($B21,'6-2_算定表③(旧・旧制度)'!$B$8:$U$65536,17,FALSE))</f>
      </c>
      <c r="P21" s="443">
        <f>IF($B21="","",VLOOKUP($B21,'6-2_算定表③(旧・旧制度)'!$B$8:$U$65536,17,FALSE))</f>
      </c>
      <c r="Q21" s="443">
        <f>IF($B21="","",VLOOKUP($B21,'6-2_算定表③(旧・旧制度)'!$B$8:$U$65536,17,FALSE))</f>
      </c>
      <c r="R21" s="443">
        <f>IF($B21="","",VLOOKUP($B21,'6-2_算定表③(旧・旧制度)'!$B$8:$U$65536,17,FALSE))</f>
      </c>
      <c r="S21" s="443">
        <f>IF($B21="","",VLOOKUP($B21,'6-2_算定表③(旧・旧制度)'!$B$8:$U$65536,17,FALSE))</f>
      </c>
      <c r="T21" s="443">
        <f>IF($B21="","",VLOOKUP($B21,'6-2_算定表③(旧・旧制度)'!$B$8:$U$65536,17,FALSE))</f>
      </c>
      <c r="U21" s="443">
        <f>IF($B21="","",VLOOKUP($B21,'6-2_算定表③(旧・旧制度)'!$B$8:$U$65536,17,FALSE))</f>
      </c>
      <c r="V21" s="703">
        <f>IF($B21="","",VLOOKUP($B21,'6-2_算定表③(旧・旧制度)'!$B$8:$U$65536,17,FALSE))</f>
      </c>
      <c r="W21" s="438">
        <f t="shared" si="1"/>
      </c>
      <c r="X21" s="445">
        <f t="shared" si="2"/>
      </c>
      <c r="Y21" s="444">
        <f t="shared" si="3"/>
      </c>
      <c r="Z21" s="446">
        <f t="shared" si="4"/>
      </c>
      <c r="AA21" s="437">
        <f t="shared" si="5"/>
      </c>
      <c r="AB21" s="438">
        <f t="shared" si="6"/>
      </c>
      <c r="AC21" s="437">
        <f t="shared" si="7"/>
      </c>
      <c r="AD21" s="438">
        <f t="shared" si="8"/>
      </c>
      <c r="AE21" s="413">
        <f>IF(B21="","",ROUNDUP((G21/'6-2_算定表③(旧・旧制度)'!J20*W21)+(I21/'6-2_算定表③(旧・旧制度)'!J20*X21)+(G21/'6-2_算定表③(旧・旧制度)'!J20*Y21)+(I21/'6-2_算定表③(旧・旧制度)'!J20*Z21)+(G21/'6-2_算定表③(旧・旧制度)'!J20*AA21)+(I21/'6-2_算定表③(旧・旧制度)'!J20*AB21),0))</f>
      </c>
      <c r="AF21" s="412">
        <f t="shared" si="9"/>
      </c>
      <c r="AG21" s="998">
        <f>IF(B21="","",VLOOKUP($B21,'6-2_算定表③(旧・旧制度)'!$B$8:$AH$65536,33,FALSE))</f>
      </c>
      <c r="AH21" s="999" t="s">
        <v>205</v>
      </c>
      <c r="AI21" s="1000" t="s">
        <v>205</v>
      </c>
      <c r="AK21" s="60">
        <f t="shared" si="10"/>
      </c>
      <c r="AL21" s="60">
        <f t="shared" si="11"/>
      </c>
    </row>
    <row r="22" spans="1:38" s="53" customFormat="1" ht="18.75" customHeight="1">
      <c r="A22" s="27">
        <f t="shared" si="0"/>
      </c>
      <c r="B22" s="240"/>
      <c r="C22" s="83">
        <f>IF(B22="","",VLOOKUP($B22,'6-2_算定表③(旧・旧制度)'!$B$8:$U$65536,2,FALSE))</f>
      </c>
      <c r="D22" s="441">
        <f>IF(B22="","",VLOOKUP($B22,'6-2_算定表③(旧・旧制度)'!$B$8:$U$65536,3,FALSE))</f>
      </c>
      <c r="E22" s="441">
        <f>IF(B22="","",VLOOKUP($B22,'6-2_算定表③(旧・旧制度)'!$B$8:$U$65536,6,FALSE))</f>
      </c>
      <c r="F22" s="442">
        <f>IF(B22="","",VLOOKUP($B22,'6-2_算定表③(旧・旧制度)'!$B$8:$U$65536,14,FALSE))</f>
      </c>
      <c r="G22" s="441">
        <f>IF(B22="","",VLOOKUP($B22,'6-2_算定表③(旧・旧制度)'!$B$8:$U$65536,16,FALSE))</f>
      </c>
      <c r="H22" s="693">
        <f>IF(B22="","",VLOOKUP($B22,'6-2_算定表③(旧・旧制度)'!$B$8:$U$65536,17,FALSE))</f>
      </c>
      <c r="I22" s="691">
        <f>IF(B22="","",VLOOKUP($B22,'6-2_算定表③(旧・旧制度)'!$B$8:$U$65536,16,FALSE))</f>
      </c>
      <c r="J22" s="411">
        <f>IF(B22="","",VLOOKUP($B22,'6-2_算定表③(旧・旧制度)'!$B$8:$U$65536,17,FALSE))</f>
      </c>
      <c r="K22" s="702">
        <f>IF($B22="","",VLOOKUP($B22,'6-2_算定表③(旧・旧制度)'!$B$8:$U$65536,14,FALSE))</f>
      </c>
      <c r="L22" s="443">
        <f>IF($B22="","",VLOOKUP($B22,'6-2_算定表③(旧・旧制度)'!$B$8:$U$65536,14,FALSE))</f>
      </c>
      <c r="M22" s="703">
        <f>IF($B22="","",VLOOKUP($B22,'6-2_算定表③(旧・旧制度)'!$B$8:$U$65536,14,FALSE))</f>
      </c>
      <c r="N22" s="702">
        <f>IF($B22="","",VLOOKUP($B22,'6-2_算定表③(旧・旧制度)'!$B$8:$U$65536,17,FALSE))</f>
      </c>
      <c r="O22" s="443">
        <f>IF($B22="","",VLOOKUP($B22,'6-2_算定表③(旧・旧制度)'!$B$8:$U$65536,17,FALSE))</f>
      </c>
      <c r="P22" s="443">
        <f>IF($B22="","",VLOOKUP($B22,'6-2_算定表③(旧・旧制度)'!$B$8:$U$65536,17,FALSE))</f>
      </c>
      <c r="Q22" s="443">
        <f>IF($B22="","",VLOOKUP($B22,'6-2_算定表③(旧・旧制度)'!$B$8:$U$65536,17,FALSE))</f>
      </c>
      <c r="R22" s="443">
        <f>IF($B22="","",VLOOKUP($B22,'6-2_算定表③(旧・旧制度)'!$B$8:$U$65536,17,FALSE))</f>
      </c>
      <c r="S22" s="443">
        <f>IF($B22="","",VLOOKUP($B22,'6-2_算定表③(旧・旧制度)'!$B$8:$U$65536,17,FALSE))</f>
      </c>
      <c r="T22" s="443">
        <f>IF($B22="","",VLOOKUP($B22,'6-2_算定表③(旧・旧制度)'!$B$8:$U$65536,17,FALSE))</f>
      </c>
      <c r="U22" s="443">
        <f>IF($B22="","",VLOOKUP($B22,'6-2_算定表③(旧・旧制度)'!$B$8:$U$65536,17,FALSE))</f>
      </c>
      <c r="V22" s="703">
        <f>IF($B22="","",VLOOKUP($B22,'6-2_算定表③(旧・旧制度)'!$B$8:$U$65536,17,FALSE))</f>
      </c>
      <c r="W22" s="438">
        <f t="shared" si="1"/>
      </c>
      <c r="X22" s="445">
        <f t="shared" si="2"/>
      </c>
      <c r="Y22" s="444">
        <f t="shared" si="3"/>
      </c>
      <c r="Z22" s="446">
        <f t="shared" si="4"/>
      </c>
      <c r="AA22" s="437">
        <f t="shared" si="5"/>
      </c>
      <c r="AB22" s="438">
        <f t="shared" si="6"/>
      </c>
      <c r="AC22" s="437">
        <f t="shared" si="7"/>
      </c>
      <c r="AD22" s="438">
        <f t="shared" si="8"/>
      </c>
      <c r="AE22" s="413">
        <f>IF(B22="","",ROUNDUP((G22/'6-2_算定表③(旧・旧制度)'!J21*W22)+(I22/'6-2_算定表③(旧・旧制度)'!J21*X22)+(G22/'6-2_算定表③(旧・旧制度)'!J21*Y22)+(I22/'6-2_算定表③(旧・旧制度)'!J21*Z22)+(G22/'6-2_算定表③(旧・旧制度)'!J21*AA22)+(I22/'6-2_算定表③(旧・旧制度)'!J21*AB22),0))</f>
      </c>
      <c r="AF22" s="412">
        <f t="shared" si="9"/>
      </c>
      <c r="AG22" s="998">
        <f>IF(B22="","",VLOOKUP($B22,'6-2_算定表③(旧・旧制度)'!$B$8:$AH$65536,33,FALSE))</f>
      </c>
      <c r="AH22" s="999" t="s">
        <v>205</v>
      </c>
      <c r="AI22" s="1000" t="s">
        <v>205</v>
      </c>
      <c r="AK22" s="60">
        <f t="shared" si="10"/>
      </c>
      <c r="AL22" s="60">
        <f t="shared" si="11"/>
      </c>
    </row>
    <row r="23" spans="1:38" s="53" customFormat="1" ht="18.75" customHeight="1">
      <c r="A23" s="27">
        <f t="shared" si="0"/>
      </c>
      <c r="B23" s="240"/>
      <c r="C23" s="83">
        <f>IF(B23="","",VLOOKUP($B23,'6-2_算定表③(旧・旧制度)'!$B$8:$U$65536,2,FALSE))</f>
      </c>
      <c r="D23" s="441">
        <f>IF(B23="","",VLOOKUP($B23,'6-2_算定表③(旧・旧制度)'!$B$8:$U$65536,3,FALSE))</f>
      </c>
      <c r="E23" s="441">
        <f>IF(B23="","",VLOOKUP($B23,'6-2_算定表③(旧・旧制度)'!$B$8:$U$65536,6,FALSE))</f>
      </c>
      <c r="F23" s="442">
        <f>IF(B23="","",VLOOKUP($B23,'6-2_算定表③(旧・旧制度)'!$B$8:$U$65536,14,FALSE))</f>
      </c>
      <c r="G23" s="441">
        <f>IF(B23="","",VLOOKUP($B23,'6-2_算定表③(旧・旧制度)'!$B$8:$U$65536,16,FALSE))</f>
      </c>
      <c r="H23" s="693">
        <f>IF(B23="","",VLOOKUP($B23,'6-2_算定表③(旧・旧制度)'!$B$8:$U$65536,17,FALSE))</f>
      </c>
      <c r="I23" s="691">
        <f>IF(B23="","",VLOOKUP($B23,'6-2_算定表③(旧・旧制度)'!$B$8:$U$65536,16,FALSE))</f>
      </c>
      <c r="J23" s="411">
        <f>IF(B23="","",VLOOKUP($B23,'6-2_算定表③(旧・旧制度)'!$B$8:$U$65536,17,FALSE))</f>
      </c>
      <c r="K23" s="702">
        <f>IF($B23="","",VLOOKUP($B23,'6-2_算定表③(旧・旧制度)'!$B$8:$U$65536,14,FALSE))</f>
      </c>
      <c r="L23" s="443">
        <f>IF($B23="","",VLOOKUP($B23,'6-2_算定表③(旧・旧制度)'!$B$8:$U$65536,14,FALSE))</f>
      </c>
      <c r="M23" s="703">
        <f>IF($B23="","",VLOOKUP($B23,'6-2_算定表③(旧・旧制度)'!$B$8:$U$65536,14,FALSE))</f>
      </c>
      <c r="N23" s="702">
        <f>IF($B23="","",VLOOKUP($B23,'6-2_算定表③(旧・旧制度)'!$B$8:$U$65536,17,FALSE))</f>
      </c>
      <c r="O23" s="443">
        <f>IF($B23="","",VLOOKUP($B23,'6-2_算定表③(旧・旧制度)'!$B$8:$U$65536,17,FALSE))</f>
      </c>
      <c r="P23" s="443">
        <f>IF($B23="","",VLOOKUP($B23,'6-2_算定表③(旧・旧制度)'!$B$8:$U$65536,17,FALSE))</f>
      </c>
      <c r="Q23" s="443">
        <f>IF($B23="","",VLOOKUP($B23,'6-2_算定表③(旧・旧制度)'!$B$8:$U$65536,17,FALSE))</f>
      </c>
      <c r="R23" s="443">
        <f>IF($B23="","",VLOOKUP($B23,'6-2_算定表③(旧・旧制度)'!$B$8:$U$65536,17,FALSE))</f>
      </c>
      <c r="S23" s="443">
        <f>IF($B23="","",VLOOKUP($B23,'6-2_算定表③(旧・旧制度)'!$B$8:$U$65536,17,FALSE))</f>
      </c>
      <c r="T23" s="443">
        <f>IF($B23="","",VLOOKUP($B23,'6-2_算定表③(旧・旧制度)'!$B$8:$U$65536,17,FALSE))</f>
      </c>
      <c r="U23" s="443">
        <f>IF($B23="","",VLOOKUP($B23,'6-2_算定表③(旧・旧制度)'!$B$8:$U$65536,17,FALSE))</f>
      </c>
      <c r="V23" s="703">
        <f>IF($B23="","",VLOOKUP($B23,'6-2_算定表③(旧・旧制度)'!$B$8:$U$65536,17,FALSE))</f>
      </c>
      <c r="W23" s="438">
        <f t="shared" si="1"/>
      </c>
      <c r="X23" s="445">
        <f t="shared" si="2"/>
      </c>
      <c r="Y23" s="444">
        <f t="shared" si="3"/>
      </c>
      <c r="Z23" s="446">
        <f t="shared" si="4"/>
      </c>
      <c r="AA23" s="437">
        <f t="shared" si="5"/>
      </c>
      <c r="AB23" s="438">
        <f t="shared" si="6"/>
      </c>
      <c r="AC23" s="437">
        <f t="shared" si="7"/>
      </c>
      <c r="AD23" s="438">
        <f t="shared" si="8"/>
      </c>
      <c r="AE23" s="413">
        <f>IF(B23="","",ROUNDUP((G23/'6-2_算定表③(旧・旧制度)'!J22*W23)+(I23/'6-2_算定表③(旧・旧制度)'!J22*X23)+(G23/'6-2_算定表③(旧・旧制度)'!J22*Y23)+(I23/'6-2_算定表③(旧・旧制度)'!J22*Z23)+(G23/'6-2_算定表③(旧・旧制度)'!J22*AA23)+(I23/'6-2_算定表③(旧・旧制度)'!J22*AB23),0))</f>
      </c>
      <c r="AF23" s="412">
        <f t="shared" si="9"/>
      </c>
      <c r="AG23" s="998">
        <f>IF(B23="","",VLOOKUP($B23,'6-2_算定表③(旧・旧制度)'!$B$8:$AH$65536,33,FALSE))</f>
      </c>
      <c r="AH23" s="999" t="s">
        <v>205</v>
      </c>
      <c r="AI23" s="1000" t="s">
        <v>205</v>
      </c>
      <c r="AK23" s="60">
        <f t="shared" si="10"/>
      </c>
      <c r="AL23" s="60">
        <f t="shared" si="11"/>
      </c>
    </row>
    <row r="24" spans="1:38" s="53" customFormat="1" ht="18.75" customHeight="1">
      <c r="A24" s="27">
        <f t="shared" si="0"/>
      </c>
      <c r="B24" s="240"/>
      <c r="C24" s="83">
        <f>IF(B24="","",VLOOKUP($B24,'6-2_算定表③(旧・旧制度)'!$B$8:$U$65536,2,FALSE))</f>
      </c>
      <c r="D24" s="441">
        <f>IF(B24="","",VLOOKUP($B24,'6-2_算定表③(旧・旧制度)'!$B$8:$U$65536,3,FALSE))</f>
      </c>
      <c r="E24" s="441">
        <f>IF(B24="","",VLOOKUP($B24,'6-2_算定表③(旧・旧制度)'!$B$8:$U$65536,6,FALSE))</f>
      </c>
      <c r="F24" s="442">
        <f>IF(B24="","",VLOOKUP($B24,'6-2_算定表③(旧・旧制度)'!$B$8:$U$65536,14,FALSE))</f>
      </c>
      <c r="G24" s="441">
        <f>IF(B24="","",VLOOKUP($B24,'6-2_算定表③(旧・旧制度)'!$B$8:$U$65536,16,FALSE))</f>
      </c>
      <c r="H24" s="693">
        <f>IF(B24="","",VLOOKUP($B24,'6-2_算定表③(旧・旧制度)'!$B$8:$U$65536,17,FALSE))</f>
      </c>
      <c r="I24" s="691">
        <f>IF(B24="","",VLOOKUP($B24,'6-2_算定表③(旧・旧制度)'!$B$8:$U$65536,16,FALSE))</f>
      </c>
      <c r="J24" s="411">
        <f>IF(B24="","",VLOOKUP($B24,'6-2_算定表③(旧・旧制度)'!$B$8:$U$65536,17,FALSE))</f>
      </c>
      <c r="K24" s="702">
        <f>IF($B24="","",VLOOKUP($B24,'6-2_算定表③(旧・旧制度)'!$B$8:$U$65536,14,FALSE))</f>
      </c>
      <c r="L24" s="443">
        <f>IF($B24="","",VLOOKUP($B24,'6-2_算定表③(旧・旧制度)'!$B$8:$U$65536,14,FALSE))</f>
      </c>
      <c r="M24" s="703">
        <f>IF($B24="","",VLOOKUP($B24,'6-2_算定表③(旧・旧制度)'!$B$8:$U$65536,14,FALSE))</f>
      </c>
      <c r="N24" s="702">
        <f>IF($B24="","",VLOOKUP($B24,'6-2_算定表③(旧・旧制度)'!$B$8:$U$65536,17,FALSE))</f>
      </c>
      <c r="O24" s="443">
        <f>IF($B24="","",VLOOKUP($B24,'6-2_算定表③(旧・旧制度)'!$B$8:$U$65536,17,FALSE))</f>
      </c>
      <c r="P24" s="443">
        <f>IF($B24="","",VLOOKUP($B24,'6-2_算定表③(旧・旧制度)'!$B$8:$U$65536,17,FALSE))</f>
      </c>
      <c r="Q24" s="443">
        <f>IF($B24="","",VLOOKUP($B24,'6-2_算定表③(旧・旧制度)'!$B$8:$U$65536,17,FALSE))</f>
      </c>
      <c r="R24" s="443">
        <f>IF($B24="","",VLOOKUP($B24,'6-2_算定表③(旧・旧制度)'!$B$8:$U$65536,17,FALSE))</f>
      </c>
      <c r="S24" s="443">
        <f>IF($B24="","",VLOOKUP($B24,'6-2_算定表③(旧・旧制度)'!$B$8:$U$65536,17,FALSE))</f>
      </c>
      <c r="T24" s="443">
        <f>IF($B24="","",VLOOKUP($B24,'6-2_算定表③(旧・旧制度)'!$B$8:$U$65536,17,FALSE))</f>
      </c>
      <c r="U24" s="443">
        <f>IF($B24="","",VLOOKUP($B24,'6-2_算定表③(旧・旧制度)'!$B$8:$U$65536,17,FALSE))</f>
      </c>
      <c r="V24" s="703">
        <f>IF($B24="","",VLOOKUP($B24,'6-2_算定表③(旧・旧制度)'!$B$8:$U$65536,17,FALSE))</f>
      </c>
      <c r="W24" s="438">
        <f t="shared" si="1"/>
      </c>
      <c r="X24" s="445">
        <f t="shared" si="2"/>
      </c>
      <c r="Y24" s="444">
        <f t="shared" si="3"/>
      </c>
      <c r="Z24" s="446">
        <f t="shared" si="4"/>
      </c>
      <c r="AA24" s="437">
        <f t="shared" si="5"/>
      </c>
      <c r="AB24" s="438">
        <f t="shared" si="6"/>
      </c>
      <c r="AC24" s="437">
        <f t="shared" si="7"/>
      </c>
      <c r="AD24" s="438">
        <f t="shared" si="8"/>
      </c>
      <c r="AE24" s="413">
        <f>IF(B24="","",ROUNDUP((G24/'6-2_算定表③(旧・旧制度)'!J23*W24)+(I24/'6-2_算定表③(旧・旧制度)'!J23*X24)+(G24/'6-2_算定表③(旧・旧制度)'!J23*Y24)+(I24/'6-2_算定表③(旧・旧制度)'!J23*Z24)+(G24/'6-2_算定表③(旧・旧制度)'!J23*AA24)+(I24/'6-2_算定表③(旧・旧制度)'!J23*AB24),0))</f>
      </c>
      <c r="AF24" s="412">
        <f t="shared" si="9"/>
      </c>
      <c r="AG24" s="998">
        <f>IF(B24="","",VLOOKUP($B24,'6-2_算定表③(旧・旧制度)'!$B$8:$AH$65536,33,FALSE))</f>
      </c>
      <c r="AH24" s="999" t="s">
        <v>205</v>
      </c>
      <c r="AI24" s="1000" t="s">
        <v>205</v>
      </c>
      <c r="AK24" s="60">
        <f t="shared" si="10"/>
      </c>
      <c r="AL24" s="60">
        <f t="shared" si="11"/>
      </c>
    </row>
    <row r="25" spans="1:38" s="53" customFormat="1" ht="18.75" customHeight="1">
      <c r="A25" s="27">
        <f t="shared" si="0"/>
      </c>
      <c r="B25" s="240"/>
      <c r="C25" s="83">
        <f>IF(B25="","",VLOOKUP($B25,'6-2_算定表③(旧・旧制度)'!$B$8:$U$65536,2,FALSE))</f>
      </c>
      <c r="D25" s="441">
        <f>IF(B25="","",VLOOKUP($B25,'6-2_算定表③(旧・旧制度)'!$B$8:$U$65536,3,FALSE))</f>
      </c>
      <c r="E25" s="441">
        <f>IF(B25="","",VLOOKUP($B25,'6-2_算定表③(旧・旧制度)'!$B$8:$U$65536,6,FALSE))</f>
      </c>
      <c r="F25" s="442">
        <f>IF(B25="","",VLOOKUP($B25,'6-2_算定表③(旧・旧制度)'!$B$8:$U$65536,14,FALSE))</f>
      </c>
      <c r="G25" s="441">
        <f>IF(B25="","",VLOOKUP($B25,'6-2_算定表③(旧・旧制度)'!$B$8:$U$65536,16,FALSE))</f>
      </c>
      <c r="H25" s="693">
        <f>IF(B25="","",VLOOKUP($B25,'6-2_算定表③(旧・旧制度)'!$B$8:$U$65536,17,FALSE))</f>
      </c>
      <c r="I25" s="691">
        <f>IF(B25="","",VLOOKUP($B25,'6-2_算定表③(旧・旧制度)'!$B$8:$U$65536,16,FALSE))</f>
      </c>
      <c r="J25" s="411">
        <f>IF(B25="","",VLOOKUP($B25,'6-2_算定表③(旧・旧制度)'!$B$8:$U$65536,17,FALSE))</f>
      </c>
      <c r="K25" s="702">
        <f>IF($B25="","",VLOOKUP($B25,'6-2_算定表③(旧・旧制度)'!$B$8:$U$65536,14,FALSE))</f>
      </c>
      <c r="L25" s="443">
        <f>IF($B25="","",VLOOKUP($B25,'6-2_算定表③(旧・旧制度)'!$B$8:$U$65536,14,FALSE))</f>
      </c>
      <c r="M25" s="703">
        <f>IF($B25="","",VLOOKUP($B25,'6-2_算定表③(旧・旧制度)'!$B$8:$U$65536,14,FALSE))</f>
      </c>
      <c r="N25" s="702">
        <f>IF($B25="","",VLOOKUP($B25,'6-2_算定表③(旧・旧制度)'!$B$8:$U$65536,17,FALSE))</f>
      </c>
      <c r="O25" s="443">
        <f>IF($B25="","",VLOOKUP($B25,'6-2_算定表③(旧・旧制度)'!$B$8:$U$65536,17,FALSE))</f>
      </c>
      <c r="P25" s="443">
        <f>IF($B25="","",VLOOKUP($B25,'6-2_算定表③(旧・旧制度)'!$B$8:$U$65536,17,FALSE))</f>
      </c>
      <c r="Q25" s="443">
        <f>IF($B25="","",VLOOKUP($B25,'6-2_算定表③(旧・旧制度)'!$B$8:$U$65536,17,FALSE))</f>
      </c>
      <c r="R25" s="443">
        <f>IF($B25="","",VLOOKUP($B25,'6-2_算定表③(旧・旧制度)'!$B$8:$U$65536,17,FALSE))</f>
      </c>
      <c r="S25" s="443">
        <f>IF($B25="","",VLOOKUP($B25,'6-2_算定表③(旧・旧制度)'!$B$8:$U$65536,17,FALSE))</f>
      </c>
      <c r="T25" s="443">
        <f>IF($B25="","",VLOOKUP($B25,'6-2_算定表③(旧・旧制度)'!$B$8:$U$65536,17,FALSE))</f>
      </c>
      <c r="U25" s="443">
        <f>IF($B25="","",VLOOKUP($B25,'6-2_算定表③(旧・旧制度)'!$B$8:$U$65536,17,FALSE))</f>
      </c>
      <c r="V25" s="703">
        <f>IF($B25="","",VLOOKUP($B25,'6-2_算定表③(旧・旧制度)'!$B$8:$U$65536,17,FALSE))</f>
      </c>
      <c r="W25" s="438">
        <f t="shared" si="1"/>
      </c>
      <c r="X25" s="445">
        <f t="shared" si="2"/>
      </c>
      <c r="Y25" s="444">
        <f t="shared" si="3"/>
      </c>
      <c r="Z25" s="446">
        <f t="shared" si="4"/>
      </c>
      <c r="AA25" s="437">
        <f t="shared" si="5"/>
      </c>
      <c r="AB25" s="438">
        <f t="shared" si="6"/>
      </c>
      <c r="AC25" s="437">
        <f t="shared" si="7"/>
      </c>
      <c r="AD25" s="438">
        <f t="shared" si="8"/>
      </c>
      <c r="AE25" s="413">
        <f>IF(B25="","",ROUNDUP((G25/'6-2_算定表③(旧・旧制度)'!J24*W25)+(I25/'6-2_算定表③(旧・旧制度)'!J24*X25)+(G25/'6-2_算定表③(旧・旧制度)'!J24*Y25)+(I25/'6-2_算定表③(旧・旧制度)'!J24*Z25)+(G25/'6-2_算定表③(旧・旧制度)'!J24*AA25)+(I25/'6-2_算定表③(旧・旧制度)'!J24*AB25),0))</f>
      </c>
      <c r="AF25" s="412">
        <f t="shared" si="9"/>
      </c>
      <c r="AG25" s="998">
        <f>IF(B25="","",VLOOKUP($B25,'6-2_算定表③(旧・旧制度)'!$B$8:$AH$65536,33,FALSE))</f>
      </c>
      <c r="AH25" s="999" t="s">
        <v>205</v>
      </c>
      <c r="AI25" s="1000" t="s">
        <v>205</v>
      </c>
      <c r="AK25" s="60">
        <f t="shared" si="10"/>
      </c>
      <c r="AL25" s="60">
        <f t="shared" si="11"/>
      </c>
    </row>
    <row r="26" spans="1:38" s="53" customFormat="1" ht="18.75" customHeight="1">
      <c r="A26" s="27">
        <f t="shared" si="0"/>
      </c>
      <c r="B26" s="240"/>
      <c r="C26" s="83">
        <f>IF(B26="","",VLOOKUP($B26,'6-2_算定表③(旧・旧制度)'!$B$8:$U$65536,2,FALSE))</f>
      </c>
      <c r="D26" s="441">
        <f>IF(B26="","",VLOOKUP($B26,'6-2_算定表③(旧・旧制度)'!$B$8:$U$65536,3,FALSE))</f>
      </c>
      <c r="E26" s="441">
        <f>IF(B26="","",VLOOKUP($B26,'6-2_算定表③(旧・旧制度)'!$B$8:$U$65536,6,FALSE))</f>
      </c>
      <c r="F26" s="442">
        <f>IF(B26="","",VLOOKUP($B26,'6-2_算定表③(旧・旧制度)'!$B$8:$U$65536,14,FALSE))</f>
      </c>
      <c r="G26" s="441">
        <f>IF(B26="","",VLOOKUP($B26,'6-2_算定表③(旧・旧制度)'!$B$8:$U$65536,16,FALSE))</f>
      </c>
      <c r="H26" s="693">
        <f>IF(B26="","",VLOOKUP($B26,'6-2_算定表③(旧・旧制度)'!$B$8:$U$65536,17,FALSE))</f>
      </c>
      <c r="I26" s="691">
        <f>IF(B26="","",VLOOKUP($B26,'6-2_算定表③(旧・旧制度)'!$B$8:$U$65536,16,FALSE))</f>
      </c>
      <c r="J26" s="411">
        <f>IF(B26="","",VLOOKUP($B26,'6-2_算定表③(旧・旧制度)'!$B$8:$U$65536,17,FALSE))</f>
      </c>
      <c r="K26" s="702">
        <f>IF($B26="","",VLOOKUP($B26,'6-2_算定表③(旧・旧制度)'!$B$8:$U$65536,14,FALSE))</f>
      </c>
      <c r="L26" s="443">
        <f>IF($B26="","",VLOOKUP($B26,'6-2_算定表③(旧・旧制度)'!$B$8:$U$65536,14,FALSE))</f>
      </c>
      <c r="M26" s="703">
        <f>IF($B26="","",VLOOKUP($B26,'6-2_算定表③(旧・旧制度)'!$B$8:$U$65536,14,FALSE))</f>
      </c>
      <c r="N26" s="702">
        <f>IF($B26="","",VLOOKUP($B26,'6-2_算定表③(旧・旧制度)'!$B$8:$U$65536,17,FALSE))</f>
      </c>
      <c r="O26" s="443">
        <f>IF($B26="","",VLOOKUP($B26,'6-2_算定表③(旧・旧制度)'!$B$8:$U$65536,17,FALSE))</f>
      </c>
      <c r="P26" s="443">
        <f>IF($B26="","",VLOOKUP($B26,'6-2_算定表③(旧・旧制度)'!$B$8:$U$65536,17,FALSE))</f>
      </c>
      <c r="Q26" s="443">
        <f>IF($B26="","",VLOOKUP($B26,'6-2_算定表③(旧・旧制度)'!$B$8:$U$65536,17,FALSE))</f>
      </c>
      <c r="R26" s="443">
        <f>IF($B26="","",VLOOKUP($B26,'6-2_算定表③(旧・旧制度)'!$B$8:$U$65536,17,FALSE))</f>
      </c>
      <c r="S26" s="443">
        <f>IF($B26="","",VLOOKUP($B26,'6-2_算定表③(旧・旧制度)'!$B$8:$U$65536,17,FALSE))</f>
      </c>
      <c r="T26" s="443">
        <f>IF($B26="","",VLOOKUP($B26,'6-2_算定表③(旧・旧制度)'!$B$8:$U$65536,17,FALSE))</f>
      </c>
      <c r="U26" s="443">
        <f>IF($B26="","",VLOOKUP($B26,'6-2_算定表③(旧・旧制度)'!$B$8:$U$65536,17,FALSE))</f>
      </c>
      <c r="V26" s="703">
        <f>IF($B26="","",VLOOKUP($B26,'6-2_算定表③(旧・旧制度)'!$B$8:$U$65536,17,FALSE))</f>
      </c>
      <c r="W26" s="438">
        <f t="shared" si="1"/>
      </c>
      <c r="X26" s="445">
        <f t="shared" si="2"/>
      </c>
      <c r="Y26" s="444">
        <f t="shared" si="3"/>
      </c>
      <c r="Z26" s="446">
        <f t="shared" si="4"/>
      </c>
      <c r="AA26" s="437">
        <f t="shared" si="5"/>
      </c>
      <c r="AB26" s="438">
        <f t="shared" si="6"/>
      </c>
      <c r="AC26" s="437">
        <f t="shared" si="7"/>
      </c>
      <c r="AD26" s="438">
        <f t="shared" si="8"/>
      </c>
      <c r="AE26" s="413">
        <f>IF(B26="","",ROUNDUP((G26/'6-2_算定表③(旧・旧制度)'!J25*W26)+(I26/'6-2_算定表③(旧・旧制度)'!J25*X26)+(G26/'6-2_算定表③(旧・旧制度)'!J25*Y26)+(I26/'6-2_算定表③(旧・旧制度)'!J25*Z26)+(G26/'6-2_算定表③(旧・旧制度)'!J25*AA26)+(I26/'6-2_算定表③(旧・旧制度)'!J25*AB26),0))</f>
      </c>
      <c r="AF26" s="412">
        <f t="shared" si="9"/>
      </c>
      <c r="AG26" s="998">
        <f>IF(B26="","",VLOOKUP($B26,'6-2_算定表③(旧・旧制度)'!$B$8:$AH$65536,33,FALSE))</f>
      </c>
      <c r="AH26" s="999" t="s">
        <v>205</v>
      </c>
      <c r="AI26" s="1000" t="s">
        <v>205</v>
      </c>
      <c r="AK26" s="60">
        <f t="shared" si="10"/>
      </c>
      <c r="AL26" s="60">
        <f t="shared" si="11"/>
      </c>
    </row>
    <row r="27" spans="1:38" s="53" customFormat="1" ht="18.75" customHeight="1">
      <c r="A27" s="27">
        <f t="shared" si="0"/>
      </c>
      <c r="B27" s="240"/>
      <c r="C27" s="83">
        <f>IF(B27="","",VLOOKUP($B27,'6-2_算定表③(旧・旧制度)'!$B$8:$U$65536,2,FALSE))</f>
      </c>
      <c r="D27" s="441">
        <f>IF(B27="","",VLOOKUP($B27,'6-2_算定表③(旧・旧制度)'!$B$8:$U$65536,3,FALSE))</f>
      </c>
      <c r="E27" s="441">
        <f>IF(B27="","",VLOOKUP($B27,'6-2_算定表③(旧・旧制度)'!$B$8:$U$65536,6,FALSE))</f>
      </c>
      <c r="F27" s="442">
        <f>IF(B27="","",VLOOKUP($B27,'6-2_算定表③(旧・旧制度)'!$B$8:$U$65536,14,FALSE))</f>
      </c>
      <c r="G27" s="441">
        <f>IF(B27="","",VLOOKUP($B27,'6-2_算定表③(旧・旧制度)'!$B$8:$U$65536,16,FALSE))</f>
      </c>
      <c r="H27" s="693">
        <f>IF(B27="","",VLOOKUP($B27,'6-2_算定表③(旧・旧制度)'!$B$8:$U$65536,17,FALSE))</f>
      </c>
      <c r="I27" s="691">
        <f>IF(B27="","",VLOOKUP($B27,'6-2_算定表③(旧・旧制度)'!$B$8:$U$65536,16,FALSE))</f>
      </c>
      <c r="J27" s="411">
        <f>IF(B27="","",VLOOKUP($B27,'6-2_算定表③(旧・旧制度)'!$B$8:$U$65536,17,FALSE))</f>
      </c>
      <c r="K27" s="702">
        <f>IF($B27="","",VLOOKUP($B27,'6-2_算定表③(旧・旧制度)'!$B$8:$U$65536,14,FALSE))</f>
      </c>
      <c r="L27" s="443">
        <f>IF($B27="","",VLOOKUP($B27,'6-2_算定表③(旧・旧制度)'!$B$8:$U$65536,14,FALSE))</f>
      </c>
      <c r="M27" s="703">
        <f>IF($B27="","",VLOOKUP($B27,'6-2_算定表③(旧・旧制度)'!$B$8:$U$65536,14,FALSE))</f>
      </c>
      <c r="N27" s="702">
        <f>IF($B27="","",VLOOKUP($B27,'6-2_算定表③(旧・旧制度)'!$B$8:$U$65536,17,FALSE))</f>
      </c>
      <c r="O27" s="443">
        <f>IF($B27="","",VLOOKUP($B27,'6-2_算定表③(旧・旧制度)'!$B$8:$U$65536,17,FALSE))</f>
      </c>
      <c r="P27" s="443">
        <f>IF($B27="","",VLOOKUP($B27,'6-2_算定表③(旧・旧制度)'!$B$8:$U$65536,17,FALSE))</f>
      </c>
      <c r="Q27" s="443">
        <f>IF($B27="","",VLOOKUP($B27,'6-2_算定表③(旧・旧制度)'!$B$8:$U$65536,17,FALSE))</f>
      </c>
      <c r="R27" s="443">
        <f>IF($B27="","",VLOOKUP($B27,'6-2_算定表③(旧・旧制度)'!$B$8:$U$65536,17,FALSE))</f>
      </c>
      <c r="S27" s="443">
        <f>IF($B27="","",VLOOKUP($B27,'6-2_算定表③(旧・旧制度)'!$B$8:$U$65536,17,FALSE))</f>
      </c>
      <c r="T27" s="443">
        <f>IF($B27="","",VLOOKUP($B27,'6-2_算定表③(旧・旧制度)'!$B$8:$U$65536,17,FALSE))</f>
      </c>
      <c r="U27" s="443">
        <f>IF($B27="","",VLOOKUP($B27,'6-2_算定表③(旧・旧制度)'!$B$8:$U$65536,17,FALSE))</f>
      </c>
      <c r="V27" s="703">
        <f>IF($B27="","",VLOOKUP($B27,'6-2_算定表③(旧・旧制度)'!$B$8:$U$65536,17,FALSE))</f>
      </c>
      <c r="W27" s="438">
        <f t="shared" si="1"/>
      </c>
      <c r="X27" s="445">
        <f t="shared" si="2"/>
      </c>
      <c r="Y27" s="444">
        <f t="shared" si="3"/>
      </c>
      <c r="Z27" s="446">
        <f t="shared" si="4"/>
      </c>
      <c r="AA27" s="437">
        <f t="shared" si="5"/>
      </c>
      <c r="AB27" s="438">
        <f t="shared" si="6"/>
      </c>
      <c r="AC27" s="437">
        <f t="shared" si="7"/>
      </c>
      <c r="AD27" s="438">
        <f t="shared" si="8"/>
      </c>
      <c r="AE27" s="413">
        <f>IF(B27="","",ROUNDUP((G27/'6-2_算定表③(旧・旧制度)'!J26*W27)+(I27/'6-2_算定表③(旧・旧制度)'!J26*X27)+(G27/'6-2_算定表③(旧・旧制度)'!J26*Y27)+(I27/'6-2_算定表③(旧・旧制度)'!J26*Z27)+(G27/'6-2_算定表③(旧・旧制度)'!J26*AA27)+(I27/'6-2_算定表③(旧・旧制度)'!J26*AB27),0))</f>
      </c>
      <c r="AF27" s="412">
        <f t="shared" si="9"/>
      </c>
      <c r="AG27" s="998">
        <f>IF(B27="","",VLOOKUP($B27,'6-2_算定表③(旧・旧制度)'!$B$8:$AH$65536,33,FALSE))</f>
      </c>
      <c r="AH27" s="999" t="s">
        <v>205</v>
      </c>
      <c r="AI27" s="1000" t="s">
        <v>205</v>
      </c>
      <c r="AK27" s="60">
        <f t="shared" si="10"/>
      </c>
      <c r="AL27" s="60">
        <f t="shared" si="11"/>
      </c>
    </row>
    <row r="28" spans="1:38" s="53" customFormat="1" ht="18.75" customHeight="1">
      <c r="A28" s="27">
        <f t="shared" si="0"/>
      </c>
      <c r="B28" s="240"/>
      <c r="C28" s="83">
        <f>IF(B28="","",VLOOKUP($B28,'6-2_算定表③(旧・旧制度)'!$B$8:$U$65536,2,FALSE))</f>
      </c>
      <c r="D28" s="441">
        <f>IF(B28="","",VLOOKUP($B28,'6-2_算定表③(旧・旧制度)'!$B$8:$U$65536,3,FALSE))</f>
      </c>
      <c r="E28" s="441">
        <f>IF(B28="","",VLOOKUP($B28,'6-2_算定表③(旧・旧制度)'!$B$8:$U$65536,6,FALSE))</f>
      </c>
      <c r="F28" s="442">
        <f>IF(B28="","",VLOOKUP($B28,'6-2_算定表③(旧・旧制度)'!$B$8:$U$65536,14,FALSE))</f>
      </c>
      <c r="G28" s="441">
        <f>IF(B28="","",VLOOKUP($B28,'6-2_算定表③(旧・旧制度)'!$B$8:$U$65536,16,FALSE))</f>
      </c>
      <c r="H28" s="693">
        <f>IF(B28="","",VLOOKUP($B28,'6-2_算定表③(旧・旧制度)'!$B$8:$U$65536,17,FALSE))</f>
      </c>
      <c r="I28" s="691">
        <f>IF(B28="","",VLOOKUP($B28,'6-2_算定表③(旧・旧制度)'!$B$8:$U$65536,16,FALSE))</f>
      </c>
      <c r="J28" s="411">
        <f>IF(B28="","",VLOOKUP($B28,'6-2_算定表③(旧・旧制度)'!$B$8:$U$65536,17,FALSE))</f>
      </c>
      <c r="K28" s="702">
        <f>IF($B28="","",VLOOKUP($B28,'6-2_算定表③(旧・旧制度)'!$B$8:$U$65536,14,FALSE))</f>
      </c>
      <c r="L28" s="443">
        <f>IF($B28="","",VLOOKUP($B28,'6-2_算定表③(旧・旧制度)'!$B$8:$U$65536,14,FALSE))</f>
      </c>
      <c r="M28" s="703">
        <f>IF($B28="","",VLOOKUP($B28,'6-2_算定表③(旧・旧制度)'!$B$8:$U$65536,14,FALSE))</f>
      </c>
      <c r="N28" s="702">
        <f>IF($B28="","",VLOOKUP($B28,'6-2_算定表③(旧・旧制度)'!$B$8:$U$65536,17,FALSE))</f>
      </c>
      <c r="O28" s="443">
        <f>IF($B28="","",VLOOKUP($B28,'6-2_算定表③(旧・旧制度)'!$B$8:$U$65536,17,FALSE))</f>
      </c>
      <c r="P28" s="443">
        <f>IF($B28="","",VLOOKUP($B28,'6-2_算定表③(旧・旧制度)'!$B$8:$U$65536,17,FALSE))</f>
      </c>
      <c r="Q28" s="443">
        <f>IF($B28="","",VLOOKUP($B28,'6-2_算定表③(旧・旧制度)'!$B$8:$U$65536,17,FALSE))</f>
      </c>
      <c r="R28" s="443">
        <f>IF($B28="","",VLOOKUP($B28,'6-2_算定表③(旧・旧制度)'!$B$8:$U$65536,17,FALSE))</f>
      </c>
      <c r="S28" s="443">
        <f>IF($B28="","",VLOOKUP($B28,'6-2_算定表③(旧・旧制度)'!$B$8:$U$65536,17,FALSE))</f>
      </c>
      <c r="T28" s="443">
        <f>IF($B28="","",VLOOKUP($B28,'6-2_算定表③(旧・旧制度)'!$B$8:$U$65536,17,FALSE))</f>
      </c>
      <c r="U28" s="443">
        <f>IF($B28="","",VLOOKUP($B28,'6-2_算定表③(旧・旧制度)'!$B$8:$U$65536,17,FALSE))</f>
      </c>
      <c r="V28" s="703">
        <f>IF($B28="","",VLOOKUP($B28,'6-2_算定表③(旧・旧制度)'!$B$8:$U$65536,17,FALSE))</f>
      </c>
      <c r="W28" s="438">
        <f t="shared" si="1"/>
      </c>
      <c r="X28" s="445">
        <f t="shared" si="2"/>
      </c>
      <c r="Y28" s="444">
        <f t="shared" si="3"/>
      </c>
      <c r="Z28" s="446">
        <f t="shared" si="4"/>
      </c>
      <c r="AA28" s="437">
        <f t="shared" si="5"/>
      </c>
      <c r="AB28" s="438">
        <f t="shared" si="6"/>
      </c>
      <c r="AC28" s="437">
        <f t="shared" si="7"/>
      </c>
      <c r="AD28" s="438">
        <f t="shared" si="8"/>
      </c>
      <c r="AE28" s="413">
        <f>IF(B28="","",ROUNDUP((G28/'6-2_算定表③(旧・旧制度)'!J27*W28)+(I28/'6-2_算定表③(旧・旧制度)'!J27*X28)+(G28/'6-2_算定表③(旧・旧制度)'!J27*Y28)+(I28/'6-2_算定表③(旧・旧制度)'!J27*Z28)+(G28/'6-2_算定表③(旧・旧制度)'!J27*AA28)+(I28/'6-2_算定表③(旧・旧制度)'!J27*AB28),0))</f>
      </c>
      <c r="AF28" s="412">
        <f t="shared" si="9"/>
      </c>
      <c r="AG28" s="998">
        <f>IF(B28="","",VLOOKUP($B28,'6-2_算定表③(旧・旧制度)'!$B$8:$AH$65536,33,FALSE))</f>
      </c>
      <c r="AH28" s="999" t="s">
        <v>205</v>
      </c>
      <c r="AI28" s="1000" t="s">
        <v>205</v>
      </c>
      <c r="AK28" s="60">
        <f t="shared" si="10"/>
      </c>
      <c r="AL28" s="60">
        <f t="shared" si="11"/>
      </c>
    </row>
    <row r="29" spans="1:38" s="53" customFormat="1" ht="18.75" customHeight="1">
      <c r="A29" s="27">
        <f t="shared" si="0"/>
      </c>
      <c r="B29" s="240"/>
      <c r="C29" s="83">
        <f>IF(B29="","",VLOOKUP($B29,'6-2_算定表③(旧・旧制度)'!$B$8:$U$65536,2,FALSE))</f>
      </c>
      <c r="D29" s="441">
        <f>IF(B29="","",VLOOKUP($B29,'6-2_算定表③(旧・旧制度)'!$B$8:$U$65536,3,FALSE))</f>
      </c>
      <c r="E29" s="441">
        <f>IF(B29="","",VLOOKUP($B29,'6-2_算定表③(旧・旧制度)'!$B$8:$U$65536,6,FALSE))</f>
      </c>
      <c r="F29" s="442">
        <f>IF(B29="","",VLOOKUP($B29,'6-2_算定表③(旧・旧制度)'!$B$8:$U$65536,14,FALSE))</f>
      </c>
      <c r="G29" s="441">
        <f>IF(B29="","",VLOOKUP($B29,'6-2_算定表③(旧・旧制度)'!$B$8:$U$65536,16,FALSE))</f>
      </c>
      <c r="H29" s="693">
        <f>IF(B29="","",VLOOKUP($B29,'6-2_算定表③(旧・旧制度)'!$B$8:$U$65536,17,FALSE))</f>
      </c>
      <c r="I29" s="691">
        <f>IF(B29="","",VLOOKUP($B29,'6-2_算定表③(旧・旧制度)'!$B$8:$U$65536,16,FALSE))</f>
      </c>
      <c r="J29" s="411">
        <f>IF(B29="","",VLOOKUP($B29,'6-2_算定表③(旧・旧制度)'!$B$8:$U$65536,17,FALSE))</f>
      </c>
      <c r="K29" s="702">
        <f>IF($B29="","",VLOOKUP($B29,'6-2_算定表③(旧・旧制度)'!$B$8:$U$65536,14,FALSE))</f>
      </c>
      <c r="L29" s="443">
        <f>IF($B29="","",VLOOKUP($B29,'6-2_算定表③(旧・旧制度)'!$B$8:$U$65536,14,FALSE))</f>
      </c>
      <c r="M29" s="703">
        <f>IF($B29="","",VLOOKUP($B29,'6-2_算定表③(旧・旧制度)'!$B$8:$U$65536,14,FALSE))</f>
      </c>
      <c r="N29" s="702">
        <f>IF($B29="","",VLOOKUP($B29,'6-2_算定表③(旧・旧制度)'!$B$8:$U$65536,17,FALSE))</f>
      </c>
      <c r="O29" s="443">
        <f>IF($B29="","",VLOOKUP($B29,'6-2_算定表③(旧・旧制度)'!$B$8:$U$65536,17,FALSE))</f>
      </c>
      <c r="P29" s="443">
        <f>IF($B29="","",VLOOKUP($B29,'6-2_算定表③(旧・旧制度)'!$B$8:$U$65536,17,FALSE))</f>
      </c>
      <c r="Q29" s="443">
        <f>IF($B29="","",VLOOKUP($B29,'6-2_算定表③(旧・旧制度)'!$B$8:$U$65536,17,FALSE))</f>
      </c>
      <c r="R29" s="443">
        <f>IF($B29="","",VLOOKUP($B29,'6-2_算定表③(旧・旧制度)'!$B$8:$U$65536,17,FALSE))</f>
      </c>
      <c r="S29" s="443">
        <f>IF($B29="","",VLOOKUP($B29,'6-2_算定表③(旧・旧制度)'!$B$8:$U$65536,17,FALSE))</f>
      </c>
      <c r="T29" s="443">
        <f>IF($B29="","",VLOOKUP($B29,'6-2_算定表③(旧・旧制度)'!$B$8:$U$65536,17,FALSE))</f>
      </c>
      <c r="U29" s="443">
        <f>IF($B29="","",VLOOKUP($B29,'6-2_算定表③(旧・旧制度)'!$B$8:$U$65536,17,FALSE))</f>
      </c>
      <c r="V29" s="703">
        <f>IF($B29="","",VLOOKUP($B29,'6-2_算定表③(旧・旧制度)'!$B$8:$U$65536,17,FALSE))</f>
      </c>
      <c r="W29" s="438">
        <f t="shared" si="1"/>
      </c>
      <c r="X29" s="445">
        <f t="shared" si="2"/>
      </c>
      <c r="Y29" s="444">
        <f t="shared" si="3"/>
      </c>
      <c r="Z29" s="446">
        <f t="shared" si="4"/>
      </c>
      <c r="AA29" s="437">
        <f t="shared" si="5"/>
      </c>
      <c r="AB29" s="438">
        <f t="shared" si="6"/>
      </c>
      <c r="AC29" s="437">
        <f t="shared" si="7"/>
      </c>
      <c r="AD29" s="438">
        <f t="shared" si="8"/>
      </c>
      <c r="AE29" s="413">
        <f>IF(B29="","",ROUNDUP((G29/'6-2_算定表③(旧・旧制度)'!J28*W29)+(I29/'6-2_算定表③(旧・旧制度)'!J28*X29)+(G29/'6-2_算定表③(旧・旧制度)'!J28*Y29)+(I29/'6-2_算定表③(旧・旧制度)'!J28*Z29)+(G29/'6-2_算定表③(旧・旧制度)'!J28*AA29)+(I29/'6-2_算定表③(旧・旧制度)'!J28*AB29),0))</f>
      </c>
      <c r="AF29" s="412">
        <f t="shared" si="9"/>
      </c>
      <c r="AG29" s="998">
        <f>IF(B29="","",VLOOKUP($B29,'6-2_算定表③(旧・旧制度)'!$B$8:$AH$65536,33,FALSE))</f>
      </c>
      <c r="AH29" s="999" t="s">
        <v>205</v>
      </c>
      <c r="AI29" s="1000" t="s">
        <v>205</v>
      </c>
      <c r="AK29" s="60">
        <f t="shared" si="10"/>
      </c>
      <c r="AL29" s="60">
        <f t="shared" si="11"/>
      </c>
    </row>
    <row r="30" spans="1:38" s="53" customFormat="1" ht="18.75" customHeight="1">
      <c r="A30" s="27">
        <f t="shared" si="0"/>
      </c>
      <c r="B30" s="240"/>
      <c r="C30" s="83">
        <f>IF(B30="","",VLOOKUP($B30,'6-2_算定表③(旧・旧制度)'!$B$8:$U$65536,2,FALSE))</f>
      </c>
      <c r="D30" s="441">
        <f>IF(B30="","",VLOOKUP($B30,'6-2_算定表③(旧・旧制度)'!$B$8:$U$65536,3,FALSE))</f>
      </c>
      <c r="E30" s="441">
        <f>IF(B30="","",VLOOKUP($B30,'6-2_算定表③(旧・旧制度)'!$B$8:$U$65536,6,FALSE))</f>
      </c>
      <c r="F30" s="442">
        <f>IF(B30="","",VLOOKUP($B30,'6-2_算定表③(旧・旧制度)'!$B$8:$U$65536,14,FALSE))</f>
      </c>
      <c r="G30" s="441">
        <f>IF(B30="","",VLOOKUP($B30,'6-2_算定表③(旧・旧制度)'!$B$8:$U$65536,16,FALSE))</f>
      </c>
      <c r="H30" s="693">
        <f>IF(B30="","",VLOOKUP($B30,'6-2_算定表③(旧・旧制度)'!$B$8:$U$65536,17,FALSE))</f>
      </c>
      <c r="I30" s="691">
        <f>IF(B30="","",VLOOKUP($B30,'6-2_算定表③(旧・旧制度)'!$B$8:$U$65536,16,FALSE))</f>
      </c>
      <c r="J30" s="411">
        <f>IF(B30="","",VLOOKUP($B30,'6-2_算定表③(旧・旧制度)'!$B$8:$U$65536,17,FALSE))</f>
      </c>
      <c r="K30" s="702">
        <f>IF($B30="","",VLOOKUP($B30,'6-2_算定表③(旧・旧制度)'!$B$8:$U$65536,14,FALSE))</f>
      </c>
      <c r="L30" s="443">
        <f>IF($B30="","",VLOOKUP($B30,'6-2_算定表③(旧・旧制度)'!$B$8:$U$65536,14,FALSE))</f>
      </c>
      <c r="M30" s="703">
        <f>IF($B30="","",VLOOKUP($B30,'6-2_算定表③(旧・旧制度)'!$B$8:$U$65536,14,FALSE))</f>
      </c>
      <c r="N30" s="702">
        <f>IF($B30="","",VLOOKUP($B30,'6-2_算定表③(旧・旧制度)'!$B$8:$U$65536,17,FALSE))</f>
      </c>
      <c r="O30" s="443">
        <f>IF($B30="","",VLOOKUP($B30,'6-2_算定表③(旧・旧制度)'!$B$8:$U$65536,17,FALSE))</f>
      </c>
      <c r="P30" s="443">
        <f>IF($B30="","",VLOOKUP($B30,'6-2_算定表③(旧・旧制度)'!$B$8:$U$65536,17,FALSE))</f>
      </c>
      <c r="Q30" s="443">
        <f>IF($B30="","",VLOOKUP($B30,'6-2_算定表③(旧・旧制度)'!$B$8:$U$65536,17,FALSE))</f>
      </c>
      <c r="R30" s="443">
        <f>IF($B30="","",VLOOKUP($B30,'6-2_算定表③(旧・旧制度)'!$B$8:$U$65536,17,FALSE))</f>
      </c>
      <c r="S30" s="443">
        <f>IF($B30="","",VLOOKUP($B30,'6-2_算定表③(旧・旧制度)'!$B$8:$U$65536,17,FALSE))</f>
      </c>
      <c r="T30" s="443">
        <f>IF($B30="","",VLOOKUP($B30,'6-2_算定表③(旧・旧制度)'!$B$8:$U$65536,17,FALSE))</f>
      </c>
      <c r="U30" s="443">
        <f>IF($B30="","",VLOOKUP($B30,'6-2_算定表③(旧・旧制度)'!$B$8:$U$65536,17,FALSE))</f>
      </c>
      <c r="V30" s="703">
        <f>IF($B30="","",VLOOKUP($B30,'6-2_算定表③(旧・旧制度)'!$B$8:$U$65536,17,FALSE))</f>
      </c>
      <c r="W30" s="438">
        <f t="shared" si="1"/>
      </c>
      <c r="X30" s="445">
        <f t="shared" si="2"/>
      </c>
      <c r="Y30" s="444">
        <f t="shared" si="3"/>
      </c>
      <c r="Z30" s="446">
        <f t="shared" si="4"/>
      </c>
      <c r="AA30" s="437">
        <f t="shared" si="5"/>
      </c>
      <c r="AB30" s="438">
        <f t="shared" si="6"/>
      </c>
      <c r="AC30" s="437">
        <f t="shared" si="7"/>
      </c>
      <c r="AD30" s="438">
        <f t="shared" si="8"/>
      </c>
      <c r="AE30" s="413">
        <f>IF(B30="","",ROUNDUP((G30/'6-2_算定表③(旧・旧制度)'!J29*W30)+(I30/'6-2_算定表③(旧・旧制度)'!J29*X30)+(G30/'6-2_算定表③(旧・旧制度)'!J29*Y30)+(I30/'6-2_算定表③(旧・旧制度)'!J29*Z30)+(G30/'6-2_算定表③(旧・旧制度)'!J29*AA30)+(I30/'6-2_算定表③(旧・旧制度)'!J29*AB30),0))</f>
      </c>
      <c r="AF30" s="412">
        <f t="shared" si="9"/>
      </c>
      <c r="AG30" s="998">
        <f>IF(B30="","",VLOOKUP($B30,'6-2_算定表③(旧・旧制度)'!$B$8:$AH$65536,33,FALSE))</f>
      </c>
      <c r="AH30" s="999" t="s">
        <v>205</v>
      </c>
      <c r="AI30" s="1000" t="s">
        <v>205</v>
      </c>
      <c r="AK30" s="60">
        <f>IF(A30&gt;0,ASC(C30&amp;H30),"")</f>
      </c>
      <c r="AL30" s="60">
        <f t="shared" si="11"/>
      </c>
    </row>
    <row r="31" spans="1:38" s="53" customFormat="1" ht="18.75" customHeight="1">
      <c r="A31" s="27">
        <f t="shared" si="0"/>
      </c>
      <c r="B31" s="240"/>
      <c r="C31" s="83">
        <f>IF(B31="","",VLOOKUP($B31,'6-2_算定表③(旧・旧制度)'!$B$8:$U$65536,2,FALSE))</f>
      </c>
      <c r="D31" s="441">
        <f>IF(B31="","",VLOOKUP($B31,'6-2_算定表③(旧・旧制度)'!$B$8:$U$65536,3,FALSE))</f>
      </c>
      <c r="E31" s="441">
        <f>IF(B31="","",VLOOKUP($B31,'6-2_算定表③(旧・旧制度)'!$B$8:$U$65536,6,FALSE))</f>
      </c>
      <c r="F31" s="442">
        <f>IF(B31="","",VLOOKUP($B31,'6-2_算定表③(旧・旧制度)'!$B$8:$U$65536,14,FALSE))</f>
      </c>
      <c r="G31" s="441">
        <f>IF(B31="","",VLOOKUP($B31,'6-2_算定表③(旧・旧制度)'!$B$8:$U$65536,16,FALSE))</f>
      </c>
      <c r="H31" s="693">
        <f>IF(B31="","",VLOOKUP($B31,'6-2_算定表③(旧・旧制度)'!$B$8:$U$65536,17,FALSE))</f>
      </c>
      <c r="I31" s="691">
        <f>IF(B31="","",VLOOKUP($B31,'6-2_算定表③(旧・旧制度)'!$B$8:$U$65536,16,FALSE))</f>
      </c>
      <c r="J31" s="411">
        <f>IF(B31="","",VLOOKUP($B31,'6-2_算定表③(旧・旧制度)'!$B$8:$U$65536,17,FALSE))</f>
      </c>
      <c r="K31" s="702">
        <f>IF($B31="","",VLOOKUP($B31,'6-2_算定表③(旧・旧制度)'!$B$8:$U$65536,14,FALSE))</f>
      </c>
      <c r="L31" s="443">
        <f>IF($B31="","",VLOOKUP($B31,'6-2_算定表③(旧・旧制度)'!$B$8:$U$65536,14,FALSE))</f>
      </c>
      <c r="M31" s="703">
        <f>IF($B31="","",VLOOKUP($B31,'6-2_算定表③(旧・旧制度)'!$B$8:$U$65536,14,FALSE))</f>
      </c>
      <c r="N31" s="702">
        <f>IF($B31="","",VLOOKUP($B31,'6-2_算定表③(旧・旧制度)'!$B$8:$U$65536,17,FALSE))</f>
      </c>
      <c r="O31" s="443">
        <f>IF($B31="","",VLOOKUP($B31,'6-2_算定表③(旧・旧制度)'!$B$8:$U$65536,17,FALSE))</f>
      </c>
      <c r="P31" s="443">
        <f>IF($B31="","",VLOOKUP($B31,'6-2_算定表③(旧・旧制度)'!$B$8:$U$65536,17,FALSE))</f>
      </c>
      <c r="Q31" s="443">
        <f>IF($B31="","",VLOOKUP($B31,'6-2_算定表③(旧・旧制度)'!$B$8:$U$65536,17,FALSE))</f>
      </c>
      <c r="R31" s="443">
        <f>IF($B31="","",VLOOKUP($B31,'6-2_算定表③(旧・旧制度)'!$B$8:$U$65536,17,FALSE))</f>
      </c>
      <c r="S31" s="443">
        <f>IF($B31="","",VLOOKUP($B31,'6-2_算定表③(旧・旧制度)'!$B$8:$U$65536,17,FALSE))</f>
      </c>
      <c r="T31" s="443">
        <f>IF($B31="","",VLOOKUP($B31,'6-2_算定表③(旧・旧制度)'!$B$8:$U$65536,17,FALSE))</f>
      </c>
      <c r="U31" s="443">
        <f>IF($B31="","",VLOOKUP($B31,'6-2_算定表③(旧・旧制度)'!$B$8:$U$65536,17,FALSE))</f>
      </c>
      <c r="V31" s="703">
        <f>IF($B31="","",VLOOKUP($B31,'6-2_算定表③(旧・旧制度)'!$B$8:$U$65536,17,FALSE))</f>
      </c>
      <c r="W31" s="438">
        <f t="shared" si="1"/>
      </c>
      <c r="X31" s="445">
        <f t="shared" si="2"/>
      </c>
      <c r="Y31" s="444">
        <f t="shared" si="3"/>
      </c>
      <c r="Z31" s="446">
        <f t="shared" si="4"/>
      </c>
      <c r="AA31" s="437">
        <f t="shared" si="5"/>
      </c>
      <c r="AB31" s="438">
        <f t="shared" si="6"/>
      </c>
      <c r="AC31" s="437">
        <f t="shared" si="7"/>
      </c>
      <c r="AD31" s="438">
        <f t="shared" si="8"/>
      </c>
      <c r="AE31" s="413">
        <f>IF(B31="","",ROUNDUP((G31/'6-2_算定表③(旧・旧制度)'!J30*W31)+(I31/'6-2_算定表③(旧・旧制度)'!J30*X31)+(G31/'6-2_算定表③(旧・旧制度)'!J30*Y31)+(I31/'6-2_算定表③(旧・旧制度)'!J30*Z31)+(G31/'6-2_算定表③(旧・旧制度)'!J30*AA31)+(I31/'6-2_算定表③(旧・旧制度)'!J30*AB31),0))</f>
      </c>
      <c r="AF31" s="412">
        <f t="shared" si="9"/>
      </c>
      <c r="AG31" s="998">
        <f>IF(B31="","",VLOOKUP($B31,'6-2_算定表③(旧・旧制度)'!$B$8:$AH$65536,33,FALSE))</f>
      </c>
      <c r="AH31" s="999" t="s">
        <v>205</v>
      </c>
      <c r="AI31" s="1000" t="s">
        <v>205</v>
      </c>
      <c r="AK31" s="60">
        <f>IF(A31&gt;0,ASC(C31&amp;H31),"")</f>
      </c>
      <c r="AL31" s="60">
        <f t="shared" si="11"/>
      </c>
    </row>
    <row r="32" spans="1:38" s="53" customFormat="1" ht="18.75" customHeight="1">
      <c r="A32" s="27">
        <f t="shared" si="0"/>
      </c>
      <c r="B32" s="240"/>
      <c r="C32" s="83">
        <f>IF(B32="","",VLOOKUP($B32,'6-2_算定表③(旧・旧制度)'!$B$8:$U$65536,2,FALSE))</f>
      </c>
      <c r="D32" s="441">
        <f>IF(B32="","",VLOOKUP($B32,'6-2_算定表③(旧・旧制度)'!$B$8:$U$65536,3,FALSE))</f>
      </c>
      <c r="E32" s="441">
        <f>IF(B32="","",VLOOKUP($B32,'6-2_算定表③(旧・旧制度)'!$B$8:$U$65536,6,FALSE))</f>
      </c>
      <c r="F32" s="442">
        <f>IF(B32="","",VLOOKUP($B32,'6-2_算定表③(旧・旧制度)'!$B$8:$U$65536,14,FALSE))</f>
      </c>
      <c r="G32" s="441">
        <f>IF(B32="","",VLOOKUP($B32,'6-2_算定表③(旧・旧制度)'!$B$8:$U$65536,16,FALSE))</f>
      </c>
      <c r="H32" s="693">
        <f>IF(B32="","",VLOOKUP($B32,'6-2_算定表③(旧・旧制度)'!$B$8:$U$65536,17,FALSE))</f>
      </c>
      <c r="I32" s="691">
        <f>IF(B32="","",VLOOKUP($B32,'6-2_算定表③(旧・旧制度)'!$B$8:$U$65536,16,FALSE))</f>
      </c>
      <c r="J32" s="411">
        <f>IF(B32="","",VLOOKUP($B32,'6-2_算定表③(旧・旧制度)'!$B$8:$U$65536,17,FALSE))</f>
      </c>
      <c r="K32" s="702">
        <f>IF($B32="","",VLOOKUP($B32,'6-2_算定表③(旧・旧制度)'!$B$8:$U$65536,14,FALSE))</f>
      </c>
      <c r="L32" s="443">
        <f>IF($B32="","",VLOOKUP($B32,'6-2_算定表③(旧・旧制度)'!$B$8:$U$65536,14,FALSE))</f>
      </c>
      <c r="M32" s="703">
        <f>IF($B32="","",VLOOKUP($B32,'6-2_算定表③(旧・旧制度)'!$B$8:$U$65536,14,FALSE))</f>
      </c>
      <c r="N32" s="702">
        <f>IF($B32="","",VLOOKUP($B32,'6-2_算定表③(旧・旧制度)'!$B$8:$U$65536,17,FALSE))</f>
      </c>
      <c r="O32" s="443">
        <f>IF($B32="","",VLOOKUP($B32,'6-2_算定表③(旧・旧制度)'!$B$8:$U$65536,17,FALSE))</f>
      </c>
      <c r="P32" s="443">
        <f>IF($B32="","",VLOOKUP($B32,'6-2_算定表③(旧・旧制度)'!$B$8:$U$65536,17,FALSE))</f>
      </c>
      <c r="Q32" s="443">
        <f>IF($B32="","",VLOOKUP($B32,'6-2_算定表③(旧・旧制度)'!$B$8:$U$65536,17,FALSE))</f>
      </c>
      <c r="R32" s="443">
        <f>IF($B32="","",VLOOKUP($B32,'6-2_算定表③(旧・旧制度)'!$B$8:$U$65536,17,FALSE))</f>
      </c>
      <c r="S32" s="443">
        <f>IF($B32="","",VLOOKUP($B32,'6-2_算定表③(旧・旧制度)'!$B$8:$U$65536,17,FALSE))</f>
      </c>
      <c r="T32" s="443">
        <f>IF($B32="","",VLOOKUP($B32,'6-2_算定表③(旧・旧制度)'!$B$8:$U$65536,17,FALSE))</f>
      </c>
      <c r="U32" s="443">
        <f>IF($B32="","",VLOOKUP($B32,'6-2_算定表③(旧・旧制度)'!$B$8:$U$65536,17,FALSE))</f>
      </c>
      <c r="V32" s="703">
        <f>IF($B32="","",VLOOKUP($B32,'6-2_算定表③(旧・旧制度)'!$B$8:$U$65536,17,FALSE))</f>
      </c>
      <c r="W32" s="438">
        <f t="shared" si="1"/>
      </c>
      <c r="X32" s="445">
        <f t="shared" si="2"/>
      </c>
      <c r="Y32" s="444">
        <f t="shared" si="3"/>
      </c>
      <c r="Z32" s="446">
        <f t="shared" si="4"/>
      </c>
      <c r="AA32" s="437">
        <f t="shared" si="5"/>
      </c>
      <c r="AB32" s="438">
        <f t="shared" si="6"/>
      </c>
      <c r="AC32" s="437">
        <f t="shared" si="7"/>
      </c>
      <c r="AD32" s="438">
        <f t="shared" si="8"/>
      </c>
      <c r="AE32" s="413">
        <f>IF(B32="","",ROUNDUP((G32/'6-2_算定表③(旧・旧制度)'!J31*W32)+(I32/'6-2_算定表③(旧・旧制度)'!J31*X32)+(G32/'6-2_算定表③(旧・旧制度)'!J31*Y32)+(I32/'6-2_算定表③(旧・旧制度)'!J31*Z32)+(G32/'6-2_算定表③(旧・旧制度)'!J31*AA32)+(I32/'6-2_算定表③(旧・旧制度)'!J31*AB32),0))</f>
      </c>
      <c r="AF32" s="412">
        <f t="shared" si="9"/>
      </c>
      <c r="AG32" s="998">
        <f>IF(B32="","",VLOOKUP($B32,'6-2_算定表③(旧・旧制度)'!$B$8:$AH$65536,33,FALSE))</f>
      </c>
      <c r="AH32" s="999" t="s">
        <v>205</v>
      </c>
      <c r="AI32" s="1000" t="s">
        <v>205</v>
      </c>
      <c r="AK32" s="60">
        <f>IF(A32&gt;0,ASC(C32&amp;H32),"")</f>
      </c>
      <c r="AL32" s="60">
        <f t="shared" si="11"/>
      </c>
    </row>
    <row r="33" spans="1:38" s="53" customFormat="1" ht="18.75" customHeight="1">
      <c r="A33" s="27">
        <f t="shared" si="0"/>
      </c>
      <c r="B33" s="240"/>
      <c r="C33" s="83">
        <f>IF(B33="","",VLOOKUP($B33,'6-2_算定表③(旧・旧制度)'!$B$8:$U$65536,2,FALSE))</f>
      </c>
      <c r="D33" s="441">
        <f>IF(B33="","",VLOOKUP($B33,'6-2_算定表③(旧・旧制度)'!$B$8:$U$65536,3,FALSE))</f>
      </c>
      <c r="E33" s="441">
        <f>IF(B33="","",VLOOKUP($B33,'6-2_算定表③(旧・旧制度)'!$B$8:$U$65536,6,FALSE))</f>
      </c>
      <c r="F33" s="442">
        <f>IF(B33="","",VLOOKUP($B33,'6-2_算定表③(旧・旧制度)'!$B$8:$U$65536,14,FALSE))</f>
      </c>
      <c r="G33" s="441">
        <f>IF(B33="","",VLOOKUP($B33,'6-2_算定表③(旧・旧制度)'!$B$8:$U$65536,16,FALSE))</f>
      </c>
      <c r="H33" s="693">
        <f>IF(B33="","",VLOOKUP($B33,'6-2_算定表③(旧・旧制度)'!$B$8:$U$65536,17,FALSE))</f>
      </c>
      <c r="I33" s="691">
        <f>IF(B33="","",VLOOKUP($B33,'6-2_算定表③(旧・旧制度)'!$B$8:$U$65536,16,FALSE))</f>
      </c>
      <c r="J33" s="411">
        <f>IF(B33="","",VLOOKUP($B33,'6-2_算定表③(旧・旧制度)'!$B$8:$U$65536,17,FALSE))</f>
      </c>
      <c r="K33" s="702">
        <f>IF($B33="","",VLOOKUP($B33,'6-2_算定表③(旧・旧制度)'!$B$8:$U$65536,14,FALSE))</f>
      </c>
      <c r="L33" s="443">
        <f>IF($B33="","",VLOOKUP($B33,'6-2_算定表③(旧・旧制度)'!$B$8:$U$65536,14,FALSE))</f>
      </c>
      <c r="M33" s="703">
        <f>IF($B33="","",VLOOKUP($B33,'6-2_算定表③(旧・旧制度)'!$B$8:$U$65536,14,FALSE))</f>
      </c>
      <c r="N33" s="702">
        <f>IF($B33="","",VLOOKUP($B33,'6-2_算定表③(旧・旧制度)'!$B$8:$U$65536,17,FALSE))</f>
      </c>
      <c r="O33" s="443">
        <f>IF($B33="","",VLOOKUP($B33,'6-2_算定表③(旧・旧制度)'!$B$8:$U$65536,17,FALSE))</f>
      </c>
      <c r="P33" s="443">
        <f>IF($B33="","",VLOOKUP($B33,'6-2_算定表③(旧・旧制度)'!$B$8:$U$65536,17,FALSE))</f>
      </c>
      <c r="Q33" s="443">
        <f>IF($B33="","",VLOOKUP($B33,'6-2_算定表③(旧・旧制度)'!$B$8:$U$65536,17,FALSE))</f>
      </c>
      <c r="R33" s="443">
        <f>IF($B33="","",VLOOKUP($B33,'6-2_算定表③(旧・旧制度)'!$B$8:$U$65536,17,FALSE))</f>
      </c>
      <c r="S33" s="443">
        <f>IF($B33="","",VLOOKUP($B33,'6-2_算定表③(旧・旧制度)'!$B$8:$U$65536,17,FALSE))</f>
      </c>
      <c r="T33" s="443">
        <f>IF($B33="","",VLOOKUP($B33,'6-2_算定表③(旧・旧制度)'!$B$8:$U$65536,17,FALSE))</f>
      </c>
      <c r="U33" s="443">
        <f>IF($B33="","",VLOOKUP($B33,'6-2_算定表③(旧・旧制度)'!$B$8:$U$65536,17,FALSE))</f>
      </c>
      <c r="V33" s="703">
        <f>IF($B33="","",VLOOKUP($B33,'6-2_算定表③(旧・旧制度)'!$B$8:$U$65536,17,FALSE))</f>
      </c>
      <c r="W33" s="438">
        <f t="shared" si="1"/>
      </c>
      <c r="X33" s="445">
        <f t="shared" si="2"/>
      </c>
      <c r="Y33" s="444">
        <f t="shared" si="3"/>
      </c>
      <c r="Z33" s="446">
        <f t="shared" si="4"/>
      </c>
      <c r="AA33" s="437">
        <f t="shared" si="5"/>
      </c>
      <c r="AB33" s="438">
        <f t="shared" si="6"/>
      </c>
      <c r="AC33" s="437">
        <f t="shared" si="7"/>
      </c>
      <c r="AD33" s="438">
        <f t="shared" si="8"/>
      </c>
      <c r="AE33" s="413">
        <f>IF(B33="","",ROUNDUP((G33/'6-2_算定表③(旧・旧制度)'!J32*W33)+(I33/'6-2_算定表③(旧・旧制度)'!J32*X33)+(G33/'6-2_算定表③(旧・旧制度)'!J32*Y33)+(I33/'6-2_算定表③(旧・旧制度)'!J32*Z33)+(G33/'6-2_算定表③(旧・旧制度)'!J32*AA33)+(I33/'6-2_算定表③(旧・旧制度)'!J32*AB33),0))</f>
      </c>
      <c r="AF33" s="412">
        <f t="shared" si="9"/>
      </c>
      <c r="AG33" s="998">
        <f>IF(B33="","",VLOOKUP($B33,'6-2_算定表③(旧・旧制度)'!$B$8:$AH$65536,33,FALSE))</f>
      </c>
      <c r="AH33" s="999" t="s">
        <v>205</v>
      </c>
      <c r="AI33" s="1000" t="s">
        <v>205</v>
      </c>
      <c r="AK33" s="60">
        <f t="shared" si="10"/>
      </c>
      <c r="AL33" s="60">
        <f t="shared" si="11"/>
      </c>
    </row>
    <row r="34" spans="1:38" s="53" customFormat="1" ht="18.75" customHeight="1">
      <c r="A34" s="27">
        <f t="shared" si="0"/>
      </c>
      <c r="B34" s="240"/>
      <c r="C34" s="83">
        <f>IF(B34="","",VLOOKUP($B34,'6-2_算定表③(旧・旧制度)'!$B$8:$U$65536,2,FALSE))</f>
      </c>
      <c r="D34" s="441">
        <f>IF(B34="","",VLOOKUP($B34,'6-2_算定表③(旧・旧制度)'!$B$8:$U$65536,3,FALSE))</f>
      </c>
      <c r="E34" s="441">
        <f>IF(B34="","",VLOOKUP($B34,'6-2_算定表③(旧・旧制度)'!$B$8:$U$65536,6,FALSE))</f>
      </c>
      <c r="F34" s="442">
        <f>IF(B34="","",VLOOKUP($B34,'6-2_算定表③(旧・旧制度)'!$B$8:$U$65536,14,FALSE))</f>
      </c>
      <c r="G34" s="441">
        <f>IF(B34="","",VLOOKUP($B34,'6-2_算定表③(旧・旧制度)'!$B$8:$U$65536,16,FALSE))</f>
      </c>
      <c r="H34" s="693">
        <f>IF(B34="","",VLOOKUP($B34,'6-2_算定表③(旧・旧制度)'!$B$8:$U$65536,17,FALSE))</f>
      </c>
      <c r="I34" s="691">
        <f>IF(B34="","",VLOOKUP($B34,'6-2_算定表③(旧・旧制度)'!$B$8:$U$65536,16,FALSE))</f>
      </c>
      <c r="J34" s="411">
        <f>IF(B34="","",VLOOKUP($B34,'6-2_算定表③(旧・旧制度)'!$B$8:$U$65536,17,FALSE))</f>
      </c>
      <c r="K34" s="702">
        <f>IF($B34="","",VLOOKUP($B34,'6-2_算定表③(旧・旧制度)'!$B$8:$U$65536,14,FALSE))</f>
      </c>
      <c r="L34" s="443">
        <f>IF($B34="","",VLOOKUP($B34,'6-2_算定表③(旧・旧制度)'!$B$8:$U$65536,14,FALSE))</f>
      </c>
      <c r="M34" s="703">
        <f>IF($B34="","",VLOOKUP($B34,'6-2_算定表③(旧・旧制度)'!$B$8:$U$65536,14,FALSE))</f>
      </c>
      <c r="N34" s="702">
        <f>IF($B34="","",VLOOKUP($B34,'6-2_算定表③(旧・旧制度)'!$B$8:$U$65536,17,FALSE))</f>
      </c>
      <c r="O34" s="443">
        <f>IF($B34="","",VLOOKUP($B34,'6-2_算定表③(旧・旧制度)'!$B$8:$U$65536,17,FALSE))</f>
      </c>
      <c r="P34" s="443">
        <f>IF($B34="","",VLOOKUP($B34,'6-2_算定表③(旧・旧制度)'!$B$8:$U$65536,17,FALSE))</f>
      </c>
      <c r="Q34" s="443">
        <f>IF($B34="","",VLOOKUP($B34,'6-2_算定表③(旧・旧制度)'!$B$8:$U$65536,17,FALSE))</f>
      </c>
      <c r="R34" s="443">
        <f>IF($B34="","",VLOOKUP($B34,'6-2_算定表③(旧・旧制度)'!$B$8:$U$65536,17,FALSE))</f>
      </c>
      <c r="S34" s="443">
        <f>IF($B34="","",VLOOKUP($B34,'6-2_算定表③(旧・旧制度)'!$B$8:$U$65536,17,FALSE))</f>
      </c>
      <c r="T34" s="443">
        <f>IF($B34="","",VLOOKUP($B34,'6-2_算定表③(旧・旧制度)'!$B$8:$U$65536,17,FALSE))</f>
      </c>
      <c r="U34" s="443">
        <f>IF($B34="","",VLOOKUP($B34,'6-2_算定表③(旧・旧制度)'!$B$8:$U$65536,17,FALSE))</f>
      </c>
      <c r="V34" s="703">
        <f>IF($B34="","",VLOOKUP($B34,'6-2_算定表③(旧・旧制度)'!$B$8:$U$65536,17,FALSE))</f>
      </c>
      <c r="W34" s="438">
        <f t="shared" si="1"/>
      </c>
      <c r="X34" s="445">
        <f t="shared" si="2"/>
      </c>
      <c r="Y34" s="444">
        <f t="shared" si="3"/>
      </c>
      <c r="Z34" s="446">
        <f t="shared" si="4"/>
      </c>
      <c r="AA34" s="437">
        <f t="shared" si="5"/>
      </c>
      <c r="AB34" s="438">
        <f t="shared" si="6"/>
      </c>
      <c r="AC34" s="437">
        <f t="shared" si="7"/>
      </c>
      <c r="AD34" s="438">
        <f t="shared" si="8"/>
      </c>
      <c r="AE34" s="413">
        <f>IF(B34="","",ROUNDUP((G34/'6-2_算定表③(旧・旧制度)'!J33*W34)+(I34/'6-2_算定表③(旧・旧制度)'!J33*X34)+(G34/'6-2_算定表③(旧・旧制度)'!J33*Y34)+(I34/'6-2_算定表③(旧・旧制度)'!J33*Z34)+(G34/'6-2_算定表③(旧・旧制度)'!J33*AA34)+(I34/'6-2_算定表③(旧・旧制度)'!J33*AB34),0))</f>
      </c>
      <c r="AF34" s="412">
        <f t="shared" si="9"/>
      </c>
      <c r="AG34" s="998">
        <f>IF(B34="","",VLOOKUP($B34,'6-2_算定表③(旧・旧制度)'!$B$8:$AH$65536,33,FALSE))</f>
      </c>
      <c r="AH34" s="999" t="s">
        <v>205</v>
      </c>
      <c r="AI34" s="1000" t="s">
        <v>205</v>
      </c>
      <c r="AK34" s="60">
        <f t="shared" si="10"/>
      </c>
      <c r="AL34" s="60">
        <f t="shared" si="11"/>
      </c>
    </row>
    <row r="35" spans="1:38" s="53" customFormat="1" ht="18.75" customHeight="1">
      <c r="A35" s="27">
        <f t="shared" si="0"/>
      </c>
      <c r="B35" s="240"/>
      <c r="C35" s="83">
        <f>IF(B35="","",VLOOKUP($B35,'6-2_算定表③(旧・旧制度)'!$B$8:$U$65536,2,FALSE))</f>
      </c>
      <c r="D35" s="441">
        <f>IF(B35="","",VLOOKUP($B35,'6-2_算定表③(旧・旧制度)'!$B$8:$U$65536,3,FALSE))</f>
      </c>
      <c r="E35" s="441">
        <f>IF(B35="","",VLOOKUP($B35,'6-2_算定表③(旧・旧制度)'!$B$8:$U$65536,6,FALSE))</f>
      </c>
      <c r="F35" s="442">
        <f>IF(B35="","",VLOOKUP($B35,'6-2_算定表③(旧・旧制度)'!$B$8:$U$65536,14,FALSE))</f>
      </c>
      <c r="G35" s="441">
        <f>IF(B35="","",VLOOKUP($B35,'6-2_算定表③(旧・旧制度)'!$B$8:$U$65536,16,FALSE))</f>
      </c>
      <c r="H35" s="693">
        <f>IF(B35="","",VLOOKUP($B35,'6-2_算定表③(旧・旧制度)'!$B$8:$U$65536,17,FALSE))</f>
      </c>
      <c r="I35" s="691">
        <f>IF(B35="","",VLOOKUP($B35,'6-2_算定表③(旧・旧制度)'!$B$8:$U$65536,16,FALSE))</f>
      </c>
      <c r="J35" s="411">
        <f>IF(B35="","",VLOOKUP($B35,'6-2_算定表③(旧・旧制度)'!$B$8:$U$65536,17,FALSE))</f>
      </c>
      <c r="K35" s="702">
        <f>IF($B35="","",VLOOKUP($B35,'6-2_算定表③(旧・旧制度)'!$B$8:$U$65536,14,FALSE))</f>
      </c>
      <c r="L35" s="443">
        <f>IF($B35="","",VLOOKUP($B35,'6-2_算定表③(旧・旧制度)'!$B$8:$U$65536,14,FALSE))</f>
      </c>
      <c r="M35" s="703">
        <f>IF($B35="","",VLOOKUP($B35,'6-2_算定表③(旧・旧制度)'!$B$8:$U$65536,14,FALSE))</f>
      </c>
      <c r="N35" s="702">
        <f>IF($B35="","",VLOOKUP($B35,'6-2_算定表③(旧・旧制度)'!$B$8:$U$65536,17,FALSE))</f>
      </c>
      <c r="O35" s="443">
        <f>IF($B35="","",VLOOKUP($B35,'6-2_算定表③(旧・旧制度)'!$B$8:$U$65536,17,FALSE))</f>
      </c>
      <c r="P35" s="443">
        <f>IF($B35="","",VLOOKUP($B35,'6-2_算定表③(旧・旧制度)'!$B$8:$U$65536,17,FALSE))</f>
      </c>
      <c r="Q35" s="443">
        <f>IF($B35="","",VLOOKUP($B35,'6-2_算定表③(旧・旧制度)'!$B$8:$U$65536,17,FALSE))</f>
      </c>
      <c r="R35" s="443">
        <f>IF($B35="","",VLOOKUP($B35,'6-2_算定表③(旧・旧制度)'!$B$8:$U$65536,17,FALSE))</f>
      </c>
      <c r="S35" s="443">
        <f>IF($B35="","",VLOOKUP($B35,'6-2_算定表③(旧・旧制度)'!$B$8:$U$65536,17,FALSE))</f>
      </c>
      <c r="T35" s="443">
        <f>IF($B35="","",VLOOKUP($B35,'6-2_算定表③(旧・旧制度)'!$B$8:$U$65536,17,FALSE))</f>
      </c>
      <c r="U35" s="443">
        <f>IF($B35="","",VLOOKUP($B35,'6-2_算定表③(旧・旧制度)'!$B$8:$U$65536,17,FALSE))</f>
      </c>
      <c r="V35" s="703">
        <f>IF($B35="","",VLOOKUP($B35,'6-2_算定表③(旧・旧制度)'!$B$8:$U$65536,17,FALSE))</f>
      </c>
      <c r="W35" s="438">
        <f t="shared" si="1"/>
      </c>
      <c r="X35" s="445">
        <f t="shared" si="2"/>
      </c>
      <c r="Y35" s="444">
        <f t="shared" si="3"/>
      </c>
      <c r="Z35" s="446">
        <f t="shared" si="4"/>
      </c>
      <c r="AA35" s="437">
        <f t="shared" si="5"/>
      </c>
      <c r="AB35" s="438">
        <f t="shared" si="6"/>
      </c>
      <c r="AC35" s="437">
        <f t="shared" si="7"/>
      </c>
      <c r="AD35" s="438">
        <f t="shared" si="8"/>
      </c>
      <c r="AE35" s="413">
        <f>IF(B35="","",ROUNDUP((G35/'6-2_算定表③(旧・旧制度)'!J34*W35)+(I35/'6-2_算定表③(旧・旧制度)'!J34*X35)+(G35/'6-2_算定表③(旧・旧制度)'!J34*Y35)+(I35/'6-2_算定表③(旧・旧制度)'!J34*Z35)+(G35/'6-2_算定表③(旧・旧制度)'!J34*AA35)+(I35/'6-2_算定表③(旧・旧制度)'!J34*AB35),0))</f>
      </c>
      <c r="AF35" s="412">
        <f t="shared" si="9"/>
      </c>
      <c r="AG35" s="998">
        <f>IF(B35="","",VLOOKUP($B35,'6-2_算定表③(旧・旧制度)'!$B$8:$AH$65536,33,FALSE))</f>
      </c>
      <c r="AH35" s="999" t="s">
        <v>205</v>
      </c>
      <c r="AI35" s="1000" t="s">
        <v>205</v>
      </c>
      <c r="AK35" s="60">
        <f t="shared" si="10"/>
      </c>
      <c r="AL35" s="60">
        <f t="shared" si="11"/>
      </c>
    </row>
    <row r="36" spans="1:38" s="53" customFormat="1" ht="18.75" customHeight="1">
      <c r="A36" s="27">
        <f t="shared" si="0"/>
      </c>
      <c r="B36" s="240"/>
      <c r="C36" s="83">
        <f>IF(B36="","",VLOOKUP($B36,'6-2_算定表③(旧・旧制度)'!$B$8:$U$65536,2,FALSE))</f>
      </c>
      <c r="D36" s="441">
        <f>IF(B36="","",VLOOKUP($B36,'6-2_算定表③(旧・旧制度)'!$B$8:$U$65536,3,FALSE))</f>
      </c>
      <c r="E36" s="441">
        <f>IF(B36="","",VLOOKUP($B36,'6-2_算定表③(旧・旧制度)'!$B$8:$U$65536,6,FALSE))</f>
      </c>
      <c r="F36" s="442">
        <f>IF(B36="","",VLOOKUP($B36,'6-2_算定表③(旧・旧制度)'!$B$8:$U$65536,14,FALSE))</f>
      </c>
      <c r="G36" s="441">
        <f>IF(B36="","",VLOOKUP($B36,'6-2_算定表③(旧・旧制度)'!$B$8:$U$65536,16,FALSE))</f>
      </c>
      <c r="H36" s="693">
        <f>IF(B36="","",VLOOKUP($B36,'6-2_算定表③(旧・旧制度)'!$B$8:$U$65536,17,FALSE))</f>
      </c>
      <c r="I36" s="691">
        <f>IF(B36="","",VLOOKUP($B36,'6-2_算定表③(旧・旧制度)'!$B$8:$U$65536,16,FALSE))</f>
      </c>
      <c r="J36" s="411">
        <f>IF(B36="","",VLOOKUP($B36,'6-2_算定表③(旧・旧制度)'!$B$8:$U$65536,17,FALSE))</f>
      </c>
      <c r="K36" s="702">
        <f>IF($B36="","",VLOOKUP($B36,'6-2_算定表③(旧・旧制度)'!$B$8:$U$65536,14,FALSE))</f>
      </c>
      <c r="L36" s="443">
        <f>IF($B36="","",VLOOKUP($B36,'6-2_算定表③(旧・旧制度)'!$B$8:$U$65536,14,FALSE))</f>
      </c>
      <c r="M36" s="703">
        <f>IF($B36="","",VLOOKUP($B36,'6-2_算定表③(旧・旧制度)'!$B$8:$U$65536,14,FALSE))</f>
      </c>
      <c r="N36" s="702">
        <f>IF($B36="","",VLOOKUP($B36,'6-2_算定表③(旧・旧制度)'!$B$8:$U$65536,17,FALSE))</f>
      </c>
      <c r="O36" s="443">
        <f>IF($B36="","",VLOOKUP($B36,'6-2_算定表③(旧・旧制度)'!$B$8:$U$65536,17,FALSE))</f>
      </c>
      <c r="P36" s="443">
        <f>IF($B36="","",VLOOKUP($B36,'6-2_算定表③(旧・旧制度)'!$B$8:$U$65536,17,FALSE))</f>
      </c>
      <c r="Q36" s="443">
        <f>IF($B36="","",VLOOKUP($B36,'6-2_算定表③(旧・旧制度)'!$B$8:$U$65536,17,FALSE))</f>
      </c>
      <c r="R36" s="443">
        <f>IF($B36="","",VLOOKUP($B36,'6-2_算定表③(旧・旧制度)'!$B$8:$U$65536,17,FALSE))</f>
      </c>
      <c r="S36" s="443">
        <f>IF($B36="","",VLOOKUP($B36,'6-2_算定表③(旧・旧制度)'!$B$8:$U$65536,17,FALSE))</f>
      </c>
      <c r="T36" s="443">
        <f>IF($B36="","",VLOOKUP($B36,'6-2_算定表③(旧・旧制度)'!$B$8:$U$65536,17,FALSE))</f>
      </c>
      <c r="U36" s="443">
        <f>IF($B36="","",VLOOKUP($B36,'6-2_算定表③(旧・旧制度)'!$B$8:$U$65536,17,FALSE))</f>
      </c>
      <c r="V36" s="703">
        <f>IF($B36="","",VLOOKUP($B36,'6-2_算定表③(旧・旧制度)'!$B$8:$U$65536,17,FALSE))</f>
      </c>
      <c r="W36" s="438">
        <f t="shared" si="1"/>
      </c>
      <c r="X36" s="445">
        <f t="shared" si="2"/>
      </c>
      <c r="Y36" s="444">
        <f t="shared" si="3"/>
      </c>
      <c r="Z36" s="446">
        <f t="shared" si="4"/>
      </c>
      <c r="AA36" s="437">
        <f t="shared" si="5"/>
      </c>
      <c r="AB36" s="438">
        <f t="shared" si="6"/>
      </c>
      <c r="AC36" s="437">
        <f t="shared" si="7"/>
      </c>
      <c r="AD36" s="438">
        <f t="shared" si="8"/>
      </c>
      <c r="AE36" s="413">
        <f>IF(B36="","",ROUNDUP((G36/'6-2_算定表③(旧・旧制度)'!J35*W36)+(I36/'6-2_算定表③(旧・旧制度)'!J35*X36)+(G36/'6-2_算定表③(旧・旧制度)'!J35*Y36)+(I36/'6-2_算定表③(旧・旧制度)'!J35*Z36)+(G36/'6-2_算定表③(旧・旧制度)'!J35*AA36)+(I36/'6-2_算定表③(旧・旧制度)'!J35*AB36),0))</f>
      </c>
      <c r="AF36" s="412">
        <f t="shared" si="9"/>
      </c>
      <c r="AG36" s="998">
        <f>IF(B36="","",VLOOKUP($B36,'6-2_算定表③(旧・旧制度)'!$B$8:$AH$65536,33,FALSE))</f>
      </c>
      <c r="AH36" s="999" t="s">
        <v>205</v>
      </c>
      <c r="AI36" s="1000" t="s">
        <v>205</v>
      </c>
      <c r="AK36" s="60">
        <f t="shared" si="10"/>
      </c>
      <c r="AL36" s="60">
        <f t="shared" si="11"/>
      </c>
    </row>
    <row r="37" spans="1:38" s="53" customFormat="1" ht="18.75" customHeight="1">
      <c r="A37" s="27">
        <f t="shared" si="0"/>
      </c>
      <c r="B37" s="240"/>
      <c r="C37" s="83">
        <f>IF(B37="","",VLOOKUP($B37,'6-2_算定表③(旧・旧制度)'!$B$8:$U$65536,2,FALSE))</f>
      </c>
      <c r="D37" s="441">
        <f>IF(B37="","",VLOOKUP($B37,'6-2_算定表③(旧・旧制度)'!$B$8:$U$65536,3,FALSE))</f>
      </c>
      <c r="E37" s="441">
        <f>IF(B37="","",VLOOKUP($B37,'6-2_算定表③(旧・旧制度)'!$B$8:$U$65536,6,FALSE))</f>
      </c>
      <c r="F37" s="442">
        <f>IF(B37="","",VLOOKUP($B37,'6-2_算定表③(旧・旧制度)'!$B$8:$U$65536,14,FALSE))</f>
      </c>
      <c r="G37" s="441">
        <f>IF(B37="","",VLOOKUP($B37,'6-2_算定表③(旧・旧制度)'!$B$8:$U$65536,16,FALSE))</f>
      </c>
      <c r="H37" s="693">
        <f>IF(B37="","",VLOOKUP($B37,'6-2_算定表③(旧・旧制度)'!$B$8:$U$65536,17,FALSE))</f>
      </c>
      <c r="I37" s="691">
        <f>IF(B37="","",VLOOKUP($B37,'6-2_算定表③(旧・旧制度)'!$B$8:$U$65536,16,FALSE))</f>
      </c>
      <c r="J37" s="411">
        <f>IF(B37="","",VLOOKUP($B37,'6-2_算定表③(旧・旧制度)'!$B$8:$U$65536,17,FALSE))</f>
      </c>
      <c r="K37" s="702">
        <f>IF($B37="","",VLOOKUP($B37,'6-2_算定表③(旧・旧制度)'!$B$8:$U$65536,14,FALSE))</f>
      </c>
      <c r="L37" s="443">
        <f>IF($B37="","",VLOOKUP($B37,'6-2_算定表③(旧・旧制度)'!$B$8:$U$65536,14,FALSE))</f>
      </c>
      <c r="M37" s="703">
        <f>IF($B37="","",VLOOKUP($B37,'6-2_算定表③(旧・旧制度)'!$B$8:$U$65536,14,FALSE))</f>
      </c>
      <c r="N37" s="702">
        <f>IF($B37="","",VLOOKUP($B37,'6-2_算定表③(旧・旧制度)'!$B$8:$U$65536,17,FALSE))</f>
      </c>
      <c r="O37" s="443">
        <f>IF($B37="","",VLOOKUP($B37,'6-2_算定表③(旧・旧制度)'!$B$8:$U$65536,17,FALSE))</f>
      </c>
      <c r="P37" s="443">
        <f>IF($B37="","",VLOOKUP($B37,'6-2_算定表③(旧・旧制度)'!$B$8:$U$65536,17,FALSE))</f>
      </c>
      <c r="Q37" s="443">
        <f>IF($B37="","",VLOOKUP($B37,'6-2_算定表③(旧・旧制度)'!$B$8:$U$65536,17,FALSE))</f>
      </c>
      <c r="R37" s="443">
        <f>IF($B37="","",VLOOKUP($B37,'6-2_算定表③(旧・旧制度)'!$B$8:$U$65536,17,FALSE))</f>
      </c>
      <c r="S37" s="443">
        <f>IF($B37="","",VLOOKUP($B37,'6-2_算定表③(旧・旧制度)'!$B$8:$U$65536,17,FALSE))</f>
      </c>
      <c r="T37" s="443">
        <f>IF($B37="","",VLOOKUP($B37,'6-2_算定表③(旧・旧制度)'!$B$8:$U$65536,17,FALSE))</f>
      </c>
      <c r="U37" s="443">
        <f>IF($B37="","",VLOOKUP($B37,'6-2_算定表③(旧・旧制度)'!$B$8:$U$65536,17,FALSE))</f>
      </c>
      <c r="V37" s="703">
        <f>IF($B37="","",VLOOKUP($B37,'6-2_算定表③(旧・旧制度)'!$B$8:$U$65536,17,FALSE))</f>
      </c>
      <c r="W37" s="438">
        <f t="shared" si="1"/>
      </c>
      <c r="X37" s="445">
        <f t="shared" si="2"/>
      </c>
      <c r="Y37" s="444">
        <f t="shared" si="3"/>
      </c>
      <c r="Z37" s="446">
        <f t="shared" si="4"/>
      </c>
      <c r="AA37" s="437">
        <f t="shared" si="5"/>
      </c>
      <c r="AB37" s="438">
        <f t="shared" si="6"/>
      </c>
      <c r="AC37" s="437">
        <f t="shared" si="7"/>
      </c>
      <c r="AD37" s="438">
        <f t="shared" si="8"/>
      </c>
      <c r="AE37" s="413">
        <f>IF(B37="","",ROUNDUP((G37/'6-2_算定表③(旧・旧制度)'!J36*W37)+(I37/'6-2_算定表③(旧・旧制度)'!J36*X37)+(G37/'6-2_算定表③(旧・旧制度)'!J36*Y37)+(I37/'6-2_算定表③(旧・旧制度)'!J36*Z37)+(G37/'6-2_算定表③(旧・旧制度)'!J36*AA37)+(I37/'6-2_算定表③(旧・旧制度)'!J36*AB37),0))</f>
      </c>
      <c r="AF37" s="412">
        <f t="shared" si="9"/>
      </c>
      <c r="AG37" s="998">
        <f>IF(B37="","",VLOOKUP($B37,'6-2_算定表③(旧・旧制度)'!$B$8:$AH$65536,33,FALSE))</f>
      </c>
      <c r="AH37" s="999" t="s">
        <v>205</v>
      </c>
      <c r="AI37" s="1000" t="s">
        <v>205</v>
      </c>
      <c r="AK37" s="60">
        <f t="shared" si="10"/>
      </c>
      <c r="AL37" s="60">
        <f t="shared" si="11"/>
      </c>
    </row>
    <row r="38" spans="1:38" s="53" customFormat="1" ht="18.75" customHeight="1" thickBot="1">
      <c r="A38" s="27">
        <f t="shared" si="0"/>
      </c>
      <c r="B38" s="240"/>
      <c r="C38" s="83">
        <f>IF(B38="","",VLOOKUP($B38,'6-2_算定表③(旧・旧制度)'!$B$8:$U$65536,2,FALSE))</f>
      </c>
      <c r="D38" s="441">
        <f>IF(B38="","",VLOOKUP($B38,'6-2_算定表③(旧・旧制度)'!$B$8:$U$65536,3,FALSE))</f>
      </c>
      <c r="E38" s="696">
        <f>IF(B38="","",VLOOKUP($B38,'6-2_算定表③(旧・旧制度)'!$B$8:$U$65536,6,FALSE))</f>
      </c>
      <c r="F38" s="695">
        <f>IF(B38="","",VLOOKUP($B38,'6-2_算定表③(旧・旧制度)'!$B$8:$U$65536,14,FALSE))</f>
      </c>
      <c r="G38" s="696">
        <f>IF(B38="","",VLOOKUP($B38,'6-2_算定表③(旧・旧制度)'!$B$8:$U$65536,16,FALSE))</f>
      </c>
      <c r="H38" s="694">
        <f>IF(B38="","",VLOOKUP($B38,'6-2_算定表③(旧・旧制度)'!$B$8:$U$65536,17,FALSE))</f>
      </c>
      <c r="I38" s="691">
        <f>IF(B38="","",VLOOKUP($B38,'6-2_算定表③(旧・旧制度)'!$B$8:$U$65536,16,FALSE))</f>
      </c>
      <c r="J38" s="411">
        <f>IF(B38="","",VLOOKUP($B38,'6-2_算定表③(旧・旧制度)'!$B$8:$U$65536,17,FALSE))</f>
      </c>
      <c r="K38" s="704">
        <f>IF($B38="","",VLOOKUP($B38,'6-2_算定表③(旧・旧制度)'!$B$8:$U$65536,14,FALSE))</f>
      </c>
      <c r="L38" s="705">
        <f>IF($B38="","",VLOOKUP($B38,'6-2_算定表③(旧・旧制度)'!$B$8:$U$65536,14,FALSE))</f>
      </c>
      <c r="M38" s="706">
        <f>IF($B38="","",VLOOKUP($B38,'6-2_算定表③(旧・旧制度)'!$B$8:$U$65536,14,FALSE))</f>
      </c>
      <c r="N38" s="704">
        <f>IF($B38="","",VLOOKUP($B38,'6-2_算定表③(旧・旧制度)'!$B$8:$U$65536,17,FALSE))</f>
      </c>
      <c r="O38" s="705">
        <f>IF($B38="","",VLOOKUP($B38,'6-2_算定表③(旧・旧制度)'!$B$8:$U$65536,17,FALSE))</f>
      </c>
      <c r="P38" s="705">
        <f>IF($B38="","",VLOOKUP($B38,'6-2_算定表③(旧・旧制度)'!$B$8:$U$65536,17,FALSE))</f>
      </c>
      <c r="Q38" s="705">
        <f>IF($B38="","",VLOOKUP($B38,'6-2_算定表③(旧・旧制度)'!$B$8:$U$65536,17,FALSE))</f>
      </c>
      <c r="R38" s="705">
        <f>IF($B38="","",VLOOKUP($B38,'6-2_算定表③(旧・旧制度)'!$B$8:$U$65536,17,FALSE))</f>
      </c>
      <c r="S38" s="705">
        <f>IF($B38="","",VLOOKUP($B38,'6-2_算定表③(旧・旧制度)'!$B$8:$U$65536,17,FALSE))</f>
      </c>
      <c r="T38" s="705">
        <f>IF($B38="","",VLOOKUP($B38,'6-2_算定表③(旧・旧制度)'!$B$8:$U$65536,17,FALSE))</f>
      </c>
      <c r="U38" s="705">
        <f>IF($B38="","",VLOOKUP($B38,'6-2_算定表③(旧・旧制度)'!$B$8:$U$65536,17,FALSE))</f>
      </c>
      <c r="V38" s="706">
        <f>IF($B38="","",VLOOKUP($B38,'6-2_算定表③(旧・旧制度)'!$B$8:$U$65536,17,FALSE))</f>
      </c>
      <c r="W38" s="438">
        <f t="shared" si="1"/>
      </c>
      <c r="X38" s="445">
        <f t="shared" si="2"/>
      </c>
      <c r="Y38" s="444">
        <f t="shared" si="3"/>
      </c>
      <c r="Z38" s="446">
        <f t="shared" si="4"/>
      </c>
      <c r="AA38" s="447">
        <f t="shared" si="5"/>
      </c>
      <c r="AB38" s="448">
        <f t="shared" si="6"/>
      </c>
      <c r="AC38" s="447">
        <f t="shared" si="7"/>
      </c>
      <c r="AD38" s="448">
        <f t="shared" si="8"/>
      </c>
      <c r="AE38" s="415">
        <f>IF(B38="","",ROUNDUP((G38/'6-2_算定表③(旧・旧制度)'!J37*W38)+(I38/'6-2_算定表③(旧・旧制度)'!J37*X38)+(G38/'6-2_算定表③(旧・旧制度)'!J37*Y38)+(I38/'6-2_算定表③(旧・旧制度)'!J37*Z38)+(G38/'6-2_算定表③(旧・旧制度)'!J37*AA38)+(I38/'6-2_算定表③(旧・旧制度)'!J37*AB38),0))</f>
      </c>
      <c r="AF38" s="412">
        <f t="shared" si="9"/>
      </c>
      <c r="AG38" s="1001">
        <f>IF(B38="","",VLOOKUP($B38,'6-2_算定表③(旧・旧制度)'!$B$8:$AH$65536,33,FALSE))</f>
      </c>
      <c r="AH38" s="1002" t="s">
        <v>205</v>
      </c>
      <c r="AI38" s="1003" t="s">
        <v>205</v>
      </c>
      <c r="AK38" s="60">
        <f t="shared" si="10"/>
      </c>
      <c r="AL38" s="60">
        <f t="shared" si="11"/>
      </c>
    </row>
    <row r="39" spans="1:38" s="65" customFormat="1" ht="18.75" customHeight="1" thickBot="1">
      <c r="A39" s="852" t="s">
        <v>27</v>
      </c>
      <c r="B39" s="984"/>
      <c r="C39" s="984"/>
      <c r="D39" s="984"/>
      <c r="E39" s="985"/>
      <c r="F39" s="985"/>
      <c r="G39" s="985"/>
      <c r="H39" s="985"/>
      <c r="I39" s="984"/>
      <c r="J39" s="416">
        <f>SUM(J9:J38)</f>
        <v>0</v>
      </c>
      <c r="K39" s="707" t="s">
        <v>204</v>
      </c>
      <c r="L39" s="708" t="s">
        <v>204</v>
      </c>
      <c r="M39" s="709" t="s">
        <v>204</v>
      </c>
      <c r="N39" s="707" t="s">
        <v>204</v>
      </c>
      <c r="O39" s="708" t="s">
        <v>204</v>
      </c>
      <c r="P39" s="708" t="s">
        <v>204</v>
      </c>
      <c r="Q39" s="708" t="s">
        <v>204</v>
      </c>
      <c r="R39" s="708" t="s">
        <v>204</v>
      </c>
      <c r="S39" s="708" t="s">
        <v>204</v>
      </c>
      <c r="T39" s="708" t="s">
        <v>204</v>
      </c>
      <c r="U39" s="708" t="s">
        <v>204</v>
      </c>
      <c r="V39" s="709" t="s">
        <v>204</v>
      </c>
      <c r="W39" s="175" t="s">
        <v>204</v>
      </c>
      <c r="X39" s="177" t="s">
        <v>204</v>
      </c>
      <c r="Y39" s="175" t="s">
        <v>204</v>
      </c>
      <c r="Z39" s="178" t="s">
        <v>204</v>
      </c>
      <c r="AA39" s="179" t="s">
        <v>204</v>
      </c>
      <c r="AB39" s="180" t="s">
        <v>204</v>
      </c>
      <c r="AC39" s="225" t="s">
        <v>204</v>
      </c>
      <c r="AD39" s="176" t="s">
        <v>204</v>
      </c>
      <c r="AE39" s="519">
        <f>SUM(AE9:AE38)</f>
        <v>0</v>
      </c>
      <c r="AF39" s="416">
        <f>SUM(AF9:AF38)</f>
        <v>0</v>
      </c>
      <c r="AG39" s="986"/>
      <c r="AH39" s="987"/>
      <c r="AI39" s="988"/>
      <c r="AK39" s="66"/>
      <c r="AL39" s="66"/>
    </row>
    <row r="40" spans="1:38" s="67" customFormat="1" ht="16.5" customHeight="1">
      <c r="A40" s="67" t="s">
        <v>29</v>
      </c>
      <c r="B40" s="229"/>
      <c r="C40" s="248"/>
      <c r="AK40" s="68"/>
      <c r="AL40" s="68"/>
    </row>
    <row r="41" spans="1:29" s="168" customFormat="1" ht="14.25" customHeight="1">
      <c r="A41" s="243" t="s">
        <v>254</v>
      </c>
      <c r="B41" s="230"/>
      <c r="C41" s="249"/>
      <c r="Z41" s="169"/>
      <c r="AA41" s="169"/>
      <c r="AC41" s="169"/>
    </row>
    <row r="42" spans="1:38" s="168" customFormat="1" ht="11.25">
      <c r="A42" s="243" t="s">
        <v>71</v>
      </c>
      <c r="C42" s="249"/>
      <c r="AK42" s="169"/>
      <c r="AL42" s="169"/>
    </row>
    <row r="43" spans="1:38" s="168" customFormat="1" ht="10.5" customHeight="1">
      <c r="A43" s="243" t="s">
        <v>179</v>
      </c>
      <c r="B43" s="230"/>
      <c r="C43" s="249"/>
      <c r="AK43" s="169"/>
      <c r="AL43" s="169"/>
    </row>
    <row r="44" spans="2:38" s="67" customFormat="1" ht="10.5" customHeight="1">
      <c r="B44" s="229"/>
      <c r="C44" s="248"/>
      <c r="AK44" s="68"/>
      <c r="AL44" s="68"/>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0">
    <mergeCell ref="W1:Y1"/>
    <mergeCell ref="Z1:AF1"/>
    <mergeCell ref="AH1:AI1"/>
    <mergeCell ref="W2:Y2"/>
    <mergeCell ref="Z2:AF2"/>
    <mergeCell ref="AH2:AI2"/>
    <mergeCell ref="A4:A8"/>
    <mergeCell ref="B4:B8"/>
    <mergeCell ref="C4:C8"/>
    <mergeCell ref="D4:D8"/>
    <mergeCell ref="E4:E8"/>
    <mergeCell ref="F4:J4"/>
    <mergeCell ref="I6:I7"/>
    <mergeCell ref="J6:J7"/>
    <mergeCell ref="K4:AD4"/>
    <mergeCell ref="AE4:AE7"/>
    <mergeCell ref="AF4:AF7"/>
    <mergeCell ref="AG4:AI8"/>
    <mergeCell ref="F5:J5"/>
    <mergeCell ref="K5:V5"/>
    <mergeCell ref="W5:AD5"/>
    <mergeCell ref="F6:F8"/>
    <mergeCell ref="G6:G7"/>
    <mergeCell ref="H6:H8"/>
    <mergeCell ref="K6:M6"/>
    <mergeCell ref="N6:V6"/>
    <mergeCell ref="W6:W8"/>
    <mergeCell ref="X6:X8"/>
    <mergeCell ref="Y6:Y8"/>
    <mergeCell ref="Z6:Z8"/>
    <mergeCell ref="Q7:Q8"/>
    <mergeCell ref="R7:R8"/>
    <mergeCell ref="S7:S8"/>
    <mergeCell ref="T7:T8"/>
    <mergeCell ref="K7:K8"/>
    <mergeCell ref="L7:L8"/>
    <mergeCell ref="M7:M8"/>
    <mergeCell ref="N7:N8"/>
    <mergeCell ref="O7:O8"/>
    <mergeCell ref="P7:P8"/>
    <mergeCell ref="U7:U8"/>
    <mergeCell ref="V7:V8"/>
    <mergeCell ref="AK7:AK8"/>
    <mergeCell ref="AL7:AL8"/>
    <mergeCell ref="AG9:AI9"/>
    <mergeCell ref="AA6:AA8"/>
    <mergeCell ref="AB6:AB8"/>
    <mergeCell ref="AC6:AC8"/>
    <mergeCell ref="AD6:AD8"/>
    <mergeCell ref="AG25:AI25"/>
    <mergeCell ref="AG26:AI26"/>
    <mergeCell ref="AG28:AI28"/>
    <mergeCell ref="AG27:AI27"/>
    <mergeCell ref="AG11:AI11"/>
    <mergeCell ref="AG12:AI12"/>
    <mergeCell ref="AG13:AI13"/>
    <mergeCell ref="AG14:AI14"/>
    <mergeCell ref="AG17:AI17"/>
    <mergeCell ref="AG18:AI18"/>
    <mergeCell ref="AG29:AI29"/>
    <mergeCell ref="AG30:AI30"/>
    <mergeCell ref="AG31:AI31"/>
    <mergeCell ref="AG32:AI32"/>
    <mergeCell ref="AG33:AI33"/>
    <mergeCell ref="AG34:AI34"/>
    <mergeCell ref="AG35:AI35"/>
    <mergeCell ref="AG36:AI36"/>
    <mergeCell ref="AG37:AI37"/>
    <mergeCell ref="AG38:AI38"/>
    <mergeCell ref="A39:I39"/>
    <mergeCell ref="AG39:AI39"/>
    <mergeCell ref="AG10:AI10"/>
    <mergeCell ref="AG15:AI15"/>
    <mergeCell ref="AG16:AI16"/>
    <mergeCell ref="AG20:AI20"/>
    <mergeCell ref="AG21:AI21"/>
    <mergeCell ref="AG24:AI24"/>
    <mergeCell ref="AG19:AI19"/>
    <mergeCell ref="AG22:AI22"/>
    <mergeCell ref="AG23:AI23"/>
  </mergeCells>
  <dataValidations count="2">
    <dataValidation type="whole" allowBlank="1" showInputMessage="1" showErrorMessage="1" sqref="B14:B38">
      <formula1>1</formula1>
      <formula2>999999</formula2>
    </dataValidation>
    <dataValidation type="list" allowBlank="1" showInputMessage="1" showErrorMessage="1" sqref="K9:V38">
      <formula1>"Ａ,Ｂ,Ｃ,Ｄ"</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50" r:id="rId3"/>
  <legacyDrawing r:id="rId2"/>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W41"/>
  <sheetViews>
    <sheetView view="pageBreakPreview" zoomScaleNormal="75" zoomScaleSheetLayoutView="100" zoomScalePageLayoutView="0" workbookViewId="0" topLeftCell="A1">
      <pane xSplit="1" ySplit="8" topLeftCell="F23" activePane="bottomRight" state="frozen"/>
      <selection pane="topLeft" activeCell="A2" sqref="A2"/>
      <selection pane="topRight" activeCell="A2" sqref="A2"/>
      <selection pane="bottomLeft" activeCell="A2" sqref="A2"/>
      <selection pane="bottomRight" activeCell="S28" sqref="S28"/>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8.25390625" style="40" customWidth="1"/>
    <col min="16" max="16" width="14.875" style="40" customWidth="1"/>
    <col min="17" max="17" width="8.25390625" style="294" customWidth="1"/>
    <col min="18" max="18" width="14.875" style="294" customWidth="1"/>
    <col min="19" max="19" width="3.125" style="40" customWidth="1"/>
    <col min="20" max="21" width="5.625" style="40" customWidth="1"/>
    <col min="22" max="22" width="8.25390625" style="40" customWidth="1"/>
    <col min="23" max="16384" width="9.625" style="40" customWidth="1"/>
  </cols>
  <sheetData>
    <row r="1" ht="18.75" customHeight="1" thickBot="1">
      <c r="A1" s="38" t="s">
        <v>244</v>
      </c>
    </row>
    <row r="2" spans="8:18" ht="24.75" customHeight="1" thickBot="1">
      <c r="H2" s="348"/>
      <c r="I2" s="1098"/>
      <c r="J2" s="1099"/>
      <c r="K2" s="1099"/>
      <c r="L2" s="842" t="s">
        <v>25</v>
      </c>
      <c r="M2" s="843"/>
      <c r="N2" s="846">
        <f>'5_総括表'!E3</f>
        <v>0</v>
      </c>
      <c r="O2" s="847"/>
      <c r="P2" s="842" t="s">
        <v>26</v>
      </c>
      <c r="Q2" s="843"/>
      <c r="R2" s="161">
        <f>'5_総括表'!Z3</f>
        <v>0</v>
      </c>
    </row>
    <row r="3" spans="1:18" ht="24.75" customHeight="1" thickBot="1">
      <c r="A3" s="38"/>
      <c r="F3" s="111"/>
      <c r="G3" s="111"/>
      <c r="H3" s="348"/>
      <c r="I3" s="1098"/>
      <c r="J3" s="1099"/>
      <c r="K3" s="1099"/>
      <c r="L3" s="844" t="s">
        <v>23</v>
      </c>
      <c r="M3" s="845"/>
      <c r="N3" s="846">
        <f>'5_総括表'!E4</f>
        <v>0</v>
      </c>
      <c r="O3" s="847"/>
      <c r="P3" s="844" t="s">
        <v>24</v>
      </c>
      <c r="Q3" s="845"/>
      <c r="R3" s="346">
        <f>'5_総括表'!Z4</f>
        <v>0</v>
      </c>
    </row>
    <row r="4" spans="1:9" ht="18.75" customHeight="1" thickBot="1">
      <c r="A4" s="280" t="s">
        <v>224</v>
      </c>
      <c r="F4" s="112"/>
      <c r="G4" s="112"/>
      <c r="H4" s="112"/>
      <c r="I4" s="112"/>
    </row>
    <row r="5" spans="1:18" s="44" customFormat="1" ht="19.5" customHeight="1" thickBot="1">
      <c r="A5" s="113" t="s">
        <v>17</v>
      </c>
      <c r="B5" s="808" t="s">
        <v>125</v>
      </c>
      <c r="C5" s="284"/>
      <c r="D5" s="285"/>
      <c r="E5" s="809" t="s">
        <v>160</v>
      </c>
      <c r="F5" s="155"/>
      <c r="G5" s="156"/>
      <c r="H5" s="811" t="s">
        <v>147</v>
      </c>
      <c r="I5" s="813" t="s">
        <v>148</v>
      </c>
      <c r="J5" s="813" t="s">
        <v>149</v>
      </c>
      <c r="K5" s="803" t="s">
        <v>245</v>
      </c>
      <c r="L5" s="804"/>
      <c r="M5" s="804"/>
      <c r="N5" s="805"/>
      <c r="O5" s="806" t="s">
        <v>246</v>
      </c>
      <c r="P5" s="807"/>
      <c r="Q5" s="806" t="s">
        <v>247</v>
      </c>
      <c r="R5" s="807"/>
    </row>
    <row r="6" spans="1:20" s="44" customFormat="1" ht="38.25" customHeight="1" thickBot="1">
      <c r="A6" s="815" t="s">
        <v>119</v>
      </c>
      <c r="B6" s="809"/>
      <c r="C6" s="286" t="s">
        <v>211</v>
      </c>
      <c r="D6" s="286" t="s">
        <v>67</v>
      </c>
      <c r="E6" s="810"/>
      <c r="F6" s="114" t="s">
        <v>141</v>
      </c>
      <c r="G6" s="116" t="s">
        <v>124</v>
      </c>
      <c r="H6" s="812"/>
      <c r="I6" s="809"/>
      <c r="J6" s="814"/>
      <c r="K6" s="114" t="s">
        <v>21</v>
      </c>
      <c r="L6" s="115" t="s">
        <v>50</v>
      </c>
      <c r="M6" s="116" t="s">
        <v>49</v>
      </c>
      <c r="N6" s="343" t="s">
        <v>68</v>
      </c>
      <c r="O6" s="116" t="s">
        <v>49</v>
      </c>
      <c r="P6" s="117" t="s">
        <v>68</v>
      </c>
      <c r="Q6" s="336" t="s">
        <v>49</v>
      </c>
      <c r="R6" s="337" t="s">
        <v>68</v>
      </c>
      <c r="T6" s="118" t="s">
        <v>70</v>
      </c>
    </row>
    <row r="7" spans="1:20" s="44" customFormat="1" ht="20.25" customHeight="1" thickBot="1">
      <c r="A7" s="816"/>
      <c r="B7" s="48" t="s">
        <v>126</v>
      </c>
      <c r="C7" s="48" t="s">
        <v>127</v>
      </c>
      <c r="D7" s="48" t="s">
        <v>128</v>
      </c>
      <c r="E7" s="48" t="s">
        <v>144</v>
      </c>
      <c r="F7" s="119" t="s">
        <v>129</v>
      </c>
      <c r="G7" s="121" t="s">
        <v>130</v>
      </c>
      <c r="H7" s="151" t="s">
        <v>131</v>
      </c>
      <c r="I7" s="48" t="s">
        <v>132</v>
      </c>
      <c r="J7" s="47" t="s">
        <v>133</v>
      </c>
      <c r="K7" s="119"/>
      <c r="L7" s="120"/>
      <c r="M7" s="121"/>
      <c r="N7" s="328" t="s">
        <v>102</v>
      </c>
      <c r="O7" s="121"/>
      <c r="P7" s="122" t="s">
        <v>102</v>
      </c>
      <c r="Q7" s="338"/>
      <c r="R7" s="339"/>
      <c r="T7" s="123"/>
    </row>
    <row r="8" spans="1:18" s="130" customFormat="1" ht="20.25" customHeight="1" thickBot="1">
      <c r="A8" s="124"/>
      <c r="B8" s="125" t="s">
        <v>19</v>
      </c>
      <c r="C8" s="125" t="s">
        <v>19</v>
      </c>
      <c r="D8" s="125" t="s">
        <v>19</v>
      </c>
      <c r="E8" s="125" t="s">
        <v>145</v>
      </c>
      <c r="F8" s="126" t="s">
        <v>142</v>
      </c>
      <c r="G8" s="128" t="s">
        <v>143</v>
      </c>
      <c r="H8" s="152" t="s">
        <v>22</v>
      </c>
      <c r="I8" s="125" t="s">
        <v>22</v>
      </c>
      <c r="J8" s="125" t="s">
        <v>22</v>
      </c>
      <c r="K8" s="126"/>
      <c r="L8" s="127" t="s">
        <v>20</v>
      </c>
      <c r="M8" s="128" t="s">
        <v>19</v>
      </c>
      <c r="N8" s="330" t="s">
        <v>20</v>
      </c>
      <c r="O8" s="128" t="s">
        <v>19</v>
      </c>
      <c r="P8" s="129" t="s">
        <v>20</v>
      </c>
      <c r="Q8" s="340" t="s">
        <v>19</v>
      </c>
      <c r="R8" s="341" t="s">
        <v>20</v>
      </c>
    </row>
    <row r="9" spans="1:20" s="44" customFormat="1" ht="18" customHeight="1" thickBot="1">
      <c r="A9" s="817">
        <v>1</v>
      </c>
      <c r="B9" s="1054"/>
      <c r="C9" s="1054"/>
      <c r="D9" s="1054"/>
      <c r="E9" s="1050"/>
      <c r="F9" s="399"/>
      <c r="G9" s="400"/>
      <c r="H9" s="470">
        <f>IF(F9="","",IF(ISERROR(F9+ROUNDDOWN(G9*3/74,0)),"",F9+ROUNDDOWN(G9*3/74,0)))</f>
      </c>
      <c r="I9" s="471">
        <f>IF(H9="","",IF(H9&gt;10032,10032,H9))</f>
      </c>
      <c r="J9" s="472">
        <f>IF(H9="","",MIN(H9,I9))</f>
      </c>
      <c r="K9" s="133" t="s">
        <v>84</v>
      </c>
      <c r="L9" s="70">
        <v>1532</v>
      </c>
      <c r="M9" s="376"/>
      <c r="N9" s="377"/>
      <c r="O9" s="357">
        <f>SUMIF('6-2_算定表④(旧・新制度)'!$AJ:$AJ,$T9,'6-2_算定表④(旧・新制度)'!$AK:$AK)</f>
        <v>0</v>
      </c>
      <c r="P9" s="134">
        <f>SUMIF('6-2_算定表④(旧・新制度)'!$AJ:$AJ,$T9,'6-2_算定表④(旧・新制度)'!$AE:$AE)</f>
        <v>0</v>
      </c>
      <c r="Q9" s="359">
        <f>O9-M9</f>
        <v>0</v>
      </c>
      <c r="R9" s="360">
        <f>P9-N9</f>
        <v>0</v>
      </c>
      <c r="T9" s="135" t="str">
        <f>ASC($A$9&amp;$K9)</f>
        <v>1A</v>
      </c>
    </row>
    <row r="10" spans="1:22" s="44" customFormat="1" ht="18" customHeight="1" thickBot="1">
      <c r="A10" s="817"/>
      <c r="B10" s="1055"/>
      <c r="C10" s="1055"/>
      <c r="D10" s="1055"/>
      <c r="E10" s="1051"/>
      <c r="F10" s="399"/>
      <c r="G10" s="400"/>
      <c r="H10" s="470">
        <f>IF(F10="","",IF(ISERROR(F10+ROUNDDOWN(G10*3/74,0)),"",F10+ROUNDDOWN(G10*3/74,0)))</f>
      </c>
      <c r="I10" s="471">
        <f aca="true" t="shared" si="0" ref="I10:I20">IF(H10="","",IF(H10&gt;10032,10032,H10))</f>
      </c>
      <c r="J10" s="472">
        <f>IF(H10="","",MIN(H10,I10))</f>
      </c>
      <c r="K10" s="136" t="s">
        <v>90</v>
      </c>
      <c r="L10" s="234">
        <v>1532</v>
      </c>
      <c r="M10" s="378"/>
      <c r="N10" s="379"/>
      <c r="O10" s="361">
        <f>SUMIF('6-2_算定表④(旧・新制度)'!$AJ:$AJ,$T10,'6-2_算定表④(旧・新制度)'!$AK:$AK)</f>
        <v>0</v>
      </c>
      <c r="P10" s="138">
        <f>SUMIF('6-2_算定表④(旧・新制度)'!$AJ:$AJ,$T10,'6-2_算定表④(旧・新制度)'!$AE:$AE)</f>
        <v>0</v>
      </c>
      <c r="Q10" s="359">
        <f aca="true" t="shared" si="1" ref="Q10:R22">O10-M10</f>
        <v>0</v>
      </c>
      <c r="R10" s="360">
        <f t="shared" si="1"/>
        <v>0</v>
      </c>
      <c r="T10" s="139" t="str">
        <f>ASC($A$9&amp;$K10)</f>
        <v>1B</v>
      </c>
      <c r="V10" s="55" t="s">
        <v>8</v>
      </c>
    </row>
    <row r="11" spans="1:21" s="44" customFormat="1" ht="18" customHeight="1" thickBot="1">
      <c r="A11" s="817"/>
      <c r="B11" s="1055"/>
      <c r="C11" s="1055"/>
      <c r="D11" s="1055"/>
      <c r="E11" s="1051"/>
      <c r="F11" s="399"/>
      <c r="G11" s="400"/>
      <c r="H11" s="470">
        <f>IF(F11="","",IF(ISERROR(F11+ROUNDDOWN(G11*3/74,0)),"",F11+ROUNDDOWN(G11*3/74,0)))</f>
      </c>
      <c r="I11" s="471">
        <f>IF(H11="","",IF(H11&gt;10032,10032,H11))</f>
      </c>
      <c r="J11" s="472">
        <f>IF(H11="","",MIN(H11,I11))</f>
      </c>
      <c r="K11" s="136" t="s">
        <v>206</v>
      </c>
      <c r="L11" s="235">
        <v>2814</v>
      </c>
      <c r="M11" s="378"/>
      <c r="N11" s="379"/>
      <c r="O11" s="361">
        <f>SUMIF('6-2_算定表④(旧・新制度)'!$AJ:$AJ,T11,'6-2_算定表④(旧・新制度)'!$AK:$AK)+SUMIF('6-2_算定表④(旧・新制度)'!$AJ:$AJ,U11,'6-2_算定表④(旧・新制度)'!$AK:$AK)</f>
        <v>0</v>
      </c>
      <c r="P11" s="138">
        <f>SUMIF('6-2_算定表④(旧・新制度)'!$AJ:$AJ,$T11,'6-2_算定表④(旧・新制度)'!$AE:$AE)+SUMIF('6-2_算定表④(旧・新制度)'!$AJ:$AJ,U11,'6-2_算定表④(旧・新制度)'!$AE:$AE)</f>
        <v>0</v>
      </c>
      <c r="Q11" s="363">
        <f t="shared" si="1"/>
        <v>0</v>
      </c>
      <c r="R11" s="364">
        <f t="shared" si="1"/>
        <v>0</v>
      </c>
      <c r="T11" s="139" t="str">
        <f>ASC($A$9&amp;$K11)</f>
        <v>1C1</v>
      </c>
      <c r="U11" s="260"/>
    </row>
    <row r="12" spans="1:21" s="44" customFormat="1" ht="18" customHeight="1" thickBot="1">
      <c r="A12" s="817"/>
      <c r="B12" s="1055"/>
      <c r="C12" s="1055"/>
      <c r="D12" s="1055"/>
      <c r="E12" s="1051"/>
      <c r="F12" s="399"/>
      <c r="G12" s="400"/>
      <c r="H12" s="470">
        <f aca="true" t="shared" si="2" ref="H12:H20">IF(F12="","",IF(ISERROR(F12+ROUNDDOWN(G12*3/74,0)),"",F12+ROUNDDOWN(G12*3/74,0)))</f>
      </c>
      <c r="I12" s="471">
        <f t="shared" si="0"/>
      </c>
      <c r="J12" s="472">
        <f>IF(H12="","",MIN(H12,I12))</f>
      </c>
      <c r="K12" s="136" t="s">
        <v>207</v>
      </c>
      <c r="L12" s="235">
        <v>5220</v>
      </c>
      <c r="M12" s="378"/>
      <c r="N12" s="379"/>
      <c r="O12" s="361">
        <f>SUMIF('6-2_算定表④(旧・新制度)'!$AJ:$AJ,T12,'6-2_算定表④(旧・新制度)'!$AK:$AK)+SUMIF('6-2_算定表④(旧・新制度)'!$AJ:$AJ,U12,'6-2_算定表④(旧・新制度)'!$AK:$AK)</f>
        <v>0</v>
      </c>
      <c r="P12" s="138">
        <f>SUMIF('6-2_算定表④(旧・新制度)'!$AJ:$AJ,$T12,'6-2_算定表④(旧・新制度)'!$AE:$AE)+SUMIF('6-2_算定表④(旧・新制度)'!$AJ:$AJ,U12,'6-2_算定表④(旧・新制度)'!$AE:$AE)</f>
        <v>0</v>
      </c>
      <c r="Q12" s="363">
        <f t="shared" si="1"/>
        <v>0</v>
      </c>
      <c r="R12" s="364">
        <f t="shared" si="1"/>
        <v>0</v>
      </c>
      <c r="T12" s="139" t="str">
        <f>ASC($A$9&amp;$K12)</f>
        <v>1C2</v>
      </c>
      <c r="U12" s="260"/>
    </row>
    <row r="13" spans="1:20" s="44" customFormat="1" ht="18" customHeight="1" thickBot="1">
      <c r="A13" s="817"/>
      <c r="B13" s="1055"/>
      <c r="C13" s="1055"/>
      <c r="D13" s="1055"/>
      <c r="E13" s="1051"/>
      <c r="F13" s="399"/>
      <c r="G13" s="400"/>
      <c r="H13" s="470"/>
      <c r="I13" s="471"/>
      <c r="J13" s="472"/>
      <c r="K13" s="105" t="s">
        <v>174</v>
      </c>
      <c r="L13" s="236" t="s">
        <v>155</v>
      </c>
      <c r="M13" s="378"/>
      <c r="N13" s="379"/>
      <c r="O13" s="361">
        <f>SUMIF('6-2_算定表④(旧・新制度)'!$AJ:$AJ,$T13,'6-2_算定表④(旧・新制度)'!$AK:$AK)</f>
        <v>0</v>
      </c>
      <c r="P13" s="138">
        <f>SUMIF('6-2_算定表④(旧・新制度)'!$AJ:$AJ,$T13,'6-2_算定表④(旧・新制度)'!$AE:$AE)</f>
        <v>0</v>
      </c>
      <c r="Q13" s="363">
        <f>O13-M13</f>
        <v>0</v>
      </c>
      <c r="R13" s="364">
        <f>P13-N13</f>
        <v>0</v>
      </c>
      <c r="T13" s="139" t="str">
        <f>ASC($A$9&amp;$K13)</f>
        <v>1D</v>
      </c>
    </row>
    <row r="14" spans="1:18" s="44" customFormat="1" ht="18" customHeight="1" thickBot="1">
      <c r="A14" s="817"/>
      <c r="B14" s="1055"/>
      <c r="C14" s="1055"/>
      <c r="D14" s="1055"/>
      <c r="E14" s="1052"/>
      <c r="F14" s="401"/>
      <c r="G14" s="402"/>
      <c r="H14" s="473">
        <f t="shared" si="2"/>
      </c>
      <c r="I14" s="474">
        <f t="shared" si="0"/>
      </c>
      <c r="J14" s="475">
        <f>IF(H14="","",MIN(H14,I14))</f>
      </c>
      <c r="K14" s="823" t="s">
        <v>120</v>
      </c>
      <c r="L14" s="824"/>
      <c r="M14" s="365">
        <f aca="true" t="shared" si="3" ref="M14:R14">SUM(M9:M13)</f>
        <v>0</v>
      </c>
      <c r="N14" s="366">
        <f t="shared" si="3"/>
        <v>0</v>
      </c>
      <c r="O14" s="365">
        <f t="shared" si="3"/>
        <v>0</v>
      </c>
      <c r="P14" s="142">
        <f t="shared" si="3"/>
        <v>0</v>
      </c>
      <c r="Q14" s="368">
        <f t="shared" si="3"/>
        <v>0</v>
      </c>
      <c r="R14" s="369">
        <f t="shared" si="3"/>
        <v>0</v>
      </c>
    </row>
    <row r="15" spans="1:23" s="44" customFormat="1" ht="18" customHeight="1" thickBot="1" thickTop="1">
      <c r="A15" s="825">
        <v>2</v>
      </c>
      <c r="B15" s="1055"/>
      <c r="C15" s="1055"/>
      <c r="D15" s="1055"/>
      <c r="E15" s="1056"/>
      <c r="F15" s="476"/>
      <c r="G15" s="477"/>
      <c r="H15" s="470">
        <f t="shared" si="2"/>
      </c>
      <c r="I15" s="471">
        <f t="shared" si="0"/>
      </c>
      <c r="J15" s="472">
        <f>IF(H15="","",MIN(H15,I15))</f>
      </c>
      <c r="K15" s="133" t="s">
        <v>84</v>
      </c>
      <c r="L15" s="70">
        <v>1532</v>
      </c>
      <c r="M15" s="376"/>
      <c r="N15" s="377"/>
      <c r="O15" s="357">
        <f>SUMIF('6-2_算定表④(旧・新制度)'!$AJ:$AJ,$T15,'6-2_算定表④(旧・新制度)'!$AK:$AK)</f>
        <v>0</v>
      </c>
      <c r="P15" s="134">
        <f>SUMIF('6-2_算定表④(旧・新制度)'!$AJ:$AJ,$T15,'6-2_算定表④(旧・新制度)'!$AE:$AE)</f>
        <v>0</v>
      </c>
      <c r="Q15" s="390">
        <f t="shared" si="1"/>
        <v>0</v>
      </c>
      <c r="R15" s="391">
        <f t="shared" si="1"/>
        <v>0</v>
      </c>
      <c r="T15" s="135" t="str">
        <f>ASC($A$15&amp;$K15)</f>
        <v>2A</v>
      </c>
      <c r="V15" s="143" t="s">
        <v>9</v>
      </c>
      <c r="W15" s="61" t="str">
        <f>IF(D9&gt;=O14,"OK","ERR")</f>
        <v>OK</v>
      </c>
    </row>
    <row r="16" spans="1:23" s="44" customFormat="1" ht="18" customHeight="1" thickBot="1" thickTop="1">
      <c r="A16" s="817"/>
      <c r="B16" s="1055"/>
      <c r="C16" s="1055"/>
      <c r="D16" s="1055"/>
      <c r="E16" s="1057"/>
      <c r="F16" s="476"/>
      <c r="G16" s="477"/>
      <c r="H16" s="470">
        <f t="shared" si="2"/>
      </c>
      <c r="I16" s="471">
        <f t="shared" si="0"/>
      </c>
      <c r="J16" s="472">
        <f>IF(H16="","",MIN(H16,I16))</f>
      </c>
      <c r="K16" s="136" t="s">
        <v>90</v>
      </c>
      <c r="L16" s="234">
        <v>1532</v>
      </c>
      <c r="M16" s="378"/>
      <c r="N16" s="379"/>
      <c r="O16" s="361">
        <f>SUMIF('6-2_算定表④(旧・新制度)'!$AJ:$AJ,$T16,'6-2_算定表④(旧・新制度)'!$AK:$AK)</f>
        <v>0</v>
      </c>
      <c r="P16" s="138">
        <f>SUMIF('6-2_算定表④(旧・新制度)'!$AJ:$AJ,$T16,'6-2_算定表④(旧・新制度)'!$AE:$AE)</f>
        <v>0</v>
      </c>
      <c r="Q16" s="363">
        <f t="shared" si="1"/>
        <v>0</v>
      </c>
      <c r="R16" s="364">
        <f t="shared" si="1"/>
        <v>0</v>
      </c>
      <c r="T16" s="139" t="str">
        <f>ASC($A$15&amp;$K16)</f>
        <v>2B</v>
      </c>
      <c r="V16" s="143" t="s">
        <v>10</v>
      </c>
      <c r="W16" s="61" t="str">
        <f>IF(D15&gt;=O20,"OK","ERR")</f>
        <v>OK</v>
      </c>
    </row>
    <row r="17" spans="1:23" s="44" customFormat="1" ht="18" customHeight="1" thickBot="1" thickTop="1">
      <c r="A17" s="817"/>
      <c r="B17" s="1055"/>
      <c r="C17" s="1055"/>
      <c r="D17" s="1055"/>
      <c r="E17" s="1057"/>
      <c r="F17" s="476"/>
      <c r="G17" s="477"/>
      <c r="H17" s="470">
        <f>IF(F17="","",IF(ISERROR(F17+ROUNDDOWN(G17*3/74,0)),"",F17+ROUNDDOWN(G17*3/74,0)))</f>
      </c>
      <c r="I17" s="471">
        <f>IF(H17="","",IF(H17&gt;10032,10032,H17))</f>
      </c>
      <c r="J17" s="472">
        <f>IF(H17="","",MIN(H17,I17))</f>
      </c>
      <c r="K17" s="136" t="s">
        <v>206</v>
      </c>
      <c r="L17" s="235">
        <v>2814</v>
      </c>
      <c r="M17" s="378"/>
      <c r="N17" s="379"/>
      <c r="O17" s="361">
        <f>SUMIF('6-2_算定表④(旧・新制度)'!$AJ:$AJ,T17,'6-2_算定表④(旧・新制度)'!$AK:$AK)+SUMIF('6-2_算定表④(旧・新制度)'!$AJ:$AJ,U17,'6-2_算定表④(旧・新制度)'!$AK:$AK)</f>
        <v>0</v>
      </c>
      <c r="P17" s="138">
        <f>SUMIF('6-2_算定表④(旧・新制度)'!$AJ:$AJ,$T17,'6-2_算定表④(旧・新制度)'!$AE:$AE)+SUMIF('6-2_算定表④(旧・新制度)'!$AJ:$AJ,U17,'6-2_算定表④(旧・新制度)'!$AE:$AE)</f>
        <v>0</v>
      </c>
      <c r="Q17" s="363">
        <f t="shared" si="1"/>
        <v>0</v>
      </c>
      <c r="R17" s="364">
        <f t="shared" si="1"/>
        <v>0</v>
      </c>
      <c r="T17" s="139" t="str">
        <f>ASC($A$15&amp;$K17)</f>
        <v>2C1</v>
      </c>
      <c r="U17" s="260"/>
      <c r="V17" s="143"/>
      <c r="W17" s="61"/>
    </row>
    <row r="18" spans="1:23" s="44" customFormat="1" ht="18" customHeight="1" thickBot="1" thickTop="1">
      <c r="A18" s="817"/>
      <c r="B18" s="1055"/>
      <c r="C18" s="1055"/>
      <c r="D18" s="1055"/>
      <c r="E18" s="1057"/>
      <c r="F18" s="476"/>
      <c r="G18" s="477"/>
      <c r="H18" s="470">
        <f t="shared" si="2"/>
      </c>
      <c r="I18" s="471">
        <f t="shared" si="0"/>
      </c>
      <c r="J18" s="472">
        <f>IF(H18="","",MIN(H18,I18))</f>
      </c>
      <c r="K18" s="136" t="s">
        <v>207</v>
      </c>
      <c r="L18" s="235">
        <v>5220</v>
      </c>
      <c r="M18" s="378"/>
      <c r="N18" s="379"/>
      <c r="O18" s="361">
        <f>SUMIF('6-2_算定表④(旧・新制度)'!$AJ:$AJ,T18,'6-2_算定表④(旧・新制度)'!$AK:$AK)+SUMIF('6-2_算定表④(旧・新制度)'!$AJ:$AJ,U18,'6-2_算定表④(旧・新制度)'!$AK:$AK)</f>
        <v>0</v>
      </c>
      <c r="P18" s="138">
        <f>SUMIF('6-2_算定表④(旧・新制度)'!$AJ:$AJ,$T18,'6-2_算定表④(旧・新制度)'!$AE:$AE)+SUMIF('6-2_算定表④(旧・新制度)'!$AJ:$AJ,U18,'6-2_算定表④(旧・新制度)'!$AE:$AE)</f>
        <v>0</v>
      </c>
      <c r="Q18" s="363">
        <f>O18-M18</f>
        <v>0</v>
      </c>
      <c r="R18" s="364">
        <f>P18-N18</f>
        <v>0</v>
      </c>
      <c r="T18" s="139" t="str">
        <f>ASC($A$15&amp;$K18)</f>
        <v>2C2</v>
      </c>
      <c r="U18" s="260"/>
      <c r="V18" s="143" t="s">
        <v>11</v>
      </c>
      <c r="W18" s="61" t="str">
        <f>IF(D21&gt;=O26,"OK","ERR")</f>
        <v>OK</v>
      </c>
    </row>
    <row r="19" spans="1:20" s="44" customFormat="1" ht="18" customHeight="1" thickBot="1">
      <c r="A19" s="817"/>
      <c r="B19" s="1055"/>
      <c r="C19" s="1055"/>
      <c r="D19" s="1055"/>
      <c r="E19" s="1057"/>
      <c r="F19" s="476"/>
      <c r="G19" s="477"/>
      <c r="H19" s="470"/>
      <c r="I19" s="471"/>
      <c r="J19" s="472"/>
      <c r="K19" s="105" t="s">
        <v>174</v>
      </c>
      <c r="L19" s="236" t="s">
        <v>155</v>
      </c>
      <c r="M19" s="376"/>
      <c r="N19" s="389"/>
      <c r="O19" s="357">
        <f>SUMIF('6-2_算定表④(旧・新制度)'!$AJ:$AJ,$T19,'6-2_算定表④(旧・新制度)'!$AK:$AK)</f>
        <v>0</v>
      </c>
      <c r="P19" s="244">
        <f>SUMIF('6-2_算定表④(旧・新制度)'!$AJ:$AJ,$T19,'6-2_算定表④(旧・新制度)'!$AE:$AE)</f>
        <v>0</v>
      </c>
      <c r="Q19" s="363">
        <f>O19-M19</f>
        <v>0</v>
      </c>
      <c r="R19" s="364">
        <f>P19-N19</f>
        <v>0</v>
      </c>
      <c r="T19" s="139" t="str">
        <f>ASC($A$15&amp;$K19)</f>
        <v>2D</v>
      </c>
    </row>
    <row r="20" spans="1:22" s="44" customFormat="1" ht="18" customHeight="1" thickBot="1">
      <c r="A20" s="826"/>
      <c r="B20" s="1055"/>
      <c r="C20" s="1055"/>
      <c r="D20" s="1055"/>
      <c r="E20" s="1058"/>
      <c r="F20" s="478"/>
      <c r="G20" s="479"/>
      <c r="H20" s="473">
        <f t="shared" si="2"/>
      </c>
      <c r="I20" s="474">
        <f t="shared" si="0"/>
      </c>
      <c r="J20" s="475">
        <f>IF(H20="","",MIN(H20,I20))</f>
      </c>
      <c r="K20" s="823" t="s">
        <v>121</v>
      </c>
      <c r="L20" s="824"/>
      <c r="M20" s="365">
        <f aca="true" t="shared" si="4" ref="M20:R20">SUM(M15:M19)</f>
        <v>0</v>
      </c>
      <c r="N20" s="366">
        <f t="shared" si="4"/>
        <v>0</v>
      </c>
      <c r="O20" s="365">
        <f t="shared" si="4"/>
        <v>0</v>
      </c>
      <c r="P20" s="142">
        <f t="shared" si="4"/>
        <v>0</v>
      </c>
      <c r="Q20" s="368">
        <f t="shared" si="4"/>
        <v>0</v>
      </c>
      <c r="R20" s="369">
        <f t="shared" si="4"/>
        <v>0</v>
      </c>
      <c r="V20" s="55"/>
    </row>
    <row r="21" spans="1:22" s="44" customFormat="1" ht="18" customHeight="1" thickBot="1">
      <c r="A21" s="825">
        <v>3</v>
      </c>
      <c r="B21" s="1055"/>
      <c r="C21" s="1055"/>
      <c r="D21" s="1055"/>
      <c r="E21" s="1056"/>
      <c r="F21" s="476"/>
      <c r="G21" s="477"/>
      <c r="H21" s="470">
        <f>IF(F21="","",IF(ISERROR(F21+ROUNDDOWN(G21*3/74,0)),"",F21+ROUNDDOWN(G21*3/74,0)))</f>
      </c>
      <c r="I21" s="471">
        <f>IF(H21="","",IF(H21&gt;10032,10032,H21))</f>
      </c>
      <c r="J21" s="472">
        <f>IF(H21="","",MIN(H21,I21))</f>
      </c>
      <c r="K21" s="133" t="s">
        <v>84</v>
      </c>
      <c r="L21" s="70">
        <v>1532</v>
      </c>
      <c r="M21" s="376"/>
      <c r="N21" s="377"/>
      <c r="O21" s="357">
        <f>SUMIF('6-2_算定表④(旧・新制度)'!$AJ:$AJ,$T21,'6-2_算定表④(旧・新制度)'!$AK:$AK)</f>
        <v>0</v>
      </c>
      <c r="P21" s="134">
        <f>SUMIF('6-2_算定表④(旧・新制度)'!$AJ:$AJ,$T21,'6-2_算定表④(旧・新制度)'!$AE:$AE)</f>
        <v>0</v>
      </c>
      <c r="Q21" s="390">
        <f t="shared" si="1"/>
        <v>0</v>
      </c>
      <c r="R21" s="391">
        <f t="shared" si="1"/>
        <v>0</v>
      </c>
      <c r="T21" s="135" t="str">
        <f>ASC($A$21&amp;$K21)</f>
        <v>3A</v>
      </c>
      <c r="V21" s="55" t="s">
        <v>13</v>
      </c>
    </row>
    <row r="22" spans="1:23" s="44" customFormat="1" ht="18" customHeight="1" thickBot="1" thickTop="1">
      <c r="A22" s="817"/>
      <c r="B22" s="1055"/>
      <c r="C22" s="1055"/>
      <c r="D22" s="1055"/>
      <c r="E22" s="1057"/>
      <c r="F22" s="476"/>
      <c r="G22" s="477"/>
      <c r="H22" s="470">
        <f>IF(F22="","",IF(ISERROR(F22+ROUNDDOWN(G22*3/74,0)),"",F22+ROUNDDOWN(G22*3/74,0)))</f>
      </c>
      <c r="I22" s="471">
        <f>IF(H22="","",IF(H22&gt;10032,10032,H22))</f>
      </c>
      <c r="J22" s="472">
        <f>IF(H22="","",MIN(H22,I22))</f>
      </c>
      <c r="K22" s="136" t="s">
        <v>90</v>
      </c>
      <c r="L22" s="234">
        <v>1532</v>
      </c>
      <c r="M22" s="378"/>
      <c r="N22" s="379"/>
      <c r="O22" s="361">
        <f>SUMIF('6-2_算定表④(旧・新制度)'!$AJ:$AJ,$T22,'6-2_算定表④(旧・新制度)'!$AK:$AK)</f>
        <v>0</v>
      </c>
      <c r="P22" s="138">
        <f>SUMIF('6-2_算定表④(旧・新制度)'!$AJ:$AJ,$T22,'6-2_算定表④(旧・新制度)'!$AE:$AE)</f>
        <v>0</v>
      </c>
      <c r="Q22" s="363">
        <f t="shared" si="1"/>
        <v>0</v>
      </c>
      <c r="R22" s="364">
        <f t="shared" si="1"/>
        <v>0</v>
      </c>
      <c r="T22" s="139" t="str">
        <f>ASC($A$21&amp;$K22)</f>
        <v>3B</v>
      </c>
      <c r="V22" s="55" t="s">
        <v>49</v>
      </c>
      <c r="W22" s="61" t="str">
        <f>IF(O32=SUM('6-2_算定表④(旧・新制度)'!AK8:AK44),"OK","ERR")</f>
        <v>OK</v>
      </c>
    </row>
    <row r="23" spans="1:23" s="44" customFormat="1" ht="18" customHeight="1" thickBot="1" thickTop="1">
      <c r="A23" s="817"/>
      <c r="B23" s="1055"/>
      <c r="C23" s="1055"/>
      <c r="D23" s="1055"/>
      <c r="E23" s="1057"/>
      <c r="F23" s="476"/>
      <c r="G23" s="477"/>
      <c r="H23" s="470">
        <f>IF(F23="","",IF(ISERROR(F23+ROUNDDOWN(G23*3/74,0)),"",F23+ROUNDDOWN(G23*3/74,0)))</f>
      </c>
      <c r="I23" s="471">
        <f>IF(H23="","",IF(H23&gt;10032,10032,H23))</f>
      </c>
      <c r="J23" s="472">
        <f>IF(H23="","",MIN(H23,I23))</f>
      </c>
      <c r="K23" s="136" t="s">
        <v>206</v>
      </c>
      <c r="L23" s="235">
        <v>2814</v>
      </c>
      <c r="M23" s="378"/>
      <c r="N23" s="379"/>
      <c r="O23" s="361">
        <f>SUMIF('6-2_算定表④(旧・新制度)'!$AJ:$AJ,T23,'6-2_算定表④(旧・新制度)'!$AK:$AK)+SUMIF('6-2_算定表④(旧・新制度)'!$AJ:$AJ,U23,'6-2_算定表④(旧・新制度)'!$AK:$AK)</f>
        <v>0</v>
      </c>
      <c r="P23" s="138">
        <f>SUMIF('6-2_算定表④(旧・新制度)'!$AJ:$AJ,$T23,'6-2_算定表④(旧・新制度)'!$AE:$AE)+SUMIF('6-2_算定表④(旧・新制度)'!$AJ:$AJ,U23,'6-2_算定表④(旧・新制度)'!$AE:$AE)</f>
        <v>0</v>
      </c>
      <c r="Q23" s="363">
        <f aca="true" t="shared" si="5" ref="Q23:R25">O23-M23</f>
        <v>0</v>
      </c>
      <c r="R23" s="364">
        <f t="shared" si="5"/>
        <v>0</v>
      </c>
      <c r="T23" s="139" t="str">
        <f>ASC($A$21&amp;$K23)</f>
        <v>3C1</v>
      </c>
      <c r="U23" s="260"/>
      <c r="V23" s="55"/>
      <c r="W23" s="261"/>
    </row>
    <row r="24" spans="1:23" s="44" customFormat="1" ht="18" customHeight="1" thickBot="1" thickTop="1">
      <c r="A24" s="817"/>
      <c r="B24" s="1055"/>
      <c r="C24" s="1055"/>
      <c r="D24" s="1055"/>
      <c r="E24" s="1057"/>
      <c r="F24" s="476"/>
      <c r="G24" s="477"/>
      <c r="H24" s="470">
        <f>IF(F24="","",IF(ISERROR(F24+ROUNDDOWN(G24*3/74,0)),"",F24+ROUNDDOWN(G24*3/74,0)))</f>
      </c>
      <c r="I24" s="471">
        <f>IF(H24="","",IF(H24&gt;10032,10032,H24))</f>
      </c>
      <c r="J24" s="472">
        <f>IF(H24="","",MIN(H24,I24))</f>
      </c>
      <c r="K24" s="136" t="s">
        <v>207</v>
      </c>
      <c r="L24" s="235">
        <v>5220</v>
      </c>
      <c r="M24" s="378"/>
      <c r="N24" s="379"/>
      <c r="O24" s="361">
        <f>SUMIF('6-2_算定表④(旧・新制度)'!$AJ:$AJ,T24,'6-2_算定表④(旧・新制度)'!$AK:$AK)+SUMIF('6-2_算定表④(旧・新制度)'!$AJ:$AJ,U24,'6-2_算定表④(旧・新制度)'!$AK:$AK)</f>
        <v>0</v>
      </c>
      <c r="P24" s="138">
        <f>SUMIF('6-2_算定表④(旧・新制度)'!$AJ:$AJ,$T24,'6-2_算定表④(旧・新制度)'!$AE:$AE)+SUMIF('6-2_算定表④(旧・新制度)'!$AJ:$AJ,U24,'6-2_算定表④(旧・新制度)'!$AE:$AE)</f>
        <v>0</v>
      </c>
      <c r="Q24" s="363">
        <f t="shared" si="5"/>
        <v>0</v>
      </c>
      <c r="R24" s="364">
        <f t="shared" si="5"/>
        <v>0</v>
      </c>
      <c r="T24" s="139" t="str">
        <f>ASC($A$21&amp;$K24)</f>
        <v>3C2</v>
      </c>
      <c r="U24" s="260"/>
      <c r="V24" s="55" t="s">
        <v>12</v>
      </c>
      <c r="W24" s="61" t="str">
        <f>IF(P32='6-2_算定表④(旧・新制度)'!AE45,"OK","ERR")</f>
        <v>OK</v>
      </c>
    </row>
    <row r="25" spans="1:20" s="44" customFormat="1" ht="18" customHeight="1" thickBot="1">
      <c r="A25" s="817"/>
      <c r="B25" s="1055"/>
      <c r="C25" s="1055"/>
      <c r="D25" s="1055"/>
      <c r="E25" s="1057"/>
      <c r="F25" s="476"/>
      <c r="G25" s="477"/>
      <c r="H25" s="470"/>
      <c r="I25" s="471"/>
      <c r="J25" s="472"/>
      <c r="K25" s="105" t="s">
        <v>174</v>
      </c>
      <c r="L25" s="236" t="s">
        <v>155</v>
      </c>
      <c r="M25" s="376"/>
      <c r="N25" s="389"/>
      <c r="O25" s="357">
        <f>SUMIF('6-2_算定表④(旧・新制度)'!$AJ:$AJ,$T25,'6-2_算定表④(旧・新制度)'!$AK:$AK)</f>
        <v>0</v>
      </c>
      <c r="P25" s="244">
        <f>SUMIF('6-2_算定表④(旧・新制度)'!$AJ:$AJ,$T25,'6-2_算定表④(旧・新制度)'!$AE:$AE)</f>
        <v>0</v>
      </c>
      <c r="Q25" s="363">
        <f t="shared" si="5"/>
        <v>0</v>
      </c>
      <c r="R25" s="364">
        <f t="shared" si="5"/>
        <v>0</v>
      </c>
      <c r="T25" s="139" t="str">
        <f>ASC($A$21&amp;$K25)</f>
        <v>3D</v>
      </c>
    </row>
    <row r="26" spans="1:22" s="44" customFormat="1" ht="18" customHeight="1" thickBot="1">
      <c r="A26" s="826"/>
      <c r="B26" s="1055"/>
      <c r="C26" s="1055"/>
      <c r="D26" s="1055"/>
      <c r="E26" s="1058"/>
      <c r="F26" s="478"/>
      <c r="G26" s="479"/>
      <c r="H26" s="473">
        <f>IF(F26="","",IF(ISERROR(F26+ROUNDDOWN(G26*3/74,0)),"",F26+ROUNDDOWN(G26*3/74,0)))</f>
      </c>
      <c r="I26" s="474">
        <f>IF(H26="","",IF(H26&gt;10032,10032,H26))</f>
      </c>
      <c r="J26" s="475">
        <f>IF(H26="","",MIN(H26,I26))</f>
      </c>
      <c r="K26" s="823" t="s">
        <v>122</v>
      </c>
      <c r="L26" s="824"/>
      <c r="M26" s="365">
        <f aca="true" t="shared" si="6" ref="M26:R26">SUM(M21:M25)</f>
        <v>0</v>
      </c>
      <c r="N26" s="366">
        <f t="shared" si="6"/>
        <v>0</v>
      </c>
      <c r="O26" s="365">
        <f t="shared" si="6"/>
        <v>0</v>
      </c>
      <c r="P26" s="142">
        <f t="shared" si="6"/>
        <v>0</v>
      </c>
      <c r="Q26" s="368">
        <f t="shared" si="6"/>
        <v>0</v>
      </c>
      <c r="R26" s="369">
        <f t="shared" si="6"/>
        <v>0</v>
      </c>
      <c r="V26" s="55"/>
    </row>
    <row r="27" spans="1:18" s="44" customFormat="1" ht="18" customHeight="1" thickBot="1">
      <c r="A27" s="835" t="s">
        <v>27</v>
      </c>
      <c r="B27" s="1062">
        <f>SUM(B9:B26)</f>
        <v>0</v>
      </c>
      <c r="C27" s="1062">
        <f>SUM(C9:C26)</f>
        <v>0</v>
      </c>
      <c r="D27" s="1059">
        <f>SUM(D9:D26)</f>
        <v>0</v>
      </c>
      <c r="E27" s="1059">
        <f>SUM(E9:E26)</f>
        <v>0</v>
      </c>
      <c r="F27" s="1063"/>
      <c r="G27" s="1064"/>
      <c r="H27" s="1053"/>
      <c r="I27" s="1049"/>
      <c r="J27" s="1049"/>
      <c r="K27" s="258" t="s">
        <v>84</v>
      </c>
      <c r="L27" s="70">
        <v>1532</v>
      </c>
      <c r="M27" s="373">
        <f aca="true" t="shared" si="7" ref="M27:N31">SUM(M9,M15,M21)</f>
        <v>0</v>
      </c>
      <c r="N27" s="358">
        <f t="shared" si="7"/>
        <v>0</v>
      </c>
      <c r="O27" s="373">
        <f aca="true" t="shared" si="8" ref="O27:R31">SUM(O9,O15,O21)</f>
        <v>0</v>
      </c>
      <c r="P27" s="351">
        <f t="shared" si="8"/>
        <v>0</v>
      </c>
      <c r="Q27" s="395">
        <f t="shared" si="8"/>
        <v>0</v>
      </c>
      <c r="R27" s="393">
        <f t="shared" si="8"/>
        <v>0</v>
      </c>
    </row>
    <row r="28" spans="1:22" s="44" customFormat="1" ht="18" customHeight="1" thickBot="1">
      <c r="A28" s="836"/>
      <c r="B28" s="1062"/>
      <c r="C28" s="1062"/>
      <c r="D28" s="1060"/>
      <c r="E28" s="1060"/>
      <c r="F28" s="1063"/>
      <c r="G28" s="1064"/>
      <c r="H28" s="1053"/>
      <c r="I28" s="1049"/>
      <c r="J28" s="1049"/>
      <c r="K28" s="136" t="s">
        <v>90</v>
      </c>
      <c r="L28" s="137">
        <v>1532</v>
      </c>
      <c r="M28" s="374">
        <f t="shared" si="7"/>
        <v>0</v>
      </c>
      <c r="N28" s="362">
        <f t="shared" si="7"/>
        <v>0</v>
      </c>
      <c r="O28" s="374">
        <f t="shared" si="8"/>
        <v>0</v>
      </c>
      <c r="P28" s="350">
        <f t="shared" si="8"/>
        <v>0</v>
      </c>
      <c r="Q28" s="359">
        <f t="shared" si="8"/>
        <v>0</v>
      </c>
      <c r="R28" s="360">
        <f t="shared" si="8"/>
        <v>0</v>
      </c>
      <c r="V28" s="55"/>
    </row>
    <row r="29" spans="1:18" s="44" customFormat="1" ht="18" customHeight="1" thickBot="1">
      <c r="A29" s="836"/>
      <c r="B29" s="1062"/>
      <c r="C29" s="1062"/>
      <c r="D29" s="1060"/>
      <c r="E29" s="1060"/>
      <c r="F29" s="1063"/>
      <c r="G29" s="1064"/>
      <c r="H29" s="1053"/>
      <c r="I29" s="1049"/>
      <c r="J29" s="1049"/>
      <c r="K29" s="136" t="s">
        <v>206</v>
      </c>
      <c r="L29" s="233">
        <v>2814</v>
      </c>
      <c r="M29" s="374">
        <f t="shared" si="7"/>
        <v>0</v>
      </c>
      <c r="N29" s="362">
        <f t="shared" si="7"/>
        <v>0</v>
      </c>
      <c r="O29" s="374">
        <f t="shared" si="8"/>
        <v>0</v>
      </c>
      <c r="P29" s="350">
        <f t="shared" si="8"/>
        <v>0</v>
      </c>
      <c r="Q29" s="359">
        <f t="shared" si="8"/>
        <v>0</v>
      </c>
      <c r="R29" s="360">
        <f t="shared" si="8"/>
        <v>0</v>
      </c>
    </row>
    <row r="30" spans="1:18" s="44" customFormat="1" ht="18" customHeight="1" thickBot="1">
      <c r="A30" s="836"/>
      <c r="B30" s="1062"/>
      <c r="C30" s="1062"/>
      <c r="D30" s="1060"/>
      <c r="E30" s="1060"/>
      <c r="F30" s="1063"/>
      <c r="G30" s="1064"/>
      <c r="H30" s="1053"/>
      <c r="I30" s="1049"/>
      <c r="J30" s="1049"/>
      <c r="K30" s="136" t="s">
        <v>207</v>
      </c>
      <c r="L30" s="233">
        <v>5220</v>
      </c>
      <c r="M30" s="374">
        <f t="shared" si="7"/>
        <v>0</v>
      </c>
      <c r="N30" s="362">
        <f t="shared" si="7"/>
        <v>0</v>
      </c>
      <c r="O30" s="374">
        <f t="shared" si="8"/>
        <v>0</v>
      </c>
      <c r="P30" s="350">
        <f t="shared" si="8"/>
        <v>0</v>
      </c>
      <c r="Q30" s="359">
        <f t="shared" si="8"/>
        <v>0</v>
      </c>
      <c r="R30" s="360">
        <f t="shared" si="8"/>
        <v>0</v>
      </c>
    </row>
    <row r="31" spans="1:18" s="44" customFormat="1" ht="18" customHeight="1" thickBot="1">
      <c r="A31" s="836"/>
      <c r="B31" s="1062"/>
      <c r="C31" s="1062"/>
      <c r="D31" s="1060"/>
      <c r="E31" s="1060"/>
      <c r="F31" s="1063"/>
      <c r="G31" s="1064"/>
      <c r="H31" s="1053"/>
      <c r="I31" s="1049"/>
      <c r="J31" s="1049"/>
      <c r="K31" s="105" t="s">
        <v>174</v>
      </c>
      <c r="L31" s="236" t="s">
        <v>155</v>
      </c>
      <c r="M31" s="373">
        <f t="shared" si="7"/>
        <v>0</v>
      </c>
      <c r="N31" s="394">
        <f t="shared" si="7"/>
        <v>0</v>
      </c>
      <c r="O31" s="373">
        <f t="shared" si="8"/>
        <v>0</v>
      </c>
      <c r="P31" s="347">
        <f t="shared" si="8"/>
        <v>0</v>
      </c>
      <c r="Q31" s="396">
        <f t="shared" si="8"/>
        <v>0</v>
      </c>
      <c r="R31" s="397">
        <f t="shared" si="8"/>
        <v>0</v>
      </c>
    </row>
    <row r="32" spans="1:19" s="44" customFormat="1" ht="18" customHeight="1" thickBot="1">
      <c r="A32" s="837"/>
      <c r="B32" s="1062"/>
      <c r="C32" s="1062"/>
      <c r="D32" s="1061"/>
      <c r="E32" s="1061"/>
      <c r="F32" s="1063"/>
      <c r="G32" s="1064"/>
      <c r="H32" s="1053"/>
      <c r="I32" s="1049"/>
      <c r="J32" s="1049"/>
      <c r="K32" s="823" t="s">
        <v>156</v>
      </c>
      <c r="L32" s="824"/>
      <c r="M32" s="365">
        <f aca="true" t="shared" si="9" ref="M32:R32">SUM(M27:M31)</f>
        <v>0</v>
      </c>
      <c r="N32" s="366">
        <f t="shared" si="9"/>
        <v>0</v>
      </c>
      <c r="O32" s="365">
        <f t="shared" si="9"/>
        <v>0</v>
      </c>
      <c r="P32" s="142">
        <f t="shared" si="9"/>
        <v>0</v>
      </c>
      <c r="Q32" s="368">
        <f t="shared" si="9"/>
        <v>0</v>
      </c>
      <c r="R32" s="369">
        <f t="shared" si="9"/>
        <v>0</v>
      </c>
      <c r="S32" s="150"/>
    </row>
    <row r="33" spans="1:18" s="292" customFormat="1" ht="11.25" customHeight="1">
      <c r="A33" s="287" t="s">
        <v>29</v>
      </c>
      <c r="B33" s="288"/>
      <c r="C33" s="288"/>
      <c r="D33" s="288"/>
      <c r="E33" s="288"/>
      <c r="F33" s="289"/>
      <c r="G33" s="289"/>
      <c r="H33" s="289"/>
      <c r="I33" s="289"/>
      <c r="J33" s="289"/>
      <c r="K33" s="290"/>
      <c r="L33" s="290"/>
      <c r="M33" s="288"/>
      <c r="N33" s="291"/>
      <c r="O33" s="288"/>
      <c r="P33" s="291"/>
      <c r="Q33" s="294"/>
      <c r="R33" s="294"/>
    </row>
    <row r="34" spans="1:18" s="292" customFormat="1" ht="11.25" customHeight="1">
      <c r="A34" s="293" t="s">
        <v>150</v>
      </c>
      <c r="Q34" s="294"/>
      <c r="R34" s="294"/>
    </row>
    <row r="35" spans="1:9" s="294" customFormat="1" ht="11.25" customHeight="1">
      <c r="A35" s="293" t="s">
        <v>227</v>
      </c>
      <c r="E35" s="298"/>
      <c r="F35" s="298"/>
      <c r="G35" s="298"/>
      <c r="H35" s="298"/>
      <c r="I35" s="298"/>
    </row>
    <row r="36" spans="1:18" s="292" customFormat="1" ht="11.25" customHeight="1">
      <c r="A36" s="293" t="s">
        <v>228</v>
      </c>
      <c r="Q36" s="294"/>
      <c r="R36" s="294"/>
    </row>
    <row r="37" s="294" customFormat="1" ht="11.25" customHeight="1">
      <c r="A37" s="293" t="s">
        <v>5</v>
      </c>
    </row>
    <row r="38" s="294" customFormat="1" ht="11.25" customHeight="1">
      <c r="A38" s="287" t="s">
        <v>151</v>
      </c>
    </row>
    <row r="39" s="294" customFormat="1" ht="11.25" customHeight="1">
      <c r="A39" s="287" t="s">
        <v>152</v>
      </c>
    </row>
    <row r="40" s="294" customFormat="1" ht="11.25" customHeight="1">
      <c r="A40" s="293" t="s">
        <v>6</v>
      </c>
    </row>
    <row r="41" s="294" customFormat="1" ht="11.25" customHeight="1">
      <c r="A41" s="287" t="s">
        <v>210</v>
      </c>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sheetData>
  <sheetProtection/>
  <mergeCells count="46">
    <mergeCell ref="Q5:R5"/>
    <mergeCell ref="K5:N5"/>
    <mergeCell ref="O5:P5"/>
    <mergeCell ref="L2:M2"/>
    <mergeCell ref="N2:O2"/>
    <mergeCell ref="P2:Q2"/>
    <mergeCell ref="L3:M3"/>
    <mergeCell ref="N3:O3"/>
    <mergeCell ref="P3:Q3"/>
    <mergeCell ref="I2:K2"/>
    <mergeCell ref="I3:K3"/>
    <mergeCell ref="B5:B6"/>
    <mergeCell ref="E5:E6"/>
    <mergeCell ref="H5:H6"/>
    <mergeCell ref="I5:I6"/>
    <mergeCell ref="J5:J6"/>
    <mergeCell ref="A6:A7"/>
    <mergeCell ref="A9:A14"/>
    <mergeCell ref="B9:B14"/>
    <mergeCell ref="C9:C14"/>
    <mergeCell ref="D9:D14"/>
    <mergeCell ref="E9:E14"/>
    <mergeCell ref="K14:L14"/>
    <mergeCell ref="K26:L26"/>
    <mergeCell ref="A15:A20"/>
    <mergeCell ref="B15:B20"/>
    <mergeCell ref="C15:C20"/>
    <mergeCell ref="D15:D20"/>
    <mergeCell ref="E15:E20"/>
    <mergeCell ref="K20:L20"/>
    <mergeCell ref="F27:F32"/>
    <mergeCell ref="A21:A26"/>
    <mergeCell ref="B21:B26"/>
    <mergeCell ref="C21:C26"/>
    <mergeCell ref="D21:D26"/>
    <mergeCell ref="E21:E26"/>
    <mergeCell ref="G27:G32"/>
    <mergeCell ref="H27:H32"/>
    <mergeCell ref="I27:I32"/>
    <mergeCell ref="J27:J32"/>
    <mergeCell ref="K32:L32"/>
    <mergeCell ref="A27:A32"/>
    <mergeCell ref="B27:B32"/>
    <mergeCell ref="C27:C32"/>
    <mergeCell ref="D27:D32"/>
    <mergeCell ref="E27:E32"/>
  </mergeCells>
  <dataValidations count="1">
    <dataValidation type="whole" allowBlank="1" showInputMessage="1" showErrorMessage="1" sqref="E9 E15 E21 B9:D26">
      <formula1>0</formula1>
      <formula2>999999</formula2>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65"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AN59"/>
  <sheetViews>
    <sheetView view="pageBreakPreview" zoomScale="85" zoomScaleNormal="75" zoomScaleSheetLayoutView="85" zoomScalePageLayoutView="0" workbookViewId="0" topLeftCell="A1">
      <selection activeCell="E18" sqref="E18"/>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6" width="10.375" style="40" customWidth="1"/>
    <col min="7" max="7" width="12.25390625" style="40" customWidth="1"/>
    <col min="8" max="8" width="12.375" style="40" customWidth="1"/>
    <col min="9" max="9" width="12.25390625" style="40" bestFit="1" customWidth="1"/>
    <col min="10" max="10" width="5.50390625" style="40" bestFit="1" customWidth="1"/>
    <col min="11" max="12" width="10.75390625" style="40" customWidth="1"/>
    <col min="13" max="13" width="14.125" style="40" bestFit="1" customWidth="1"/>
    <col min="14" max="14" width="13.125" style="40" bestFit="1" customWidth="1"/>
    <col min="15" max="15" width="6.125" style="40" customWidth="1"/>
    <col min="16" max="16" width="10.00390625" style="40" customWidth="1"/>
    <col min="17" max="17" width="5.25390625" style="40" customWidth="1"/>
    <col min="18" max="18" width="10.00390625" style="40" customWidth="1"/>
    <col min="19" max="19" width="10.75390625" style="40" customWidth="1"/>
    <col min="20" max="20" width="10.625" style="40" customWidth="1"/>
    <col min="21" max="21" width="10.875" style="40" customWidth="1"/>
    <col min="22" max="22" width="12.50390625" style="40" customWidth="1"/>
    <col min="23" max="23" width="13.25390625" style="40" customWidth="1"/>
    <col min="24" max="24" width="11.25390625" style="40" customWidth="1"/>
    <col min="25" max="28" width="11.625" style="40" customWidth="1"/>
    <col min="29" max="30" width="11.25390625" style="40" customWidth="1"/>
    <col min="31" max="31" width="13.00390625" style="40" customWidth="1"/>
    <col min="32" max="32" width="1.37890625" style="40" customWidth="1"/>
    <col min="33" max="33" width="9.125" style="40" customWidth="1"/>
    <col min="34" max="34" width="16.375" style="40" customWidth="1"/>
    <col min="35" max="35" width="3.125" style="40" customWidth="1"/>
    <col min="36" max="36" width="5.625" style="41" customWidth="1"/>
    <col min="37" max="37" width="3.125" style="41" customWidth="1"/>
    <col min="38" max="38" width="3.125" style="40" customWidth="1"/>
    <col min="39" max="39" width="8.25390625" style="40" customWidth="1"/>
    <col min="40" max="16384" width="9.625" style="40" customWidth="1"/>
  </cols>
  <sheetData>
    <row r="1" spans="1:34" ht="24.75" customHeight="1">
      <c r="A1" s="189" t="s">
        <v>248</v>
      </c>
      <c r="B1" s="39"/>
      <c r="Y1" s="164" t="s">
        <v>25</v>
      </c>
      <c r="Z1" s="992">
        <f>'5_総括表'!E3</f>
        <v>0</v>
      </c>
      <c r="AA1" s="993"/>
      <c r="AB1" s="993"/>
      <c r="AC1" s="993"/>
      <c r="AD1" s="993"/>
      <c r="AE1" s="993"/>
      <c r="AF1" s="994"/>
      <c r="AG1" s="164" t="s">
        <v>26</v>
      </c>
      <c r="AH1" s="166">
        <f>'5_総括表'!Z3</f>
        <v>0</v>
      </c>
    </row>
    <row r="2" spans="1:34" ht="24.75" customHeight="1" thickBot="1">
      <c r="A2" s="42"/>
      <c r="Y2" s="165" t="s">
        <v>23</v>
      </c>
      <c r="Z2" s="995">
        <f>'5_総括表'!E4</f>
        <v>0</v>
      </c>
      <c r="AA2" s="996"/>
      <c r="AB2" s="996"/>
      <c r="AC2" s="996"/>
      <c r="AD2" s="996"/>
      <c r="AE2" s="996"/>
      <c r="AF2" s="997"/>
      <c r="AG2" s="165" t="s">
        <v>24</v>
      </c>
      <c r="AH2" s="167">
        <f>'5_総括表'!Z4</f>
        <v>0</v>
      </c>
    </row>
    <row r="3" spans="1:34" ht="31.5" customHeight="1" thickBot="1">
      <c r="A3" s="188" t="s">
        <v>225</v>
      </c>
      <c r="B3" s="282"/>
      <c r="AG3" s="43"/>
      <c r="AH3" s="43" t="s">
        <v>28</v>
      </c>
    </row>
    <row r="4" spans="1:37" s="44" customFormat="1" ht="22.5" customHeight="1" thickBot="1">
      <c r="A4" s="814" t="s">
        <v>32</v>
      </c>
      <c r="B4" s="809" t="s">
        <v>167</v>
      </c>
      <c r="C4" s="906" t="s">
        <v>119</v>
      </c>
      <c r="D4" s="914" t="s">
        <v>117</v>
      </c>
      <c r="E4" s="909" t="s">
        <v>100</v>
      </c>
      <c r="F4" s="910"/>
      <c r="G4" s="911"/>
      <c r="H4" s="912" t="s">
        <v>109</v>
      </c>
      <c r="I4" s="913"/>
      <c r="J4" s="913"/>
      <c r="K4" s="913"/>
      <c r="L4" s="913"/>
      <c r="M4" s="913"/>
      <c r="N4" s="911"/>
      <c r="O4" s="823" t="s">
        <v>113</v>
      </c>
      <c r="P4" s="824"/>
      <c r="Q4" s="891"/>
      <c r="R4" s="891"/>
      <c r="S4" s="891"/>
      <c r="T4" s="891"/>
      <c r="U4" s="892"/>
      <c r="V4" s="809" t="s">
        <v>4</v>
      </c>
      <c r="W4" s="809" t="s">
        <v>115</v>
      </c>
      <c r="X4" s="809" t="s">
        <v>214</v>
      </c>
      <c r="Y4" s="809" t="s">
        <v>69</v>
      </c>
      <c r="Z4" s="990" t="s">
        <v>258</v>
      </c>
      <c r="AA4" s="990" t="s">
        <v>258</v>
      </c>
      <c r="AB4" s="990" t="s">
        <v>258</v>
      </c>
      <c r="AC4" s="809" t="s">
        <v>31</v>
      </c>
      <c r="AD4" s="809" t="s">
        <v>99</v>
      </c>
      <c r="AE4" s="893" t="s">
        <v>187</v>
      </c>
      <c r="AF4" s="858" t="s">
        <v>7</v>
      </c>
      <c r="AG4" s="859"/>
      <c r="AH4" s="860"/>
      <c r="AJ4" s="867" t="s">
        <v>30</v>
      </c>
      <c r="AK4" s="867" t="s">
        <v>78</v>
      </c>
    </row>
    <row r="5" spans="1:37" s="44" customFormat="1" ht="33.75" customHeight="1" thickBot="1">
      <c r="A5" s="903"/>
      <c r="B5" s="873"/>
      <c r="C5" s="907"/>
      <c r="D5" s="915"/>
      <c r="E5" s="45"/>
      <c r="F5" s="572" t="s">
        <v>265</v>
      </c>
      <c r="G5" s="1072" t="s">
        <v>76</v>
      </c>
      <c r="H5" s="1074" t="s">
        <v>3</v>
      </c>
      <c r="I5" s="895" t="s">
        <v>77</v>
      </c>
      <c r="J5" s="1085" t="s">
        <v>158</v>
      </c>
      <c r="K5" s="588" t="s">
        <v>267</v>
      </c>
      <c r="L5" s="589" t="s">
        <v>267</v>
      </c>
      <c r="M5" s="1109" t="s">
        <v>157</v>
      </c>
      <c r="N5" s="1072" t="s">
        <v>2</v>
      </c>
      <c r="O5" s="823" t="s">
        <v>186</v>
      </c>
      <c r="P5" s="824"/>
      <c r="Q5" s="823" t="s">
        <v>180</v>
      </c>
      <c r="R5" s="1067"/>
      <c r="S5" s="1068" t="s">
        <v>110</v>
      </c>
      <c r="T5" s="880" t="s">
        <v>112</v>
      </c>
      <c r="U5" s="1079" t="s">
        <v>111</v>
      </c>
      <c r="V5" s="873"/>
      <c r="W5" s="873"/>
      <c r="X5" s="873"/>
      <c r="Y5" s="873"/>
      <c r="Z5" s="991"/>
      <c r="AA5" s="991"/>
      <c r="AB5" s="991"/>
      <c r="AC5" s="873"/>
      <c r="AD5" s="873"/>
      <c r="AE5" s="894"/>
      <c r="AF5" s="1077"/>
      <c r="AG5" s="1078"/>
      <c r="AH5" s="863"/>
      <c r="AJ5" s="1076"/>
      <c r="AK5" s="1076"/>
    </row>
    <row r="6" spans="1:37" s="44" customFormat="1" ht="50.25" customHeight="1">
      <c r="A6" s="903"/>
      <c r="B6" s="873"/>
      <c r="C6" s="907"/>
      <c r="D6" s="1071"/>
      <c r="E6" s="257" t="s">
        <v>146</v>
      </c>
      <c r="F6" s="46" t="s">
        <v>266</v>
      </c>
      <c r="G6" s="1073"/>
      <c r="H6" s="1075"/>
      <c r="I6" s="896"/>
      <c r="J6" s="1086"/>
      <c r="K6" s="497" t="s">
        <v>260</v>
      </c>
      <c r="L6" s="494" t="s">
        <v>268</v>
      </c>
      <c r="M6" s="1110"/>
      <c r="N6" s="1073"/>
      <c r="O6" s="882" t="s">
        <v>18</v>
      </c>
      <c r="P6" s="190" t="s">
        <v>169</v>
      </c>
      <c r="Q6" s="882" t="s">
        <v>18</v>
      </c>
      <c r="R6" s="245" t="s">
        <v>169</v>
      </c>
      <c r="S6" s="1069"/>
      <c r="T6" s="881"/>
      <c r="U6" s="1080"/>
      <c r="V6" s="931"/>
      <c r="W6" s="903"/>
      <c r="X6" s="873"/>
      <c r="Y6" s="903"/>
      <c r="Z6" s="488" t="s">
        <v>262</v>
      </c>
      <c r="AA6" s="488" t="s">
        <v>264</v>
      </c>
      <c r="AB6" s="488" t="s">
        <v>269</v>
      </c>
      <c r="AC6" s="903"/>
      <c r="AD6" s="903"/>
      <c r="AE6" s="1084"/>
      <c r="AF6" s="861"/>
      <c r="AG6" s="862"/>
      <c r="AH6" s="863"/>
      <c r="AJ6" s="868"/>
      <c r="AK6" s="868"/>
    </row>
    <row r="7" spans="1:37" s="44" customFormat="1" ht="17.25" customHeight="1" thickBot="1">
      <c r="A7" s="903"/>
      <c r="B7" s="873"/>
      <c r="C7" s="907"/>
      <c r="D7" s="492" t="s">
        <v>104</v>
      </c>
      <c r="E7" s="575" t="s">
        <v>0</v>
      </c>
      <c r="F7" s="500"/>
      <c r="G7" s="494" t="s">
        <v>1</v>
      </c>
      <c r="H7" s="489" t="s">
        <v>88</v>
      </c>
      <c r="I7" s="500" t="s">
        <v>79</v>
      </c>
      <c r="J7" s="487" t="s">
        <v>89</v>
      </c>
      <c r="K7" s="182"/>
      <c r="L7" s="256"/>
      <c r="M7" s="501" t="s">
        <v>102</v>
      </c>
      <c r="N7" s="502" t="s">
        <v>103</v>
      </c>
      <c r="O7" s="1070"/>
      <c r="P7" s="576" t="s">
        <v>212</v>
      </c>
      <c r="Q7" s="1070"/>
      <c r="R7" s="577" t="s">
        <v>213</v>
      </c>
      <c r="S7" s="504" t="s">
        <v>82</v>
      </c>
      <c r="T7" s="505" t="s">
        <v>83</v>
      </c>
      <c r="U7" s="491" t="s">
        <v>92</v>
      </c>
      <c r="V7" s="490" t="s">
        <v>93</v>
      </c>
      <c r="W7" s="490" t="s">
        <v>94</v>
      </c>
      <c r="X7" s="490" t="s">
        <v>95</v>
      </c>
      <c r="Y7" s="490" t="s">
        <v>96</v>
      </c>
      <c r="Z7" s="490"/>
      <c r="AA7" s="490"/>
      <c r="AB7" s="490"/>
      <c r="AC7" s="490" t="s">
        <v>97</v>
      </c>
      <c r="AD7" s="490" t="s">
        <v>98</v>
      </c>
      <c r="AE7" s="493" t="s">
        <v>114</v>
      </c>
      <c r="AF7" s="861"/>
      <c r="AG7" s="862"/>
      <c r="AH7" s="863"/>
      <c r="AJ7" s="870"/>
      <c r="AK7" s="870"/>
    </row>
    <row r="8" spans="1:40" s="53" customFormat="1" ht="18.75" customHeight="1" thickBot="1">
      <c r="A8" s="578">
        <f>IF(B8="","",ROW($A8)-ROW($A$7))</f>
      </c>
      <c r="B8" s="726"/>
      <c r="C8" s="583"/>
      <c r="D8" s="464"/>
      <c r="E8" s="585"/>
      <c r="F8" s="231"/>
      <c r="G8" s="586">
        <f>IF(A8="","",IF(F8&gt;30,30,F8))</f>
      </c>
      <c r="H8" s="406">
        <f>IF(A8="","",(D8*G8))</f>
      </c>
      <c r="I8" s="522"/>
      <c r="J8" s="552"/>
      <c r="K8" s="551"/>
      <c r="L8" s="552"/>
      <c r="M8" s="406">
        <f>IF(A8="","",ROUNDDOWN((I8*J8/12+H8),0))</f>
      </c>
      <c r="N8" s="548">
        <f>IF(A8="","",ROUNDDOWN(10032*G8*(K8/J8),0))</f>
      </c>
      <c r="O8" s="593"/>
      <c r="P8" s="407">
        <f>IF($H8="","",IF($O8="Ａ",LOOKUP($D8,{8000,8500,9000,10000,10032,12000},{0,1532,1032,32,0,0}),IF($O8="Ｂ",LOOKUP($D8,{8000,8500,9000,10000,10032,12000},{0,1532,1032,408,408,408}),IF($O8="Ｃ１",LOOKUP($D8,{8000,8500,9000,10000,10032,12000},{782,2814,2814,2814,2814,2814}),IF($O8="Ｃ２",LOOKUP($D8,{8000,8500,9000,10000,10032,12000},{3188,5220,5220,5220,5220,5220}),0)))))</f>
      </c>
      <c r="Q8" s="590"/>
      <c r="R8" s="542">
        <f>IF($H8="","",IF($Q8="Ａ",LOOKUP($D8,{8000,8500,9000,10000,10032,12000},{0,1532,1032,32,0,0}),IF($Q8="Ｂ",LOOKUP($D8,{8000,8500,9000,10000,10032,12000},{0,1532,1032,408,408,408}),IF($Q8="Ｃ１",LOOKUP($D8,{8000,8500,9000,10000,10032,12000},{782,2814,2814,2814,2814,2814}),IF($Q8="Ｃ２",LOOKUP($D8,{8000,8500,9000,10000,10032,12000},{3188,5220,5220,5220,5220,5220}),0)))))</f>
      </c>
      <c r="S8" s="410">
        <f>IF(L8&gt;=7,R8,IF(AND(J8+L8&lt;=7,L8&gt;=4),P8,IF(ISERROR(ROUNDUP(P8*3/12+R8*9/12,0)),"",ROUNDUP(P8*3/12+R8*9/12,0))))</f>
      </c>
      <c r="T8" s="539">
        <f>IF(B8="","",SUMIF('6-3_調整額内訳④(旧・新制度)'!B:B,$B8,'6-3_調整額内訳④(旧・新制度)'!AH:AH))</f>
      </c>
      <c r="U8" s="597">
        <f>IF(B8="","",SUM(S8:T8))</f>
      </c>
      <c r="V8" s="535">
        <f>IF(B8="","",ROUNDDOWN(U8*G8,0))</f>
      </c>
      <c r="W8" s="410">
        <f>IF(M8&gt;=N8,N8,M8)</f>
      </c>
      <c r="X8" s="569"/>
      <c r="Y8" s="410">
        <f>IF(A8="","",IF((M8-W8)&lt;X8,W8-(M8-X8),0))</f>
      </c>
      <c r="Z8" s="569"/>
      <c r="AA8" s="410" t="str">
        <f>_xlfn.IFERROR(D8*(E8-F8)*(K8/J8),"0")</f>
        <v>0</v>
      </c>
      <c r="AB8" s="535">
        <f>_xlfn.IFERROR(IF(AA8-Z8&gt;0,0,AA8-Z8),"0")</f>
        <v>0</v>
      </c>
      <c r="AC8" s="653"/>
      <c r="AD8" s="426">
        <f>IF(B8="","",MAX(0,W8-Y8-AC8))</f>
      </c>
      <c r="AE8" s="602">
        <f>IF(B8="","",IF(MIN(V8,AD8)+AB8&gt;0,MIN(V8,AD8)+AB8,0))</f>
      </c>
      <c r="AF8" s="1106"/>
      <c r="AG8" s="1107"/>
      <c r="AH8" s="1108"/>
      <c r="AJ8" s="54">
        <f aca="true" t="shared" si="0" ref="AJ8:AJ44">IF(A8&gt;0,ASC(C8&amp;Q8),"")</f>
      </c>
      <c r="AK8" s="54">
        <f aca="true" t="shared" si="1" ref="AK8:AK44">IF(B8="","",IF(AE8&gt;0,1,0))</f>
      </c>
      <c r="AM8" s="55" t="s">
        <v>15</v>
      </c>
      <c r="AN8" s="44"/>
    </row>
    <row r="9" spans="1:40" s="53" customFormat="1" ht="18.75" customHeight="1" thickBot="1" thickTop="1">
      <c r="A9" s="181">
        <f aca="true" t="shared" si="2" ref="A9:A44">IF(B9="","",ROW($A9)-ROW($A$7))</f>
      </c>
      <c r="B9" s="727"/>
      <c r="C9" s="56"/>
      <c r="D9" s="466"/>
      <c r="E9" s="238"/>
      <c r="F9" s="202"/>
      <c r="G9" s="191">
        <f aca="true" t="shared" si="3" ref="G9:G44">IF(A9="","",IF(F9&gt;30,30,F9))</f>
      </c>
      <c r="H9" s="404">
        <f aca="true" t="shared" si="4" ref="H9:H44">IF(A9="","",(D9*G9))</f>
      </c>
      <c r="I9" s="521"/>
      <c r="J9" s="109"/>
      <c r="K9" s="553"/>
      <c r="L9" s="109"/>
      <c r="M9" s="404">
        <f aca="true" t="shared" si="5" ref="M9:M44">IF(A9="","",ROUNDDOWN((I9*J9/12+H9),0))</f>
      </c>
      <c r="N9" s="549">
        <f aca="true" t="shared" si="6" ref="N9:N44">IF(A9="","",ROUNDDOWN(10032*G9*(K9/J9),0))</f>
      </c>
      <c r="O9" s="594"/>
      <c r="P9" s="408">
        <f>IF($H9="","",IF($O9="Ａ",LOOKUP($D9,{8000,8500,9000,10000,10032,12000},{0,1532,1032,32,0,0}),IF($O9="Ｂ",LOOKUP($D9,{8000,8500,9000,10000,10032,12000},{0,1532,1032,408,408,408}),IF($O9="Ｃ１",LOOKUP($D9,{8000,8500,9000,10000,10032,12000},{782,2814,2814,2814,2814,2814}),IF($O9="Ｃ２",LOOKUP($D9,{8000,8500,9000,10000,10032,12000},{3188,5220,5220,5220,5220,5220}),0)))))</f>
      </c>
      <c r="Q9" s="591"/>
      <c r="R9" s="543">
        <f>IF($H9="","",IF($Q9="Ａ",LOOKUP($D9,{8000,8500,9000,10000,10032,12000},{0,1532,1032,32,0,0}),IF($Q9="Ｂ",LOOKUP($D9,{8000,8500,9000,10000,10032,12000},{0,1532,1032,408,408,408}),IF($Q9="Ｃ１",LOOKUP($D9,{8000,8500,9000,10000,10032,12000},{782,2814,2814,2814,2814,2814}),IF($Q9="Ｃ２",LOOKUP($D9,{8000,8500,9000,10000,10032,12000},{3188,5220,5220,5220,5220,5220}),0)))))</f>
      </c>
      <c r="S9" s="413">
        <f aca="true" t="shared" si="7" ref="S9:S44">IF(L9&gt;=7,R9,IF(AND(J9+L9&lt;=7,L9&gt;=4),P9,IF(ISERROR(ROUNDUP(P9*3/12+R9*9/12,0)),"",ROUNDUP(P9*3/12+R9*9/12,0))))</f>
      </c>
      <c r="T9" s="540">
        <f>IF(B9="","",SUMIF('6-3_調整額内訳④(旧・新制度)'!B:B,$B9,'6-3_調整額内訳④(旧・新制度)'!AH:AH))</f>
      </c>
      <c r="U9" s="599">
        <f aca="true" t="shared" si="8" ref="U9:U44">IF(B9="","",SUM(S9:T9))</f>
      </c>
      <c r="V9" s="412">
        <f aca="true" t="shared" si="9" ref="V9:V44">IF(B9="","",ROUNDDOWN(U9*G9,0))</f>
      </c>
      <c r="W9" s="413">
        <f aca="true" t="shared" si="10" ref="W9:W44">IF(M9&gt;=N9,N9,M9)</f>
      </c>
      <c r="X9" s="570"/>
      <c r="Y9" s="413">
        <f aca="true" t="shared" si="11" ref="Y9:Y44">IF(A9="","",IF((M9-W9)&lt;X9,W9-(M9-X9),0))</f>
      </c>
      <c r="Z9" s="570"/>
      <c r="AA9" s="413" t="str">
        <f aca="true" t="shared" si="12" ref="AA9:AA44">_xlfn.IFERROR(D9*(E9-F9)*(K9/J9),"0")</f>
        <v>0</v>
      </c>
      <c r="AB9" s="412">
        <f aca="true" t="shared" si="13" ref="AB9:AB44">_xlfn.IFERROR(IF(AA9-Z9&gt;0,0,AA9-Z9),"0")</f>
        <v>0</v>
      </c>
      <c r="AC9" s="654"/>
      <c r="AD9" s="411">
        <f aca="true" t="shared" si="14" ref="AD9:AD44">IF(B9="","",MAX(0,W9-Y9-AC9))</f>
      </c>
      <c r="AE9" s="603">
        <f aca="true" t="shared" si="15" ref="AE9:AE44">IF(B9="","",IF(MIN(V9,AD9)+AB9&gt;0,MIN(V9,AD9)+AB9,0))</f>
      </c>
      <c r="AF9" s="1100"/>
      <c r="AG9" s="1101"/>
      <c r="AH9" s="1102"/>
      <c r="AJ9" s="60">
        <f t="shared" si="0"/>
      </c>
      <c r="AK9" s="60">
        <f t="shared" si="1"/>
      </c>
      <c r="AM9" s="55" t="s">
        <v>14</v>
      </c>
      <c r="AN9" s="61" t="str">
        <f>IF(T45='6-3_調整額内訳④(旧・新制度)'!AH39,"OK","ERR")</f>
        <v>OK</v>
      </c>
    </row>
    <row r="10" spans="1:40" s="53" customFormat="1" ht="18.75" customHeight="1" thickTop="1">
      <c r="A10" s="181">
        <f t="shared" si="2"/>
      </c>
      <c r="B10" s="727"/>
      <c r="C10" s="56"/>
      <c r="D10" s="466"/>
      <c r="E10" s="238"/>
      <c r="F10" s="202"/>
      <c r="G10" s="191">
        <f t="shared" si="3"/>
      </c>
      <c r="H10" s="404">
        <f t="shared" si="4"/>
      </c>
      <c r="I10" s="521"/>
      <c r="J10" s="109"/>
      <c r="K10" s="553"/>
      <c r="L10" s="109"/>
      <c r="M10" s="404">
        <f t="shared" si="5"/>
      </c>
      <c r="N10" s="549">
        <f t="shared" si="6"/>
      </c>
      <c r="O10" s="594"/>
      <c r="P10" s="408">
        <f>IF($H10="","",IF($O10="Ａ",LOOKUP($D10,{8000,8500,9000,10000,10032,12000},{0,1532,1032,32,0,0}),IF($O10="Ｂ",LOOKUP($D10,{8000,8500,9000,10000,10032,12000},{0,1532,1032,408,408,408}),IF($O10="Ｃ１",LOOKUP($D10,{8000,8500,9000,10000,10032,12000},{782,2814,2814,2814,2814,2814}),IF($O10="Ｃ２",LOOKUP($D10,{8000,8500,9000,10000,10032,12000},{3188,5220,5220,5220,5220,5220}),0)))))</f>
      </c>
      <c r="Q10" s="591"/>
      <c r="R10" s="543">
        <f>IF($H10="","",IF($Q10="Ａ",LOOKUP($D10,{8000,8500,9000,10000,10032,12000},{0,1532,1032,32,0,0}),IF($Q10="Ｂ",LOOKUP($D10,{8000,8500,9000,10000,10032,12000},{0,1532,1032,408,408,408}),IF($Q10="Ｃ１",LOOKUP($D10,{8000,8500,9000,10000,10032,12000},{782,2814,2814,2814,2814,2814}),IF($Q10="Ｃ２",LOOKUP($D10,{8000,8500,9000,10000,10032,12000},{3188,5220,5220,5220,5220,5220}),0)))))</f>
      </c>
      <c r="S10" s="413">
        <f t="shared" si="7"/>
      </c>
      <c r="T10" s="540">
        <f>IF(B10="","",SUMIF('6-3_調整額内訳④(旧・新制度)'!B:B,$B10,'6-3_調整額内訳④(旧・新制度)'!AH:AH))</f>
      </c>
      <c r="U10" s="599">
        <f t="shared" si="8"/>
      </c>
      <c r="V10" s="412">
        <f t="shared" si="9"/>
      </c>
      <c r="W10" s="413">
        <f t="shared" si="10"/>
      </c>
      <c r="X10" s="570"/>
      <c r="Y10" s="413">
        <f t="shared" si="11"/>
      </c>
      <c r="Z10" s="570"/>
      <c r="AA10" s="413" t="str">
        <f t="shared" si="12"/>
        <v>0</v>
      </c>
      <c r="AB10" s="412">
        <f t="shared" si="13"/>
        <v>0</v>
      </c>
      <c r="AC10" s="654"/>
      <c r="AD10" s="411">
        <f t="shared" si="14"/>
      </c>
      <c r="AE10" s="603">
        <f t="shared" si="15"/>
      </c>
      <c r="AF10" s="1100"/>
      <c r="AG10" s="1101"/>
      <c r="AH10" s="1102"/>
      <c r="AJ10" s="60">
        <f t="shared" si="0"/>
      </c>
      <c r="AK10" s="60">
        <f t="shared" si="1"/>
      </c>
      <c r="AM10" s="55"/>
      <c r="AN10" s="62"/>
    </row>
    <row r="11" spans="1:37" s="53" customFormat="1" ht="18.75" customHeight="1">
      <c r="A11" s="181">
        <f t="shared" si="2"/>
      </c>
      <c r="B11" s="727"/>
      <c r="C11" s="56"/>
      <c r="D11" s="466"/>
      <c r="E11" s="238"/>
      <c r="F11" s="202"/>
      <c r="G11" s="191">
        <f t="shared" si="3"/>
      </c>
      <c r="H11" s="404">
        <f t="shared" si="4"/>
      </c>
      <c r="I11" s="521"/>
      <c r="J11" s="109"/>
      <c r="K11" s="553"/>
      <c r="L11" s="109"/>
      <c r="M11" s="404">
        <f t="shared" si="5"/>
      </c>
      <c r="N11" s="549">
        <f t="shared" si="6"/>
      </c>
      <c r="O11" s="594"/>
      <c r="P11" s="408">
        <f>IF($H11="","",IF($O11="Ａ",LOOKUP($D11,{8000,8500,9000,10000,10032,12000},{0,1532,1032,32,0,0}),IF($O11="Ｂ",LOOKUP($D11,{8000,8500,9000,10000,10032,12000},{0,1532,1032,408,408,408}),IF($O11="Ｃ１",LOOKUP($D11,{8000,8500,9000,10000,10032,12000},{782,2814,2814,2814,2814,2814}),IF($O11="Ｃ２",LOOKUP($D11,{8000,8500,9000,10000,10032,12000},{3188,5220,5220,5220,5220,5220}),0)))))</f>
      </c>
      <c r="Q11" s="591"/>
      <c r="R11" s="543">
        <f>IF($H11="","",IF($Q11="Ａ",LOOKUP($D11,{8000,8500,9000,10000,10032,12000},{0,1532,1032,32,0,0}),IF($Q11="Ｂ",LOOKUP($D11,{8000,8500,9000,10000,10032,12000},{0,1532,1032,408,408,408}),IF($Q11="Ｃ１",LOOKUP($D11,{8000,8500,9000,10000,10032,12000},{782,2814,2814,2814,2814,2814}),IF($Q11="Ｃ２",LOOKUP($D11,{8000,8500,9000,10000,10032,12000},{3188,5220,5220,5220,5220,5220}),0)))))</f>
      </c>
      <c r="S11" s="413">
        <f t="shared" si="7"/>
      </c>
      <c r="T11" s="540">
        <f>IF(B11="","",SUMIF('6-3_調整額内訳④(旧・新制度)'!B:B,$B11,'6-3_調整額内訳④(旧・新制度)'!AH:AH))</f>
      </c>
      <c r="U11" s="599">
        <f t="shared" si="8"/>
      </c>
      <c r="V11" s="412">
        <f t="shared" si="9"/>
      </c>
      <c r="W11" s="413">
        <f t="shared" si="10"/>
      </c>
      <c r="X11" s="570"/>
      <c r="Y11" s="413">
        <f t="shared" si="11"/>
      </c>
      <c r="Z11" s="570"/>
      <c r="AA11" s="413" t="str">
        <f t="shared" si="12"/>
        <v>0</v>
      </c>
      <c r="AB11" s="412">
        <f t="shared" si="13"/>
        <v>0</v>
      </c>
      <c r="AC11" s="654"/>
      <c r="AD11" s="411">
        <f t="shared" si="14"/>
      </c>
      <c r="AE11" s="603">
        <f t="shared" si="15"/>
      </c>
      <c r="AF11" s="1100"/>
      <c r="AG11" s="1101"/>
      <c r="AH11" s="1102"/>
      <c r="AJ11" s="60">
        <f t="shared" si="0"/>
      </c>
      <c r="AK11" s="60">
        <f t="shared" si="1"/>
      </c>
    </row>
    <row r="12" spans="1:37" s="53" customFormat="1" ht="18.75" customHeight="1">
      <c r="A12" s="181">
        <f t="shared" si="2"/>
      </c>
      <c r="B12" s="727"/>
      <c r="C12" s="56"/>
      <c r="D12" s="466"/>
      <c r="E12" s="238"/>
      <c r="F12" s="202"/>
      <c r="G12" s="191">
        <f t="shared" si="3"/>
      </c>
      <c r="H12" s="404">
        <f t="shared" si="4"/>
      </c>
      <c r="I12" s="521"/>
      <c r="J12" s="109"/>
      <c r="K12" s="553"/>
      <c r="L12" s="109"/>
      <c r="M12" s="404">
        <f t="shared" si="5"/>
      </c>
      <c r="N12" s="549">
        <f t="shared" si="6"/>
      </c>
      <c r="O12" s="594"/>
      <c r="P12" s="408">
        <f>IF($H12="","",IF($O12="Ａ",LOOKUP($D12,{8000,8500,9000,10000,10032,12000},{0,1532,1032,32,0,0}),IF($O12="Ｂ",LOOKUP($D12,{8000,8500,9000,10000,10032,12000},{0,1532,1032,408,408,408}),IF($O12="Ｃ１",LOOKUP($D12,{8000,8500,9000,10000,10032,12000},{782,2814,2814,2814,2814,2814}),IF($O12="Ｃ２",LOOKUP($D12,{8000,8500,9000,10000,10032,12000},{3188,5220,5220,5220,5220,5220}),0)))))</f>
      </c>
      <c r="Q12" s="591"/>
      <c r="R12" s="543">
        <f>IF($H12="","",IF($Q12="Ａ",LOOKUP($D12,{8000,8500,9000,10000,10032,12000},{0,1532,1032,32,0,0}),IF($Q12="Ｂ",LOOKUP($D12,{8000,8500,9000,10000,10032,12000},{0,1532,1032,408,408,408}),IF($Q12="Ｃ１",LOOKUP($D12,{8000,8500,9000,10000,10032,12000},{782,2814,2814,2814,2814,2814}),IF($Q12="Ｃ２",LOOKUP($D12,{8000,8500,9000,10000,10032,12000},{3188,5220,5220,5220,5220,5220}),0)))))</f>
      </c>
      <c r="S12" s="413">
        <f t="shared" si="7"/>
      </c>
      <c r="T12" s="540">
        <f>IF(B12="","",SUMIF('6-3_調整額内訳④(旧・新制度)'!B:B,$B12,'6-3_調整額内訳④(旧・新制度)'!AH:AH))</f>
      </c>
      <c r="U12" s="599">
        <f t="shared" si="8"/>
      </c>
      <c r="V12" s="412">
        <f>IF(B12="","",ROUNDDOWN(U12*G12,0))</f>
      </c>
      <c r="W12" s="413">
        <f t="shared" si="10"/>
      </c>
      <c r="X12" s="570"/>
      <c r="Y12" s="413">
        <f t="shared" si="11"/>
      </c>
      <c r="Z12" s="570"/>
      <c r="AA12" s="413" t="str">
        <f t="shared" si="12"/>
        <v>0</v>
      </c>
      <c r="AB12" s="412">
        <f t="shared" si="13"/>
        <v>0</v>
      </c>
      <c r="AC12" s="654"/>
      <c r="AD12" s="411">
        <f t="shared" si="14"/>
      </c>
      <c r="AE12" s="603">
        <f t="shared" si="15"/>
      </c>
      <c r="AF12" s="1100"/>
      <c r="AG12" s="1101"/>
      <c r="AH12" s="1102"/>
      <c r="AJ12" s="60">
        <f t="shared" si="0"/>
      </c>
      <c r="AK12" s="60">
        <f t="shared" si="1"/>
      </c>
    </row>
    <row r="13" spans="1:37" s="53" customFormat="1" ht="18.75" customHeight="1">
      <c r="A13" s="181">
        <f t="shared" si="2"/>
      </c>
      <c r="B13" s="727"/>
      <c r="C13" s="56"/>
      <c r="D13" s="466"/>
      <c r="E13" s="238"/>
      <c r="F13" s="202"/>
      <c r="G13" s="191">
        <f t="shared" si="3"/>
      </c>
      <c r="H13" s="404">
        <f t="shared" si="4"/>
      </c>
      <c r="I13" s="521"/>
      <c r="J13" s="109"/>
      <c r="K13" s="553"/>
      <c r="L13" s="109"/>
      <c r="M13" s="404">
        <f t="shared" si="5"/>
      </c>
      <c r="N13" s="549">
        <f t="shared" si="6"/>
      </c>
      <c r="O13" s="594"/>
      <c r="P13" s="408">
        <f>IF($H13="","",IF($O13="Ａ",LOOKUP($D13,{8000,8500,9000,10000,10032,12000},{0,1532,1032,32,0,0}),IF($O13="Ｂ",LOOKUP($D13,{8000,8500,9000,10000,10032,12000},{0,1532,1032,408,408,408}),IF($O13="Ｃ１",LOOKUP($D13,{8000,8500,9000,10000,10032,12000},{782,2814,2814,2814,2814,2814}),IF($O13="Ｃ２",LOOKUP($D13,{8000,8500,9000,10000,10032,12000},{3188,5220,5220,5220,5220,5220}),0)))))</f>
      </c>
      <c r="Q13" s="591"/>
      <c r="R13" s="543">
        <f>IF($H13="","",IF($Q13="Ａ",LOOKUP($D13,{8000,8500,9000,10000,10032,12000},{0,1532,1032,32,0,0}),IF($Q13="Ｂ",LOOKUP($D13,{8000,8500,9000,10000,10032,12000},{0,1532,1032,408,408,408}),IF($Q13="Ｃ１",LOOKUP($D13,{8000,8500,9000,10000,10032,12000},{782,2814,2814,2814,2814,2814}),IF($Q13="Ｃ２",LOOKUP($D13,{8000,8500,9000,10000,10032,12000},{3188,5220,5220,5220,5220,5220}),0)))))</f>
      </c>
      <c r="S13" s="413">
        <f t="shared" si="7"/>
      </c>
      <c r="T13" s="540">
        <f>IF(B13="","",SUMIF('6-3_調整額内訳④(旧・新制度)'!B:B,$B13,'6-3_調整額内訳④(旧・新制度)'!AH:AH))</f>
      </c>
      <c r="U13" s="599">
        <f t="shared" si="8"/>
      </c>
      <c r="V13" s="412">
        <f t="shared" si="9"/>
      </c>
      <c r="W13" s="413">
        <f t="shared" si="10"/>
      </c>
      <c r="X13" s="570"/>
      <c r="Y13" s="413">
        <f t="shared" si="11"/>
      </c>
      <c r="Z13" s="570"/>
      <c r="AA13" s="413" t="str">
        <f t="shared" si="12"/>
        <v>0</v>
      </c>
      <c r="AB13" s="412">
        <f t="shared" si="13"/>
        <v>0</v>
      </c>
      <c r="AC13" s="654"/>
      <c r="AD13" s="411">
        <f t="shared" si="14"/>
      </c>
      <c r="AE13" s="603">
        <f t="shared" si="15"/>
      </c>
      <c r="AF13" s="1100"/>
      <c r="AG13" s="1101"/>
      <c r="AH13" s="1102"/>
      <c r="AJ13" s="60">
        <f t="shared" si="0"/>
      </c>
      <c r="AK13" s="60">
        <f t="shared" si="1"/>
      </c>
    </row>
    <row r="14" spans="1:37" s="53" customFormat="1" ht="18.75" customHeight="1">
      <c r="A14" s="181">
        <f t="shared" si="2"/>
      </c>
      <c r="B14" s="727"/>
      <c r="C14" s="56"/>
      <c r="D14" s="466"/>
      <c r="E14" s="238"/>
      <c r="F14" s="202"/>
      <c r="G14" s="191">
        <f t="shared" si="3"/>
      </c>
      <c r="H14" s="404">
        <f t="shared" si="4"/>
      </c>
      <c r="I14" s="521"/>
      <c r="J14" s="109"/>
      <c r="K14" s="553"/>
      <c r="L14" s="109"/>
      <c r="M14" s="404">
        <f t="shared" si="5"/>
      </c>
      <c r="N14" s="549">
        <f t="shared" si="6"/>
      </c>
      <c r="O14" s="594"/>
      <c r="P14" s="408">
        <f>IF($H14="","",IF($O14="Ａ",LOOKUP($D14,{8000,8500,9000,10000,10032,12000},{0,1532,1032,32,0,0}),IF($O14="Ｂ",LOOKUP($D14,{8000,8500,9000,10000,10032,12000},{0,1532,1032,408,408,408}),IF($O14="Ｃ１",LOOKUP($D14,{8000,8500,9000,10000,10032,12000},{782,2814,2814,2814,2814,2814}),IF($O14="Ｃ２",LOOKUP($D14,{8000,8500,9000,10000,10032,12000},{3188,5220,5220,5220,5220,5220}),0)))))</f>
      </c>
      <c r="Q14" s="591"/>
      <c r="R14" s="543">
        <f>IF($H14="","",IF($Q14="Ａ",LOOKUP($D14,{8000,8500,9000,10000,10032,12000},{0,1532,1032,32,0,0}),IF($Q14="Ｂ",LOOKUP($D14,{8000,8500,9000,10000,10032,12000},{0,1532,1032,408,408,408}),IF($Q14="Ｃ１",LOOKUP($D14,{8000,8500,9000,10000,10032,12000},{782,2814,2814,2814,2814,2814}),IF($Q14="Ｃ２",LOOKUP($D14,{8000,8500,9000,10000,10032,12000},{3188,5220,5220,5220,5220,5220}),0)))))</f>
      </c>
      <c r="S14" s="413">
        <f t="shared" si="7"/>
      </c>
      <c r="T14" s="540">
        <f>IF(B14="","",SUMIF('6-3_調整額内訳④(旧・新制度)'!B:B,$B14,'6-3_調整額内訳④(旧・新制度)'!AH:AH))</f>
      </c>
      <c r="U14" s="599">
        <f t="shared" si="8"/>
      </c>
      <c r="V14" s="412">
        <f t="shared" si="9"/>
      </c>
      <c r="W14" s="413">
        <f t="shared" si="10"/>
      </c>
      <c r="X14" s="570"/>
      <c r="Y14" s="413">
        <f t="shared" si="11"/>
      </c>
      <c r="Z14" s="570"/>
      <c r="AA14" s="413" t="str">
        <f t="shared" si="12"/>
        <v>0</v>
      </c>
      <c r="AB14" s="412">
        <f t="shared" si="13"/>
        <v>0</v>
      </c>
      <c r="AC14" s="654"/>
      <c r="AD14" s="411">
        <f t="shared" si="14"/>
      </c>
      <c r="AE14" s="603">
        <f t="shared" si="15"/>
      </c>
      <c r="AF14" s="1100"/>
      <c r="AG14" s="1101"/>
      <c r="AH14" s="1102"/>
      <c r="AJ14" s="60">
        <f t="shared" si="0"/>
      </c>
      <c r="AK14" s="60">
        <f t="shared" si="1"/>
      </c>
    </row>
    <row r="15" spans="1:37" s="53" customFormat="1" ht="18.75" customHeight="1">
      <c r="A15" s="181">
        <f t="shared" si="2"/>
      </c>
      <c r="B15" s="581"/>
      <c r="C15" s="56"/>
      <c r="D15" s="466"/>
      <c r="E15" s="238"/>
      <c r="F15" s="202"/>
      <c r="G15" s="191">
        <f t="shared" si="3"/>
      </c>
      <c r="H15" s="404">
        <f t="shared" si="4"/>
      </c>
      <c r="I15" s="521"/>
      <c r="J15" s="109"/>
      <c r="K15" s="553"/>
      <c r="L15" s="109"/>
      <c r="M15" s="404">
        <f t="shared" si="5"/>
      </c>
      <c r="N15" s="549">
        <f t="shared" si="6"/>
      </c>
      <c r="O15" s="594"/>
      <c r="P15" s="408">
        <f>IF($H15="","",IF($O15="Ａ",LOOKUP($D15,{8000,8500,9000,10000,10032,12000},{0,1532,1032,32,0,0}),IF($O15="Ｂ",LOOKUP($D15,{8000,8500,9000,10000,10032,12000},{0,1532,1032,408,408,408}),IF($O15="Ｃ１",LOOKUP($D15,{8000,8500,9000,10000,10032,12000},{782,2814,2814,2814,2814,2814}),IF($O15="Ｃ２",LOOKUP($D15,{8000,8500,9000,10000,10032,12000},{3188,5220,5220,5220,5220,5220}),0)))))</f>
      </c>
      <c r="Q15" s="591"/>
      <c r="R15" s="543">
        <f>IF($H15="","",IF($Q15="Ａ",LOOKUP($D15,{8000,8500,9000,10000,10032,12000},{0,1532,1032,32,0,0}),IF($Q15="Ｂ",LOOKUP($D15,{8000,8500,9000,10000,10032,12000},{0,1532,1032,408,408,408}),IF($Q15="Ｃ１",LOOKUP($D15,{8000,8500,9000,10000,10032,12000},{782,2814,2814,2814,2814,2814}),IF($Q15="Ｃ２",LOOKUP($D15,{8000,8500,9000,10000,10032,12000},{3188,5220,5220,5220,5220,5220}),0)))))</f>
      </c>
      <c r="S15" s="413">
        <f t="shared" si="7"/>
      </c>
      <c r="T15" s="540">
        <f>IF(B15="","",SUMIF('6-3_調整額内訳④(旧・新制度)'!B:B,$B15,'6-3_調整額内訳④(旧・新制度)'!AH:AH))</f>
      </c>
      <c r="U15" s="599">
        <f t="shared" si="8"/>
      </c>
      <c r="V15" s="412">
        <f t="shared" si="9"/>
      </c>
      <c r="W15" s="413">
        <f t="shared" si="10"/>
      </c>
      <c r="X15" s="570"/>
      <c r="Y15" s="413">
        <f t="shared" si="11"/>
      </c>
      <c r="Z15" s="570"/>
      <c r="AA15" s="413" t="str">
        <f t="shared" si="12"/>
        <v>0</v>
      </c>
      <c r="AB15" s="412">
        <f t="shared" si="13"/>
        <v>0</v>
      </c>
      <c r="AC15" s="654"/>
      <c r="AD15" s="411">
        <f t="shared" si="14"/>
      </c>
      <c r="AE15" s="603">
        <f t="shared" si="15"/>
      </c>
      <c r="AF15" s="1100"/>
      <c r="AG15" s="1101"/>
      <c r="AH15" s="1102"/>
      <c r="AJ15" s="60">
        <f t="shared" si="0"/>
      </c>
      <c r="AK15" s="60">
        <f t="shared" si="1"/>
      </c>
    </row>
    <row r="16" spans="1:37" s="53" customFormat="1" ht="18.75" customHeight="1">
      <c r="A16" s="181">
        <f t="shared" si="2"/>
      </c>
      <c r="B16" s="581"/>
      <c r="C16" s="56"/>
      <c r="D16" s="466"/>
      <c r="E16" s="238"/>
      <c r="F16" s="202"/>
      <c r="G16" s="191">
        <f t="shared" si="3"/>
      </c>
      <c r="H16" s="404">
        <f t="shared" si="4"/>
      </c>
      <c r="I16" s="521"/>
      <c r="J16" s="109"/>
      <c r="K16" s="553"/>
      <c r="L16" s="109"/>
      <c r="M16" s="404">
        <f t="shared" si="5"/>
      </c>
      <c r="N16" s="549">
        <f t="shared" si="6"/>
      </c>
      <c r="O16" s="594"/>
      <c r="P16" s="408">
        <f>IF($H16="","",IF($O16="Ａ",LOOKUP($D16,{8000,8500,9000,10000,10032,12000},{0,1532,1032,32,0,0}),IF($O16="Ｂ",LOOKUP($D16,{8000,8500,9000,10000,10032,12000},{0,1532,1032,408,408,408}),IF($O16="Ｃ１",LOOKUP($D16,{8000,8500,9000,10000,10032,12000},{782,2814,2814,2814,2814,2814}),IF($O16="Ｃ２",LOOKUP($D16,{8000,8500,9000,10000,10032,12000},{3188,5220,5220,5220,5220,5220}),0)))))</f>
      </c>
      <c r="Q16" s="591"/>
      <c r="R16" s="543">
        <f>IF($H16="","",IF($Q16="Ａ",LOOKUP($D16,{8000,8500,9000,10000,10032,12000},{0,1532,1032,32,0,0}),IF($Q16="Ｂ",LOOKUP($D16,{8000,8500,9000,10000,10032,12000},{0,1532,1032,408,408,408}),IF($Q16="Ｃ１",LOOKUP($D16,{8000,8500,9000,10000,10032,12000},{782,2814,2814,2814,2814,2814}),IF($Q16="Ｃ２",LOOKUP($D16,{8000,8500,9000,10000,10032,12000},{3188,5220,5220,5220,5220,5220}),0)))))</f>
      </c>
      <c r="S16" s="413">
        <f t="shared" si="7"/>
      </c>
      <c r="T16" s="540">
        <f>IF(B16="","",SUMIF('6-3_調整額内訳④(旧・新制度)'!B:B,$B16,'6-3_調整額内訳④(旧・新制度)'!AH:AH))</f>
      </c>
      <c r="U16" s="599">
        <f t="shared" si="8"/>
      </c>
      <c r="V16" s="412">
        <f t="shared" si="9"/>
      </c>
      <c r="W16" s="413">
        <f t="shared" si="10"/>
      </c>
      <c r="X16" s="570"/>
      <c r="Y16" s="413">
        <f t="shared" si="11"/>
      </c>
      <c r="Z16" s="570"/>
      <c r="AA16" s="413" t="str">
        <f t="shared" si="12"/>
        <v>0</v>
      </c>
      <c r="AB16" s="412">
        <f t="shared" si="13"/>
        <v>0</v>
      </c>
      <c r="AC16" s="654"/>
      <c r="AD16" s="411">
        <f t="shared" si="14"/>
      </c>
      <c r="AE16" s="603">
        <f t="shared" si="15"/>
      </c>
      <c r="AF16" s="1100"/>
      <c r="AG16" s="1101"/>
      <c r="AH16" s="1102"/>
      <c r="AJ16" s="60">
        <f t="shared" si="0"/>
      </c>
      <c r="AK16" s="60">
        <f t="shared" si="1"/>
      </c>
    </row>
    <row r="17" spans="1:37" s="53" customFormat="1" ht="18.75" customHeight="1">
      <c r="A17" s="181">
        <f t="shared" si="2"/>
      </c>
      <c r="B17" s="581"/>
      <c r="C17" s="56"/>
      <c r="D17" s="466"/>
      <c r="E17" s="238"/>
      <c r="F17" s="202"/>
      <c r="G17" s="191">
        <f t="shared" si="3"/>
      </c>
      <c r="H17" s="404">
        <f t="shared" si="4"/>
      </c>
      <c r="I17" s="521"/>
      <c r="J17" s="109"/>
      <c r="K17" s="553"/>
      <c r="L17" s="109"/>
      <c r="M17" s="404">
        <f t="shared" si="5"/>
      </c>
      <c r="N17" s="549">
        <f t="shared" si="6"/>
      </c>
      <c r="O17" s="594"/>
      <c r="P17" s="408">
        <f>IF($H17="","",IF($O17="Ａ",LOOKUP($D17,{8000,8500,9000,10000,10032,12000},{0,1532,1032,32,0,0}),IF($O17="Ｂ",LOOKUP($D17,{8000,8500,9000,10000,10032,12000},{0,1532,1032,408,408,408}),IF($O17="Ｃ１",LOOKUP($D17,{8000,8500,9000,10000,10032,12000},{782,2814,2814,2814,2814,2814}),IF($O17="Ｃ２",LOOKUP($D17,{8000,8500,9000,10000,10032,12000},{3188,5220,5220,5220,5220,5220}),0)))))</f>
      </c>
      <c r="Q17" s="591"/>
      <c r="R17" s="543">
        <f>IF($H17="","",IF($Q17="Ａ",LOOKUP($D17,{8000,8500,9000,10000,10032,12000},{0,1532,1032,32,0,0}),IF($Q17="Ｂ",LOOKUP($D17,{8000,8500,9000,10000,10032,12000},{0,1532,1032,408,408,408}),IF($Q17="Ｃ１",LOOKUP($D17,{8000,8500,9000,10000,10032,12000},{782,2814,2814,2814,2814,2814}),IF($Q17="Ｃ２",LOOKUP($D17,{8000,8500,9000,10000,10032,12000},{3188,5220,5220,5220,5220,5220}),0)))))</f>
      </c>
      <c r="S17" s="413">
        <f t="shared" si="7"/>
      </c>
      <c r="T17" s="540">
        <f>IF(B17="","",SUMIF('6-3_調整額内訳④(旧・新制度)'!B:B,$B17,'6-3_調整額内訳④(旧・新制度)'!AH:AH))</f>
      </c>
      <c r="U17" s="599">
        <f t="shared" si="8"/>
      </c>
      <c r="V17" s="412">
        <f t="shared" si="9"/>
      </c>
      <c r="W17" s="413">
        <f t="shared" si="10"/>
      </c>
      <c r="X17" s="570"/>
      <c r="Y17" s="413">
        <f t="shared" si="11"/>
      </c>
      <c r="Z17" s="570"/>
      <c r="AA17" s="413" t="str">
        <f t="shared" si="12"/>
        <v>0</v>
      </c>
      <c r="AB17" s="412">
        <f t="shared" si="13"/>
        <v>0</v>
      </c>
      <c r="AC17" s="654"/>
      <c r="AD17" s="411">
        <f t="shared" si="14"/>
      </c>
      <c r="AE17" s="603">
        <f t="shared" si="15"/>
      </c>
      <c r="AF17" s="1100"/>
      <c r="AG17" s="1101"/>
      <c r="AH17" s="1102"/>
      <c r="AJ17" s="60">
        <f t="shared" si="0"/>
      </c>
      <c r="AK17" s="60">
        <f t="shared" si="1"/>
      </c>
    </row>
    <row r="18" spans="1:37" s="53" customFormat="1" ht="18.75" customHeight="1">
      <c r="A18" s="181">
        <f t="shared" si="2"/>
      </c>
      <c r="B18" s="581"/>
      <c r="C18" s="56"/>
      <c r="D18" s="466"/>
      <c r="E18" s="238"/>
      <c r="F18" s="202"/>
      <c r="G18" s="191">
        <f t="shared" si="3"/>
      </c>
      <c r="H18" s="404">
        <f t="shared" si="4"/>
      </c>
      <c r="I18" s="521"/>
      <c r="J18" s="109"/>
      <c r="K18" s="553"/>
      <c r="L18" s="109"/>
      <c r="M18" s="404">
        <f t="shared" si="5"/>
      </c>
      <c r="N18" s="549">
        <f t="shared" si="6"/>
      </c>
      <c r="O18" s="594"/>
      <c r="P18" s="408">
        <f>IF($H18="","",IF($O18="Ａ",LOOKUP($D18,{8000,8500,9000,10000,10032,12000},{0,1532,1032,32,0,0}),IF($O18="Ｂ",LOOKUP($D18,{8000,8500,9000,10000,10032,12000},{0,1532,1032,408,408,408}),IF($O18="Ｃ１",LOOKUP($D18,{8000,8500,9000,10000,10032,12000},{782,2814,2814,2814,2814,2814}),IF($O18="Ｃ２",LOOKUP($D18,{8000,8500,9000,10000,10032,12000},{3188,5220,5220,5220,5220,5220}),0)))))</f>
      </c>
      <c r="Q18" s="591"/>
      <c r="R18" s="543">
        <f>IF($H18="","",IF($Q18="Ａ",LOOKUP($D18,{8000,8500,9000,10000,10032,12000},{0,1532,1032,32,0,0}),IF($Q18="Ｂ",LOOKUP($D18,{8000,8500,9000,10000,10032,12000},{0,1532,1032,408,408,408}),IF($Q18="Ｃ１",LOOKUP($D18,{8000,8500,9000,10000,10032,12000},{782,2814,2814,2814,2814,2814}),IF($Q18="Ｃ２",LOOKUP($D18,{8000,8500,9000,10000,10032,12000},{3188,5220,5220,5220,5220,5220}),0)))))</f>
      </c>
      <c r="S18" s="413">
        <f t="shared" si="7"/>
      </c>
      <c r="T18" s="540">
        <f>IF(B18="","",SUMIF('6-3_調整額内訳④(旧・新制度)'!B:B,$B18,'6-3_調整額内訳④(旧・新制度)'!AH:AH))</f>
      </c>
      <c r="U18" s="599">
        <f t="shared" si="8"/>
      </c>
      <c r="V18" s="412">
        <f t="shared" si="9"/>
      </c>
      <c r="W18" s="413">
        <f t="shared" si="10"/>
      </c>
      <c r="X18" s="570"/>
      <c r="Y18" s="413">
        <f t="shared" si="11"/>
      </c>
      <c r="Z18" s="570"/>
      <c r="AA18" s="413" t="str">
        <f t="shared" si="12"/>
        <v>0</v>
      </c>
      <c r="AB18" s="412">
        <f t="shared" si="13"/>
        <v>0</v>
      </c>
      <c r="AC18" s="654"/>
      <c r="AD18" s="411">
        <f t="shared" si="14"/>
      </c>
      <c r="AE18" s="603">
        <f t="shared" si="15"/>
      </c>
      <c r="AF18" s="1100"/>
      <c r="AG18" s="1101"/>
      <c r="AH18" s="1102"/>
      <c r="AJ18" s="60">
        <f t="shared" si="0"/>
      </c>
      <c r="AK18" s="60">
        <f t="shared" si="1"/>
      </c>
    </row>
    <row r="19" spans="1:37" s="53" customFormat="1" ht="18.75" customHeight="1">
      <c r="A19" s="181">
        <f t="shared" si="2"/>
      </c>
      <c r="B19" s="581"/>
      <c r="C19" s="56"/>
      <c r="D19" s="466"/>
      <c r="E19" s="238"/>
      <c r="F19" s="202"/>
      <c r="G19" s="191">
        <f t="shared" si="3"/>
      </c>
      <c r="H19" s="404">
        <f t="shared" si="4"/>
      </c>
      <c r="I19" s="521"/>
      <c r="J19" s="109"/>
      <c r="K19" s="553"/>
      <c r="L19" s="109"/>
      <c r="M19" s="404">
        <f t="shared" si="5"/>
      </c>
      <c r="N19" s="549">
        <f t="shared" si="6"/>
      </c>
      <c r="O19" s="594"/>
      <c r="P19" s="408">
        <f>IF($H19="","",IF($O19="Ａ",LOOKUP($D19,{8000,8500,9000,10000,10032,12000},{0,1532,1032,32,0,0}),IF($O19="Ｂ",LOOKUP($D19,{8000,8500,9000,10000,10032,12000},{0,1532,1032,408,408,408}),IF($O19="Ｃ１",LOOKUP($D19,{8000,8500,9000,10000,10032,12000},{782,2814,2814,2814,2814,2814}),IF($O19="Ｃ２",LOOKUP($D19,{8000,8500,9000,10000,10032,12000},{3188,5220,5220,5220,5220,5220}),0)))))</f>
      </c>
      <c r="Q19" s="591"/>
      <c r="R19" s="543">
        <f>IF($H19="","",IF($Q19="Ａ",LOOKUP($D19,{8000,8500,9000,10000,10032,12000},{0,1532,1032,32,0,0}),IF($Q19="Ｂ",LOOKUP($D19,{8000,8500,9000,10000,10032,12000},{0,1532,1032,408,408,408}),IF($Q19="Ｃ１",LOOKUP($D19,{8000,8500,9000,10000,10032,12000},{782,2814,2814,2814,2814,2814}),IF($Q19="Ｃ２",LOOKUP($D19,{8000,8500,9000,10000,10032,12000},{3188,5220,5220,5220,5220,5220}),0)))))</f>
      </c>
      <c r="S19" s="413">
        <f t="shared" si="7"/>
      </c>
      <c r="T19" s="540">
        <f>IF(B19="","",SUMIF('6-3_調整額内訳④(旧・新制度)'!B:B,$B19,'6-3_調整額内訳④(旧・新制度)'!AH:AH))</f>
      </c>
      <c r="U19" s="599">
        <f t="shared" si="8"/>
      </c>
      <c r="V19" s="412">
        <f t="shared" si="9"/>
      </c>
      <c r="W19" s="413">
        <f t="shared" si="10"/>
      </c>
      <c r="X19" s="570"/>
      <c r="Y19" s="413">
        <f t="shared" si="11"/>
      </c>
      <c r="Z19" s="570"/>
      <c r="AA19" s="413" t="str">
        <f t="shared" si="12"/>
        <v>0</v>
      </c>
      <c r="AB19" s="412">
        <f t="shared" si="13"/>
        <v>0</v>
      </c>
      <c r="AC19" s="654"/>
      <c r="AD19" s="411">
        <f t="shared" si="14"/>
      </c>
      <c r="AE19" s="603">
        <f t="shared" si="15"/>
      </c>
      <c r="AF19" s="1100"/>
      <c r="AG19" s="1101"/>
      <c r="AH19" s="1102"/>
      <c r="AJ19" s="60">
        <f t="shared" si="0"/>
      </c>
      <c r="AK19" s="60">
        <f t="shared" si="1"/>
      </c>
    </row>
    <row r="20" spans="1:37" s="53" customFormat="1" ht="18.75" customHeight="1">
      <c r="A20" s="181">
        <f t="shared" si="2"/>
      </c>
      <c r="B20" s="581"/>
      <c r="C20" s="56"/>
      <c r="D20" s="466"/>
      <c r="E20" s="238"/>
      <c r="F20" s="202"/>
      <c r="G20" s="191">
        <f t="shared" si="3"/>
      </c>
      <c r="H20" s="404">
        <f t="shared" si="4"/>
      </c>
      <c r="I20" s="521"/>
      <c r="J20" s="109"/>
      <c r="K20" s="553"/>
      <c r="L20" s="109"/>
      <c r="M20" s="404">
        <f t="shared" si="5"/>
      </c>
      <c r="N20" s="549">
        <f t="shared" si="6"/>
      </c>
      <c r="O20" s="594"/>
      <c r="P20" s="408">
        <f>IF($H20="","",IF($O20="Ａ",LOOKUP($D20,{8000,8500,9000,10000,10032,12000},{0,1532,1032,32,0,0}),IF($O20="Ｂ",LOOKUP($D20,{8000,8500,9000,10000,10032,12000},{0,1532,1032,408,408,408}),IF($O20="Ｃ１",LOOKUP($D20,{8000,8500,9000,10000,10032,12000},{782,2814,2814,2814,2814,2814}),IF($O20="Ｃ２",LOOKUP($D20,{8000,8500,9000,10000,10032,12000},{3188,5220,5220,5220,5220,5220}),0)))))</f>
      </c>
      <c r="Q20" s="591"/>
      <c r="R20" s="543">
        <f>IF($H20="","",IF($Q20="Ａ",LOOKUP($D20,{8000,8500,9000,10000,10032,12000},{0,1532,1032,32,0,0}),IF($Q20="Ｂ",LOOKUP($D20,{8000,8500,9000,10000,10032,12000},{0,1532,1032,408,408,408}),IF($Q20="Ｃ１",LOOKUP($D20,{8000,8500,9000,10000,10032,12000},{782,2814,2814,2814,2814,2814}),IF($Q20="Ｃ２",LOOKUP($D20,{8000,8500,9000,10000,10032,12000},{3188,5220,5220,5220,5220,5220}),0)))))</f>
      </c>
      <c r="S20" s="413">
        <f t="shared" si="7"/>
      </c>
      <c r="T20" s="540">
        <f>IF(B20="","",SUMIF('6-3_調整額内訳④(旧・新制度)'!B:B,$B20,'6-3_調整額内訳④(旧・新制度)'!AH:AH))</f>
      </c>
      <c r="U20" s="599">
        <f t="shared" si="8"/>
      </c>
      <c r="V20" s="412">
        <f t="shared" si="9"/>
      </c>
      <c r="W20" s="413">
        <f t="shared" si="10"/>
      </c>
      <c r="X20" s="570"/>
      <c r="Y20" s="413">
        <f t="shared" si="11"/>
      </c>
      <c r="Z20" s="570"/>
      <c r="AA20" s="413" t="str">
        <f t="shared" si="12"/>
        <v>0</v>
      </c>
      <c r="AB20" s="412">
        <f t="shared" si="13"/>
        <v>0</v>
      </c>
      <c r="AC20" s="654"/>
      <c r="AD20" s="411">
        <f t="shared" si="14"/>
      </c>
      <c r="AE20" s="603">
        <f t="shared" si="15"/>
      </c>
      <c r="AF20" s="1100"/>
      <c r="AG20" s="1101"/>
      <c r="AH20" s="1102"/>
      <c r="AJ20" s="60">
        <f t="shared" si="0"/>
      </c>
      <c r="AK20" s="60">
        <f t="shared" si="1"/>
      </c>
    </row>
    <row r="21" spans="1:37" s="53" customFormat="1" ht="18.75" customHeight="1">
      <c r="A21" s="181">
        <f t="shared" si="2"/>
      </c>
      <c r="B21" s="581"/>
      <c r="C21" s="56"/>
      <c r="D21" s="466"/>
      <c r="E21" s="238"/>
      <c r="F21" s="202"/>
      <c r="G21" s="191">
        <f t="shared" si="3"/>
      </c>
      <c r="H21" s="404">
        <f t="shared" si="4"/>
      </c>
      <c r="I21" s="521"/>
      <c r="J21" s="109"/>
      <c r="K21" s="553"/>
      <c r="L21" s="109"/>
      <c r="M21" s="404">
        <f t="shared" si="5"/>
      </c>
      <c r="N21" s="549">
        <f t="shared" si="6"/>
      </c>
      <c r="O21" s="594"/>
      <c r="P21" s="408">
        <f>IF($H21="","",IF($O21="Ａ",LOOKUP($D21,{8000,8500,9000,10000,10032,12000},{0,1532,1032,32,0,0}),IF($O21="Ｂ",LOOKUP($D21,{8000,8500,9000,10000,10032,12000},{0,1532,1032,408,408,408}),IF($O21="Ｃ１",LOOKUP($D21,{8000,8500,9000,10000,10032,12000},{782,2814,2814,2814,2814,2814}),IF($O21="Ｃ２",LOOKUP($D21,{8000,8500,9000,10000,10032,12000},{3188,5220,5220,5220,5220,5220}),0)))))</f>
      </c>
      <c r="Q21" s="591"/>
      <c r="R21" s="543">
        <f>IF($H21="","",IF($Q21="Ａ",LOOKUP($D21,{8000,8500,9000,10000,10032,12000},{0,1532,1032,32,0,0}),IF($Q21="Ｂ",LOOKUP($D21,{8000,8500,9000,10000,10032,12000},{0,1532,1032,408,408,408}),IF($Q21="Ｃ１",LOOKUP($D21,{8000,8500,9000,10000,10032,12000},{782,2814,2814,2814,2814,2814}),IF($Q21="Ｃ２",LOOKUP($D21,{8000,8500,9000,10000,10032,12000},{3188,5220,5220,5220,5220,5220}),0)))))</f>
      </c>
      <c r="S21" s="413">
        <f t="shared" si="7"/>
      </c>
      <c r="T21" s="540">
        <f>IF(B21="","",SUMIF('6-3_調整額内訳④(旧・新制度)'!B:B,$B21,'6-3_調整額内訳④(旧・新制度)'!AH:AH))</f>
      </c>
      <c r="U21" s="599">
        <f t="shared" si="8"/>
      </c>
      <c r="V21" s="412">
        <f t="shared" si="9"/>
      </c>
      <c r="W21" s="413">
        <f t="shared" si="10"/>
      </c>
      <c r="X21" s="570"/>
      <c r="Y21" s="413">
        <f t="shared" si="11"/>
      </c>
      <c r="Z21" s="570"/>
      <c r="AA21" s="413" t="str">
        <f t="shared" si="12"/>
        <v>0</v>
      </c>
      <c r="AB21" s="412">
        <f t="shared" si="13"/>
        <v>0</v>
      </c>
      <c r="AC21" s="654"/>
      <c r="AD21" s="411">
        <f t="shared" si="14"/>
      </c>
      <c r="AE21" s="603">
        <f t="shared" si="15"/>
      </c>
      <c r="AF21" s="1100"/>
      <c r="AG21" s="1101"/>
      <c r="AH21" s="1102"/>
      <c r="AJ21" s="60">
        <f t="shared" si="0"/>
      </c>
      <c r="AK21" s="60">
        <f t="shared" si="1"/>
      </c>
    </row>
    <row r="22" spans="1:37" s="53" customFormat="1" ht="18.75" customHeight="1">
      <c r="A22" s="181">
        <f t="shared" si="2"/>
      </c>
      <c r="B22" s="581"/>
      <c r="C22" s="56"/>
      <c r="D22" s="466"/>
      <c r="E22" s="238"/>
      <c r="F22" s="202"/>
      <c r="G22" s="191">
        <f t="shared" si="3"/>
      </c>
      <c r="H22" s="404">
        <f t="shared" si="4"/>
      </c>
      <c r="I22" s="521"/>
      <c r="J22" s="109"/>
      <c r="K22" s="553"/>
      <c r="L22" s="109"/>
      <c r="M22" s="404">
        <f t="shared" si="5"/>
      </c>
      <c r="N22" s="549">
        <f t="shared" si="6"/>
      </c>
      <c r="O22" s="594"/>
      <c r="P22" s="408">
        <f>IF($H22="","",IF($O22="Ａ",LOOKUP($D22,{8000,8500,9000,10000,10032,12000},{0,1532,1032,32,0,0}),IF($O22="Ｂ",LOOKUP($D22,{8000,8500,9000,10000,10032,12000},{0,1532,1032,408,408,408}),IF($O22="Ｃ１",LOOKUP($D22,{8000,8500,9000,10000,10032,12000},{782,2814,2814,2814,2814,2814}),IF($O22="Ｃ２",LOOKUP($D22,{8000,8500,9000,10000,10032,12000},{3188,5220,5220,5220,5220,5220}),0)))))</f>
      </c>
      <c r="Q22" s="591"/>
      <c r="R22" s="543">
        <f>IF($H22="","",IF($Q22="Ａ",LOOKUP($D22,{8000,8500,9000,10000,10032,12000},{0,1532,1032,32,0,0}),IF($Q22="Ｂ",LOOKUP($D22,{8000,8500,9000,10000,10032,12000},{0,1532,1032,408,408,408}),IF($Q22="Ｃ１",LOOKUP($D22,{8000,8500,9000,10000,10032,12000},{782,2814,2814,2814,2814,2814}),IF($Q22="Ｃ２",LOOKUP($D22,{8000,8500,9000,10000,10032,12000},{3188,5220,5220,5220,5220,5220}),0)))))</f>
      </c>
      <c r="S22" s="413">
        <f t="shared" si="7"/>
      </c>
      <c r="T22" s="540">
        <f>IF(B22="","",SUMIF('6-3_調整額内訳④(旧・新制度)'!B:B,$B22,'6-3_調整額内訳④(旧・新制度)'!AH:AH))</f>
      </c>
      <c r="U22" s="599">
        <f t="shared" si="8"/>
      </c>
      <c r="V22" s="412">
        <f t="shared" si="9"/>
      </c>
      <c r="W22" s="413">
        <f t="shared" si="10"/>
      </c>
      <c r="X22" s="570"/>
      <c r="Y22" s="413">
        <f t="shared" si="11"/>
      </c>
      <c r="Z22" s="570"/>
      <c r="AA22" s="413" t="str">
        <f t="shared" si="12"/>
        <v>0</v>
      </c>
      <c r="AB22" s="412">
        <f t="shared" si="13"/>
        <v>0</v>
      </c>
      <c r="AC22" s="654"/>
      <c r="AD22" s="411">
        <f t="shared" si="14"/>
      </c>
      <c r="AE22" s="603">
        <f t="shared" si="15"/>
      </c>
      <c r="AF22" s="1100"/>
      <c r="AG22" s="1101"/>
      <c r="AH22" s="1102"/>
      <c r="AJ22" s="60">
        <f t="shared" si="0"/>
      </c>
      <c r="AK22" s="60">
        <f t="shared" si="1"/>
      </c>
    </row>
    <row r="23" spans="1:37" s="53" customFormat="1" ht="18.75" customHeight="1">
      <c r="A23" s="181">
        <f t="shared" si="2"/>
      </c>
      <c r="B23" s="581"/>
      <c r="C23" s="56"/>
      <c r="D23" s="466"/>
      <c r="E23" s="238"/>
      <c r="F23" s="202"/>
      <c r="G23" s="191">
        <f t="shared" si="3"/>
      </c>
      <c r="H23" s="404">
        <f t="shared" si="4"/>
      </c>
      <c r="I23" s="521"/>
      <c r="J23" s="109"/>
      <c r="K23" s="553"/>
      <c r="L23" s="109"/>
      <c r="M23" s="404">
        <f t="shared" si="5"/>
      </c>
      <c r="N23" s="549">
        <f t="shared" si="6"/>
      </c>
      <c r="O23" s="594"/>
      <c r="P23" s="408">
        <f>IF($H23="","",IF($O23="Ａ",LOOKUP($D23,{8000,8500,9000,10000,10032,12000},{0,1532,1032,32,0,0}),IF($O23="Ｂ",LOOKUP($D23,{8000,8500,9000,10000,10032,12000},{0,1532,1032,408,408,408}),IF($O23="Ｃ１",LOOKUP($D23,{8000,8500,9000,10000,10032,12000},{782,2814,2814,2814,2814,2814}),IF($O23="Ｃ２",LOOKUP($D23,{8000,8500,9000,10000,10032,12000},{3188,5220,5220,5220,5220,5220}),0)))))</f>
      </c>
      <c r="Q23" s="591"/>
      <c r="R23" s="543">
        <f>IF($H23="","",IF($Q23="Ａ",LOOKUP($D23,{8000,8500,9000,10000,10032,12000},{0,1532,1032,32,0,0}),IF($Q23="Ｂ",LOOKUP($D23,{8000,8500,9000,10000,10032,12000},{0,1532,1032,408,408,408}),IF($Q23="Ｃ１",LOOKUP($D23,{8000,8500,9000,10000,10032,12000},{782,2814,2814,2814,2814,2814}),IF($Q23="Ｃ２",LOOKUP($D23,{8000,8500,9000,10000,10032,12000},{3188,5220,5220,5220,5220,5220}),0)))))</f>
      </c>
      <c r="S23" s="413">
        <f t="shared" si="7"/>
      </c>
      <c r="T23" s="540">
        <f>IF(B23="","",SUMIF('6-3_調整額内訳④(旧・新制度)'!B:B,$B23,'6-3_調整額内訳④(旧・新制度)'!AH:AH))</f>
      </c>
      <c r="U23" s="599">
        <f t="shared" si="8"/>
      </c>
      <c r="V23" s="412">
        <f t="shared" si="9"/>
      </c>
      <c r="W23" s="413">
        <f t="shared" si="10"/>
      </c>
      <c r="X23" s="570"/>
      <c r="Y23" s="413">
        <f t="shared" si="11"/>
      </c>
      <c r="Z23" s="570"/>
      <c r="AA23" s="413" t="str">
        <f t="shared" si="12"/>
        <v>0</v>
      </c>
      <c r="AB23" s="412">
        <f t="shared" si="13"/>
        <v>0</v>
      </c>
      <c r="AC23" s="654"/>
      <c r="AD23" s="411">
        <f t="shared" si="14"/>
      </c>
      <c r="AE23" s="603">
        <f t="shared" si="15"/>
      </c>
      <c r="AF23" s="1100"/>
      <c r="AG23" s="1101"/>
      <c r="AH23" s="1102"/>
      <c r="AJ23" s="60">
        <f t="shared" si="0"/>
      </c>
      <c r="AK23" s="60">
        <f t="shared" si="1"/>
      </c>
    </row>
    <row r="24" spans="1:37" s="53" customFormat="1" ht="18.75" customHeight="1">
      <c r="A24" s="181">
        <f t="shared" si="2"/>
      </c>
      <c r="B24" s="581"/>
      <c r="C24" s="56"/>
      <c r="D24" s="466"/>
      <c r="E24" s="238"/>
      <c r="F24" s="202"/>
      <c r="G24" s="191">
        <f t="shared" si="3"/>
      </c>
      <c r="H24" s="404">
        <f t="shared" si="4"/>
      </c>
      <c r="I24" s="521"/>
      <c r="J24" s="109"/>
      <c r="K24" s="553"/>
      <c r="L24" s="109"/>
      <c r="M24" s="404">
        <f t="shared" si="5"/>
      </c>
      <c r="N24" s="549">
        <f t="shared" si="6"/>
      </c>
      <c r="O24" s="594"/>
      <c r="P24" s="408">
        <f>IF($H24="","",IF($O24="Ａ",LOOKUP($D24,{8000,8500,9000,10000,10032,12000},{0,1532,1032,32,0,0}),IF($O24="Ｂ",LOOKUP($D24,{8000,8500,9000,10000,10032,12000},{0,1532,1032,408,408,408}),IF($O24="Ｃ１",LOOKUP($D24,{8000,8500,9000,10000,10032,12000},{782,2814,2814,2814,2814,2814}),IF($O24="Ｃ２",LOOKUP($D24,{8000,8500,9000,10000,10032,12000},{3188,5220,5220,5220,5220,5220}),0)))))</f>
      </c>
      <c r="Q24" s="591"/>
      <c r="R24" s="543">
        <f>IF($H24="","",IF($Q24="Ａ",LOOKUP($D24,{8000,8500,9000,10000,10032,12000},{0,1532,1032,32,0,0}),IF($Q24="Ｂ",LOOKUP($D24,{8000,8500,9000,10000,10032,12000},{0,1532,1032,408,408,408}),IF($Q24="Ｃ１",LOOKUP($D24,{8000,8500,9000,10000,10032,12000},{782,2814,2814,2814,2814,2814}),IF($Q24="Ｃ２",LOOKUP($D24,{8000,8500,9000,10000,10032,12000},{3188,5220,5220,5220,5220,5220}),0)))))</f>
      </c>
      <c r="S24" s="413">
        <f t="shared" si="7"/>
      </c>
      <c r="T24" s="540">
        <f>IF(B24="","",SUMIF('6-3_調整額内訳④(旧・新制度)'!B:B,$B24,'6-3_調整額内訳④(旧・新制度)'!AH:AH))</f>
      </c>
      <c r="U24" s="599">
        <f t="shared" si="8"/>
      </c>
      <c r="V24" s="412">
        <f t="shared" si="9"/>
      </c>
      <c r="W24" s="413">
        <f t="shared" si="10"/>
      </c>
      <c r="X24" s="570"/>
      <c r="Y24" s="413">
        <f t="shared" si="11"/>
      </c>
      <c r="Z24" s="570"/>
      <c r="AA24" s="413" t="str">
        <f t="shared" si="12"/>
        <v>0</v>
      </c>
      <c r="AB24" s="412">
        <f t="shared" si="13"/>
        <v>0</v>
      </c>
      <c r="AC24" s="654"/>
      <c r="AD24" s="411">
        <f t="shared" si="14"/>
      </c>
      <c r="AE24" s="603">
        <f t="shared" si="15"/>
      </c>
      <c r="AF24" s="1100"/>
      <c r="AG24" s="1101"/>
      <c r="AH24" s="1102"/>
      <c r="AJ24" s="60">
        <f t="shared" si="0"/>
      </c>
      <c r="AK24" s="60">
        <f t="shared" si="1"/>
      </c>
    </row>
    <row r="25" spans="1:37" s="53" customFormat="1" ht="18.75" customHeight="1">
      <c r="A25" s="181">
        <f t="shared" si="2"/>
      </c>
      <c r="B25" s="581"/>
      <c r="C25" s="56"/>
      <c r="D25" s="466"/>
      <c r="E25" s="238"/>
      <c r="F25" s="202"/>
      <c r="G25" s="191">
        <f t="shared" si="3"/>
      </c>
      <c r="H25" s="404">
        <f t="shared" si="4"/>
      </c>
      <c r="I25" s="521"/>
      <c r="J25" s="109"/>
      <c r="K25" s="553"/>
      <c r="L25" s="109"/>
      <c r="M25" s="404">
        <f t="shared" si="5"/>
      </c>
      <c r="N25" s="549">
        <f t="shared" si="6"/>
      </c>
      <c r="O25" s="594"/>
      <c r="P25" s="408">
        <f>IF($H25="","",IF($O25="Ａ",LOOKUP($D25,{8000,8500,9000,10000,10032,12000},{0,1532,1032,32,0,0}),IF($O25="Ｂ",LOOKUP($D25,{8000,8500,9000,10000,10032,12000},{0,1532,1032,408,408,408}),IF($O25="Ｃ１",LOOKUP($D25,{8000,8500,9000,10000,10032,12000},{782,2814,2814,2814,2814,2814}),IF($O25="Ｃ２",LOOKUP($D25,{8000,8500,9000,10000,10032,12000},{3188,5220,5220,5220,5220,5220}),0)))))</f>
      </c>
      <c r="Q25" s="591"/>
      <c r="R25" s="543">
        <f>IF($H25="","",IF($Q25="Ａ",LOOKUP($D25,{8000,8500,9000,10000,10032,12000},{0,1532,1032,32,0,0}),IF($Q25="Ｂ",LOOKUP($D25,{8000,8500,9000,10000,10032,12000},{0,1532,1032,408,408,408}),IF($Q25="Ｃ１",LOOKUP($D25,{8000,8500,9000,10000,10032,12000},{782,2814,2814,2814,2814,2814}),IF($Q25="Ｃ２",LOOKUP($D25,{8000,8500,9000,10000,10032,12000},{3188,5220,5220,5220,5220,5220}),0)))))</f>
      </c>
      <c r="S25" s="413">
        <f t="shared" si="7"/>
      </c>
      <c r="T25" s="540">
        <f>IF(B25="","",SUMIF('6-3_調整額内訳④(旧・新制度)'!B:B,$B25,'6-3_調整額内訳④(旧・新制度)'!AH:AH))</f>
      </c>
      <c r="U25" s="599">
        <f t="shared" si="8"/>
      </c>
      <c r="V25" s="412">
        <f t="shared" si="9"/>
      </c>
      <c r="W25" s="413">
        <f t="shared" si="10"/>
      </c>
      <c r="X25" s="570"/>
      <c r="Y25" s="413">
        <f t="shared" si="11"/>
      </c>
      <c r="Z25" s="570"/>
      <c r="AA25" s="413" t="str">
        <f t="shared" si="12"/>
        <v>0</v>
      </c>
      <c r="AB25" s="412">
        <f t="shared" si="13"/>
        <v>0</v>
      </c>
      <c r="AC25" s="654"/>
      <c r="AD25" s="411">
        <f t="shared" si="14"/>
      </c>
      <c r="AE25" s="603">
        <f t="shared" si="15"/>
      </c>
      <c r="AF25" s="1100"/>
      <c r="AG25" s="1101"/>
      <c r="AH25" s="1102"/>
      <c r="AJ25" s="60">
        <f t="shared" si="0"/>
      </c>
      <c r="AK25" s="60">
        <f t="shared" si="1"/>
      </c>
    </row>
    <row r="26" spans="1:37" s="53" customFormat="1" ht="18.75" customHeight="1">
      <c r="A26" s="181">
        <f t="shared" si="2"/>
      </c>
      <c r="B26" s="581"/>
      <c r="C26" s="56"/>
      <c r="D26" s="466"/>
      <c r="E26" s="238"/>
      <c r="F26" s="202"/>
      <c r="G26" s="191">
        <f t="shared" si="3"/>
      </c>
      <c r="H26" s="404">
        <f t="shared" si="4"/>
      </c>
      <c r="I26" s="521"/>
      <c r="J26" s="109"/>
      <c r="K26" s="553"/>
      <c r="L26" s="109"/>
      <c r="M26" s="404">
        <f t="shared" si="5"/>
      </c>
      <c r="N26" s="549">
        <f t="shared" si="6"/>
      </c>
      <c r="O26" s="594"/>
      <c r="P26" s="408">
        <f>IF($H26="","",IF($O26="Ａ",LOOKUP($D26,{8000,8500,9000,10000,10032,12000},{0,1532,1032,32,0,0}),IF($O26="Ｂ",LOOKUP($D26,{8000,8500,9000,10000,10032,12000},{0,1532,1032,408,408,408}),IF($O26="Ｃ１",LOOKUP($D26,{8000,8500,9000,10000,10032,12000},{782,2814,2814,2814,2814,2814}),IF($O26="Ｃ２",LOOKUP($D26,{8000,8500,9000,10000,10032,12000},{3188,5220,5220,5220,5220,5220}),0)))))</f>
      </c>
      <c r="Q26" s="591"/>
      <c r="R26" s="543">
        <f>IF($H26="","",IF($Q26="Ａ",LOOKUP($D26,{8000,8500,9000,10000,10032,12000},{0,1532,1032,32,0,0}),IF($Q26="Ｂ",LOOKUP($D26,{8000,8500,9000,10000,10032,12000},{0,1532,1032,408,408,408}),IF($Q26="Ｃ１",LOOKUP($D26,{8000,8500,9000,10000,10032,12000},{782,2814,2814,2814,2814,2814}),IF($Q26="Ｃ２",LOOKUP($D26,{8000,8500,9000,10000,10032,12000},{3188,5220,5220,5220,5220,5220}),0)))))</f>
      </c>
      <c r="S26" s="413">
        <f t="shared" si="7"/>
      </c>
      <c r="T26" s="540">
        <f>IF(B26="","",SUMIF('6-3_調整額内訳④(旧・新制度)'!B:B,$B26,'6-3_調整額内訳④(旧・新制度)'!AH:AH))</f>
      </c>
      <c r="U26" s="599">
        <f t="shared" si="8"/>
      </c>
      <c r="V26" s="412">
        <f t="shared" si="9"/>
      </c>
      <c r="W26" s="413">
        <f t="shared" si="10"/>
      </c>
      <c r="X26" s="570"/>
      <c r="Y26" s="413">
        <f t="shared" si="11"/>
      </c>
      <c r="Z26" s="570"/>
      <c r="AA26" s="413" t="str">
        <f t="shared" si="12"/>
        <v>0</v>
      </c>
      <c r="AB26" s="412">
        <f t="shared" si="13"/>
        <v>0</v>
      </c>
      <c r="AC26" s="654"/>
      <c r="AD26" s="411">
        <f t="shared" si="14"/>
      </c>
      <c r="AE26" s="603">
        <f t="shared" si="15"/>
      </c>
      <c r="AF26" s="1100"/>
      <c r="AG26" s="1101"/>
      <c r="AH26" s="1102"/>
      <c r="AJ26" s="60">
        <f t="shared" si="0"/>
      </c>
      <c r="AK26" s="60">
        <f t="shared" si="1"/>
      </c>
    </row>
    <row r="27" spans="1:37" s="53" customFormat="1" ht="18.75" customHeight="1">
      <c r="A27" s="181">
        <f t="shared" si="2"/>
      </c>
      <c r="B27" s="581"/>
      <c r="C27" s="56"/>
      <c r="D27" s="466"/>
      <c r="E27" s="238"/>
      <c r="F27" s="202"/>
      <c r="G27" s="191">
        <f t="shared" si="3"/>
      </c>
      <c r="H27" s="404">
        <f t="shared" si="4"/>
      </c>
      <c r="I27" s="521"/>
      <c r="J27" s="109"/>
      <c r="K27" s="553"/>
      <c r="L27" s="109"/>
      <c r="M27" s="404">
        <f t="shared" si="5"/>
      </c>
      <c r="N27" s="549">
        <f t="shared" si="6"/>
      </c>
      <c r="O27" s="594"/>
      <c r="P27" s="408">
        <f>IF($H27="","",IF($O27="Ａ",LOOKUP($D27,{8000,8500,9000,10000,10032,12000},{0,1532,1032,32,0,0}),IF($O27="Ｂ",LOOKUP($D27,{8000,8500,9000,10000,10032,12000},{0,1532,1032,408,408,408}),IF($O27="Ｃ１",LOOKUP($D27,{8000,8500,9000,10000,10032,12000},{782,2814,2814,2814,2814,2814}),IF($O27="Ｃ２",LOOKUP($D27,{8000,8500,9000,10000,10032,12000},{3188,5220,5220,5220,5220,5220}),0)))))</f>
      </c>
      <c r="Q27" s="591"/>
      <c r="R27" s="543">
        <f>IF($H27="","",IF($Q27="Ａ",LOOKUP($D27,{8000,8500,9000,10000,10032,12000},{0,1532,1032,32,0,0}),IF($Q27="Ｂ",LOOKUP($D27,{8000,8500,9000,10000,10032,12000},{0,1532,1032,408,408,408}),IF($Q27="Ｃ１",LOOKUP($D27,{8000,8500,9000,10000,10032,12000},{782,2814,2814,2814,2814,2814}),IF($Q27="Ｃ２",LOOKUP($D27,{8000,8500,9000,10000,10032,12000},{3188,5220,5220,5220,5220,5220}),0)))))</f>
      </c>
      <c r="S27" s="413">
        <f t="shared" si="7"/>
      </c>
      <c r="T27" s="540">
        <f>IF(B27="","",SUMIF('6-3_調整額内訳④(旧・新制度)'!B:B,$B27,'6-3_調整額内訳④(旧・新制度)'!AH:AH))</f>
      </c>
      <c r="U27" s="599">
        <f t="shared" si="8"/>
      </c>
      <c r="V27" s="412">
        <f t="shared" si="9"/>
      </c>
      <c r="W27" s="413">
        <f t="shared" si="10"/>
      </c>
      <c r="X27" s="570"/>
      <c r="Y27" s="413">
        <f t="shared" si="11"/>
      </c>
      <c r="Z27" s="570"/>
      <c r="AA27" s="413" t="str">
        <f t="shared" si="12"/>
        <v>0</v>
      </c>
      <c r="AB27" s="412">
        <f t="shared" si="13"/>
        <v>0</v>
      </c>
      <c r="AC27" s="654"/>
      <c r="AD27" s="411">
        <f t="shared" si="14"/>
      </c>
      <c r="AE27" s="603">
        <f t="shared" si="15"/>
      </c>
      <c r="AF27" s="1100"/>
      <c r="AG27" s="1101"/>
      <c r="AH27" s="1102"/>
      <c r="AJ27" s="60">
        <f t="shared" si="0"/>
      </c>
      <c r="AK27" s="60">
        <f t="shared" si="1"/>
      </c>
    </row>
    <row r="28" spans="1:37" s="53" customFormat="1" ht="18.75" customHeight="1">
      <c r="A28" s="181">
        <f t="shared" si="2"/>
      </c>
      <c r="B28" s="581"/>
      <c r="C28" s="56"/>
      <c r="D28" s="466"/>
      <c r="E28" s="238"/>
      <c r="F28" s="202"/>
      <c r="G28" s="191">
        <f t="shared" si="3"/>
      </c>
      <c r="H28" s="404">
        <f t="shared" si="4"/>
      </c>
      <c r="I28" s="521"/>
      <c r="J28" s="109"/>
      <c r="K28" s="553"/>
      <c r="L28" s="109"/>
      <c r="M28" s="404">
        <f t="shared" si="5"/>
      </c>
      <c r="N28" s="549">
        <f t="shared" si="6"/>
      </c>
      <c r="O28" s="594"/>
      <c r="P28" s="408">
        <f>IF($H28="","",IF($O28="Ａ",LOOKUP($D28,{8000,8500,9000,10000,10032,12000},{0,1532,1032,32,0,0}),IF($O28="Ｂ",LOOKUP($D28,{8000,8500,9000,10000,10032,12000},{0,1532,1032,408,408,408}),IF($O28="Ｃ１",LOOKUP($D28,{8000,8500,9000,10000,10032,12000},{782,2814,2814,2814,2814,2814}),IF($O28="Ｃ２",LOOKUP($D28,{8000,8500,9000,10000,10032,12000},{3188,5220,5220,5220,5220,5220}),0)))))</f>
      </c>
      <c r="Q28" s="591"/>
      <c r="R28" s="543">
        <f>IF($H28="","",IF($Q28="Ａ",LOOKUP($D28,{8000,8500,9000,10000,10032,12000},{0,1532,1032,32,0,0}),IF($Q28="Ｂ",LOOKUP($D28,{8000,8500,9000,10000,10032,12000},{0,1532,1032,408,408,408}),IF($Q28="Ｃ１",LOOKUP($D28,{8000,8500,9000,10000,10032,12000},{782,2814,2814,2814,2814,2814}),IF($Q28="Ｃ２",LOOKUP($D28,{8000,8500,9000,10000,10032,12000},{3188,5220,5220,5220,5220,5220}),0)))))</f>
      </c>
      <c r="S28" s="413">
        <f t="shared" si="7"/>
      </c>
      <c r="T28" s="540">
        <f>IF(B28="","",SUMIF('6-3_調整額内訳④(旧・新制度)'!B:B,$B28,'6-3_調整額内訳④(旧・新制度)'!AH:AH))</f>
      </c>
      <c r="U28" s="599">
        <f t="shared" si="8"/>
      </c>
      <c r="V28" s="412">
        <f t="shared" si="9"/>
      </c>
      <c r="W28" s="413">
        <f t="shared" si="10"/>
      </c>
      <c r="X28" s="570"/>
      <c r="Y28" s="413">
        <f t="shared" si="11"/>
      </c>
      <c r="Z28" s="570"/>
      <c r="AA28" s="413" t="str">
        <f t="shared" si="12"/>
        <v>0</v>
      </c>
      <c r="AB28" s="412">
        <f t="shared" si="13"/>
        <v>0</v>
      </c>
      <c r="AC28" s="654"/>
      <c r="AD28" s="411">
        <f t="shared" si="14"/>
      </c>
      <c r="AE28" s="603">
        <f t="shared" si="15"/>
      </c>
      <c r="AF28" s="1100"/>
      <c r="AG28" s="1101"/>
      <c r="AH28" s="1102"/>
      <c r="AJ28" s="60">
        <f t="shared" si="0"/>
      </c>
      <c r="AK28" s="60">
        <f t="shared" si="1"/>
      </c>
    </row>
    <row r="29" spans="1:37" s="53" customFormat="1" ht="18.75" customHeight="1">
      <c r="A29" s="181">
        <f t="shared" si="2"/>
      </c>
      <c r="B29" s="581"/>
      <c r="C29" s="56"/>
      <c r="D29" s="466"/>
      <c r="E29" s="238"/>
      <c r="F29" s="202"/>
      <c r="G29" s="191">
        <f t="shared" si="3"/>
      </c>
      <c r="H29" s="404">
        <f t="shared" si="4"/>
      </c>
      <c r="I29" s="521"/>
      <c r="J29" s="109"/>
      <c r="K29" s="553"/>
      <c r="L29" s="109"/>
      <c r="M29" s="404">
        <f t="shared" si="5"/>
      </c>
      <c r="N29" s="549">
        <f t="shared" si="6"/>
      </c>
      <c r="O29" s="594"/>
      <c r="P29" s="408">
        <f>IF($H29="","",IF($O29="Ａ",LOOKUP($D29,{8000,8500,9000,10000,10032,12000},{0,1532,1032,32,0,0}),IF($O29="Ｂ",LOOKUP($D29,{8000,8500,9000,10000,10032,12000},{0,1532,1032,408,408,408}),IF($O29="Ｃ１",LOOKUP($D29,{8000,8500,9000,10000,10032,12000},{782,2814,2814,2814,2814,2814}),IF($O29="Ｃ２",LOOKUP($D29,{8000,8500,9000,10000,10032,12000},{3188,5220,5220,5220,5220,5220}),0)))))</f>
      </c>
      <c r="Q29" s="591"/>
      <c r="R29" s="543">
        <f>IF($H29="","",IF($Q29="Ａ",LOOKUP($D29,{8000,8500,9000,10000,10032,12000},{0,1532,1032,32,0,0}),IF($Q29="Ｂ",LOOKUP($D29,{8000,8500,9000,10000,10032,12000},{0,1532,1032,408,408,408}),IF($Q29="Ｃ１",LOOKUP($D29,{8000,8500,9000,10000,10032,12000},{782,2814,2814,2814,2814,2814}),IF($Q29="Ｃ２",LOOKUP($D29,{8000,8500,9000,10000,10032,12000},{3188,5220,5220,5220,5220,5220}),0)))))</f>
      </c>
      <c r="S29" s="413">
        <f t="shared" si="7"/>
      </c>
      <c r="T29" s="540">
        <f>IF(B29="","",SUMIF('6-3_調整額内訳④(旧・新制度)'!B:B,$B29,'6-3_調整額内訳④(旧・新制度)'!AH:AH))</f>
      </c>
      <c r="U29" s="599">
        <f t="shared" si="8"/>
      </c>
      <c r="V29" s="412">
        <f t="shared" si="9"/>
      </c>
      <c r="W29" s="413">
        <f t="shared" si="10"/>
      </c>
      <c r="X29" s="570"/>
      <c r="Y29" s="413">
        <f t="shared" si="11"/>
      </c>
      <c r="Z29" s="570"/>
      <c r="AA29" s="413" t="str">
        <f t="shared" si="12"/>
        <v>0</v>
      </c>
      <c r="AB29" s="412">
        <f t="shared" si="13"/>
        <v>0</v>
      </c>
      <c r="AC29" s="654"/>
      <c r="AD29" s="411">
        <f t="shared" si="14"/>
      </c>
      <c r="AE29" s="603">
        <f t="shared" si="15"/>
      </c>
      <c r="AF29" s="1100"/>
      <c r="AG29" s="1101"/>
      <c r="AH29" s="1102"/>
      <c r="AJ29" s="60">
        <f t="shared" si="0"/>
      </c>
      <c r="AK29" s="60">
        <f t="shared" si="1"/>
      </c>
    </row>
    <row r="30" spans="1:37" s="53" customFormat="1" ht="18.75" customHeight="1">
      <c r="A30" s="181">
        <f t="shared" si="2"/>
      </c>
      <c r="B30" s="581"/>
      <c r="C30" s="56"/>
      <c r="D30" s="466"/>
      <c r="E30" s="238"/>
      <c r="F30" s="202"/>
      <c r="G30" s="191">
        <f t="shared" si="3"/>
      </c>
      <c r="H30" s="404">
        <f t="shared" si="4"/>
      </c>
      <c r="I30" s="521"/>
      <c r="J30" s="109"/>
      <c r="K30" s="553"/>
      <c r="L30" s="109"/>
      <c r="M30" s="404">
        <f t="shared" si="5"/>
      </c>
      <c r="N30" s="549">
        <f t="shared" si="6"/>
      </c>
      <c r="O30" s="594"/>
      <c r="P30" s="408">
        <f>IF($H30="","",IF($O30="Ａ",LOOKUP($D30,{8000,8500,9000,10000,10032,12000},{0,1532,1032,32,0,0}),IF($O30="Ｂ",LOOKUP($D30,{8000,8500,9000,10000,10032,12000},{0,1532,1032,408,408,408}),IF($O30="Ｃ１",LOOKUP($D30,{8000,8500,9000,10000,10032,12000},{782,2814,2814,2814,2814,2814}),IF($O30="Ｃ２",LOOKUP($D30,{8000,8500,9000,10000,10032,12000},{3188,5220,5220,5220,5220,5220}),0)))))</f>
      </c>
      <c r="Q30" s="591"/>
      <c r="R30" s="543">
        <f>IF($H30="","",IF($Q30="Ａ",LOOKUP($D30,{8000,8500,9000,10000,10032,12000},{0,1532,1032,32,0,0}),IF($Q30="Ｂ",LOOKUP($D30,{8000,8500,9000,10000,10032,12000},{0,1532,1032,408,408,408}),IF($Q30="Ｃ１",LOOKUP($D30,{8000,8500,9000,10000,10032,12000},{782,2814,2814,2814,2814,2814}),IF($Q30="Ｃ２",LOOKUP($D30,{8000,8500,9000,10000,10032,12000},{3188,5220,5220,5220,5220,5220}),0)))))</f>
      </c>
      <c r="S30" s="413">
        <f t="shared" si="7"/>
      </c>
      <c r="T30" s="540">
        <f>IF(B30="","",SUMIF('6-3_調整額内訳④(旧・新制度)'!B:B,$B30,'6-3_調整額内訳④(旧・新制度)'!AH:AH))</f>
      </c>
      <c r="U30" s="599">
        <f t="shared" si="8"/>
      </c>
      <c r="V30" s="412">
        <f t="shared" si="9"/>
      </c>
      <c r="W30" s="413">
        <f t="shared" si="10"/>
      </c>
      <c r="X30" s="570"/>
      <c r="Y30" s="413">
        <f t="shared" si="11"/>
      </c>
      <c r="Z30" s="570"/>
      <c r="AA30" s="413" t="str">
        <f t="shared" si="12"/>
        <v>0</v>
      </c>
      <c r="AB30" s="412">
        <f t="shared" si="13"/>
        <v>0</v>
      </c>
      <c r="AC30" s="654"/>
      <c r="AD30" s="411">
        <f t="shared" si="14"/>
      </c>
      <c r="AE30" s="603">
        <f t="shared" si="15"/>
      </c>
      <c r="AF30" s="1100"/>
      <c r="AG30" s="1101"/>
      <c r="AH30" s="1102"/>
      <c r="AJ30" s="60">
        <f t="shared" si="0"/>
      </c>
      <c r="AK30" s="60">
        <f t="shared" si="1"/>
      </c>
    </row>
    <row r="31" spans="1:37" s="53" customFormat="1" ht="18.75" customHeight="1">
      <c r="A31" s="181">
        <f t="shared" si="2"/>
      </c>
      <c r="B31" s="581"/>
      <c r="C31" s="56"/>
      <c r="D31" s="466"/>
      <c r="E31" s="238"/>
      <c r="F31" s="202"/>
      <c r="G31" s="191">
        <f t="shared" si="3"/>
      </c>
      <c r="H31" s="404">
        <f t="shared" si="4"/>
      </c>
      <c r="I31" s="521"/>
      <c r="J31" s="109"/>
      <c r="K31" s="553"/>
      <c r="L31" s="109"/>
      <c r="M31" s="404">
        <f t="shared" si="5"/>
      </c>
      <c r="N31" s="549">
        <f t="shared" si="6"/>
      </c>
      <c r="O31" s="594"/>
      <c r="P31" s="408">
        <f>IF($H31="","",IF($O31="Ａ",LOOKUP($D31,{8000,8500,9000,10000,10032,12000},{0,1532,1032,32,0,0}),IF($O31="Ｂ",LOOKUP($D31,{8000,8500,9000,10000,10032,12000},{0,1532,1032,408,408,408}),IF($O31="Ｃ１",LOOKUP($D31,{8000,8500,9000,10000,10032,12000},{782,2814,2814,2814,2814,2814}),IF($O31="Ｃ２",LOOKUP($D31,{8000,8500,9000,10000,10032,12000},{3188,5220,5220,5220,5220,5220}),0)))))</f>
      </c>
      <c r="Q31" s="591"/>
      <c r="R31" s="543">
        <f>IF($H31="","",IF($Q31="Ａ",LOOKUP($D31,{8000,8500,9000,10000,10032,12000},{0,1532,1032,32,0,0}),IF($Q31="Ｂ",LOOKUP($D31,{8000,8500,9000,10000,10032,12000},{0,1532,1032,408,408,408}),IF($Q31="Ｃ１",LOOKUP($D31,{8000,8500,9000,10000,10032,12000},{782,2814,2814,2814,2814,2814}),IF($Q31="Ｃ２",LOOKUP($D31,{8000,8500,9000,10000,10032,12000},{3188,5220,5220,5220,5220,5220}),0)))))</f>
      </c>
      <c r="S31" s="413">
        <f t="shared" si="7"/>
      </c>
      <c r="T31" s="540">
        <f>IF(B31="","",SUMIF('6-3_調整額内訳④(旧・新制度)'!B:B,$B31,'6-3_調整額内訳④(旧・新制度)'!AH:AH))</f>
      </c>
      <c r="U31" s="599">
        <f t="shared" si="8"/>
      </c>
      <c r="V31" s="412">
        <f t="shared" si="9"/>
      </c>
      <c r="W31" s="413">
        <f t="shared" si="10"/>
      </c>
      <c r="X31" s="570"/>
      <c r="Y31" s="413">
        <f t="shared" si="11"/>
      </c>
      <c r="Z31" s="570"/>
      <c r="AA31" s="413" t="str">
        <f t="shared" si="12"/>
        <v>0</v>
      </c>
      <c r="AB31" s="412">
        <f t="shared" si="13"/>
        <v>0</v>
      </c>
      <c r="AC31" s="654"/>
      <c r="AD31" s="411">
        <f t="shared" si="14"/>
      </c>
      <c r="AE31" s="603">
        <f t="shared" si="15"/>
      </c>
      <c r="AF31" s="1100"/>
      <c r="AG31" s="1101"/>
      <c r="AH31" s="1102"/>
      <c r="AJ31" s="60">
        <f t="shared" si="0"/>
      </c>
      <c r="AK31" s="60">
        <f t="shared" si="1"/>
      </c>
    </row>
    <row r="32" spans="1:37" s="53" customFormat="1" ht="18.75" customHeight="1">
      <c r="A32" s="181">
        <f t="shared" si="2"/>
      </c>
      <c r="B32" s="581"/>
      <c r="C32" s="56"/>
      <c r="D32" s="466"/>
      <c r="E32" s="238"/>
      <c r="F32" s="202"/>
      <c r="G32" s="191">
        <f t="shared" si="3"/>
      </c>
      <c r="H32" s="404">
        <f t="shared" si="4"/>
      </c>
      <c r="I32" s="521"/>
      <c r="J32" s="109"/>
      <c r="K32" s="553"/>
      <c r="L32" s="109"/>
      <c r="M32" s="404">
        <f t="shared" si="5"/>
      </c>
      <c r="N32" s="549">
        <f t="shared" si="6"/>
      </c>
      <c r="O32" s="594"/>
      <c r="P32" s="408">
        <f>IF($H32="","",IF($O32="Ａ",LOOKUP($D32,{8000,8500,9000,10000,10032,12000},{0,1532,1032,32,0,0}),IF($O32="Ｂ",LOOKUP($D32,{8000,8500,9000,10000,10032,12000},{0,1532,1032,408,408,408}),IF($O32="Ｃ１",LOOKUP($D32,{8000,8500,9000,10000,10032,12000},{782,2814,2814,2814,2814,2814}),IF($O32="Ｃ２",LOOKUP($D32,{8000,8500,9000,10000,10032,12000},{3188,5220,5220,5220,5220,5220}),0)))))</f>
      </c>
      <c r="Q32" s="591"/>
      <c r="R32" s="543">
        <f>IF($H32="","",IF($Q32="Ａ",LOOKUP($D32,{8000,8500,9000,10000,10032,12000},{0,1532,1032,32,0,0}),IF($Q32="Ｂ",LOOKUP($D32,{8000,8500,9000,10000,10032,12000},{0,1532,1032,408,408,408}),IF($Q32="Ｃ１",LOOKUP($D32,{8000,8500,9000,10000,10032,12000},{782,2814,2814,2814,2814,2814}),IF($Q32="Ｃ２",LOOKUP($D32,{8000,8500,9000,10000,10032,12000},{3188,5220,5220,5220,5220,5220}),0)))))</f>
      </c>
      <c r="S32" s="413">
        <f t="shared" si="7"/>
      </c>
      <c r="T32" s="540">
        <f>IF(B32="","",SUMIF('6-3_調整額内訳④(旧・新制度)'!B:B,$B32,'6-3_調整額内訳④(旧・新制度)'!AH:AH))</f>
      </c>
      <c r="U32" s="599">
        <f t="shared" si="8"/>
      </c>
      <c r="V32" s="412">
        <f t="shared" si="9"/>
      </c>
      <c r="W32" s="413">
        <f t="shared" si="10"/>
      </c>
      <c r="X32" s="570"/>
      <c r="Y32" s="413">
        <f t="shared" si="11"/>
      </c>
      <c r="Z32" s="570"/>
      <c r="AA32" s="413" t="str">
        <f t="shared" si="12"/>
        <v>0</v>
      </c>
      <c r="AB32" s="412">
        <f t="shared" si="13"/>
        <v>0</v>
      </c>
      <c r="AC32" s="654"/>
      <c r="AD32" s="411">
        <f t="shared" si="14"/>
      </c>
      <c r="AE32" s="603">
        <f t="shared" si="15"/>
      </c>
      <c r="AF32" s="1100"/>
      <c r="AG32" s="1101"/>
      <c r="AH32" s="1102"/>
      <c r="AJ32" s="60">
        <f t="shared" si="0"/>
      </c>
      <c r="AK32" s="60">
        <f t="shared" si="1"/>
      </c>
    </row>
    <row r="33" spans="1:37" s="53" customFormat="1" ht="18.75" customHeight="1">
      <c r="A33" s="181">
        <f t="shared" si="2"/>
      </c>
      <c r="B33" s="581"/>
      <c r="C33" s="56"/>
      <c r="D33" s="466"/>
      <c r="E33" s="238"/>
      <c r="F33" s="202"/>
      <c r="G33" s="191">
        <f t="shared" si="3"/>
      </c>
      <c r="H33" s="404">
        <f t="shared" si="4"/>
      </c>
      <c r="I33" s="521"/>
      <c r="J33" s="109"/>
      <c r="K33" s="553"/>
      <c r="L33" s="109"/>
      <c r="M33" s="404">
        <f t="shared" si="5"/>
      </c>
      <c r="N33" s="549">
        <f t="shared" si="6"/>
      </c>
      <c r="O33" s="594"/>
      <c r="P33" s="408">
        <f>IF($H33="","",IF($O33="Ａ",LOOKUP($D33,{8000,8500,9000,10000,10032,12000},{0,1532,1032,32,0,0}),IF($O33="Ｂ",LOOKUP($D33,{8000,8500,9000,10000,10032,12000},{0,1532,1032,408,408,408}),IF($O33="Ｃ１",LOOKUP($D33,{8000,8500,9000,10000,10032,12000},{782,2814,2814,2814,2814,2814}),IF($O33="Ｃ２",LOOKUP($D33,{8000,8500,9000,10000,10032,12000},{3188,5220,5220,5220,5220,5220}),0)))))</f>
      </c>
      <c r="Q33" s="591"/>
      <c r="R33" s="543">
        <f>IF($H33="","",IF($Q33="Ａ",LOOKUP($D33,{8000,8500,9000,10000,10032,12000},{0,1532,1032,32,0,0}),IF($Q33="Ｂ",LOOKUP($D33,{8000,8500,9000,10000,10032,12000},{0,1532,1032,408,408,408}),IF($Q33="Ｃ１",LOOKUP($D33,{8000,8500,9000,10000,10032,12000},{782,2814,2814,2814,2814,2814}),IF($Q33="Ｃ２",LOOKUP($D33,{8000,8500,9000,10000,10032,12000},{3188,5220,5220,5220,5220,5220}),0)))))</f>
      </c>
      <c r="S33" s="413">
        <f t="shared" si="7"/>
      </c>
      <c r="T33" s="540">
        <f>IF(B33="","",SUMIF('6-3_調整額内訳④(旧・新制度)'!B:B,$B33,'6-3_調整額内訳④(旧・新制度)'!AH:AH))</f>
      </c>
      <c r="U33" s="599">
        <f t="shared" si="8"/>
      </c>
      <c r="V33" s="412">
        <f t="shared" si="9"/>
      </c>
      <c r="W33" s="413">
        <f t="shared" si="10"/>
      </c>
      <c r="X33" s="570"/>
      <c r="Y33" s="413">
        <f t="shared" si="11"/>
      </c>
      <c r="Z33" s="570"/>
      <c r="AA33" s="413" t="str">
        <f t="shared" si="12"/>
        <v>0</v>
      </c>
      <c r="AB33" s="412">
        <f t="shared" si="13"/>
        <v>0</v>
      </c>
      <c r="AC33" s="654"/>
      <c r="AD33" s="411">
        <f t="shared" si="14"/>
      </c>
      <c r="AE33" s="603">
        <f t="shared" si="15"/>
      </c>
      <c r="AF33" s="1100"/>
      <c r="AG33" s="1101"/>
      <c r="AH33" s="1102"/>
      <c r="AJ33" s="60">
        <f t="shared" si="0"/>
      </c>
      <c r="AK33" s="60">
        <f t="shared" si="1"/>
      </c>
    </row>
    <row r="34" spans="1:37" s="53" customFormat="1" ht="18.75" customHeight="1">
      <c r="A34" s="181">
        <f t="shared" si="2"/>
      </c>
      <c r="B34" s="581"/>
      <c r="C34" s="56"/>
      <c r="D34" s="466"/>
      <c r="E34" s="238"/>
      <c r="F34" s="202"/>
      <c r="G34" s="191">
        <f t="shared" si="3"/>
      </c>
      <c r="H34" s="404">
        <f t="shared" si="4"/>
      </c>
      <c r="I34" s="521"/>
      <c r="J34" s="109"/>
      <c r="K34" s="553"/>
      <c r="L34" s="109"/>
      <c r="M34" s="404">
        <f t="shared" si="5"/>
      </c>
      <c r="N34" s="549">
        <f t="shared" si="6"/>
      </c>
      <c r="O34" s="594"/>
      <c r="P34" s="408">
        <f>IF($H34="","",IF($O34="Ａ",LOOKUP($D34,{8000,8500,9000,10000,10032,12000},{0,1532,1032,32,0,0}),IF($O34="Ｂ",LOOKUP($D34,{8000,8500,9000,10000,10032,12000},{0,1532,1032,408,408,408}),IF($O34="Ｃ１",LOOKUP($D34,{8000,8500,9000,10000,10032,12000},{782,2814,2814,2814,2814,2814}),IF($O34="Ｃ２",LOOKUP($D34,{8000,8500,9000,10000,10032,12000},{3188,5220,5220,5220,5220,5220}),0)))))</f>
      </c>
      <c r="Q34" s="591"/>
      <c r="R34" s="543">
        <f>IF($H34="","",IF($Q34="Ａ",LOOKUP($D34,{8000,8500,9000,10000,10032,12000},{0,1532,1032,32,0,0}),IF($Q34="Ｂ",LOOKUP($D34,{8000,8500,9000,10000,10032,12000},{0,1532,1032,408,408,408}),IF($Q34="Ｃ１",LOOKUP($D34,{8000,8500,9000,10000,10032,12000},{782,2814,2814,2814,2814,2814}),IF($Q34="Ｃ２",LOOKUP($D34,{8000,8500,9000,10000,10032,12000},{3188,5220,5220,5220,5220,5220}),0)))))</f>
      </c>
      <c r="S34" s="413">
        <f t="shared" si="7"/>
      </c>
      <c r="T34" s="540">
        <f>IF(B34="","",SUMIF('6-3_調整額内訳④(旧・新制度)'!B:B,$B34,'6-3_調整額内訳④(旧・新制度)'!AH:AH))</f>
      </c>
      <c r="U34" s="599">
        <f t="shared" si="8"/>
      </c>
      <c r="V34" s="412">
        <f t="shared" si="9"/>
      </c>
      <c r="W34" s="413">
        <f t="shared" si="10"/>
      </c>
      <c r="X34" s="570"/>
      <c r="Y34" s="413">
        <f t="shared" si="11"/>
      </c>
      <c r="Z34" s="570"/>
      <c r="AA34" s="413" t="str">
        <f t="shared" si="12"/>
        <v>0</v>
      </c>
      <c r="AB34" s="412">
        <f t="shared" si="13"/>
        <v>0</v>
      </c>
      <c r="AC34" s="654"/>
      <c r="AD34" s="411">
        <f t="shared" si="14"/>
      </c>
      <c r="AE34" s="603">
        <f t="shared" si="15"/>
      </c>
      <c r="AF34" s="1100"/>
      <c r="AG34" s="1101"/>
      <c r="AH34" s="1102"/>
      <c r="AJ34" s="60">
        <f t="shared" si="0"/>
      </c>
      <c r="AK34" s="60">
        <f t="shared" si="1"/>
      </c>
    </row>
    <row r="35" spans="1:37" s="53" customFormat="1" ht="18.75" customHeight="1">
      <c r="A35" s="181">
        <f t="shared" si="2"/>
      </c>
      <c r="B35" s="581"/>
      <c r="C35" s="56"/>
      <c r="D35" s="466"/>
      <c r="E35" s="238"/>
      <c r="F35" s="202"/>
      <c r="G35" s="191">
        <f t="shared" si="3"/>
      </c>
      <c r="H35" s="404">
        <f t="shared" si="4"/>
      </c>
      <c r="I35" s="521"/>
      <c r="J35" s="109"/>
      <c r="K35" s="553"/>
      <c r="L35" s="109"/>
      <c r="M35" s="404">
        <f t="shared" si="5"/>
      </c>
      <c r="N35" s="549">
        <f t="shared" si="6"/>
      </c>
      <c r="O35" s="594"/>
      <c r="P35" s="408">
        <f>IF($H35="","",IF($O35="Ａ",LOOKUP($D35,{8000,8500,9000,10000,10032,12000},{0,1532,1032,32,0,0}),IF($O35="Ｂ",LOOKUP($D35,{8000,8500,9000,10000,10032,12000},{0,1532,1032,408,408,408}),IF($O35="Ｃ１",LOOKUP($D35,{8000,8500,9000,10000,10032,12000},{782,2814,2814,2814,2814,2814}),IF($O35="Ｃ２",LOOKUP($D35,{8000,8500,9000,10000,10032,12000},{3188,5220,5220,5220,5220,5220}),0)))))</f>
      </c>
      <c r="Q35" s="591"/>
      <c r="R35" s="543">
        <f>IF($H35="","",IF($Q35="Ａ",LOOKUP($D35,{8000,8500,9000,10000,10032,12000},{0,1532,1032,32,0,0}),IF($Q35="Ｂ",LOOKUP($D35,{8000,8500,9000,10000,10032,12000},{0,1532,1032,408,408,408}),IF($Q35="Ｃ１",LOOKUP($D35,{8000,8500,9000,10000,10032,12000},{782,2814,2814,2814,2814,2814}),IF($Q35="Ｃ２",LOOKUP($D35,{8000,8500,9000,10000,10032,12000},{3188,5220,5220,5220,5220,5220}),0)))))</f>
      </c>
      <c r="S35" s="413">
        <f t="shared" si="7"/>
      </c>
      <c r="T35" s="540">
        <f>IF(B35="","",SUMIF('6-3_調整額内訳④(旧・新制度)'!B:B,$B35,'6-3_調整額内訳④(旧・新制度)'!AH:AH))</f>
      </c>
      <c r="U35" s="599">
        <f t="shared" si="8"/>
      </c>
      <c r="V35" s="412">
        <f t="shared" si="9"/>
      </c>
      <c r="W35" s="413">
        <f t="shared" si="10"/>
      </c>
      <c r="X35" s="570"/>
      <c r="Y35" s="413">
        <f t="shared" si="11"/>
      </c>
      <c r="Z35" s="570"/>
      <c r="AA35" s="413" t="str">
        <f t="shared" si="12"/>
        <v>0</v>
      </c>
      <c r="AB35" s="412">
        <f t="shared" si="13"/>
        <v>0</v>
      </c>
      <c r="AC35" s="654"/>
      <c r="AD35" s="411">
        <f t="shared" si="14"/>
      </c>
      <c r="AE35" s="603">
        <f t="shared" si="15"/>
      </c>
      <c r="AF35" s="1100"/>
      <c r="AG35" s="1101"/>
      <c r="AH35" s="1102"/>
      <c r="AJ35" s="60">
        <f t="shared" si="0"/>
      </c>
      <c r="AK35" s="60">
        <f t="shared" si="1"/>
      </c>
    </row>
    <row r="36" spans="1:37" s="53" customFormat="1" ht="18.75" customHeight="1">
      <c r="A36" s="181">
        <f t="shared" si="2"/>
      </c>
      <c r="B36" s="581"/>
      <c r="C36" s="56"/>
      <c r="D36" s="466"/>
      <c r="E36" s="238"/>
      <c r="F36" s="202"/>
      <c r="G36" s="191">
        <f t="shared" si="3"/>
      </c>
      <c r="H36" s="404">
        <f t="shared" si="4"/>
      </c>
      <c r="I36" s="521"/>
      <c r="J36" s="109"/>
      <c r="K36" s="553"/>
      <c r="L36" s="109"/>
      <c r="M36" s="404">
        <f t="shared" si="5"/>
      </c>
      <c r="N36" s="549">
        <f t="shared" si="6"/>
      </c>
      <c r="O36" s="594"/>
      <c r="P36" s="408">
        <f>IF($H36="","",IF($O36="Ａ",LOOKUP($D36,{8000,8500,9000,10000,10032,12000},{0,1532,1032,32,0,0}),IF($O36="Ｂ",LOOKUP($D36,{8000,8500,9000,10000,10032,12000},{0,1532,1032,408,408,408}),IF($O36="Ｃ１",LOOKUP($D36,{8000,8500,9000,10000,10032,12000},{782,2814,2814,2814,2814,2814}),IF($O36="Ｃ２",LOOKUP($D36,{8000,8500,9000,10000,10032,12000},{3188,5220,5220,5220,5220,5220}),0)))))</f>
      </c>
      <c r="Q36" s="591"/>
      <c r="R36" s="543">
        <f>IF($H36="","",IF($Q36="Ａ",LOOKUP($D36,{8000,8500,9000,10000,10032,12000},{0,1532,1032,32,0,0}),IF($Q36="Ｂ",LOOKUP($D36,{8000,8500,9000,10000,10032,12000},{0,1532,1032,408,408,408}),IF($Q36="Ｃ１",LOOKUP($D36,{8000,8500,9000,10000,10032,12000},{782,2814,2814,2814,2814,2814}),IF($Q36="Ｃ２",LOOKUP($D36,{8000,8500,9000,10000,10032,12000},{3188,5220,5220,5220,5220,5220}),0)))))</f>
      </c>
      <c r="S36" s="413">
        <f t="shared" si="7"/>
      </c>
      <c r="T36" s="540">
        <f>IF(B36="","",SUMIF('6-3_調整額内訳④(旧・新制度)'!B:B,$B36,'6-3_調整額内訳④(旧・新制度)'!AH:AH))</f>
      </c>
      <c r="U36" s="599">
        <f t="shared" si="8"/>
      </c>
      <c r="V36" s="412">
        <f t="shared" si="9"/>
      </c>
      <c r="W36" s="413">
        <f t="shared" si="10"/>
      </c>
      <c r="X36" s="570"/>
      <c r="Y36" s="413">
        <f t="shared" si="11"/>
      </c>
      <c r="Z36" s="570"/>
      <c r="AA36" s="413" t="str">
        <f t="shared" si="12"/>
        <v>0</v>
      </c>
      <c r="AB36" s="412">
        <f t="shared" si="13"/>
        <v>0</v>
      </c>
      <c r="AC36" s="654"/>
      <c r="AD36" s="411">
        <f t="shared" si="14"/>
      </c>
      <c r="AE36" s="603">
        <f t="shared" si="15"/>
      </c>
      <c r="AF36" s="1100"/>
      <c r="AG36" s="1101"/>
      <c r="AH36" s="1102"/>
      <c r="AJ36" s="60">
        <f t="shared" si="0"/>
      </c>
      <c r="AK36" s="60">
        <f t="shared" si="1"/>
      </c>
    </row>
    <row r="37" spans="1:37" s="53" customFormat="1" ht="18.75" customHeight="1">
      <c r="A37" s="181">
        <f t="shared" si="2"/>
      </c>
      <c r="B37" s="581"/>
      <c r="C37" s="56"/>
      <c r="D37" s="466"/>
      <c r="E37" s="238"/>
      <c r="F37" s="202"/>
      <c r="G37" s="191">
        <f t="shared" si="3"/>
      </c>
      <c r="H37" s="404">
        <f t="shared" si="4"/>
      </c>
      <c r="I37" s="521"/>
      <c r="J37" s="109"/>
      <c r="K37" s="553"/>
      <c r="L37" s="109"/>
      <c r="M37" s="404">
        <f t="shared" si="5"/>
      </c>
      <c r="N37" s="549">
        <f t="shared" si="6"/>
      </c>
      <c r="O37" s="594"/>
      <c r="P37" s="408">
        <f>IF($H37="","",IF($O37="Ａ",LOOKUP($D37,{8000,8500,9000,10000,10032,12000},{0,1532,1032,32,0,0}),IF($O37="Ｂ",LOOKUP($D37,{8000,8500,9000,10000,10032,12000},{0,1532,1032,408,408,408}),IF($O37="Ｃ１",LOOKUP($D37,{8000,8500,9000,10000,10032,12000},{782,2814,2814,2814,2814,2814}),IF($O37="Ｃ２",LOOKUP($D37,{8000,8500,9000,10000,10032,12000},{3188,5220,5220,5220,5220,5220}),0)))))</f>
      </c>
      <c r="Q37" s="591"/>
      <c r="R37" s="543">
        <f>IF($H37="","",IF($Q37="Ａ",LOOKUP($D37,{8000,8500,9000,10000,10032,12000},{0,1532,1032,32,0,0}),IF($Q37="Ｂ",LOOKUP($D37,{8000,8500,9000,10000,10032,12000},{0,1532,1032,408,408,408}),IF($Q37="Ｃ１",LOOKUP($D37,{8000,8500,9000,10000,10032,12000},{782,2814,2814,2814,2814,2814}),IF($Q37="Ｃ２",LOOKUP($D37,{8000,8500,9000,10000,10032,12000},{3188,5220,5220,5220,5220,5220}),0)))))</f>
      </c>
      <c r="S37" s="413">
        <f t="shared" si="7"/>
      </c>
      <c r="T37" s="540">
        <f>IF(B37="","",SUMIF('6-3_調整額内訳④(旧・新制度)'!B:B,$B37,'6-3_調整額内訳④(旧・新制度)'!AH:AH))</f>
      </c>
      <c r="U37" s="599">
        <f t="shared" si="8"/>
      </c>
      <c r="V37" s="412">
        <f t="shared" si="9"/>
      </c>
      <c r="W37" s="413">
        <f t="shared" si="10"/>
      </c>
      <c r="X37" s="570"/>
      <c r="Y37" s="413">
        <f t="shared" si="11"/>
      </c>
      <c r="Z37" s="570"/>
      <c r="AA37" s="413" t="str">
        <f t="shared" si="12"/>
        <v>0</v>
      </c>
      <c r="AB37" s="412">
        <f t="shared" si="13"/>
        <v>0</v>
      </c>
      <c r="AC37" s="654"/>
      <c r="AD37" s="411">
        <f t="shared" si="14"/>
      </c>
      <c r="AE37" s="603">
        <f t="shared" si="15"/>
      </c>
      <c r="AF37" s="1100"/>
      <c r="AG37" s="1101"/>
      <c r="AH37" s="1102"/>
      <c r="AJ37" s="60">
        <f t="shared" si="0"/>
      </c>
      <c r="AK37" s="60">
        <f t="shared" si="1"/>
      </c>
    </row>
    <row r="38" spans="1:37" s="53" customFormat="1" ht="18.75" customHeight="1">
      <c r="A38" s="181">
        <f t="shared" si="2"/>
      </c>
      <c r="B38" s="581"/>
      <c r="C38" s="56"/>
      <c r="D38" s="466"/>
      <c r="E38" s="238"/>
      <c r="F38" s="202"/>
      <c r="G38" s="191">
        <f t="shared" si="3"/>
      </c>
      <c r="H38" s="404">
        <f t="shared" si="4"/>
      </c>
      <c r="I38" s="521"/>
      <c r="J38" s="109"/>
      <c r="K38" s="553"/>
      <c r="L38" s="109"/>
      <c r="M38" s="404">
        <f t="shared" si="5"/>
      </c>
      <c r="N38" s="549">
        <f t="shared" si="6"/>
      </c>
      <c r="O38" s="594"/>
      <c r="P38" s="408">
        <f>IF($H38="","",IF($O38="Ａ",LOOKUP($D38,{8000,8500,9000,10000,10032,12000},{0,1532,1032,32,0,0}),IF($O38="Ｂ",LOOKUP($D38,{8000,8500,9000,10000,10032,12000},{0,1532,1032,408,408,408}),IF($O38="Ｃ１",LOOKUP($D38,{8000,8500,9000,10000,10032,12000},{782,2814,2814,2814,2814,2814}),IF($O38="Ｃ２",LOOKUP($D38,{8000,8500,9000,10000,10032,12000},{3188,5220,5220,5220,5220,5220}),0)))))</f>
      </c>
      <c r="Q38" s="591"/>
      <c r="R38" s="543">
        <f>IF($H38="","",IF($Q38="Ａ",LOOKUP($D38,{8000,8500,9000,10000,10032,12000},{0,1532,1032,32,0,0}),IF($Q38="Ｂ",LOOKUP($D38,{8000,8500,9000,10000,10032,12000},{0,1532,1032,408,408,408}),IF($Q38="Ｃ１",LOOKUP($D38,{8000,8500,9000,10000,10032,12000},{782,2814,2814,2814,2814,2814}),IF($Q38="Ｃ２",LOOKUP($D38,{8000,8500,9000,10000,10032,12000},{3188,5220,5220,5220,5220,5220}),0)))))</f>
      </c>
      <c r="S38" s="413">
        <f t="shared" si="7"/>
      </c>
      <c r="T38" s="540">
        <f>IF(B38="","",SUMIF('6-3_調整額内訳④(旧・新制度)'!B:B,$B38,'6-3_調整額内訳④(旧・新制度)'!AH:AH))</f>
      </c>
      <c r="U38" s="599">
        <f t="shared" si="8"/>
      </c>
      <c r="V38" s="412">
        <f t="shared" si="9"/>
      </c>
      <c r="W38" s="413">
        <f t="shared" si="10"/>
      </c>
      <c r="X38" s="570"/>
      <c r="Y38" s="413">
        <f t="shared" si="11"/>
      </c>
      <c r="Z38" s="570"/>
      <c r="AA38" s="413" t="str">
        <f t="shared" si="12"/>
        <v>0</v>
      </c>
      <c r="AB38" s="412">
        <f t="shared" si="13"/>
        <v>0</v>
      </c>
      <c r="AC38" s="654"/>
      <c r="AD38" s="411">
        <f t="shared" si="14"/>
      </c>
      <c r="AE38" s="603">
        <f t="shared" si="15"/>
      </c>
      <c r="AF38" s="1100"/>
      <c r="AG38" s="1101"/>
      <c r="AH38" s="1102"/>
      <c r="AJ38" s="60">
        <f t="shared" si="0"/>
      </c>
      <c r="AK38" s="60">
        <f t="shared" si="1"/>
      </c>
    </row>
    <row r="39" spans="1:37" s="53" customFormat="1" ht="18.75" customHeight="1">
      <c r="A39" s="181">
        <f t="shared" si="2"/>
      </c>
      <c r="B39" s="581"/>
      <c r="C39" s="56"/>
      <c r="D39" s="466"/>
      <c r="E39" s="238"/>
      <c r="F39" s="202"/>
      <c r="G39" s="191">
        <f t="shared" si="3"/>
      </c>
      <c r="H39" s="404">
        <f t="shared" si="4"/>
      </c>
      <c r="I39" s="521"/>
      <c r="J39" s="109"/>
      <c r="K39" s="553"/>
      <c r="L39" s="109"/>
      <c r="M39" s="404">
        <f t="shared" si="5"/>
      </c>
      <c r="N39" s="549">
        <f t="shared" si="6"/>
      </c>
      <c r="O39" s="594"/>
      <c r="P39" s="408">
        <f>IF($H39="","",IF($O39="Ａ",LOOKUP($D39,{8000,8500,9000,10000,10032,12000},{0,1532,1032,32,0,0}),IF($O39="Ｂ",LOOKUP($D39,{8000,8500,9000,10000,10032,12000},{0,1532,1032,408,408,408}),IF($O39="Ｃ１",LOOKUP($D39,{8000,8500,9000,10000,10032,12000},{782,2814,2814,2814,2814,2814}),IF($O39="Ｃ２",LOOKUP($D39,{8000,8500,9000,10000,10032,12000},{3188,5220,5220,5220,5220,5220}),0)))))</f>
      </c>
      <c r="Q39" s="591"/>
      <c r="R39" s="543">
        <f>IF($H39="","",IF($Q39="Ａ",LOOKUP($D39,{8000,8500,9000,10000,10032,12000},{0,1532,1032,32,0,0}),IF($Q39="Ｂ",LOOKUP($D39,{8000,8500,9000,10000,10032,12000},{0,1532,1032,408,408,408}),IF($Q39="Ｃ１",LOOKUP($D39,{8000,8500,9000,10000,10032,12000},{782,2814,2814,2814,2814,2814}),IF($Q39="Ｃ２",LOOKUP($D39,{8000,8500,9000,10000,10032,12000},{3188,5220,5220,5220,5220,5220}),0)))))</f>
      </c>
      <c r="S39" s="413">
        <f t="shared" si="7"/>
      </c>
      <c r="T39" s="540">
        <f>IF(B39="","",SUMIF('6-3_調整額内訳④(旧・新制度)'!B:B,$B39,'6-3_調整額内訳④(旧・新制度)'!AH:AH))</f>
      </c>
      <c r="U39" s="599">
        <f t="shared" si="8"/>
      </c>
      <c r="V39" s="412">
        <f t="shared" si="9"/>
      </c>
      <c r="W39" s="413">
        <f t="shared" si="10"/>
      </c>
      <c r="X39" s="570"/>
      <c r="Y39" s="413">
        <f t="shared" si="11"/>
      </c>
      <c r="Z39" s="570"/>
      <c r="AA39" s="413" t="str">
        <f t="shared" si="12"/>
        <v>0</v>
      </c>
      <c r="AB39" s="412">
        <f t="shared" si="13"/>
        <v>0</v>
      </c>
      <c r="AC39" s="654"/>
      <c r="AD39" s="411">
        <f t="shared" si="14"/>
      </c>
      <c r="AE39" s="603">
        <f t="shared" si="15"/>
      </c>
      <c r="AF39" s="1100"/>
      <c r="AG39" s="1101"/>
      <c r="AH39" s="1102"/>
      <c r="AJ39" s="60">
        <f t="shared" si="0"/>
      </c>
      <c r="AK39" s="60">
        <f t="shared" si="1"/>
      </c>
    </row>
    <row r="40" spans="1:37" s="53" customFormat="1" ht="18.75" customHeight="1">
      <c r="A40" s="181">
        <f t="shared" si="2"/>
      </c>
      <c r="B40" s="581"/>
      <c r="C40" s="56"/>
      <c r="D40" s="466"/>
      <c r="E40" s="238"/>
      <c r="F40" s="202"/>
      <c r="G40" s="191">
        <f t="shared" si="3"/>
      </c>
      <c r="H40" s="404">
        <f t="shared" si="4"/>
      </c>
      <c r="I40" s="521"/>
      <c r="J40" s="109"/>
      <c r="K40" s="553"/>
      <c r="L40" s="109"/>
      <c r="M40" s="404">
        <f t="shared" si="5"/>
      </c>
      <c r="N40" s="549">
        <f t="shared" si="6"/>
      </c>
      <c r="O40" s="594"/>
      <c r="P40" s="408">
        <f>IF($H40="","",IF($O40="Ａ",LOOKUP($D40,{8000,8500,9000,10000,10032,12000},{0,1532,1032,32,0,0}),IF($O40="Ｂ",LOOKUP($D40,{8000,8500,9000,10000,10032,12000},{0,1532,1032,408,408,408}),IF($O40="Ｃ１",LOOKUP($D40,{8000,8500,9000,10000,10032,12000},{782,2814,2814,2814,2814,2814}),IF($O40="Ｃ２",LOOKUP($D40,{8000,8500,9000,10000,10032,12000},{3188,5220,5220,5220,5220,5220}),0)))))</f>
      </c>
      <c r="Q40" s="591"/>
      <c r="R40" s="543">
        <f>IF($H40="","",IF($Q40="Ａ",LOOKUP($D40,{8000,8500,9000,10000,10032,12000},{0,1532,1032,32,0,0}),IF($Q40="Ｂ",LOOKUP($D40,{8000,8500,9000,10000,10032,12000},{0,1532,1032,408,408,408}),IF($Q40="Ｃ１",LOOKUP($D40,{8000,8500,9000,10000,10032,12000},{782,2814,2814,2814,2814,2814}),IF($Q40="Ｃ２",LOOKUP($D40,{8000,8500,9000,10000,10032,12000},{3188,5220,5220,5220,5220,5220}),0)))))</f>
      </c>
      <c r="S40" s="413">
        <f t="shared" si="7"/>
      </c>
      <c r="T40" s="540">
        <f>IF(B40="","",SUMIF('6-3_調整額内訳④(旧・新制度)'!B:B,$B40,'6-3_調整額内訳④(旧・新制度)'!AH:AH))</f>
      </c>
      <c r="U40" s="599">
        <f t="shared" si="8"/>
      </c>
      <c r="V40" s="412">
        <f t="shared" si="9"/>
      </c>
      <c r="W40" s="413">
        <f t="shared" si="10"/>
      </c>
      <c r="X40" s="570"/>
      <c r="Y40" s="413">
        <f t="shared" si="11"/>
      </c>
      <c r="Z40" s="570"/>
      <c r="AA40" s="413" t="str">
        <f t="shared" si="12"/>
        <v>0</v>
      </c>
      <c r="AB40" s="412">
        <f t="shared" si="13"/>
        <v>0</v>
      </c>
      <c r="AC40" s="654"/>
      <c r="AD40" s="411">
        <f t="shared" si="14"/>
      </c>
      <c r="AE40" s="603">
        <f t="shared" si="15"/>
      </c>
      <c r="AF40" s="1100"/>
      <c r="AG40" s="1101"/>
      <c r="AH40" s="1102"/>
      <c r="AJ40" s="60">
        <f t="shared" si="0"/>
      </c>
      <c r="AK40" s="60">
        <f t="shared" si="1"/>
      </c>
    </row>
    <row r="41" spans="1:37" s="53" customFormat="1" ht="18.75" customHeight="1">
      <c r="A41" s="181">
        <f t="shared" si="2"/>
      </c>
      <c r="B41" s="581"/>
      <c r="C41" s="56"/>
      <c r="D41" s="466"/>
      <c r="E41" s="238"/>
      <c r="F41" s="202"/>
      <c r="G41" s="191">
        <f t="shared" si="3"/>
      </c>
      <c r="H41" s="404">
        <f t="shared" si="4"/>
      </c>
      <c r="I41" s="521"/>
      <c r="J41" s="109"/>
      <c r="K41" s="553"/>
      <c r="L41" s="109"/>
      <c r="M41" s="404">
        <f t="shared" si="5"/>
      </c>
      <c r="N41" s="549">
        <f t="shared" si="6"/>
      </c>
      <c r="O41" s="594"/>
      <c r="P41" s="408">
        <f>IF($H41="","",IF($O41="Ａ",LOOKUP($D41,{8000,8500,9000,10000,10032,12000},{0,1532,1032,32,0,0}),IF($O41="Ｂ",LOOKUP($D41,{8000,8500,9000,10000,10032,12000},{0,1532,1032,408,408,408}),IF($O41="Ｃ１",LOOKUP($D41,{8000,8500,9000,10000,10032,12000},{782,2814,2814,2814,2814,2814}),IF($O41="Ｃ２",LOOKUP($D41,{8000,8500,9000,10000,10032,12000},{3188,5220,5220,5220,5220,5220}),0)))))</f>
      </c>
      <c r="Q41" s="591"/>
      <c r="R41" s="543">
        <f>IF($H41="","",IF($Q41="Ａ",LOOKUP($D41,{8000,8500,9000,10000,10032,12000},{0,1532,1032,32,0,0}),IF($Q41="Ｂ",LOOKUP($D41,{8000,8500,9000,10000,10032,12000},{0,1532,1032,408,408,408}),IF($Q41="Ｃ１",LOOKUP($D41,{8000,8500,9000,10000,10032,12000},{782,2814,2814,2814,2814,2814}),IF($Q41="Ｃ２",LOOKUP($D41,{8000,8500,9000,10000,10032,12000},{3188,5220,5220,5220,5220,5220}),0)))))</f>
      </c>
      <c r="S41" s="413">
        <f t="shared" si="7"/>
      </c>
      <c r="T41" s="540">
        <f>IF(B41="","",SUMIF('6-3_調整額内訳④(旧・新制度)'!B:B,$B41,'6-3_調整額内訳④(旧・新制度)'!AH:AH))</f>
      </c>
      <c r="U41" s="599">
        <f t="shared" si="8"/>
      </c>
      <c r="V41" s="412">
        <f t="shared" si="9"/>
      </c>
      <c r="W41" s="413">
        <f t="shared" si="10"/>
      </c>
      <c r="X41" s="570"/>
      <c r="Y41" s="413">
        <f t="shared" si="11"/>
      </c>
      <c r="Z41" s="570"/>
      <c r="AA41" s="413" t="str">
        <f t="shared" si="12"/>
        <v>0</v>
      </c>
      <c r="AB41" s="412">
        <f t="shared" si="13"/>
        <v>0</v>
      </c>
      <c r="AC41" s="654"/>
      <c r="AD41" s="411">
        <f t="shared" si="14"/>
      </c>
      <c r="AE41" s="603">
        <f t="shared" si="15"/>
      </c>
      <c r="AF41" s="1100"/>
      <c r="AG41" s="1101"/>
      <c r="AH41" s="1102"/>
      <c r="AJ41" s="60">
        <f t="shared" si="0"/>
      </c>
      <c r="AK41" s="60">
        <f t="shared" si="1"/>
      </c>
    </row>
    <row r="42" spans="1:37" s="53" customFormat="1" ht="18.75" customHeight="1">
      <c r="A42" s="181">
        <f t="shared" si="2"/>
      </c>
      <c r="B42" s="581"/>
      <c r="C42" s="56"/>
      <c r="D42" s="466"/>
      <c r="E42" s="238"/>
      <c r="F42" s="202"/>
      <c r="G42" s="191">
        <f t="shared" si="3"/>
      </c>
      <c r="H42" s="404">
        <f t="shared" si="4"/>
      </c>
      <c r="I42" s="521"/>
      <c r="J42" s="109"/>
      <c r="K42" s="553"/>
      <c r="L42" s="109"/>
      <c r="M42" s="404">
        <f t="shared" si="5"/>
      </c>
      <c r="N42" s="549">
        <f t="shared" si="6"/>
      </c>
      <c r="O42" s="594"/>
      <c r="P42" s="408">
        <f>IF($H42="","",IF($O42="Ａ",LOOKUP($D42,{8000,8500,9000,10000,10032,12000},{0,1532,1032,32,0,0}),IF($O42="Ｂ",LOOKUP($D42,{8000,8500,9000,10000,10032,12000},{0,1532,1032,408,408,408}),IF($O42="Ｃ１",LOOKUP($D42,{8000,8500,9000,10000,10032,12000},{782,2814,2814,2814,2814,2814}),IF($O42="Ｃ２",LOOKUP($D42,{8000,8500,9000,10000,10032,12000},{3188,5220,5220,5220,5220,5220}),0)))))</f>
      </c>
      <c r="Q42" s="591"/>
      <c r="R42" s="543">
        <f>IF($H42="","",IF($Q42="Ａ",LOOKUP($D42,{8000,8500,9000,10000,10032,12000},{0,1532,1032,32,0,0}),IF($Q42="Ｂ",LOOKUP($D42,{8000,8500,9000,10000,10032,12000},{0,1532,1032,408,408,408}),IF($Q42="Ｃ１",LOOKUP($D42,{8000,8500,9000,10000,10032,12000},{782,2814,2814,2814,2814,2814}),IF($Q42="Ｃ２",LOOKUP($D42,{8000,8500,9000,10000,10032,12000},{3188,5220,5220,5220,5220,5220}),0)))))</f>
      </c>
      <c r="S42" s="413">
        <f t="shared" si="7"/>
      </c>
      <c r="T42" s="540">
        <f>IF(B42="","",SUMIF('6-3_調整額内訳④(旧・新制度)'!B:B,$B42,'6-3_調整額内訳④(旧・新制度)'!AH:AH))</f>
      </c>
      <c r="U42" s="599">
        <f t="shared" si="8"/>
      </c>
      <c r="V42" s="412">
        <f t="shared" si="9"/>
      </c>
      <c r="W42" s="413">
        <f t="shared" si="10"/>
      </c>
      <c r="X42" s="570"/>
      <c r="Y42" s="413">
        <f t="shared" si="11"/>
      </c>
      <c r="Z42" s="570"/>
      <c r="AA42" s="413" t="str">
        <f t="shared" si="12"/>
        <v>0</v>
      </c>
      <c r="AB42" s="412">
        <f t="shared" si="13"/>
        <v>0</v>
      </c>
      <c r="AC42" s="654"/>
      <c r="AD42" s="411">
        <f t="shared" si="14"/>
      </c>
      <c r="AE42" s="603">
        <f t="shared" si="15"/>
      </c>
      <c r="AF42" s="1100"/>
      <c r="AG42" s="1101"/>
      <c r="AH42" s="1102"/>
      <c r="AJ42" s="60">
        <f t="shared" si="0"/>
      </c>
      <c r="AK42" s="60">
        <f t="shared" si="1"/>
      </c>
    </row>
    <row r="43" spans="1:37" s="53" customFormat="1" ht="18.75" customHeight="1">
      <c r="A43" s="181">
        <f t="shared" si="2"/>
      </c>
      <c r="B43" s="581"/>
      <c r="C43" s="56"/>
      <c r="D43" s="466"/>
      <c r="E43" s="238"/>
      <c r="F43" s="202"/>
      <c r="G43" s="191">
        <f t="shared" si="3"/>
      </c>
      <c r="H43" s="404">
        <f t="shared" si="4"/>
      </c>
      <c r="I43" s="521"/>
      <c r="J43" s="109"/>
      <c r="K43" s="553"/>
      <c r="L43" s="109"/>
      <c r="M43" s="404">
        <f t="shared" si="5"/>
      </c>
      <c r="N43" s="549">
        <f t="shared" si="6"/>
      </c>
      <c r="O43" s="594"/>
      <c r="P43" s="408">
        <f>IF($H43="","",IF($O43="Ａ",LOOKUP($D43,{8000,8500,9000,10000,10032,12000},{0,1532,1032,32,0,0}),IF($O43="Ｂ",LOOKUP($D43,{8000,8500,9000,10000,10032,12000},{0,1532,1032,408,408,408}),IF($O43="Ｃ１",LOOKUP($D43,{8000,8500,9000,10000,10032,12000},{782,2814,2814,2814,2814,2814}),IF($O43="Ｃ２",LOOKUP($D43,{8000,8500,9000,10000,10032,12000},{3188,5220,5220,5220,5220,5220}),0)))))</f>
      </c>
      <c r="Q43" s="591"/>
      <c r="R43" s="543">
        <f>IF($H43="","",IF($Q43="Ａ",LOOKUP($D43,{8000,8500,9000,10000,10032,12000},{0,1532,1032,32,0,0}),IF($Q43="Ｂ",LOOKUP($D43,{8000,8500,9000,10000,10032,12000},{0,1532,1032,408,408,408}),IF($Q43="Ｃ１",LOOKUP($D43,{8000,8500,9000,10000,10032,12000},{782,2814,2814,2814,2814,2814}),IF($Q43="Ｃ２",LOOKUP($D43,{8000,8500,9000,10000,10032,12000},{3188,5220,5220,5220,5220,5220}),0)))))</f>
      </c>
      <c r="S43" s="413">
        <f t="shared" si="7"/>
      </c>
      <c r="T43" s="540">
        <f>IF(B43="","",SUMIF('6-3_調整額内訳④(旧・新制度)'!B:B,$B43,'6-3_調整額内訳④(旧・新制度)'!AH:AH))</f>
      </c>
      <c r="U43" s="599">
        <f t="shared" si="8"/>
      </c>
      <c r="V43" s="412">
        <f t="shared" si="9"/>
      </c>
      <c r="W43" s="413">
        <f t="shared" si="10"/>
      </c>
      <c r="X43" s="570"/>
      <c r="Y43" s="413">
        <f t="shared" si="11"/>
      </c>
      <c r="Z43" s="570"/>
      <c r="AA43" s="413" t="str">
        <f t="shared" si="12"/>
        <v>0</v>
      </c>
      <c r="AB43" s="412">
        <f t="shared" si="13"/>
        <v>0</v>
      </c>
      <c r="AC43" s="654"/>
      <c r="AD43" s="411">
        <f t="shared" si="14"/>
      </c>
      <c r="AE43" s="603">
        <f t="shared" si="15"/>
      </c>
      <c r="AF43" s="1100"/>
      <c r="AG43" s="1101"/>
      <c r="AH43" s="1102"/>
      <c r="AJ43" s="60">
        <f t="shared" si="0"/>
      </c>
      <c r="AK43" s="60">
        <f t="shared" si="1"/>
      </c>
    </row>
    <row r="44" spans="1:37" s="53" customFormat="1" ht="18.75" customHeight="1" thickBot="1">
      <c r="A44" s="579">
        <f t="shared" si="2"/>
      </c>
      <c r="B44" s="582"/>
      <c r="C44" s="584"/>
      <c r="D44" s="468"/>
      <c r="E44" s="587"/>
      <c r="F44" s="203"/>
      <c r="G44" s="192">
        <f t="shared" si="3"/>
      </c>
      <c r="H44" s="405">
        <f t="shared" si="4"/>
      </c>
      <c r="I44" s="523"/>
      <c r="J44" s="110"/>
      <c r="K44" s="554"/>
      <c r="L44" s="110"/>
      <c r="M44" s="405">
        <f t="shared" si="5"/>
      </c>
      <c r="N44" s="550">
        <f t="shared" si="6"/>
      </c>
      <c r="O44" s="595"/>
      <c r="P44" s="409">
        <f>IF($H44="","",IF($O44="Ａ",LOOKUP($D44,{8000,8500,9000,10000,10032,12000},{0,1532,1032,32,0,0}),IF($O44="Ｂ",LOOKUP($D44,{8000,8500,9000,10000,10032,12000},{0,1532,1032,408,408,408}),IF($O44="Ｃ１",LOOKUP($D44,{8000,8500,9000,10000,10032,12000},{782,2814,2814,2814,2814,2814}),IF($O44="Ｃ２",LOOKUP($D44,{8000,8500,9000,10000,10032,12000},{3188,5220,5220,5220,5220,5220}),0)))))</f>
      </c>
      <c r="Q44" s="592"/>
      <c r="R44" s="544">
        <f>IF($H44="","",IF($Q44="Ａ",LOOKUP($D44,{8000,8500,9000,10000,10032,12000},{0,1532,1032,32,0,0}),IF($Q44="Ｂ",LOOKUP($D44,{8000,8500,9000,10000,10032,12000},{0,1532,1032,408,408,408}),IF($Q44="Ｃ１",LOOKUP($D44,{8000,8500,9000,10000,10032,12000},{782,2814,2814,2814,2814,2814}),IF($Q44="Ｃ２",LOOKUP($D44,{8000,8500,9000,10000,10032,12000},{3188,5220,5220,5220,5220,5220}),0)))))</f>
      </c>
      <c r="S44" s="415">
        <f t="shared" si="7"/>
      </c>
      <c r="T44" s="541">
        <f>IF(B44="","",SUMIF('6-3_調整額内訳④(旧・新制度)'!B:B,$B44,'6-3_調整額内訳④(旧・新制度)'!AH:AH))</f>
      </c>
      <c r="U44" s="601">
        <f t="shared" si="8"/>
      </c>
      <c r="V44" s="536">
        <f t="shared" si="9"/>
      </c>
      <c r="W44" s="415">
        <f t="shared" si="10"/>
      </c>
      <c r="X44" s="571"/>
      <c r="Y44" s="415">
        <f t="shared" si="11"/>
      </c>
      <c r="Z44" s="571"/>
      <c r="AA44" s="415" t="str">
        <f t="shared" si="12"/>
        <v>0</v>
      </c>
      <c r="AB44" s="536">
        <f t="shared" si="13"/>
        <v>0</v>
      </c>
      <c r="AC44" s="655"/>
      <c r="AD44" s="656">
        <f t="shared" si="14"/>
      </c>
      <c r="AE44" s="604">
        <f t="shared" si="15"/>
      </c>
      <c r="AF44" s="1103"/>
      <c r="AG44" s="1104"/>
      <c r="AH44" s="1105"/>
      <c r="AJ44" s="60">
        <f t="shared" si="0"/>
      </c>
      <c r="AK44" s="60">
        <f t="shared" si="1"/>
      </c>
    </row>
    <row r="45" spans="1:37" s="65" customFormat="1" ht="25.5" customHeight="1" thickBot="1">
      <c r="A45" s="1081" t="s">
        <v>161</v>
      </c>
      <c r="B45" s="1082"/>
      <c r="C45" s="1082"/>
      <c r="D45" s="1083"/>
      <c r="E45" s="507">
        <f>SUM(E8:E44)</f>
        <v>0</v>
      </c>
      <c r="F45" s="507">
        <f>SUM(F8:F44)</f>
        <v>0</v>
      </c>
      <c r="G45" s="509">
        <f>SUM(G8:G44)</f>
        <v>0</v>
      </c>
      <c r="H45" s="469" t="s">
        <v>155</v>
      </c>
      <c r="I45" s="510" t="s">
        <v>155</v>
      </c>
      <c r="J45" s="511" t="s">
        <v>155</v>
      </c>
      <c r="K45" s="514">
        <f>SUM(K8:K44)</f>
        <v>0</v>
      </c>
      <c r="L45" s="514">
        <f>SUM(L8:L44)</f>
        <v>0</v>
      </c>
      <c r="M45" s="514">
        <f>SUM(M8:M44)</f>
        <v>0</v>
      </c>
      <c r="N45" s="515" t="s">
        <v>155</v>
      </c>
      <c r="O45" s="469" t="s">
        <v>155</v>
      </c>
      <c r="P45" s="515"/>
      <c r="Q45" s="469" t="s">
        <v>155</v>
      </c>
      <c r="R45" s="515"/>
      <c r="S45" s="516">
        <f aca="true" t="shared" si="16" ref="S45:AE45">SUM(S8:S44)</f>
        <v>0</v>
      </c>
      <c r="T45" s="517">
        <f t="shared" si="16"/>
        <v>0</v>
      </c>
      <c r="U45" s="518">
        <f t="shared" si="16"/>
        <v>0</v>
      </c>
      <c r="V45" s="519">
        <f t="shared" si="16"/>
        <v>0</v>
      </c>
      <c r="W45" s="519">
        <f>SUM(W8:W44)</f>
        <v>0</v>
      </c>
      <c r="X45" s="519">
        <f t="shared" si="16"/>
        <v>0</v>
      </c>
      <c r="Y45" s="519">
        <f t="shared" si="16"/>
        <v>0</v>
      </c>
      <c r="Z45" s="519">
        <f t="shared" si="16"/>
        <v>0</v>
      </c>
      <c r="AA45" s="519">
        <f t="shared" si="16"/>
        <v>0</v>
      </c>
      <c r="AB45" s="519">
        <f t="shared" si="16"/>
        <v>0</v>
      </c>
      <c r="AC45" s="519">
        <f t="shared" si="16"/>
        <v>0</v>
      </c>
      <c r="AD45" s="519">
        <f t="shared" si="16"/>
        <v>0</v>
      </c>
      <c r="AE45" s="520">
        <f t="shared" si="16"/>
        <v>0</v>
      </c>
      <c r="AF45" s="986"/>
      <c r="AG45" s="987"/>
      <c r="AH45" s="988"/>
      <c r="AJ45" s="66"/>
      <c r="AK45" s="66"/>
    </row>
    <row r="46" spans="1:37" s="295" customFormat="1" ht="15.75" customHeight="1">
      <c r="A46" s="295" t="s">
        <v>29</v>
      </c>
      <c r="O46" s="296"/>
      <c r="Q46" s="296"/>
      <c r="AJ46" s="297"/>
      <c r="AK46" s="297"/>
    </row>
    <row r="47" spans="1:37" s="295" customFormat="1" ht="15.75" customHeight="1">
      <c r="A47" s="295" t="s">
        <v>153</v>
      </c>
      <c r="O47" s="296"/>
      <c r="Q47" s="296"/>
      <c r="AJ47" s="297"/>
      <c r="AK47" s="297"/>
    </row>
    <row r="48" spans="1:37" s="295" customFormat="1" ht="15.75" customHeight="1">
      <c r="A48" s="295" t="s">
        <v>168</v>
      </c>
      <c r="O48" s="296"/>
      <c r="Q48" s="296"/>
      <c r="AJ48" s="297"/>
      <c r="AK48" s="297"/>
    </row>
    <row r="49" spans="1:37" s="295" customFormat="1" ht="15.75" customHeight="1">
      <c r="A49" s="295" t="s">
        <v>159</v>
      </c>
      <c r="O49" s="296"/>
      <c r="Q49" s="296"/>
      <c r="AJ49" s="297"/>
      <c r="AK49" s="297"/>
    </row>
    <row r="50" spans="1:37" s="295" customFormat="1" ht="15.75" customHeight="1">
      <c r="A50" s="295" t="s">
        <v>249</v>
      </c>
      <c r="O50" s="296"/>
      <c r="Q50" s="296"/>
      <c r="AJ50" s="297"/>
      <c r="AK50" s="297"/>
    </row>
    <row r="51" spans="1:37" s="295" customFormat="1" ht="15.75" customHeight="1">
      <c r="A51" s="295" t="s">
        <v>255</v>
      </c>
      <c r="O51" s="296"/>
      <c r="Q51" s="296"/>
      <c r="AJ51" s="297"/>
      <c r="AK51" s="297"/>
    </row>
    <row r="52" spans="1:37" s="295" customFormat="1" ht="15.75" customHeight="1">
      <c r="A52" s="295" t="s">
        <v>176</v>
      </c>
      <c r="O52" s="296"/>
      <c r="Q52" s="296"/>
      <c r="AJ52" s="297"/>
      <c r="AK52" s="297"/>
    </row>
    <row r="53" spans="1:37" s="295" customFormat="1" ht="15.75" customHeight="1">
      <c r="A53" s="295" t="s">
        <v>177</v>
      </c>
      <c r="O53" s="296"/>
      <c r="Q53" s="296"/>
      <c r="AJ53" s="297"/>
      <c r="AK53" s="297"/>
    </row>
    <row r="54" spans="1:37" s="295" customFormat="1" ht="15.75" customHeight="1">
      <c r="A54" s="295" t="s">
        <v>250</v>
      </c>
      <c r="O54" s="296"/>
      <c r="Q54" s="296"/>
      <c r="AJ54" s="297"/>
      <c r="AK54" s="297"/>
    </row>
    <row r="55" spans="1:37" s="295" customFormat="1" ht="15.75" customHeight="1">
      <c r="A55" s="295" t="s">
        <v>229</v>
      </c>
      <c r="O55" s="296"/>
      <c r="Q55" s="296"/>
      <c r="AJ55" s="297"/>
      <c r="AK55" s="297"/>
    </row>
    <row r="56" spans="1:36" s="295" customFormat="1" ht="15.75" customHeight="1">
      <c r="A56" s="295" t="s">
        <v>230</v>
      </c>
      <c r="O56" s="296"/>
      <c r="Q56" s="296"/>
      <c r="AI56" s="297"/>
      <c r="AJ56" s="297"/>
    </row>
    <row r="57" spans="1:37" s="295" customFormat="1" ht="15.75" customHeight="1">
      <c r="A57" s="295" t="s">
        <v>163</v>
      </c>
      <c r="O57" s="296"/>
      <c r="Q57" s="296"/>
      <c r="AJ57" s="297"/>
      <c r="AK57" s="297"/>
    </row>
    <row r="58" spans="1:37" s="295" customFormat="1" ht="15.75" customHeight="1">
      <c r="A58" s="295" t="s">
        <v>164</v>
      </c>
      <c r="O58" s="296"/>
      <c r="Q58" s="296"/>
      <c r="AJ58" s="297"/>
      <c r="AK58" s="297"/>
    </row>
    <row r="59" spans="1:37" s="295" customFormat="1" ht="15.75" customHeight="1">
      <c r="A59" s="295" t="s">
        <v>165</v>
      </c>
      <c r="O59" s="296"/>
      <c r="Q59" s="296"/>
      <c r="AJ59" s="297"/>
      <c r="AK59" s="297"/>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4">
    <mergeCell ref="A4:A7"/>
    <mergeCell ref="B4:B7"/>
    <mergeCell ref="C4:C7"/>
    <mergeCell ref="D4:D6"/>
    <mergeCell ref="E4:G4"/>
    <mergeCell ref="H4:N4"/>
    <mergeCell ref="AB4:AB5"/>
    <mergeCell ref="O4:U4"/>
    <mergeCell ref="V4:V6"/>
    <mergeCell ref="Q5:R5"/>
    <mergeCell ref="S5:S6"/>
    <mergeCell ref="T5:T6"/>
    <mergeCell ref="U5:U6"/>
    <mergeCell ref="O6:O7"/>
    <mergeCell ref="Q6:Q7"/>
    <mergeCell ref="AJ4:AJ7"/>
    <mergeCell ref="AK4:AK7"/>
    <mergeCell ref="G5:G6"/>
    <mergeCell ref="H5:H6"/>
    <mergeCell ref="I5:I6"/>
    <mergeCell ref="J5:J6"/>
    <mergeCell ref="M5:M6"/>
    <mergeCell ref="N5:N6"/>
    <mergeCell ref="O5:P5"/>
    <mergeCell ref="W4:W6"/>
    <mergeCell ref="AF8:AH8"/>
    <mergeCell ref="AF9:AH9"/>
    <mergeCell ref="AF4:AH7"/>
    <mergeCell ref="X4:X6"/>
    <mergeCell ref="Y4:Y6"/>
    <mergeCell ref="AC4:AC6"/>
    <mergeCell ref="AD4:AD6"/>
    <mergeCell ref="AE4:AE6"/>
    <mergeCell ref="Z4:Z5"/>
    <mergeCell ref="AA4:AA5"/>
    <mergeCell ref="AF10:AH10"/>
    <mergeCell ref="AF11:AH11"/>
    <mergeCell ref="AF12:AH12"/>
    <mergeCell ref="AF13:AH13"/>
    <mergeCell ref="AF14:AH14"/>
    <mergeCell ref="AF15:AH15"/>
    <mergeCell ref="AF16:AH16"/>
    <mergeCell ref="AF17:AH17"/>
    <mergeCell ref="AF18:AH18"/>
    <mergeCell ref="AF19:AH19"/>
    <mergeCell ref="AF20:AH20"/>
    <mergeCell ref="AF21:AH21"/>
    <mergeCell ref="AF36:AH36"/>
    <mergeCell ref="AF22:AH22"/>
    <mergeCell ref="AF23:AH23"/>
    <mergeCell ref="AF24:AH24"/>
    <mergeCell ref="AF25:AH25"/>
    <mergeCell ref="AF26:AH26"/>
    <mergeCell ref="AF27:AH27"/>
    <mergeCell ref="AF41:AH41"/>
    <mergeCell ref="AF28:AH28"/>
    <mergeCell ref="AF29:AH29"/>
    <mergeCell ref="AF30:AH30"/>
    <mergeCell ref="AF31:AH31"/>
    <mergeCell ref="AF43:AH43"/>
    <mergeCell ref="AF32:AH32"/>
    <mergeCell ref="AF33:AH33"/>
    <mergeCell ref="AF34:AH34"/>
    <mergeCell ref="AF35:AH35"/>
    <mergeCell ref="AF42:AH42"/>
    <mergeCell ref="AF37:AH37"/>
    <mergeCell ref="Z1:AF1"/>
    <mergeCell ref="Z2:AF2"/>
    <mergeCell ref="AF44:AH44"/>
    <mergeCell ref="A45:D45"/>
    <mergeCell ref="AF45:AH45"/>
    <mergeCell ref="AF38:AH38"/>
    <mergeCell ref="AF39:AH39"/>
    <mergeCell ref="AF40:AH40"/>
  </mergeCells>
  <dataValidations count="3">
    <dataValidation type="list" allowBlank="1" showInputMessage="1" showErrorMessage="1" sqref="O8:O44 Q8:Q44">
      <formula1>"Ａ,Ｂ,Ｃ１,Ｃ２,Ｄ"</formula1>
    </dataValidation>
    <dataValidation type="whole" allowBlank="1" showInputMessage="1" showErrorMessage="1" sqref="C8:C44">
      <formula1>1</formula1>
      <formula2>4</formula2>
    </dataValidation>
    <dataValidation type="whole" allowBlank="1" showInputMessage="1" showErrorMessage="1" sqref="M8:M44 Z8:Z44 X8:X44 H8:I44">
      <formula1>0</formula1>
      <formula2>9999999</formula2>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35" r:id="rId3"/>
  <legacyDrawing r:id="rId2"/>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AQ44"/>
  <sheetViews>
    <sheetView view="pageBreakPreview" zoomScale="75" zoomScaleNormal="75" zoomScaleSheetLayoutView="75" zoomScalePageLayoutView="0" workbookViewId="0" topLeftCell="F1">
      <selection activeCell="Q10" sqref="Q10:AO10"/>
    </sheetView>
  </sheetViews>
  <sheetFormatPr defaultColWidth="9.625" defaultRowHeight="13.5"/>
  <cols>
    <col min="1" max="1" width="6.25390625" style="40" customWidth="1"/>
    <col min="2" max="2" width="15.625" style="227" customWidth="1"/>
    <col min="3" max="3" width="9.00390625" style="246"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2" width="4.375" style="40" customWidth="1"/>
    <col min="33" max="33" width="11.00390625" style="40" bestFit="1" customWidth="1"/>
    <col min="34" max="34" width="10.25390625" style="40" bestFit="1" customWidth="1"/>
    <col min="35" max="35" width="9.75390625" style="40" customWidth="1"/>
    <col min="36" max="36" width="6.50390625" style="40" customWidth="1"/>
    <col min="37" max="37" width="8.25390625" style="40" customWidth="1"/>
    <col min="38" max="38" width="3.125" style="40" customWidth="1"/>
    <col min="39" max="39" width="8.625" style="41" bestFit="1" customWidth="1"/>
    <col min="40" max="40" width="5.25390625" style="41" bestFit="1" customWidth="1"/>
    <col min="41" max="16384" width="9.625" style="40" customWidth="1"/>
  </cols>
  <sheetData>
    <row r="1" spans="1:40" ht="24.75" customHeight="1">
      <c r="A1" s="39" t="s">
        <v>251</v>
      </c>
      <c r="B1" s="226"/>
      <c r="W1" s="918" t="s">
        <v>25</v>
      </c>
      <c r="X1" s="918"/>
      <c r="Y1" s="918"/>
      <c r="Z1" s="897">
        <f>'5_総括表'!E3</f>
        <v>0</v>
      </c>
      <c r="AA1" s="919"/>
      <c r="AB1" s="919"/>
      <c r="AC1" s="919"/>
      <c r="AD1" s="919"/>
      <c r="AE1" s="919"/>
      <c r="AF1" s="919"/>
      <c r="AG1" s="919"/>
      <c r="AH1" s="920"/>
      <c r="AI1" s="164" t="s">
        <v>26</v>
      </c>
      <c r="AJ1" s="921">
        <f>'5_総括表'!Z3</f>
        <v>0</v>
      </c>
      <c r="AK1" s="922"/>
      <c r="AM1" s="46"/>
      <c r="AN1" s="46"/>
    </row>
    <row r="2" spans="1:40" ht="24.75" customHeight="1" thickBot="1">
      <c r="A2" s="42"/>
      <c r="W2" s="923" t="s">
        <v>23</v>
      </c>
      <c r="X2" s="923"/>
      <c r="Y2" s="923"/>
      <c r="Z2" s="900">
        <f>'5_総括表'!E4</f>
        <v>0</v>
      </c>
      <c r="AA2" s="924"/>
      <c r="AB2" s="924"/>
      <c r="AC2" s="924"/>
      <c r="AD2" s="924"/>
      <c r="AE2" s="924"/>
      <c r="AF2" s="924"/>
      <c r="AG2" s="924"/>
      <c r="AH2" s="925"/>
      <c r="AI2" s="165" t="s">
        <v>24</v>
      </c>
      <c r="AJ2" s="926">
        <f>'5_総括表'!Z4</f>
        <v>0</v>
      </c>
      <c r="AK2" s="927"/>
      <c r="AM2" s="69"/>
      <c r="AN2" s="70"/>
    </row>
    <row r="3" spans="1:40" ht="18.75" customHeight="1" thickBot="1">
      <c r="A3" s="281" t="s">
        <v>224</v>
      </c>
      <c r="B3" s="228"/>
      <c r="AJ3" s="43"/>
      <c r="AK3" s="43" t="s">
        <v>28</v>
      </c>
      <c r="AM3" s="69"/>
      <c r="AN3" s="70"/>
    </row>
    <row r="4" spans="1:40" s="44" customFormat="1" ht="18.75" customHeight="1" thickBot="1">
      <c r="A4" s="814" t="s">
        <v>32</v>
      </c>
      <c r="B4" s="1095" t="s">
        <v>170</v>
      </c>
      <c r="C4" s="906" t="s">
        <v>16</v>
      </c>
      <c r="D4" s="809" t="s">
        <v>75</v>
      </c>
      <c r="E4" s="809" t="s">
        <v>106</v>
      </c>
      <c r="F4" s="803" t="s">
        <v>253</v>
      </c>
      <c r="G4" s="804"/>
      <c r="H4" s="804"/>
      <c r="I4" s="804"/>
      <c r="J4" s="805"/>
      <c r="K4" s="932" t="s">
        <v>65</v>
      </c>
      <c r="L4" s="933"/>
      <c r="M4" s="933"/>
      <c r="N4" s="933"/>
      <c r="O4" s="933"/>
      <c r="P4" s="933"/>
      <c r="Q4" s="933"/>
      <c r="R4" s="933"/>
      <c r="S4" s="933"/>
      <c r="T4" s="933"/>
      <c r="U4" s="933"/>
      <c r="V4" s="933"/>
      <c r="W4" s="933"/>
      <c r="X4" s="933"/>
      <c r="Y4" s="933"/>
      <c r="Z4" s="933"/>
      <c r="AA4" s="933"/>
      <c r="AB4" s="933"/>
      <c r="AC4" s="933"/>
      <c r="AD4" s="933"/>
      <c r="AE4" s="933"/>
      <c r="AF4" s="939"/>
      <c r="AG4" s="809" t="s">
        <v>63</v>
      </c>
      <c r="AH4" s="934" t="s">
        <v>64</v>
      </c>
      <c r="AI4" s="937" t="s">
        <v>66</v>
      </c>
      <c r="AJ4" s="938"/>
      <c r="AK4" s="939"/>
      <c r="AM4" s="69"/>
      <c r="AN4" s="70"/>
    </row>
    <row r="5" spans="1:40" s="44" customFormat="1" ht="18.75" customHeight="1" thickBot="1">
      <c r="A5" s="903"/>
      <c r="B5" s="1096"/>
      <c r="C5" s="907"/>
      <c r="D5" s="873"/>
      <c r="E5" s="873"/>
      <c r="F5" s="932" t="s">
        <v>107</v>
      </c>
      <c r="G5" s="945"/>
      <c r="H5" s="946"/>
      <c r="I5" s="946"/>
      <c r="J5" s="947"/>
      <c r="K5" s="948" t="s">
        <v>62</v>
      </c>
      <c r="L5" s="949"/>
      <c r="M5" s="949"/>
      <c r="N5" s="949"/>
      <c r="O5" s="949"/>
      <c r="P5" s="949"/>
      <c r="Q5" s="949"/>
      <c r="R5" s="949"/>
      <c r="S5" s="949"/>
      <c r="T5" s="949"/>
      <c r="U5" s="949"/>
      <c r="V5" s="950"/>
      <c r="W5" s="803" t="s">
        <v>118</v>
      </c>
      <c r="X5" s="804"/>
      <c r="Y5" s="804"/>
      <c r="Z5" s="804"/>
      <c r="AA5" s="804"/>
      <c r="AB5" s="804"/>
      <c r="AC5" s="804"/>
      <c r="AD5" s="804"/>
      <c r="AE5" s="804"/>
      <c r="AF5" s="805"/>
      <c r="AG5" s="873"/>
      <c r="AH5" s="935"/>
      <c r="AI5" s="940"/>
      <c r="AJ5" s="941"/>
      <c r="AK5" s="942"/>
      <c r="AM5" s="69"/>
      <c r="AN5" s="70"/>
    </row>
    <row r="6" spans="1:40" s="44" customFormat="1" ht="21.75" customHeight="1" thickBot="1">
      <c r="A6" s="903"/>
      <c r="B6" s="1096"/>
      <c r="C6" s="907"/>
      <c r="D6" s="873"/>
      <c r="E6" s="873"/>
      <c r="F6" s="951" t="s">
        <v>18</v>
      </c>
      <c r="G6" s="928" t="s">
        <v>50</v>
      </c>
      <c r="H6" s="951" t="s">
        <v>18</v>
      </c>
      <c r="I6" s="928" t="s">
        <v>50</v>
      </c>
      <c r="J6" s="930" t="s">
        <v>108</v>
      </c>
      <c r="K6" s="1094" t="s">
        <v>60</v>
      </c>
      <c r="L6" s="1094"/>
      <c r="M6" s="1094"/>
      <c r="N6" s="953" t="s">
        <v>61</v>
      </c>
      <c r="O6" s="954"/>
      <c r="P6" s="954"/>
      <c r="Q6" s="954"/>
      <c r="R6" s="954"/>
      <c r="S6" s="954"/>
      <c r="T6" s="954"/>
      <c r="U6" s="954"/>
      <c r="V6" s="955"/>
      <c r="W6" s="932" t="s">
        <v>84</v>
      </c>
      <c r="X6" s="957" t="s">
        <v>84</v>
      </c>
      <c r="Y6" s="932" t="s">
        <v>90</v>
      </c>
      <c r="Z6" s="960" t="s">
        <v>90</v>
      </c>
      <c r="AA6" s="975" t="s">
        <v>208</v>
      </c>
      <c r="AB6" s="978" t="s">
        <v>208</v>
      </c>
      <c r="AC6" s="1111" t="s">
        <v>209</v>
      </c>
      <c r="AD6" s="978" t="s">
        <v>209</v>
      </c>
      <c r="AE6" s="1111" t="s">
        <v>174</v>
      </c>
      <c r="AF6" s="1114" t="s">
        <v>174</v>
      </c>
      <c r="AG6" s="873"/>
      <c r="AH6" s="936"/>
      <c r="AI6" s="943"/>
      <c r="AJ6" s="944"/>
      <c r="AK6" s="942"/>
      <c r="AM6" s="69"/>
      <c r="AN6" s="71"/>
    </row>
    <row r="7" spans="1:43" s="44" customFormat="1" ht="20.25" customHeight="1" thickBot="1">
      <c r="A7" s="903"/>
      <c r="B7" s="1096"/>
      <c r="C7" s="907"/>
      <c r="D7" s="873"/>
      <c r="E7" s="873"/>
      <c r="F7" s="952"/>
      <c r="G7" s="929"/>
      <c r="H7" s="952"/>
      <c r="I7" s="929"/>
      <c r="J7" s="931"/>
      <c r="K7" s="803" t="s">
        <v>54</v>
      </c>
      <c r="L7" s="1087" t="s">
        <v>55</v>
      </c>
      <c r="M7" s="805" t="s">
        <v>56</v>
      </c>
      <c r="N7" s="803" t="s">
        <v>51</v>
      </c>
      <c r="O7" s="1087" t="s">
        <v>85</v>
      </c>
      <c r="P7" s="1087" t="s">
        <v>86</v>
      </c>
      <c r="Q7" s="1087" t="s">
        <v>87</v>
      </c>
      <c r="R7" s="1087" t="s">
        <v>52</v>
      </c>
      <c r="S7" s="1087" t="s">
        <v>53</v>
      </c>
      <c r="T7" s="1087" t="s">
        <v>57</v>
      </c>
      <c r="U7" s="1087" t="s">
        <v>58</v>
      </c>
      <c r="V7" s="805" t="s">
        <v>59</v>
      </c>
      <c r="W7" s="943"/>
      <c r="X7" s="958"/>
      <c r="Y7" s="943"/>
      <c r="Z7" s="961"/>
      <c r="AA7" s="976"/>
      <c r="AB7" s="979"/>
      <c r="AC7" s="1112"/>
      <c r="AD7" s="979"/>
      <c r="AE7" s="1112"/>
      <c r="AF7" s="1115"/>
      <c r="AG7" s="873"/>
      <c r="AH7" s="936"/>
      <c r="AI7" s="943"/>
      <c r="AJ7" s="944"/>
      <c r="AK7" s="942"/>
      <c r="AM7" s="967" t="s">
        <v>30</v>
      </c>
      <c r="AN7" s="967" t="s">
        <v>78</v>
      </c>
      <c r="AO7" s="72"/>
      <c r="AP7" s="72"/>
      <c r="AQ7" s="72"/>
    </row>
    <row r="8" spans="1:40" s="44" customFormat="1" ht="18.75" customHeight="1" thickBot="1">
      <c r="A8" s="904"/>
      <c r="B8" s="1097"/>
      <c r="C8" s="908"/>
      <c r="D8" s="905"/>
      <c r="E8" s="873"/>
      <c r="F8" s="952"/>
      <c r="G8" s="676" t="s">
        <v>80</v>
      </c>
      <c r="H8" s="952"/>
      <c r="I8" s="676" t="s">
        <v>81</v>
      </c>
      <c r="J8" s="490" t="s">
        <v>88</v>
      </c>
      <c r="K8" s="932"/>
      <c r="L8" s="963"/>
      <c r="M8" s="939"/>
      <c r="N8" s="932"/>
      <c r="O8" s="963"/>
      <c r="P8" s="963"/>
      <c r="Q8" s="963"/>
      <c r="R8" s="963"/>
      <c r="S8" s="963"/>
      <c r="T8" s="963"/>
      <c r="U8" s="963"/>
      <c r="V8" s="939"/>
      <c r="W8" s="956"/>
      <c r="X8" s="959"/>
      <c r="Y8" s="956"/>
      <c r="Z8" s="962"/>
      <c r="AA8" s="977"/>
      <c r="AB8" s="980"/>
      <c r="AC8" s="1113"/>
      <c r="AD8" s="980"/>
      <c r="AE8" s="1113"/>
      <c r="AF8" s="1116"/>
      <c r="AG8" s="47" t="s">
        <v>89</v>
      </c>
      <c r="AH8" s="74" t="s">
        <v>79</v>
      </c>
      <c r="AI8" s="943"/>
      <c r="AJ8" s="944"/>
      <c r="AK8" s="942"/>
      <c r="AM8" s="968"/>
      <c r="AN8" s="968"/>
    </row>
    <row r="9" spans="1:40" s="53" customFormat="1" ht="18.75" customHeight="1">
      <c r="A9" s="26">
        <f>IF(B9="","",ROW($A9)-ROW($A$8))</f>
      </c>
      <c r="B9" s="732"/>
      <c r="C9" s="247">
        <f>IF(B9="","",VLOOKUP($B9,'6-2_算定表④(旧・新制度)'!$B$8:$S$65536,2,FALSE))</f>
      </c>
      <c r="D9" s="417">
        <f>IF(B9="","",VLOOKUP($B9,'6-2_算定表④(旧・新制度)'!$B$8:$S$65536,3,FALSE))</f>
      </c>
      <c r="E9" s="75">
        <f>IF(B9="","",VLOOKUP($B9,'6-2_算定表④(旧・新制度)'!$B$8:$S$65536,6,FALSE))</f>
      </c>
      <c r="F9" s="418">
        <f>IF(B9="","",VLOOKUP($B9,'6-2_算定表④(旧・新制度)'!$B$8:$S$65536,14,FALSE))</f>
      </c>
      <c r="G9" s="417">
        <f>IF(B9="","",VLOOKUP($B9,'6-2_算定表④(旧・新制度)'!$B$8:$S$65536,15,FALSE))</f>
      </c>
      <c r="H9" s="418">
        <f>IF(B9="","",VLOOKUP($B9,'6-2_算定表④(旧・新制度)'!$B$8:$S$65536,16,FALSE))</f>
      </c>
      <c r="I9" s="417">
        <f>IF(B9="","",VLOOKUP($B9,'6-2_算定表④(旧・新制度)'!$B$8:$S$65536,17,FALSE))</f>
      </c>
      <c r="J9" s="426">
        <f>IF(B9="","",VLOOKUP($B9,'6-2_算定表④(旧・新制度)'!$B$8:$S$65536,18,FALSE))</f>
      </c>
      <c r="K9" s="700">
        <f>IF($B9="","",VLOOKUP($B9,'6-2_算定表④(旧・新制度)'!$B$8:$S$65536,14,FALSE))</f>
      </c>
      <c r="L9" s="419">
        <f>IF($B9="","",VLOOKUP($B9,'6-2_算定表④(旧・新制度)'!$B$8:$S$65536,14,FALSE))</f>
      </c>
      <c r="M9" s="701">
        <f>IF($B9="","",VLOOKUP($B9,'6-2_算定表④(旧・新制度)'!$B$8:$S$65536,14,FALSE))</f>
      </c>
      <c r="N9" s="700"/>
      <c r="O9" s="419"/>
      <c r="P9" s="419">
        <f>IF($B9="","",VLOOKUP($B9,'6-2_算定表④(旧・新制度)'!$B$8:$S$65536,16,FALSE))</f>
      </c>
      <c r="Q9" s="419"/>
      <c r="R9" s="419"/>
      <c r="S9" s="419"/>
      <c r="T9" s="419"/>
      <c r="U9" s="419"/>
      <c r="V9" s="701"/>
      <c r="W9" s="424">
        <f>IF($B9="","",COUNTIF($K9:$M9,W$6))</f>
      </c>
      <c r="X9" s="421">
        <f>IF($B9="","",COUNTIF($N9:$V9,X$6))</f>
      </c>
      <c r="Y9" s="420">
        <f>IF($B9="","",COUNTIF($K9:$M9,Y$6))</f>
      </c>
      <c r="Z9" s="422">
        <f>IF($B9="","",COUNTIF($N9:$V9,Z$6))</f>
      </c>
      <c r="AA9" s="449">
        <f>IF($B9="","",COUNTIF($K9:$M9,AA$6))</f>
      </c>
      <c r="AB9" s="424">
        <f>IF($B9="","",COUNTIF($N9:$V9,AB$6))</f>
      </c>
      <c r="AC9" s="423">
        <f>IF($B9="","",COUNTIF($K9:$M9,AC$6))</f>
      </c>
      <c r="AD9" s="424">
        <f>IF($B9="","",COUNTIF($N9:$V9,AD$6))</f>
      </c>
      <c r="AE9" s="423">
        <f>IF($B9="","",COUNTIF($K9:$M9,AE$6))</f>
      </c>
      <c r="AF9" s="425">
        <f>IF($B9="","",COUNTIF($N9:$V9,AF$6))</f>
      </c>
      <c r="AG9" s="430">
        <f>IF(B9="","",ROUNDUP((G9/'6-2_算定表④(旧・新制度)'!J8*W9)+(I9/'6-2_算定表④(旧・新制度)'!J8*X9)+(G9/'6-2_算定表④(旧・新制度)'!J8*Y9)+(I9/'6-2_算定表④(旧・新制度)'!J8*Z9)+(G9/'6-2_算定表④(旧・新制度)'!J8*AA9)+(I9/'6-2_算定表④(旧・新制度)'!J8*AB9)+(G9/'6-2_算定表④(旧・新制度)'!J8*AC9)+(I9/'6-2_算定表④(旧・新制度)'!J8*AD9),0))</f>
      </c>
      <c r="AH9" s="426">
        <f>IF(B9="","",AG9-J9)</f>
      </c>
      <c r="AI9" s="1004">
        <f>IF(B9="","",VLOOKUP($B9,'6-2_算定表④(旧・新制度)'!$B$8:$AF$65536,31,FALSE))</f>
      </c>
      <c r="AJ9" s="1005" t="s">
        <v>205</v>
      </c>
      <c r="AK9" s="1006" t="s">
        <v>205</v>
      </c>
      <c r="AM9" s="60">
        <f>IF(A9&gt;0,ASC(C9&amp;H9),"")</f>
      </c>
      <c r="AN9" s="60">
        <f>IF(B9="","",IF(AH9=0,0,1))</f>
      </c>
    </row>
    <row r="10" spans="1:40" s="53" customFormat="1" ht="18.75" customHeight="1">
      <c r="A10" s="34">
        <f aca="true" t="shared" si="0" ref="A10:A38">IF(B10="","",ROW($A10)-ROW($A$8))</f>
      </c>
      <c r="B10" s="240"/>
      <c r="C10" s="80">
        <f>IF(B10="","",VLOOKUP($B10,'6-2_算定表④(旧・新制度)'!$B$8:$S$65536,2,FALSE))</f>
      </c>
      <c r="D10" s="427">
        <f>IF(B10="","",VLOOKUP($B10,'6-2_算定表④(旧・新制度)'!$B$8:$S$65536,3,FALSE))</f>
      </c>
      <c r="E10" s="84">
        <f>IF(B10="","",VLOOKUP($B10,'6-2_算定表④(旧・新制度)'!$B$8:$S$65536,6,FALSE))</f>
      </c>
      <c r="F10" s="442">
        <f>IF(B10="","",VLOOKUP($B10,'6-2_算定表④(旧・新制度)'!$B$8:$S$65536,14,FALSE))</f>
      </c>
      <c r="G10" s="441">
        <f>IF(B10="","",VLOOKUP($B10,'6-2_算定表④(旧・新制度)'!$B$8:$S$65536,15,FALSE))</f>
      </c>
      <c r="H10" s="442">
        <f>IF(B10="","",VLOOKUP($B10,'6-2_算定表④(旧・新制度)'!$B$8:$S$65536,16,FALSE))</f>
      </c>
      <c r="I10" s="441">
        <f>IF(B10="","",VLOOKUP($B10,'6-2_算定表④(旧・新制度)'!$B$8:$S$65536,17,FALSE))</f>
      </c>
      <c r="J10" s="411">
        <f>IF(B10="","",VLOOKUP($B10,'6-2_算定表④(旧・新制度)'!$B$8:$S$65536,18,FALSE))</f>
      </c>
      <c r="K10" s="702">
        <f>IF($B10="","",VLOOKUP($B10,'6-2_算定表④(旧・新制度)'!$B$8:$S$65536,14,FALSE))</f>
      </c>
      <c r="L10" s="443">
        <f>IF($B10="","",VLOOKUP($B10,'6-2_算定表④(旧・新制度)'!$B$8:$S$65536,14,FALSE))</f>
      </c>
      <c r="M10" s="703">
        <f>IF($B10="","",VLOOKUP($B10,'6-2_算定表④(旧・新制度)'!$B$8:$S$65536,14,FALSE))</f>
      </c>
      <c r="N10" s="702">
        <f>IF($B10="","",VLOOKUP($B10,'6-2_算定表④(旧・新制度)'!$B$8:$S$65536,16,FALSE))</f>
      </c>
      <c r="O10" s="443">
        <f>IF($B10="","",VLOOKUP($B10,'6-2_算定表④(旧・新制度)'!$B$8:$S$65536,16,FALSE))</f>
      </c>
      <c r="P10" s="443">
        <f>IF($B10="","",VLOOKUP($B10,'6-2_算定表④(旧・新制度)'!$B$8:$S$65536,16,FALSE))</f>
      </c>
      <c r="Q10" s="443">
        <f>IF($B10="","",VLOOKUP($B10,'6-2_算定表④(旧・新制度)'!$B$8:$S$65536,16,FALSE))</f>
      </c>
      <c r="R10" s="443">
        <f>IF($B10="","",VLOOKUP($B10,'6-2_算定表④(旧・新制度)'!$B$8:$S$65536,16,FALSE))</f>
      </c>
      <c r="S10" s="443">
        <f>IF($B10="","",VLOOKUP($B10,'6-2_算定表④(旧・新制度)'!$B$8:$S$65536,16,FALSE))</f>
      </c>
      <c r="T10" s="443">
        <f>IF($B10="","",VLOOKUP($B10,'6-2_算定表④(旧・新制度)'!$B$8:$S$65536,16,FALSE))</f>
      </c>
      <c r="U10" s="443">
        <f>IF($B10="","",VLOOKUP($B10,'6-2_算定表④(旧・新制度)'!$B$8:$S$65536,16,FALSE))</f>
      </c>
      <c r="V10" s="703">
        <f>IF($B10="","",VLOOKUP($B10,'6-2_算定表④(旧・新制度)'!$B$8:$S$65536,16,FALSE))</f>
      </c>
      <c r="W10" s="451">
        <f aca="true" t="shared" si="1" ref="W10:W38">IF($B10="","",COUNTIF($K10:$M10,W$6))</f>
      </c>
      <c r="X10" s="435">
        <f aca="true" t="shared" si="2" ref="X10:X38">IF($B10="","",COUNTIF($N10:$V10,X$6))</f>
      </c>
      <c r="Y10" s="434">
        <f aca="true" t="shared" si="3" ref="Y10:Y38">IF($B10="","",COUNTIF($K10:$M10,Y$6))</f>
      </c>
      <c r="Z10" s="436">
        <f aca="true" t="shared" si="4" ref="Z10:Z38">IF($B10="","",COUNTIF($N10:$V10,Z$6))</f>
      </c>
      <c r="AA10" s="450">
        <f aca="true" t="shared" si="5" ref="AA10:AA38">IF($B10="","",COUNTIF($K10:$M10,AA$6))</f>
      </c>
      <c r="AB10" s="451">
        <f aca="true" t="shared" si="6" ref="AB10:AB38">IF($B10="","",COUNTIF($N10:$V10,AB$6))</f>
      </c>
      <c r="AC10" s="452">
        <f aca="true" t="shared" si="7" ref="AC10:AC38">IF($B10="","",COUNTIF($K10:$M10,AC$6))</f>
      </c>
      <c r="AD10" s="451">
        <f aca="true" t="shared" si="8" ref="AD10:AD38">IF($B10="","",COUNTIF($N10:$V10,AD$6))</f>
      </c>
      <c r="AE10" s="452">
        <f aca="true" t="shared" si="9" ref="AE10:AE38">IF($B10="","",COUNTIF($K10:$M10,AE$6))</f>
      </c>
      <c r="AF10" s="453">
        <f aca="true" t="shared" si="10" ref="AF10:AF38">IF($B10="","",COUNTIF($N10:$V10,AF$6))</f>
      </c>
      <c r="AG10" s="430">
        <f>IF(B10="","",ROUNDUP((G10/'6-2_算定表④(旧・新制度)'!J9*W10)+(I10/'6-2_算定表④(旧・新制度)'!J9*X10)+(G10/'6-2_算定表④(旧・新制度)'!J9*Y10)+(I10/'6-2_算定表④(旧・新制度)'!J9*Z10)+(G10/'6-2_算定表④(旧・新制度)'!J9*AA10)+(I10/'6-2_算定表④(旧・新制度)'!J9*AB10)+(G10/'6-2_算定表④(旧・新制度)'!J9*AC10)+(I10/'6-2_算定表④(旧・新制度)'!J9*AD10),0))</f>
      </c>
      <c r="AH10" s="440">
        <f>IF(B10="","",AG10-J10)</f>
      </c>
      <c r="AI10" s="998">
        <f>IF(B10="","",VLOOKUP($B10,'6-2_算定表④(旧・新制度)'!$B$8:$AF$65536,31,FALSE))</f>
      </c>
      <c r="AJ10" s="999" t="s">
        <v>205</v>
      </c>
      <c r="AK10" s="1000" t="s">
        <v>205</v>
      </c>
      <c r="AM10" s="54">
        <f>IF(A10&gt;0,ASC(C10&amp;H10),"")</f>
      </c>
      <c r="AN10" s="54">
        <f aca="true" t="shared" si="11" ref="AN10:AN38">IF(B10="","",IF(AH10=0,0,1))</f>
      </c>
    </row>
    <row r="11" spans="1:40" s="53" customFormat="1" ht="18.75" customHeight="1">
      <c r="A11" s="27">
        <f t="shared" si="0"/>
      </c>
      <c r="B11" s="240"/>
      <c r="C11" s="83">
        <f>IF(B11="","",VLOOKUP($B11,'6-2_算定表④(旧・新制度)'!$B$8:$S$65536,2,FALSE))</f>
      </c>
      <c r="D11" s="441">
        <f>IF(B11="","",VLOOKUP($B11,'6-2_算定表④(旧・新制度)'!$B$8:$S$65536,3,FALSE))</f>
      </c>
      <c r="E11" s="84">
        <f>IF(B11="","",VLOOKUP($B11,'6-2_算定表④(旧・新制度)'!$B$8:$S$65536,6,FALSE))</f>
      </c>
      <c r="F11" s="442">
        <f>IF(B11="","",VLOOKUP($B11,'6-2_算定表④(旧・新制度)'!$B$8:$S$65536,14,FALSE))</f>
      </c>
      <c r="G11" s="441">
        <f>IF(B11="","",VLOOKUP($B11,'6-2_算定表④(旧・新制度)'!$B$8:$S$65536,15,FALSE))</f>
      </c>
      <c r="H11" s="442">
        <f>IF(B11="","",VLOOKUP($B11,'6-2_算定表④(旧・新制度)'!$B$8:$S$65536,16,FALSE))</f>
      </c>
      <c r="I11" s="441">
        <f>IF(B11="","",VLOOKUP($B11,'6-2_算定表④(旧・新制度)'!$B$8:$S$65536,17,FALSE))</f>
      </c>
      <c r="J11" s="411">
        <f>IF(B11="","",VLOOKUP($B11,'6-2_算定表④(旧・新制度)'!$B$8:$S$65536,18,FALSE))</f>
      </c>
      <c r="K11" s="702">
        <f>IF($B11="","",VLOOKUP($B11,'6-2_算定表④(旧・新制度)'!$B$8:$S$65536,14,FALSE))</f>
      </c>
      <c r="L11" s="443">
        <f>IF($B11="","",VLOOKUP($B11,'6-2_算定表④(旧・新制度)'!$B$8:$S$65536,14,FALSE))</f>
      </c>
      <c r="M11" s="703">
        <f>IF($B11="","",VLOOKUP($B11,'6-2_算定表④(旧・新制度)'!$B$8:$S$65536,14,FALSE))</f>
      </c>
      <c r="N11" s="702">
        <f>IF($B11="","",VLOOKUP($B11,'6-2_算定表④(旧・新制度)'!$B$8:$S$65536,16,FALSE))</f>
      </c>
      <c r="O11" s="443">
        <f>IF($B11="","",VLOOKUP($B11,'6-2_算定表④(旧・新制度)'!$B$8:$S$65536,16,FALSE))</f>
      </c>
      <c r="P11" s="443">
        <f>IF($B11="","",VLOOKUP($B11,'6-2_算定表④(旧・新制度)'!$B$8:$S$65536,16,FALSE))</f>
      </c>
      <c r="Q11" s="443">
        <f>IF($B11="","",VLOOKUP($B11,'6-2_算定表④(旧・新制度)'!$B$8:$S$65536,16,FALSE))</f>
      </c>
      <c r="R11" s="443">
        <f>IF($B11="","",VLOOKUP($B11,'6-2_算定表④(旧・新制度)'!$B$8:$S$65536,16,FALSE))</f>
      </c>
      <c r="S11" s="443">
        <f>IF($B11="","",VLOOKUP($B11,'6-2_算定表④(旧・新制度)'!$B$8:$S$65536,16,FALSE))</f>
      </c>
      <c r="T11" s="443">
        <f>IF($B11="","",VLOOKUP($B11,'6-2_算定表④(旧・新制度)'!$B$8:$S$65536,16,FALSE))</f>
      </c>
      <c r="U11" s="443">
        <f>IF($B11="","",VLOOKUP($B11,'6-2_算定表④(旧・新制度)'!$B$8:$S$65536,16,FALSE))</f>
      </c>
      <c r="V11" s="703">
        <f>IF($B11="","",VLOOKUP($B11,'6-2_算定表④(旧・新制度)'!$B$8:$S$65536,16,FALSE))</f>
      </c>
      <c r="W11" s="451">
        <f t="shared" si="1"/>
      </c>
      <c r="X11" s="435">
        <f t="shared" si="2"/>
      </c>
      <c r="Y11" s="434">
        <f t="shared" si="3"/>
      </c>
      <c r="Z11" s="436">
        <f t="shared" si="4"/>
      </c>
      <c r="AA11" s="450">
        <f t="shared" si="5"/>
      </c>
      <c r="AB11" s="451">
        <f t="shared" si="6"/>
      </c>
      <c r="AC11" s="452">
        <f t="shared" si="7"/>
      </c>
      <c r="AD11" s="451">
        <f t="shared" si="8"/>
      </c>
      <c r="AE11" s="452">
        <f t="shared" si="9"/>
      </c>
      <c r="AF11" s="453">
        <f t="shared" si="10"/>
      </c>
      <c r="AG11" s="430">
        <f>IF(B11="","",ROUNDUP((G11/'6-2_算定表④(旧・新制度)'!J10*W11)+(I11/'6-2_算定表④(旧・新制度)'!J10*X11)+(G11/'6-2_算定表④(旧・新制度)'!J10*Y11)+(I11/'6-2_算定表④(旧・新制度)'!J10*Z11)+(G11/'6-2_算定表④(旧・新制度)'!J10*AA11)+(I11/'6-2_算定表④(旧・新制度)'!J10*AB11)+(G11/'6-2_算定表④(旧・新制度)'!J10*AC11)+(I11/'6-2_算定表④(旧・新制度)'!J10*AD11),0))</f>
      </c>
      <c r="AH11" s="411">
        <f aca="true" t="shared" si="12" ref="AH11:AH38">IF(B11="","",AG11-J11)</f>
      </c>
      <c r="AI11" s="998">
        <f>IF(B11="","",VLOOKUP($B11,'6-2_算定表④(旧・新制度)'!$B$8:$AF$65536,31,FALSE))</f>
      </c>
      <c r="AJ11" s="999" t="s">
        <v>205</v>
      </c>
      <c r="AK11" s="1000" t="s">
        <v>205</v>
      </c>
      <c r="AM11" s="60">
        <f aca="true" t="shared" si="13" ref="AM11:AM38">IF(A11&gt;0,ASC(C11&amp;H11),"")</f>
      </c>
      <c r="AN11" s="60">
        <f t="shared" si="11"/>
      </c>
    </row>
    <row r="12" spans="1:40" s="53" customFormat="1" ht="18.75" customHeight="1">
      <c r="A12" s="27">
        <f t="shared" si="0"/>
      </c>
      <c r="B12" s="240"/>
      <c r="C12" s="83">
        <f>IF(B12="","",VLOOKUP($B12,'6-2_算定表④(旧・新制度)'!$B$8:$S$65536,2,FALSE))</f>
      </c>
      <c r="D12" s="441">
        <f>IF(B12="","",VLOOKUP($B12,'6-2_算定表④(旧・新制度)'!$B$8:$S$65536,3,FALSE))</f>
      </c>
      <c r="E12" s="84">
        <f>IF(B12="","",VLOOKUP($B12,'6-2_算定表④(旧・新制度)'!$B$8:$S$65536,6,FALSE))</f>
      </c>
      <c r="F12" s="442">
        <f>IF(B12="","",VLOOKUP($B12,'6-2_算定表④(旧・新制度)'!$B$8:$S$65536,14,FALSE))</f>
      </c>
      <c r="G12" s="441">
        <f>IF(B12="","",VLOOKUP($B12,'6-2_算定表④(旧・新制度)'!$B$8:$S$65536,15,FALSE))</f>
      </c>
      <c r="H12" s="442">
        <f>IF(B12="","",VLOOKUP($B12,'6-2_算定表④(旧・新制度)'!$B$8:$S$65536,16,FALSE))</f>
      </c>
      <c r="I12" s="441">
        <f>IF(B12="","",VLOOKUP($B12,'6-2_算定表④(旧・新制度)'!$B$8:$S$65536,17,FALSE))</f>
      </c>
      <c r="J12" s="411">
        <f>IF(B12="","",VLOOKUP($B12,'6-2_算定表④(旧・新制度)'!$B$8:$S$65536,18,FALSE))</f>
      </c>
      <c r="K12" s="702">
        <f>IF($B12="","",VLOOKUP($B12,'6-2_算定表④(旧・新制度)'!$B$8:$S$65536,14,FALSE))</f>
      </c>
      <c r="L12" s="443">
        <f>IF($B12="","",VLOOKUP($B12,'6-2_算定表④(旧・新制度)'!$B$8:$S$65536,14,FALSE))</f>
      </c>
      <c r="M12" s="703">
        <f>IF($B12="","",VLOOKUP($B12,'6-2_算定表④(旧・新制度)'!$B$8:$S$65536,14,FALSE))</f>
      </c>
      <c r="N12" s="702">
        <f>IF($B12="","",VLOOKUP($B12,'6-2_算定表④(旧・新制度)'!$B$8:$S$65536,16,FALSE))</f>
      </c>
      <c r="O12" s="443">
        <f>IF($B12="","",VLOOKUP($B12,'6-2_算定表④(旧・新制度)'!$B$8:$S$65536,16,FALSE))</f>
      </c>
      <c r="P12" s="443">
        <f>IF($B12="","",VLOOKUP($B12,'6-2_算定表④(旧・新制度)'!$B$8:$S$65536,16,FALSE))</f>
      </c>
      <c r="Q12" s="443">
        <f>IF($B12="","",VLOOKUP($B12,'6-2_算定表④(旧・新制度)'!$B$8:$S$65536,16,FALSE))</f>
      </c>
      <c r="R12" s="443">
        <f>IF($B12="","",VLOOKUP($B12,'6-2_算定表④(旧・新制度)'!$B$8:$S$65536,16,FALSE))</f>
      </c>
      <c r="S12" s="443">
        <f>IF($B12="","",VLOOKUP($B12,'6-2_算定表④(旧・新制度)'!$B$8:$S$65536,16,FALSE))</f>
      </c>
      <c r="T12" s="443">
        <f>IF($B12="","",VLOOKUP($B12,'6-2_算定表④(旧・新制度)'!$B$8:$S$65536,16,FALSE))</f>
      </c>
      <c r="U12" s="443">
        <f>IF($B12="","",VLOOKUP($B12,'6-2_算定表④(旧・新制度)'!$B$8:$S$65536,16,FALSE))</f>
      </c>
      <c r="V12" s="703">
        <f>IF($B12="","",VLOOKUP($B12,'6-2_算定表④(旧・新制度)'!$B$8:$S$65536,16,FALSE))</f>
      </c>
      <c r="W12" s="438">
        <f t="shared" si="1"/>
      </c>
      <c r="X12" s="445">
        <f t="shared" si="2"/>
      </c>
      <c r="Y12" s="444">
        <f t="shared" si="3"/>
      </c>
      <c r="Z12" s="446">
        <f t="shared" si="4"/>
      </c>
      <c r="AA12" s="454">
        <f t="shared" si="5"/>
      </c>
      <c r="AB12" s="438">
        <f t="shared" si="6"/>
      </c>
      <c r="AC12" s="437">
        <f t="shared" si="7"/>
      </c>
      <c r="AD12" s="438">
        <f t="shared" si="8"/>
      </c>
      <c r="AE12" s="437">
        <f t="shared" si="9"/>
      </c>
      <c r="AF12" s="439">
        <f t="shared" si="10"/>
      </c>
      <c r="AG12" s="430">
        <f>IF(B12="","",ROUNDUP((G12/'6-2_算定表④(旧・新制度)'!J11*W12)+(I12/'6-2_算定表④(旧・新制度)'!J11*X12)+(G12/'6-2_算定表④(旧・新制度)'!J11*Y12)+(I12/'6-2_算定表④(旧・新制度)'!J11*Z12)+(G12/'6-2_算定表④(旧・新制度)'!J11*AA12)+(I12/'6-2_算定表④(旧・新制度)'!J11*AB12)+(G12/'6-2_算定表④(旧・新制度)'!J11*AC12)+(I12/'6-2_算定表④(旧・新制度)'!J11*AD12),0))</f>
      </c>
      <c r="AH12" s="411">
        <f t="shared" si="12"/>
      </c>
      <c r="AI12" s="998">
        <f>IF(B12="","",VLOOKUP($B12,'6-2_算定表④(旧・新制度)'!$B$8:$AF$65536,31,FALSE))</f>
      </c>
      <c r="AJ12" s="999" t="s">
        <v>205</v>
      </c>
      <c r="AK12" s="1000" t="s">
        <v>205</v>
      </c>
      <c r="AM12" s="60">
        <f t="shared" si="13"/>
      </c>
      <c r="AN12" s="60">
        <f t="shared" si="11"/>
      </c>
    </row>
    <row r="13" spans="1:40" s="53" customFormat="1" ht="18.75" customHeight="1">
      <c r="A13" s="27">
        <f t="shared" si="0"/>
      </c>
      <c r="B13" s="240"/>
      <c r="C13" s="83">
        <f>IF(B13="","",VLOOKUP($B13,'6-2_算定表④(旧・新制度)'!$B$8:$S$65536,2,FALSE))</f>
      </c>
      <c r="D13" s="441">
        <f>IF(B13="","",VLOOKUP($B13,'6-2_算定表④(旧・新制度)'!$B$8:$S$65536,3,FALSE))</f>
      </c>
      <c r="E13" s="84">
        <f>IF(B13="","",VLOOKUP($B13,'6-2_算定表④(旧・新制度)'!$B$8:$S$65536,6,FALSE))</f>
      </c>
      <c r="F13" s="442">
        <f>IF(B13="","",VLOOKUP($B13,'6-2_算定表④(旧・新制度)'!$B$8:$S$65536,14,FALSE))</f>
      </c>
      <c r="G13" s="441">
        <f>IF(B13="","",VLOOKUP($B13,'6-2_算定表④(旧・新制度)'!$B$8:$S$65536,15,FALSE))</f>
      </c>
      <c r="H13" s="442">
        <f>IF(B13="","",VLOOKUP($B13,'6-2_算定表④(旧・新制度)'!$B$8:$S$65536,16,FALSE))</f>
      </c>
      <c r="I13" s="441">
        <f>IF(B13="","",VLOOKUP($B13,'6-2_算定表④(旧・新制度)'!$B$8:$S$65536,17,FALSE))</f>
      </c>
      <c r="J13" s="411">
        <f>IF(B13="","",VLOOKUP($B13,'6-2_算定表④(旧・新制度)'!$B$8:$S$65536,18,FALSE))</f>
      </c>
      <c r="K13" s="702">
        <f>IF($B13="","",VLOOKUP($B13,'6-2_算定表④(旧・新制度)'!$B$8:$S$65536,14,FALSE))</f>
      </c>
      <c r="L13" s="443">
        <f>IF($B13="","",VLOOKUP($B13,'6-2_算定表④(旧・新制度)'!$B$8:$S$65536,14,FALSE))</f>
      </c>
      <c r="M13" s="703">
        <f>IF($B13="","",VLOOKUP($B13,'6-2_算定表④(旧・新制度)'!$B$8:$S$65536,14,FALSE))</f>
      </c>
      <c r="N13" s="702">
        <f>IF($B13="","",VLOOKUP($B13,'6-2_算定表④(旧・新制度)'!$B$8:$S$65536,16,FALSE))</f>
      </c>
      <c r="O13" s="443">
        <f>IF($B13="","",VLOOKUP($B13,'6-2_算定表④(旧・新制度)'!$B$8:$S$65536,16,FALSE))</f>
      </c>
      <c r="P13" s="443">
        <f>IF($B13="","",VLOOKUP($B13,'6-2_算定表④(旧・新制度)'!$B$8:$S$65536,16,FALSE))</f>
      </c>
      <c r="Q13" s="443">
        <f>IF($B13="","",VLOOKUP($B13,'6-2_算定表④(旧・新制度)'!$B$8:$S$65536,16,FALSE))</f>
      </c>
      <c r="R13" s="443">
        <f>IF($B13="","",VLOOKUP($B13,'6-2_算定表④(旧・新制度)'!$B$8:$S$65536,16,FALSE))</f>
      </c>
      <c r="S13" s="443">
        <f>IF($B13="","",VLOOKUP($B13,'6-2_算定表④(旧・新制度)'!$B$8:$S$65536,16,FALSE))</f>
      </c>
      <c r="T13" s="443">
        <f>IF($B13="","",VLOOKUP($B13,'6-2_算定表④(旧・新制度)'!$B$8:$S$65536,16,FALSE))</f>
      </c>
      <c r="U13" s="443">
        <f>IF($B13="","",VLOOKUP($B13,'6-2_算定表④(旧・新制度)'!$B$8:$S$65536,16,FALSE))</f>
      </c>
      <c r="V13" s="703">
        <f>IF($B13="","",VLOOKUP($B13,'6-2_算定表④(旧・新制度)'!$B$8:$S$65536,16,FALSE))</f>
      </c>
      <c r="W13" s="438">
        <f t="shared" si="1"/>
      </c>
      <c r="X13" s="445">
        <f t="shared" si="2"/>
      </c>
      <c r="Y13" s="444">
        <f t="shared" si="3"/>
      </c>
      <c r="Z13" s="446">
        <f t="shared" si="4"/>
      </c>
      <c r="AA13" s="454">
        <f t="shared" si="5"/>
      </c>
      <c r="AB13" s="438">
        <f t="shared" si="6"/>
      </c>
      <c r="AC13" s="437">
        <f t="shared" si="7"/>
      </c>
      <c r="AD13" s="438">
        <f t="shared" si="8"/>
      </c>
      <c r="AE13" s="437">
        <f t="shared" si="9"/>
      </c>
      <c r="AF13" s="439">
        <f t="shared" si="10"/>
      </c>
      <c r="AG13" s="430">
        <f>IF(B13="","",ROUNDUP((G13/'6-2_算定表④(旧・新制度)'!J12*W13)+(I13/'6-2_算定表④(旧・新制度)'!J12*X13)+(G13/'6-2_算定表④(旧・新制度)'!J12*Y13)+(I13/'6-2_算定表④(旧・新制度)'!J12*Z13)+(G13/'6-2_算定表④(旧・新制度)'!J12*AA13)+(I13/'6-2_算定表④(旧・新制度)'!J12*AB13)+(G13/'6-2_算定表④(旧・新制度)'!J12*AC13)+(I13/'6-2_算定表④(旧・新制度)'!J12*AD13),0))</f>
      </c>
      <c r="AH13" s="411">
        <f>IF(B13="","",AG13-J13)</f>
      </c>
      <c r="AI13" s="998">
        <f>IF(B13="","",VLOOKUP($B13,'6-2_算定表④(旧・新制度)'!$B$8:$AF$65536,31,FALSE))</f>
      </c>
      <c r="AJ13" s="999" t="s">
        <v>205</v>
      </c>
      <c r="AK13" s="1000" t="s">
        <v>205</v>
      </c>
      <c r="AM13" s="60">
        <f t="shared" si="13"/>
      </c>
      <c r="AN13" s="60">
        <f t="shared" si="11"/>
      </c>
    </row>
    <row r="14" spans="1:40" s="53" customFormat="1" ht="18.75" customHeight="1">
      <c r="A14" s="27">
        <f t="shared" si="0"/>
      </c>
      <c r="B14" s="240"/>
      <c r="C14" s="83">
        <f>IF(B14="","",VLOOKUP($B14,'6-2_算定表④(旧・新制度)'!$B$8:$S$65536,2,FALSE))</f>
      </c>
      <c r="D14" s="441">
        <f>IF(B14="","",VLOOKUP($B14,'6-2_算定表④(旧・新制度)'!$B$8:$S$65536,3,FALSE))</f>
      </c>
      <c r="E14" s="84">
        <f>IF(B14="","",VLOOKUP($B14,'6-2_算定表④(旧・新制度)'!$B$8:$S$65536,6,FALSE))</f>
      </c>
      <c r="F14" s="442">
        <f>IF(B14="","",VLOOKUP($B14,'6-2_算定表④(旧・新制度)'!$B$8:$S$65536,14,FALSE))</f>
      </c>
      <c r="G14" s="441">
        <f>IF(B14="","",VLOOKUP($B14,'6-2_算定表④(旧・新制度)'!$B$8:$S$65536,15,FALSE))</f>
      </c>
      <c r="H14" s="442">
        <f>IF(B14="","",VLOOKUP($B14,'6-2_算定表④(旧・新制度)'!$B$8:$S$65536,16,FALSE))</f>
      </c>
      <c r="I14" s="441">
        <f>IF(B14="","",VLOOKUP($B14,'6-2_算定表④(旧・新制度)'!$B$8:$S$65536,17,FALSE))</f>
      </c>
      <c r="J14" s="411">
        <f>IF(B14="","",VLOOKUP($B14,'6-2_算定表④(旧・新制度)'!$B$8:$S$65536,18,FALSE))</f>
      </c>
      <c r="K14" s="702">
        <f>IF($B14="","",VLOOKUP($B14,'6-2_算定表④(旧・新制度)'!$B$8:$S$65536,14,FALSE))</f>
      </c>
      <c r="L14" s="443">
        <f>IF($B14="","",VLOOKUP($B14,'6-2_算定表④(旧・新制度)'!$B$8:$S$65536,14,FALSE))</f>
      </c>
      <c r="M14" s="703">
        <f>IF($B14="","",VLOOKUP($B14,'6-2_算定表④(旧・新制度)'!$B$8:$S$65536,14,FALSE))</f>
      </c>
      <c r="N14" s="702">
        <f>IF($B14="","",VLOOKUP($B14,'6-2_算定表④(旧・新制度)'!$B$8:$S$65536,16,FALSE))</f>
      </c>
      <c r="O14" s="443">
        <f>IF($B14="","",VLOOKUP($B14,'6-2_算定表④(旧・新制度)'!$B$8:$S$65536,16,FALSE))</f>
      </c>
      <c r="P14" s="443">
        <f>IF($B14="","",VLOOKUP($B14,'6-2_算定表④(旧・新制度)'!$B$8:$S$65536,16,FALSE))</f>
      </c>
      <c r="Q14" s="443">
        <f>IF($B14="","",VLOOKUP($B14,'6-2_算定表④(旧・新制度)'!$B$8:$S$65536,16,FALSE))</f>
      </c>
      <c r="R14" s="443">
        <f>IF($B14="","",VLOOKUP($B14,'6-2_算定表④(旧・新制度)'!$B$8:$S$65536,16,FALSE))</f>
      </c>
      <c r="S14" s="443">
        <f>IF($B14="","",VLOOKUP($B14,'6-2_算定表④(旧・新制度)'!$B$8:$S$65536,16,FALSE))</f>
      </c>
      <c r="T14" s="443">
        <f>IF($B14="","",VLOOKUP($B14,'6-2_算定表④(旧・新制度)'!$B$8:$S$65536,16,FALSE))</f>
      </c>
      <c r="U14" s="443">
        <f>IF($B14="","",VLOOKUP($B14,'6-2_算定表④(旧・新制度)'!$B$8:$S$65536,16,FALSE))</f>
      </c>
      <c r="V14" s="703">
        <f>IF($B14="","",VLOOKUP($B14,'6-2_算定表④(旧・新制度)'!$B$8:$S$65536,16,FALSE))</f>
      </c>
      <c r="W14" s="438">
        <f t="shared" si="1"/>
      </c>
      <c r="X14" s="445">
        <f t="shared" si="2"/>
      </c>
      <c r="Y14" s="444">
        <f t="shared" si="3"/>
      </c>
      <c r="Z14" s="446">
        <f t="shared" si="4"/>
      </c>
      <c r="AA14" s="454">
        <f t="shared" si="5"/>
      </c>
      <c r="AB14" s="438">
        <f t="shared" si="6"/>
      </c>
      <c r="AC14" s="437">
        <f t="shared" si="7"/>
      </c>
      <c r="AD14" s="438">
        <f t="shared" si="8"/>
      </c>
      <c r="AE14" s="437">
        <f t="shared" si="9"/>
      </c>
      <c r="AF14" s="439">
        <f t="shared" si="10"/>
      </c>
      <c r="AG14" s="430">
        <f>IF(B14="","",ROUNDUP((G14/'6-2_算定表④(旧・新制度)'!J13*W14)+(I14/'6-2_算定表④(旧・新制度)'!J13*X14)+(G14/'6-2_算定表④(旧・新制度)'!J13*Y14)+(I14/'6-2_算定表④(旧・新制度)'!J13*Z14)+(G14/'6-2_算定表④(旧・新制度)'!J13*AA14)+(I14/'6-2_算定表④(旧・新制度)'!J13*AB14)+(G14/'6-2_算定表④(旧・新制度)'!J13*AC14)+(I14/'6-2_算定表④(旧・新制度)'!J13*AD14),0))</f>
      </c>
      <c r="AH14" s="411">
        <f t="shared" si="12"/>
      </c>
      <c r="AI14" s="998">
        <f>IF(B14="","",VLOOKUP($B14,'6-2_算定表④(旧・新制度)'!$B$8:$AF$65536,31,FALSE))</f>
      </c>
      <c r="AJ14" s="999" t="s">
        <v>205</v>
      </c>
      <c r="AK14" s="1000" t="s">
        <v>205</v>
      </c>
      <c r="AM14" s="60">
        <f t="shared" si="13"/>
      </c>
      <c r="AN14" s="60">
        <f t="shared" si="11"/>
      </c>
    </row>
    <row r="15" spans="1:40" s="53" customFormat="1" ht="18.75" customHeight="1">
      <c r="A15" s="27">
        <f t="shared" si="0"/>
      </c>
      <c r="B15" s="240"/>
      <c r="C15" s="83">
        <f>IF(B15="","",VLOOKUP($B15,'6-2_算定表④(旧・新制度)'!$B$8:$S$65536,2,FALSE))</f>
      </c>
      <c r="D15" s="441">
        <f>IF(B15="","",VLOOKUP($B15,'6-2_算定表④(旧・新制度)'!$B$8:$S$65536,3,FALSE))</f>
      </c>
      <c r="E15" s="84">
        <f>IF(B15="","",VLOOKUP($B15,'6-2_算定表④(旧・新制度)'!$B$8:$S$65536,6,FALSE))</f>
      </c>
      <c r="F15" s="442">
        <f>IF(B15="","",VLOOKUP($B15,'6-2_算定表④(旧・新制度)'!$B$8:$S$65536,14,FALSE))</f>
      </c>
      <c r="G15" s="441">
        <f>IF(B15="","",VLOOKUP($B15,'6-2_算定表④(旧・新制度)'!$B$8:$S$65536,15,FALSE))</f>
      </c>
      <c r="H15" s="442">
        <f>IF(B15="","",VLOOKUP($B15,'6-2_算定表④(旧・新制度)'!$B$8:$S$65536,16,FALSE))</f>
      </c>
      <c r="I15" s="441">
        <f>IF(B15="","",VLOOKUP($B15,'6-2_算定表④(旧・新制度)'!$B$8:$S$65536,17,FALSE))</f>
      </c>
      <c r="J15" s="411">
        <f>IF(B15="","",VLOOKUP($B15,'6-2_算定表④(旧・新制度)'!$B$8:$S$65536,18,FALSE))</f>
      </c>
      <c r="K15" s="702">
        <f>IF($B15="","",VLOOKUP($B15,'6-2_算定表④(旧・新制度)'!$B$8:$S$65536,14,FALSE))</f>
      </c>
      <c r="L15" s="443">
        <f>IF($B15="","",VLOOKUP($B15,'6-2_算定表④(旧・新制度)'!$B$8:$S$65536,14,FALSE))</f>
      </c>
      <c r="M15" s="703">
        <f>IF($B15="","",VLOOKUP($B15,'6-2_算定表④(旧・新制度)'!$B$8:$S$65536,14,FALSE))</f>
      </c>
      <c r="N15" s="702">
        <f>IF($B15="","",VLOOKUP($B15,'6-2_算定表④(旧・新制度)'!$B$8:$S$65536,16,FALSE))</f>
      </c>
      <c r="O15" s="443">
        <f>IF($B15="","",VLOOKUP($B15,'6-2_算定表④(旧・新制度)'!$B$8:$S$65536,16,FALSE))</f>
      </c>
      <c r="P15" s="443">
        <f>IF($B15="","",VLOOKUP($B15,'6-2_算定表④(旧・新制度)'!$B$8:$S$65536,16,FALSE))</f>
      </c>
      <c r="Q15" s="443">
        <f>IF($B15="","",VLOOKUP($B15,'6-2_算定表④(旧・新制度)'!$B$8:$S$65536,16,FALSE))</f>
      </c>
      <c r="R15" s="443">
        <f>IF($B15="","",VLOOKUP($B15,'6-2_算定表④(旧・新制度)'!$B$8:$S$65536,16,FALSE))</f>
      </c>
      <c r="S15" s="443">
        <f>IF($B15="","",VLOOKUP($B15,'6-2_算定表④(旧・新制度)'!$B$8:$S$65536,16,FALSE))</f>
      </c>
      <c r="T15" s="443">
        <f>IF($B15="","",VLOOKUP($B15,'6-2_算定表④(旧・新制度)'!$B$8:$S$65536,16,FALSE))</f>
      </c>
      <c r="U15" s="443">
        <f>IF($B15="","",VLOOKUP($B15,'6-2_算定表④(旧・新制度)'!$B$8:$S$65536,16,FALSE))</f>
      </c>
      <c r="V15" s="703">
        <f>IF($B15="","",VLOOKUP($B15,'6-2_算定表④(旧・新制度)'!$B$8:$S$65536,16,FALSE))</f>
      </c>
      <c r="W15" s="438">
        <f t="shared" si="1"/>
      </c>
      <c r="X15" s="445">
        <f t="shared" si="2"/>
      </c>
      <c r="Y15" s="444">
        <f>IF($B15="","",COUNTIF($K15:$M15,Y$6))</f>
      </c>
      <c r="Z15" s="446">
        <f t="shared" si="4"/>
      </c>
      <c r="AA15" s="454">
        <f t="shared" si="5"/>
      </c>
      <c r="AB15" s="438">
        <f t="shared" si="6"/>
      </c>
      <c r="AC15" s="437">
        <f t="shared" si="7"/>
      </c>
      <c r="AD15" s="438">
        <f t="shared" si="8"/>
      </c>
      <c r="AE15" s="437">
        <f t="shared" si="9"/>
      </c>
      <c r="AF15" s="439">
        <f t="shared" si="10"/>
      </c>
      <c r="AG15" s="430">
        <f>IF(B15="","",ROUNDUP((G15/'6-2_算定表④(旧・新制度)'!J14*W15)+(I15/'6-2_算定表④(旧・新制度)'!J14*X15)+(G15/'6-2_算定表④(旧・新制度)'!J14*Y15)+(I15/'6-2_算定表④(旧・新制度)'!J14*Z15)+(G15/'6-2_算定表④(旧・新制度)'!J14*AA15)+(I15/'6-2_算定表④(旧・新制度)'!J14*AB15)+(G15/'6-2_算定表④(旧・新制度)'!J14*AC15)+(I15/'6-2_算定表④(旧・新制度)'!J14*AD15),0))</f>
      </c>
      <c r="AH15" s="411">
        <f t="shared" si="12"/>
      </c>
      <c r="AI15" s="998">
        <f>IF(B15="","",VLOOKUP($B15,'6-2_算定表④(旧・新制度)'!$B$8:$AF$65536,31,FALSE))</f>
      </c>
      <c r="AJ15" s="999" t="s">
        <v>205</v>
      </c>
      <c r="AK15" s="1000" t="s">
        <v>205</v>
      </c>
      <c r="AM15" s="60">
        <f t="shared" si="13"/>
      </c>
      <c r="AN15" s="60">
        <f t="shared" si="11"/>
      </c>
    </row>
    <row r="16" spans="1:40" s="53" customFormat="1" ht="18.75" customHeight="1">
      <c r="A16" s="27">
        <f t="shared" si="0"/>
      </c>
      <c r="B16" s="240"/>
      <c r="C16" s="83">
        <f>IF(B16="","",VLOOKUP($B16,'6-2_算定表④(旧・新制度)'!$B$8:$S$65536,2,FALSE))</f>
      </c>
      <c r="D16" s="441">
        <f>IF(B16="","",VLOOKUP($B16,'6-2_算定表④(旧・新制度)'!$B$8:$S$65536,3,FALSE))</f>
      </c>
      <c r="E16" s="84">
        <f>IF(B16="","",VLOOKUP($B16,'6-2_算定表④(旧・新制度)'!$B$8:$S$65536,6,FALSE))</f>
      </c>
      <c r="F16" s="442">
        <f>IF(B16="","",VLOOKUP($B16,'6-2_算定表④(旧・新制度)'!$B$8:$S$65536,14,FALSE))</f>
      </c>
      <c r="G16" s="441">
        <f>IF(B16="","",VLOOKUP($B16,'6-2_算定表④(旧・新制度)'!$B$8:$S$65536,15,FALSE))</f>
      </c>
      <c r="H16" s="442">
        <f>IF(B16="","",VLOOKUP($B16,'6-2_算定表④(旧・新制度)'!$B$8:$S$65536,16,FALSE))</f>
      </c>
      <c r="I16" s="441">
        <f>IF(B16="","",VLOOKUP($B16,'6-2_算定表④(旧・新制度)'!$B$8:$S$65536,17,FALSE))</f>
      </c>
      <c r="J16" s="411">
        <f>IF(B16="","",VLOOKUP($B16,'6-2_算定表④(旧・新制度)'!$B$8:$S$65536,18,FALSE))</f>
      </c>
      <c r="K16" s="702">
        <f>IF($B16="","",VLOOKUP($B16,'6-2_算定表④(旧・新制度)'!$B$8:$S$65536,14,FALSE))</f>
      </c>
      <c r="L16" s="443">
        <f>IF($B16="","",VLOOKUP($B16,'6-2_算定表④(旧・新制度)'!$B$8:$S$65536,14,FALSE))</f>
      </c>
      <c r="M16" s="703">
        <f>IF($B16="","",VLOOKUP($B16,'6-2_算定表④(旧・新制度)'!$B$8:$S$65536,14,FALSE))</f>
      </c>
      <c r="N16" s="702">
        <f>IF($B16="","",VLOOKUP($B16,'6-2_算定表④(旧・新制度)'!$B$8:$S$65536,16,FALSE))</f>
      </c>
      <c r="O16" s="443">
        <f>IF($B16="","",VLOOKUP($B16,'6-2_算定表④(旧・新制度)'!$B$8:$S$65536,16,FALSE))</f>
      </c>
      <c r="P16" s="443">
        <f>IF($B16="","",VLOOKUP($B16,'6-2_算定表④(旧・新制度)'!$B$8:$S$65536,16,FALSE))</f>
      </c>
      <c r="Q16" s="443">
        <f>IF($B16="","",VLOOKUP($B16,'6-2_算定表④(旧・新制度)'!$B$8:$S$65536,16,FALSE))</f>
      </c>
      <c r="R16" s="443">
        <f>IF($B16="","",VLOOKUP($B16,'6-2_算定表④(旧・新制度)'!$B$8:$S$65536,16,FALSE))</f>
      </c>
      <c r="S16" s="443">
        <f>IF($B16="","",VLOOKUP($B16,'6-2_算定表④(旧・新制度)'!$B$8:$S$65536,16,FALSE))</f>
      </c>
      <c r="T16" s="443">
        <f>IF($B16="","",VLOOKUP($B16,'6-2_算定表④(旧・新制度)'!$B$8:$S$65536,16,FALSE))</f>
      </c>
      <c r="U16" s="443">
        <f>IF($B16="","",VLOOKUP($B16,'6-2_算定表④(旧・新制度)'!$B$8:$S$65536,16,FALSE))</f>
      </c>
      <c r="V16" s="703">
        <f>IF($B16="","",VLOOKUP($B16,'6-2_算定表④(旧・新制度)'!$B$8:$S$65536,16,FALSE))</f>
      </c>
      <c r="W16" s="438">
        <f t="shared" si="1"/>
      </c>
      <c r="X16" s="445">
        <f t="shared" si="2"/>
      </c>
      <c r="Y16" s="444">
        <f t="shared" si="3"/>
      </c>
      <c r="Z16" s="446">
        <f t="shared" si="4"/>
      </c>
      <c r="AA16" s="454">
        <f t="shared" si="5"/>
      </c>
      <c r="AB16" s="438">
        <f t="shared" si="6"/>
      </c>
      <c r="AC16" s="437">
        <f t="shared" si="7"/>
      </c>
      <c r="AD16" s="438">
        <f t="shared" si="8"/>
      </c>
      <c r="AE16" s="437">
        <f t="shared" si="9"/>
      </c>
      <c r="AF16" s="439">
        <f t="shared" si="10"/>
      </c>
      <c r="AG16" s="430">
        <f>IF(B16="","",ROUNDUP((G16/'6-2_算定表④(旧・新制度)'!J15*W16)+(I16/'6-2_算定表④(旧・新制度)'!J15*X16)+(G16/'6-2_算定表④(旧・新制度)'!J15*Y16)+(I16/'6-2_算定表④(旧・新制度)'!J15*Z16)+(G16/'6-2_算定表④(旧・新制度)'!J15*AA16)+(I16/'6-2_算定表④(旧・新制度)'!J15*AB16)+(G16/'6-2_算定表④(旧・新制度)'!J15*AC16)+(I16/'6-2_算定表④(旧・新制度)'!J15*AD16),0))</f>
      </c>
      <c r="AH16" s="411">
        <f t="shared" si="12"/>
      </c>
      <c r="AI16" s="998">
        <f>IF(B16="","",VLOOKUP($B16,'6-2_算定表④(旧・新制度)'!$B$8:$AF$65536,31,FALSE))</f>
      </c>
      <c r="AJ16" s="999" t="s">
        <v>205</v>
      </c>
      <c r="AK16" s="1000" t="s">
        <v>205</v>
      </c>
      <c r="AM16" s="60">
        <f t="shared" si="13"/>
      </c>
      <c r="AN16" s="60">
        <f t="shared" si="11"/>
      </c>
    </row>
    <row r="17" spans="1:40" s="53" customFormat="1" ht="18.75" customHeight="1">
      <c r="A17" s="27">
        <f t="shared" si="0"/>
      </c>
      <c r="B17" s="240"/>
      <c r="C17" s="83">
        <f>IF(B17="","",VLOOKUP($B17,'6-2_算定表④(旧・新制度)'!$B$8:$S$65536,2,FALSE))</f>
      </c>
      <c r="D17" s="441">
        <f>IF(B17="","",VLOOKUP($B17,'6-2_算定表④(旧・新制度)'!$B$8:$S$65536,3,FALSE))</f>
      </c>
      <c r="E17" s="84">
        <f>IF(B17="","",VLOOKUP($B17,'6-2_算定表④(旧・新制度)'!$B$8:$S$65536,6,FALSE))</f>
      </c>
      <c r="F17" s="442">
        <f>IF(B17="","",VLOOKUP($B17,'6-2_算定表④(旧・新制度)'!$B$8:$S$65536,14,FALSE))</f>
      </c>
      <c r="G17" s="441">
        <f>IF(B17="","",VLOOKUP($B17,'6-2_算定表④(旧・新制度)'!$B$8:$S$65536,15,FALSE))</f>
      </c>
      <c r="H17" s="442">
        <f>IF(B17="","",VLOOKUP($B17,'6-2_算定表④(旧・新制度)'!$B$8:$S$65536,16,FALSE))</f>
      </c>
      <c r="I17" s="441">
        <f>IF(B17="","",VLOOKUP($B17,'6-2_算定表④(旧・新制度)'!$B$8:$S$65536,17,FALSE))</f>
      </c>
      <c r="J17" s="411">
        <f>IF(B17="","",VLOOKUP($B17,'6-2_算定表④(旧・新制度)'!$B$8:$S$65536,18,FALSE))</f>
      </c>
      <c r="K17" s="702">
        <f>IF($B17="","",VLOOKUP($B17,'6-2_算定表④(旧・新制度)'!$B$8:$S$65536,14,FALSE))</f>
      </c>
      <c r="L17" s="443">
        <f>IF($B17="","",VLOOKUP($B17,'6-2_算定表④(旧・新制度)'!$B$8:$S$65536,14,FALSE))</f>
      </c>
      <c r="M17" s="703">
        <f>IF($B17="","",VLOOKUP($B17,'6-2_算定表④(旧・新制度)'!$B$8:$S$65536,14,FALSE))</f>
      </c>
      <c r="N17" s="702">
        <f>IF($B17="","",VLOOKUP($B17,'6-2_算定表④(旧・新制度)'!$B$8:$S$65536,16,FALSE))</f>
      </c>
      <c r="O17" s="443">
        <f>IF($B17="","",VLOOKUP($B17,'6-2_算定表④(旧・新制度)'!$B$8:$S$65536,16,FALSE))</f>
      </c>
      <c r="P17" s="443">
        <f>IF($B17="","",VLOOKUP($B17,'6-2_算定表④(旧・新制度)'!$B$8:$S$65536,16,FALSE))</f>
      </c>
      <c r="Q17" s="443">
        <f>IF($B17="","",VLOOKUP($B17,'6-2_算定表④(旧・新制度)'!$B$8:$S$65536,16,FALSE))</f>
      </c>
      <c r="R17" s="443">
        <f>IF($B17="","",VLOOKUP($B17,'6-2_算定表④(旧・新制度)'!$B$8:$S$65536,16,FALSE))</f>
      </c>
      <c r="S17" s="443">
        <f>IF($B17="","",VLOOKUP($B17,'6-2_算定表④(旧・新制度)'!$B$8:$S$65536,16,FALSE))</f>
      </c>
      <c r="T17" s="443">
        <f>IF($B17="","",VLOOKUP($B17,'6-2_算定表④(旧・新制度)'!$B$8:$S$65536,16,FALSE))</f>
      </c>
      <c r="U17" s="443">
        <f>IF($B17="","",VLOOKUP($B17,'6-2_算定表④(旧・新制度)'!$B$8:$S$65536,16,FALSE))</f>
      </c>
      <c r="V17" s="703">
        <f>IF($B17="","",VLOOKUP($B17,'6-2_算定表④(旧・新制度)'!$B$8:$S$65536,16,FALSE))</f>
      </c>
      <c r="W17" s="438">
        <f t="shared" si="1"/>
      </c>
      <c r="X17" s="445">
        <f t="shared" si="2"/>
      </c>
      <c r="Y17" s="444">
        <f t="shared" si="3"/>
      </c>
      <c r="Z17" s="446">
        <f t="shared" si="4"/>
      </c>
      <c r="AA17" s="454">
        <f t="shared" si="5"/>
      </c>
      <c r="AB17" s="438">
        <f t="shared" si="6"/>
      </c>
      <c r="AC17" s="437">
        <f t="shared" si="7"/>
      </c>
      <c r="AD17" s="438">
        <f t="shared" si="8"/>
      </c>
      <c r="AE17" s="437">
        <f t="shared" si="9"/>
      </c>
      <c r="AF17" s="439">
        <f t="shared" si="10"/>
      </c>
      <c r="AG17" s="430">
        <f>IF(B17="","",ROUNDUP((G17/'6-2_算定表④(旧・新制度)'!J16*W17)+(I17/'6-2_算定表④(旧・新制度)'!J16*X17)+(G17/'6-2_算定表④(旧・新制度)'!J16*Y17)+(I17/'6-2_算定表④(旧・新制度)'!J16*Z17)+(G17/'6-2_算定表④(旧・新制度)'!J16*AA17)+(I17/'6-2_算定表④(旧・新制度)'!J16*AB17)+(G17/'6-2_算定表④(旧・新制度)'!J16*AC17)+(I17/'6-2_算定表④(旧・新制度)'!J16*AD17),0))</f>
      </c>
      <c r="AH17" s="411">
        <f t="shared" si="12"/>
      </c>
      <c r="AI17" s="998">
        <f>IF(B17="","",VLOOKUP($B17,'6-2_算定表④(旧・新制度)'!$B$8:$AF$65536,31,FALSE))</f>
      </c>
      <c r="AJ17" s="999" t="s">
        <v>205</v>
      </c>
      <c r="AK17" s="1000" t="s">
        <v>205</v>
      </c>
      <c r="AM17" s="60">
        <f t="shared" si="13"/>
      </c>
      <c r="AN17" s="60">
        <f t="shared" si="11"/>
      </c>
    </row>
    <row r="18" spans="1:40" s="53" customFormat="1" ht="18.75" customHeight="1">
      <c r="A18" s="27">
        <f t="shared" si="0"/>
      </c>
      <c r="B18" s="240"/>
      <c r="C18" s="83">
        <f>IF(B18="","",VLOOKUP($B18,'6-2_算定表④(旧・新制度)'!$B$8:$S$65536,2,FALSE))</f>
      </c>
      <c r="D18" s="441">
        <f>IF(B18="","",VLOOKUP($B18,'6-2_算定表④(旧・新制度)'!$B$8:$S$65536,3,FALSE))</f>
      </c>
      <c r="E18" s="84">
        <f>IF(B18="","",VLOOKUP($B18,'6-2_算定表④(旧・新制度)'!$B$8:$S$65536,6,FALSE))</f>
      </c>
      <c r="F18" s="442">
        <f>IF(B18="","",VLOOKUP($B18,'6-2_算定表④(旧・新制度)'!$B$8:$S$65536,14,FALSE))</f>
      </c>
      <c r="G18" s="441">
        <f>IF(B18="","",VLOOKUP($B18,'6-2_算定表④(旧・新制度)'!$B$8:$S$65536,15,FALSE))</f>
      </c>
      <c r="H18" s="442">
        <f>IF(B18="","",VLOOKUP($B18,'6-2_算定表④(旧・新制度)'!$B$8:$S$65536,16,FALSE))</f>
      </c>
      <c r="I18" s="441">
        <f>IF(B18="","",VLOOKUP($B18,'6-2_算定表④(旧・新制度)'!$B$8:$S$65536,17,FALSE))</f>
      </c>
      <c r="J18" s="411">
        <f>IF(B18="","",VLOOKUP($B18,'6-2_算定表④(旧・新制度)'!$B$8:$S$65536,18,FALSE))</f>
      </c>
      <c r="K18" s="702">
        <f>IF($B18="","",VLOOKUP($B18,'6-2_算定表④(旧・新制度)'!$B$8:$S$65536,14,FALSE))</f>
      </c>
      <c r="L18" s="443">
        <f>IF($B18="","",VLOOKUP($B18,'6-2_算定表④(旧・新制度)'!$B$8:$S$65536,14,FALSE))</f>
      </c>
      <c r="M18" s="703">
        <f>IF($B18="","",VLOOKUP($B18,'6-2_算定表④(旧・新制度)'!$B$8:$S$65536,14,FALSE))</f>
      </c>
      <c r="N18" s="702">
        <f>IF($B18="","",VLOOKUP($B18,'6-2_算定表④(旧・新制度)'!$B$8:$S$65536,16,FALSE))</f>
      </c>
      <c r="O18" s="443">
        <f>IF($B18="","",VLOOKUP($B18,'6-2_算定表④(旧・新制度)'!$B$8:$S$65536,16,FALSE))</f>
      </c>
      <c r="P18" s="443">
        <f>IF($B18="","",VLOOKUP($B18,'6-2_算定表④(旧・新制度)'!$B$8:$S$65536,16,FALSE))</f>
      </c>
      <c r="Q18" s="443">
        <f>IF($B18="","",VLOOKUP($B18,'6-2_算定表④(旧・新制度)'!$B$8:$S$65536,16,FALSE))</f>
      </c>
      <c r="R18" s="443">
        <f>IF($B18="","",VLOOKUP($B18,'6-2_算定表④(旧・新制度)'!$B$8:$S$65536,16,FALSE))</f>
      </c>
      <c r="S18" s="443">
        <f>IF($B18="","",VLOOKUP($B18,'6-2_算定表④(旧・新制度)'!$B$8:$S$65536,16,FALSE))</f>
      </c>
      <c r="T18" s="443">
        <f>IF($B18="","",VLOOKUP($B18,'6-2_算定表④(旧・新制度)'!$B$8:$S$65536,16,FALSE))</f>
      </c>
      <c r="U18" s="443">
        <f>IF($B18="","",VLOOKUP($B18,'6-2_算定表④(旧・新制度)'!$B$8:$S$65536,16,FALSE))</f>
      </c>
      <c r="V18" s="703">
        <f>IF($B18="","",VLOOKUP($B18,'6-2_算定表④(旧・新制度)'!$B$8:$S$65536,16,FALSE))</f>
      </c>
      <c r="W18" s="438">
        <f t="shared" si="1"/>
      </c>
      <c r="X18" s="445">
        <f t="shared" si="2"/>
      </c>
      <c r="Y18" s="444">
        <f t="shared" si="3"/>
      </c>
      <c r="Z18" s="446">
        <f t="shared" si="4"/>
      </c>
      <c r="AA18" s="454">
        <f t="shared" si="5"/>
      </c>
      <c r="AB18" s="438">
        <f t="shared" si="6"/>
      </c>
      <c r="AC18" s="437">
        <f t="shared" si="7"/>
      </c>
      <c r="AD18" s="438">
        <f t="shared" si="8"/>
      </c>
      <c r="AE18" s="437">
        <f t="shared" si="9"/>
      </c>
      <c r="AF18" s="439">
        <f t="shared" si="10"/>
      </c>
      <c r="AG18" s="430">
        <f>IF(B18="","",ROUNDUP((G18/'6-2_算定表④(旧・新制度)'!J17*W18)+(I18/'6-2_算定表④(旧・新制度)'!J17*X18)+(G18/'6-2_算定表④(旧・新制度)'!J17*Y18)+(I18/'6-2_算定表④(旧・新制度)'!J17*Z18)+(G18/'6-2_算定表④(旧・新制度)'!J17*AA18)+(I18/'6-2_算定表④(旧・新制度)'!J17*AB18)+(G18/'6-2_算定表④(旧・新制度)'!J17*AC18)+(I18/'6-2_算定表④(旧・新制度)'!J17*AD18),0))</f>
      </c>
      <c r="AH18" s="411">
        <f t="shared" si="12"/>
      </c>
      <c r="AI18" s="998">
        <f>IF(B18="","",VLOOKUP($B18,'6-2_算定表④(旧・新制度)'!$B$8:$AF$65536,31,FALSE))</f>
      </c>
      <c r="AJ18" s="999" t="s">
        <v>205</v>
      </c>
      <c r="AK18" s="1000" t="s">
        <v>205</v>
      </c>
      <c r="AM18" s="60">
        <f t="shared" si="13"/>
      </c>
      <c r="AN18" s="60">
        <f t="shared" si="11"/>
      </c>
    </row>
    <row r="19" spans="1:40" s="53" customFormat="1" ht="18.75" customHeight="1">
      <c r="A19" s="27">
        <f t="shared" si="0"/>
      </c>
      <c r="B19" s="240"/>
      <c r="C19" s="83">
        <f>IF(B19="","",VLOOKUP($B19,'6-2_算定表④(旧・新制度)'!$B$8:$S$65536,2,FALSE))</f>
      </c>
      <c r="D19" s="441">
        <f>IF(B19="","",VLOOKUP($B19,'6-2_算定表④(旧・新制度)'!$B$8:$S$65536,3,FALSE))</f>
      </c>
      <c r="E19" s="84">
        <f>IF(B19="","",VLOOKUP($B19,'6-2_算定表④(旧・新制度)'!$B$8:$S$65536,6,FALSE))</f>
      </c>
      <c r="F19" s="442">
        <f>IF(B19="","",VLOOKUP($B19,'6-2_算定表④(旧・新制度)'!$B$8:$S$65536,14,FALSE))</f>
      </c>
      <c r="G19" s="441">
        <f>IF(B19="","",VLOOKUP($B19,'6-2_算定表④(旧・新制度)'!$B$8:$S$65536,15,FALSE))</f>
      </c>
      <c r="H19" s="442">
        <f>IF(B19="","",VLOOKUP($B19,'6-2_算定表④(旧・新制度)'!$B$8:$S$65536,16,FALSE))</f>
      </c>
      <c r="I19" s="441">
        <f>IF(B19="","",VLOOKUP($B19,'6-2_算定表④(旧・新制度)'!$B$8:$S$65536,17,FALSE))</f>
      </c>
      <c r="J19" s="411">
        <f>IF(B19="","",VLOOKUP($B19,'6-2_算定表④(旧・新制度)'!$B$8:$S$65536,18,FALSE))</f>
      </c>
      <c r="K19" s="702">
        <f>IF($B19="","",VLOOKUP($B19,'6-2_算定表④(旧・新制度)'!$B$8:$S$65536,14,FALSE))</f>
      </c>
      <c r="L19" s="443">
        <f>IF($B19="","",VLOOKUP($B19,'6-2_算定表④(旧・新制度)'!$B$8:$S$65536,14,FALSE))</f>
      </c>
      <c r="M19" s="703">
        <f>IF($B19="","",VLOOKUP($B19,'6-2_算定表④(旧・新制度)'!$B$8:$S$65536,14,FALSE))</f>
      </c>
      <c r="N19" s="702">
        <f>IF($B19="","",VLOOKUP($B19,'6-2_算定表④(旧・新制度)'!$B$8:$S$65536,16,FALSE))</f>
      </c>
      <c r="O19" s="443">
        <f>IF($B19="","",VLOOKUP($B19,'6-2_算定表④(旧・新制度)'!$B$8:$S$65536,16,FALSE))</f>
      </c>
      <c r="P19" s="443">
        <f>IF($B19="","",VLOOKUP($B19,'6-2_算定表④(旧・新制度)'!$B$8:$S$65536,16,FALSE))</f>
      </c>
      <c r="Q19" s="443">
        <f>IF($B19="","",VLOOKUP($B19,'6-2_算定表④(旧・新制度)'!$B$8:$S$65536,16,FALSE))</f>
      </c>
      <c r="R19" s="443">
        <f>IF($B19="","",VLOOKUP($B19,'6-2_算定表④(旧・新制度)'!$B$8:$S$65536,16,FALSE))</f>
      </c>
      <c r="S19" s="443">
        <f>IF($B19="","",VLOOKUP($B19,'6-2_算定表④(旧・新制度)'!$B$8:$S$65536,16,FALSE))</f>
      </c>
      <c r="T19" s="443">
        <f>IF($B19="","",VLOOKUP($B19,'6-2_算定表④(旧・新制度)'!$B$8:$S$65536,16,FALSE))</f>
      </c>
      <c r="U19" s="443">
        <f>IF($B19="","",VLOOKUP($B19,'6-2_算定表④(旧・新制度)'!$B$8:$S$65536,16,FALSE))</f>
      </c>
      <c r="V19" s="703">
        <f>IF($B19="","",VLOOKUP($B19,'6-2_算定表④(旧・新制度)'!$B$8:$S$65536,16,FALSE))</f>
      </c>
      <c r="W19" s="438">
        <f t="shared" si="1"/>
      </c>
      <c r="X19" s="445">
        <f t="shared" si="2"/>
      </c>
      <c r="Y19" s="444">
        <f t="shared" si="3"/>
      </c>
      <c r="Z19" s="446">
        <f t="shared" si="4"/>
      </c>
      <c r="AA19" s="454">
        <f t="shared" si="5"/>
      </c>
      <c r="AB19" s="438">
        <f t="shared" si="6"/>
      </c>
      <c r="AC19" s="437">
        <f t="shared" si="7"/>
      </c>
      <c r="AD19" s="438">
        <f t="shared" si="8"/>
      </c>
      <c r="AE19" s="437">
        <f t="shared" si="9"/>
      </c>
      <c r="AF19" s="439">
        <f t="shared" si="10"/>
      </c>
      <c r="AG19" s="430">
        <f>IF(B19="","",ROUNDUP((G19/'6-2_算定表④(旧・新制度)'!J18*W19)+(I19/'6-2_算定表④(旧・新制度)'!J18*X19)+(G19/'6-2_算定表④(旧・新制度)'!J18*Y19)+(I19/'6-2_算定表④(旧・新制度)'!J18*Z19)+(G19/'6-2_算定表④(旧・新制度)'!J18*AA19)+(I19/'6-2_算定表④(旧・新制度)'!J18*AB19)+(G19/'6-2_算定表④(旧・新制度)'!J18*AC19)+(I19/'6-2_算定表④(旧・新制度)'!J18*AD19),0))</f>
      </c>
      <c r="AH19" s="411">
        <f t="shared" si="12"/>
      </c>
      <c r="AI19" s="998">
        <f>IF(B19="","",VLOOKUP($B19,'6-2_算定表④(旧・新制度)'!$B$8:$AF$65536,31,FALSE))</f>
      </c>
      <c r="AJ19" s="999" t="s">
        <v>205</v>
      </c>
      <c r="AK19" s="1000" t="s">
        <v>205</v>
      </c>
      <c r="AM19" s="60">
        <f t="shared" si="13"/>
      </c>
      <c r="AN19" s="60">
        <f t="shared" si="11"/>
      </c>
    </row>
    <row r="20" spans="1:40" s="53" customFormat="1" ht="18.75" customHeight="1">
      <c r="A20" s="27">
        <f t="shared" si="0"/>
      </c>
      <c r="B20" s="240"/>
      <c r="C20" s="83">
        <f>IF(B20="","",VLOOKUP($B20,'6-2_算定表④(旧・新制度)'!$B$8:$S$65536,2,FALSE))</f>
      </c>
      <c r="D20" s="441">
        <f>IF(B20="","",VLOOKUP($B20,'6-2_算定表④(旧・新制度)'!$B$8:$S$65536,3,FALSE))</f>
      </c>
      <c r="E20" s="84">
        <f>IF(B20="","",VLOOKUP($B20,'6-2_算定表④(旧・新制度)'!$B$8:$S$65536,6,FALSE))</f>
      </c>
      <c r="F20" s="442">
        <f>IF(B20="","",VLOOKUP($B20,'6-2_算定表④(旧・新制度)'!$B$8:$S$65536,14,FALSE))</f>
      </c>
      <c r="G20" s="441">
        <f>IF(B20="","",VLOOKUP($B20,'6-2_算定表④(旧・新制度)'!$B$8:$S$65536,15,FALSE))</f>
      </c>
      <c r="H20" s="442">
        <f>IF(B20="","",VLOOKUP($B20,'6-2_算定表④(旧・新制度)'!$B$8:$S$65536,16,FALSE))</f>
      </c>
      <c r="I20" s="441">
        <f>IF(B20="","",VLOOKUP($B20,'6-2_算定表④(旧・新制度)'!$B$8:$S$65536,17,FALSE))</f>
      </c>
      <c r="J20" s="411">
        <f>IF(B20="","",VLOOKUP($B20,'6-2_算定表④(旧・新制度)'!$B$8:$S$65536,18,FALSE))</f>
      </c>
      <c r="K20" s="702">
        <f>IF($B20="","",VLOOKUP($B20,'6-2_算定表④(旧・新制度)'!$B$8:$S$65536,14,FALSE))</f>
      </c>
      <c r="L20" s="443">
        <f>IF($B20="","",VLOOKUP($B20,'6-2_算定表④(旧・新制度)'!$B$8:$S$65536,14,FALSE))</f>
      </c>
      <c r="M20" s="703">
        <f>IF($B20="","",VLOOKUP($B20,'6-2_算定表④(旧・新制度)'!$B$8:$S$65536,14,FALSE))</f>
      </c>
      <c r="N20" s="702">
        <f>IF($B20="","",VLOOKUP($B20,'6-2_算定表④(旧・新制度)'!$B$8:$S$65536,16,FALSE))</f>
      </c>
      <c r="O20" s="443">
        <f>IF($B20="","",VLOOKUP($B20,'6-2_算定表④(旧・新制度)'!$B$8:$S$65536,16,FALSE))</f>
      </c>
      <c r="P20" s="443">
        <f>IF($B20="","",VLOOKUP($B20,'6-2_算定表④(旧・新制度)'!$B$8:$S$65536,16,FALSE))</f>
      </c>
      <c r="Q20" s="443">
        <f>IF($B20="","",VLOOKUP($B20,'6-2_算定表④(旧・新制度)'!$B$8:$S$65536,16,FALSE))</f>
      </c>
      <c r="R20" s="443">
        <f>IF($B20="","",VLOOKUP($B20,'6-2_算定表④(旧・新制度)'!$B$8:$S$65536,16,FALSE))</f>
      </c>
      <c r="S20" s="443">
        <f>IF($B20="","",VLOOKUP($B20,'6-2_算定表④(旧・新制度)'!$B$8:$S$65536,16,FALSE))</f>
      </c>
      <c r="T20" s="443">
        <f>IF($B20="","",VLOOKUP($B20,'6-2_算定表④(旧・新制度)'!$B$8:$S$65536,16,FALSE))</f>
      </c>
      <c r="U20" s="443">
        <f>IF($B20="","",VLOOKUP($B20,'6-2_算定表④(旧・新制度)'!$B$8:$S$65536,16,FALSE))</f>
      </c>
      <c r="V20" s="703">
        <f>IF($B20="","",VLOOKUP($B20,'6-2_算定表④(旧・新制度)'!$B$8:$S$65536,16,FALSE))</f>
      </c>
      <c r="W20" s="438">
        <f t="shared" si="1"/>
      </c>
      <c r="X20" s="445">
        <f t="shared" si="2"/>
      </c>
      <c r="Y20" s="444">
        <f t="shared" si="3"/>
      </c>
      <c r="Z20" s="446">
        <f t="shared" si="4"/>
      </c>
      <c r="AA20" s="454">
        <f t="shared" si="5"/>
      </c>
      <c r="AB20" s="438">
        <f t="shared" si="6"/>
      </c>
      <c r="AC20" s="437">
        <f t="shared" si="7"/>
      </c>
      <c r="AD20" s="438">
        <f t="shared" si="8"/>
      </c>
      <c r="AE20" s="437">
        <f t="shared" si="9"/>
      </c>
      <c r="AF20" s="439">
        <f t="shared" si="10"/>
      </c>
      <c r="AG20" s="430">
        <f>IF(B20="","",ROUNDUP((G20/'6-2_算定表④(旧・新制度)'!J19*W20)+(I20/'6-2_算定表④(旧・新制度)'!J19*X20)+(G20/'6-2_算定表④(旧・新制度)'!J19*Y20)+(I20/'6-2_算定表④(旧・新制度)'!J19*Z20)+(G20/'6-2_算定表④(旧・新制度)'!J19*AA20)+(I20/'6-2_算定表④(旧・新制度)'!J19*AB20)+(G20/'6-2_算定表④(旧・新制度)'!J19*AC20)+(I20/'6-2_算定表④(旧・新制度)'!J19*AD20),0))</f>
      </c>
      <c r="AH20" s="411">
        <f t="shared" si="12"/>
      </c>
      <c r="AI20" s="998">
        <f>IF(B20="","",VLOOKUP($B20,'6-2_算定表④(旧・新制度)'!$B$8:$AF$65536,31,FALSE))</f>
      </c>
      <c r="AJ20" s="999" t="s">
        <v>205</v>
      </c>
      <c r="AK20" s="1000" t="s">
        <v>205</v>
      </c>
      <c r="AM20" s="60">
        <f t="shared" si="13"/>
      </c>
      <c r="AN20" s="60">
        <f t="shared" si="11"/>
      </c>
    </row>
    <row r="21" spans="1:40" s="53" customFormat="1" ht="18.75" customHeight="1">
      <c r="A21" s="27">
        <f t="shared" si="0"/>
      </c>
      <c r="B21" s="240"/>
      <c r="C21" s="83">
        <f>IF(B21="","",VLOOKUP($B21,'6-2_算定表④(旧・新制度)'!$B$8:$S$65536,2,FALSE))</f>
      </c>
      <c r="D21" s="441">
        <f>IF(B21="","",VLOOKUP($B21,'6-2_算定表④(旧・新制度)'!$B$8:$S$65536,3,FALSE))</f>
      </c>
      <c r="E21" s="84">
        <f>IF(B21="","",VLOOKUP($B21,'6-2_算定表④(旧・新制度)'!$B$8:$S$65536,6,FALSE))</f>
      </c>
      <c r="F21" s="442">
        <f>IF(B21="","",VLOOKUP($B21,'6-2_算定表④(旧・新制度)'!$B$8:$S$65536,14,FALSE))</f>
      </c>
      <c r="G21" s="441">
        <f>IF(B21="","",VLOOKUP($B21,'6-2_算定表④(旧・新制度)'!$B$8:$S$65536,15,FALSE))</f>
      </c>
      <c r="H21" s="442">
        <f>IF(B21="","",VLOOKUP($B21,'6-2_算定表④(旧・新制度)'!$B$8:$S$65536,16,FALSE))</f>
      </c>
      <c r="I21" s="441">
        <f>IF(B21="","",VLOOKUP($B21,'6-2_算定表④(旧・新制度)'!$B$8:$S$65536,17,FALSE))</f>
      </c>
      <c r="J21" s="411">
        <f>IF(B21="","",VLOOKUP($B21,'6-2_算定表④(旧・新制度)'!$B$8:$S$65536,18,FALSE))</f>
      </c>
      <c r="K21" s="702">
        <f>IF($B21="","",VLOOKUP($B21,'6-2_算定表④(旧・新制度)'!$B$8:$S$65536,14,FALSE))</f>
      </c>
      <c r="L21" s="443">
        <f>IF($B21="","",VLOOKUP($B21,'6-2_算定表④(旧・新制度)'!$B$8:$S$65536,14,FALSE))</f>
      </c>
      <c r="M21" s="703">
        <f>IF($B21="","",VLOOKUP($B21,'6-2_算定表④(旧・新制度)'!$B$8:$S$65536,14,FALSE))</f>
      </c>
      <c r="N21" s="702">
        <f>IF($B21="","",VLOOKUP($B21,'6-2_算定表④(旧・新制度)'!$B$8:$S$65536,16,FALSE))</f>
      </c>
      <c r="O21" s="443">
        <f>IF($B21="","",VLOOKUP($B21,'6-2_算定表④(旧・新制度)'!$B$8:$S$65536,16,FALSE))</f>
      </c>
      <c r="P21" s="443">
        <f>IF($B21="","",VLOOKUP($B21,'6-2_算定表④(旧・新制度)'!$B$8:$S$65536,16,FALSE))</f>
      </c>
      <c r="Q21" s="443">
        <f>IF($B21="","",VLOOKUP($B21,'6-2_算定表④(旧・新制度)'!$B$8:$S$65536,16,FALSE))</f>
      </c>
      <c r="R21" s="443">
        <f>IF($B21="","",VLOOKUP($B21,'6-2_算定表④(旧・新制度)'!$B$8:$S$65536,16,FALSE))</f>
      </c>
      <c r="S21" s="443">
        <f>IF($B21="","",VLOOKUP($B21,'6-2_算定表④(旧・新制度)'!$B$8:$S$65536,16,FALSE))</f>
      </c>
      <c r="T21" s="443">
        <f>IF($B21="","",VLOOKUP($B21,'6-2_算定表④(旧・新制度)'!$B$8:$S$65536,16,FALSE))</f>
      </c>
      <c r="U21" s="443">
        <f>IF($B21="","",VLOOKUP($B21,'6-2_算定表④(旧・新制度)'!$B$8:$S$65536,16,FALSE))</f>
      </c>
      <c r="V21" s="703">
        <f>IF($B21="","",VLOOKUP($B21,'6-2_算定表④(旧・新制度)'!$B$8:$S$65536,16,FALSE))</f>
      </c>
      <c r="W21" s="438">
        <f t="shared" si="1"/>
      </c>
      <c r="X21" s="445">
        <f t="shared" si="2"/>
      </c>
      <c r="Y21" s="444">
        <f t="shared" si="3"/>
      </c>
      <c r="Z21" s="446">
        <f t="shared" si="4"/>
      </c>
      <c r="AA21" s="454">
        <f t="shared" si="5"/>
      </c>
      <c r="AB21" s="438">
        <f t="shared" si="6"/>
      </c>
      <c r="AC21" s="437">
        <f t="shared" si="7"/>
      </c>
      <c r="AD21" s="438">
        <f t="shared" si="8"/>
      </c>
      <c r="AE21" s="437">
        <f t="shared" si="9"/>
      </c>
      <c r="AF21" s="439">
        <f t="shared" si="10"/>
      </c>
      <c r="AG21" s="430">
        <f>IF(B21="","",ROUNDUP((G21/'6-2_算定表④(旧・新制度)'!J20*W21)+(I21/'6-2_算定表④(旧・新制度)'!J20*X21)+(G21/'6-2_算定表④(旧・新制度)'!J20*Y21)+(I21/'6-2_算定表④(旧・新制度)'!J20*Z21)+(G21/'6-2_算定表④(旧・新制度)'!J20*AA21)+(I21/'6-2_算定表④(旧・新制度)'!J20*AB21)+(G21/'6-2_算定表④(旧・新制度)'!J20*AC21)+(I21/'6-2_算定表④(旧・新制度)'!J20*AD21),0))</f>
      </c>
      <c r="AH21" s="411">
        <f t="shared" si="12"/>
      </c>
      <c r="AI21" s="998">
        <f>IF(B21="","",VLOOKUP($B21,'6-2_算定表④(旧・新制度)'!$B$8:$AF$65536,31,FALSE))</f>
      </c>
      <c r="AJ21" s="999" t="s">
        <v>205</v>
      </c>
      <c r="AK21" s="1000" t="s">
        <v>205</v>
      </c>
      <c r="AM21" s="60">
        <f t="shared" si="13"/>
      </c>
      <c r="AN21" s="60">
        <f t="shared" si="11"/>
      </c>
    </row>
    <row r="22" spans="1:40" s="53" customFormat="1" ht="18.75" customHeight="1">
      <c r="A22" s="27">
        <f t="shared" si="0"/>
      </c>
      <c r="B22" s="240"/>
      <c r="C22" s="83">
        <f>IF(B22="","",VLOOKUP($B22,'6-2_算定表④(旧・新制度)'!$B$8:$S$65536,2,FALSE))</f>
      </c>
      <c r="D22" s="441">
        <f>IF(B22="","",VLOOKUP($B22,'6-2_算定表④(旧・新制度)'!$B$8:$S$65536,3,FALSE))</f>
      </c>
      <c r="E22" s="84">
        <f>IF(B22="","",VLOOKUP($B22,'6-2_算定表④(旧・新制度)'!$B$8:$S$65536,6,FALSE))</f>
      </c>
      <c r="F22" s="442">
        <f>IF(B22="","",VLOOKUP($B22,'6-2_算定表④(旧・新制度)'!$B$8:$S$65536,14,FALSE))</f>
      </c>
      <c r="G22" s="441">
        <f>IF(B22="","",VLOOKUP($B22,'6-2_算定表④(旧・新制度)'!$B$8:$S$65536,15,FALSE))</f>
      </c>
      <c r="H22" s="442">
        <f>IF(B22="","",VLOOKUP($B22,'6-2_算定表④(旧・新制度)'!$B$8:$S$65536,16,FALSE))</f>
      </c>
      <c r="I22" s="441">
        <f>IF(B22="","",VLOOKUP($B22,'6-2_算定表④(旧・新制度)'!$B$8:$S$65536,17,FALSE))</f>
      </c>
      <c r="J22" s="411">
        <f>IF(B22="","",VLOOKUP($B22,'6-2_算定表④(旧・新制度)'!$B$8:$S$65536,18,FALSE))</f>
      </c>
      <c r="K22" s="702">
        <f>IF($B22="","",VLOOKUP($B22,'6-2_算定表④(旧・新制度)'!$B$8:$S$65536,14,FALSE))</f>
      </c>
      <c r="L22" s="443">
        <f>IF($B22="","",VLOOKUP($B22,'6-2_算定表④(旧・新制度)'!$B$8:$S$65536,14,FALSE))</f>
      </c>
      <c r="M22" s="703">
        <f>IF($B22="","",VLOOKUP($B22,'6-2_算定表④(旧・新制度)'!$B$8:$S$65536,14,FALSE))</f>
      </c>
      <c r="N22" s="702">
        <f>IF($B22="","",VLOOKUP($B22,'6-2_算定表④(旧・新制度)'!$B$8:$S$65536,16,FALSE))</f>
      </c>
      <c r="O22" s="443">
        <f>IF($B22="","",VLOOKUP($B22,'6-2_算定表④(旧・新制度)'!$B$8:$S$65536,16,FALSE))</f>
      </c>
      <c r="P22" s="443">
        <f>IF($B22="","",VLOOKUP($B22,'6-2_算定表④(旧・新制度)'!$B$8:$S$65536,16,FALSE))</f>
      </c>
      <c r="Q22" s="443">
        <f>IF($B22="","",VLOOKUP($B22,'6-2_算定表④(旧・新制度)'!$B$8:$S$65536,16,FALSE))</f>
      </c>
      <c r="R22" s="443">
        <f>IF($B22="","",VLOOKUP($B22,'6-2_算定表④(旧・新制度)'!$B$8:$S$65536,16,FALSE))</f>
      </c>
      <c r="S22" s="443">
        <f>IF($B22="","",VLOOKUP($B22,'6-2_算定表④(旧・新制度)'!$B$8:$S$65536,16,FALSE))</f>
      </c>
      <c r="T22" s="443">
        <f>IF($B22="","",VLOOKUP($B22,'6-2_算定表④(旧・新制度)'!$B$8:$S$65536,16,FALSE))</f>
      </c>
      <c r="U22" s="443">
        <f>IF($B22="","",VLOOKUP($B22,'6-2_算定表④(旧・新制度)'!$B$8:$S$65536,16,FALSE))</f>
      </c>
      <c r="V22" s="703">
        <f>IF($B22="","",VLOOKUP($B22,'6-2_算定表④(旧・新制度)'!$B$8:$S$65536,16,FALSE))</f>
      </c>
      <c r="W22" s="438">
        <f t="shared" si="1"/>
      </c>
      <c r="X22" s="445">
        <f t="shared" si="2"/>
      </c>
      <c r="Y22" s="444">
        <f t="shared" si="3"/>
      </c>
      <c r="Z22" s="446">
        <f t="shared" si="4"/>
      </c>
      <c r="AA22" s="454">
        <f t="shared" si="5"/>
      </c>
      <c r="AB22" s="438">
        <f t="shared" si="6"/>
      </c>
      <c r="AC22" s="437">
        <f t="shared" si="7"/>
      </c>
      <c r="AD22" s="438">
        <f t="shared" si="8"/>
      </c>
      <c r="AE22" s="437">
        <f t="shared" si="9"/>
      </c>
      <c r="AF22" s="439">
        <f t="shared" si="10"/>
      </c>
      <c r="AG22" s="430">
        <f>IF(B22="","",ROUNDUP((G22/'6-2_算定表④(旧・新制度)'!J21*W22)+(I22/'6-2_算定表④(旧・新制度)'!J21*X22)+(G22/'6-2_算定表④(旧・新制度)'!J21*Y22)+(I22/'6-2_算定表④(旧・新制度)'!J21*Z22)+(G22/'6-2_算定表④(旧・新制度)'!J21*AA22)+(I22/'6-2_算定表④(旧・新制度)'!J21*AB22)+(G22/'6-2_算定表④(旧・新制度)'!J21*AC22)+(I22/'6-2_算定表④(旧・新制度)'!J21*AD22),0))</f>
      </c>
      <c r="AH22" s="411">
        <f t="shared" si="12"/>
      </c>
      <c r="AI22" s="998">
        <f>IF(B22="","",VLOOKUP($B22,'6-2_算定表④(旧・新制度)'!$B$8:$AF$65536,31,FALSE))</f>
      </c>
      <c r="AJ22" s="999" t="s">
        <v>205</v>
      </c>
      <c r="AK22" s="1000" t="s">
        <v>205</v>
      </c>
      <c r="AM22" s="60">
        <f t="shared" si="13"/>
      </c>
      <c r="AN22" s="60">
        <f t="shared" si="11"/>
      </c>
    </row>
    <row r="23" spans="1:40" s="53" customFormat="1" ht="18.75" customHeight="1">
      <c r="A23" s="27">
        <f t="shared" si="0"/>
      </c>
      <c r="B23" s="240"/>
      <c r="C23" s="83">
        <f>IF(B23="","",VLOOKUP($B23,'6-2_算定表④(旧・新制度)'!$B$8:$S$65536,2,FALSE))</f>
      </c>
      <c r="D23" s="441">
        <f>IF(B23="","",VLOOKUP($B23,'6-2_算定表④(旧・新制度)'!$B$8:$S$65536,3,FALSE))</f>
      </c>
      <c r="E23" s="84">
        <f>IF(B23="","",VLOOKUP($B23,'6-2_算定表④(旧・新制度)'!$B$8:$S$65536,6,FALSE))</f>
      </c>
      <c r="F23" s="442">
        <f>IF(B23="","",VLOOKUP($B23,'6-2_算定表④(旧・新制度)'!$B$8:$S$65536,14,FALSE))</f>
      </c>
      <c r="G23" s="441">
        <f>IF(B23="","",VLOOKUP($B23,'6-2_算定表④(旧・新制度)'!$B$8:$S$65536,15,FALSE))</f>
      </c>
      <c r="H23" s="442">
        <f>IF(B23="","",VLOOKUP($B23,'6-2_算定表④(旧・新制度)'!$B$8:$S$65536,16,FALSE))</f>
      </c>
      <c r="I23" s="441">
        <f>IF(B23="","",VLOOKUP($B23,'6-2_算定表④(旧・新制度)'!$B$8:$S$65536,17,FALSE))</f>
      </c>
      <c r="J23" s="411">
        <f>IF(B23="","",VLOOKUP($B23,'6-2_算定表④(旧・新制度)'!$B$8:$S$65536,18,FALSE))</f>
      </c>
      <c r="K23" s="702">
        <f>IF($B23="","",VLOOKUP($B23,'6-2_算定表④(旧・新制度)'!$B$8:$S$65536,14,FALSE))</f>
      </c>
      <c r="L23" s="443">
        <f>IF($B23="","",VLOOKUP($B23,'6-2_算定表④(旧・新制度)'!$B$8:$S$65536,14,FALSE))</f>
      </c>
      <c r="M23" s="703">
        <f>IF($B23="","",VLOOKUP($B23,'6-2_算定表④(旧・新制度)'!$B$8:$S$65536,14,FALSE))</f>
      </c>
      <c r="N23" s="702">
        <f>IF($B23="","",VLOOKUP($B23,'6-2_算定表④(旧・新制度)'!$B$8:$S$65536,16,FALSE))</f>
      </c>
      <c r="O23" s="443">
        <f>IF($B23="","",VLOOKUP($B23,'6-2_算定表④(旧・新制度)'!$B$8:$S$65536,16,FALSE))</f>
      </c>
      <c r="P23" s="443">
        <f>IF($B23="","",VLOOKUP($B23,'6-2_算定表④(旧・新制度)'!$B$8:$S$65536,16,FALSE))</f>
      </c>
      <c r="Q23" s="443">
        <f>IF($B23="","",VLOOKUP($B23,'6-2_算定表④(旧・新制度)'!$B$8:$S$65536,16,FALSE))</f>
      </c>
      <c r="R23" s="443">
        <f>IF($B23="","",VLOOKUP($B23,'6-2_算定表④(旧・新制度)'!$B$8:$S$65536,16,FALSE))</f>
      </c>
      <c r="S23" s="443">
        <f>IF($B23="","",VLOOKUP($B23,'6-2_算定表④(旧・新制度)'!$B$8:$S$65536,16,FALSE))</f>
      </c>
      <c r="T23" s="443">
        <f>IF($B23="","",VLOOKUP($B23,'6-2_算定表④(旧・新制度)'!$B$8:$S$65536,16,FALSE))</f>
      </c>
      <c r="U23" s="443">
        <f>IF($B23="","",VLOOKUP($B23,'6-2_算定表④(旧・新制度)'!$B$8:$S$65536,16,FALSE))</f>
      </c>
      <c r="V23" s="703">
        <f>IF($B23="","",VLOOKUP($B23,'6-2_算定表④(旧・新制度)'!$B$8:$S$65536,16,FALSE))</f>
      </c>
      <c r="W23" s="438">
        <f t="shared" si="1"/>
      </c>
      <c r="X23" s="445">
        <f t="shared" si="2"/>
      </c>
      <c r="Y23" s="444">
        <f t="shared" si="3"/>
      </c>
      <c r="Z23" s="446">
        <f t="shared" si="4"/>
      </c>
      <c r="AA23" s="454">
        <f t="shared" si="5"/>
      </c>
      <c r="AB23" s="438">
        <f t="shared" si="6"/>
      </c>
      <c r="AC23" s="437">
        <f t="shared" si="7"/>
      </c>
      <c r="AD23" s="438">
        <f t="shared" si="8"/>
      </c>
      <c r="AE23" s="437">
        <f t="shared" si="9"/>
      </c>
      <c r="AF23" s="439">
        <f t="shared" si="10"/>
      </c>
      <c r="AG23" s="430">
        <f>IF(B23="","",ROUNDUP((G23/'6-2_算定表④(旧・新制度)'!J22*W23)+(I23/'6-2_算定表④(旧・新制度)'!J22*X23)+(G23/'6-2_算定表④(旧・新制度)'!J22*Y23)+(I23/'6-2_算定表④(旧・新制度)'!J22*Z23)+(G23/'6-2_算定表④(旧・新制度)'!J22*AA23)+(I23/'6-2_算定表④(旧・新制度)'!J22*AB23)+(G23/'6-2_算定表④(旧・新制度)'!J22*AC23)+(I23/'6-2_算定表④(旧・新制度)'!J22*AD23),0))</f>
      </c>
      <c r="AH23" s="411">
        <f t="shared" si="12"/>
      </c>
      <c r="AI23" s="998">
        <f>IF(B23="","",VLOOKUP($B23,'6-2_算定表④(旧・新制度)'!$B$8:$AF$65536,31,FALSE))</f>
      </c>
      <c r="AJ23" s="999" t="s">
        <v>205</v>
      </c>
      <c r="AK23" s="1000" t="s">
        <v>205</v>
      </c>
      <c r="AM23" s="60">
        <f t="shared" si="13"/>
      </c>
      <c r="AN23" s="60">
        <f t="shared" si="11"/>
      </c>
    </row>
    <row r="24" spans="1:40" s="53" customFormat="1" ht="18.75" customHeight="1">
      <c r="A24" s="27">
        <f t="shared" si="0"/>
      </c>
      <c r="B24" s="240"/>
      <c r="C24" s="83">
        <f>IF(B24="","",VLOOKUP($B24,'6-2_算定表④(旧・新制度)'!$B$8:$S$65536,2,FALSE))</f>
      </c>
      <c r="D24" s="441">
        <f>IF(B24="","",VLOOKUP($B24,'6-2_算定表④(旧・新制度)'!$B$8:$S$65536,3,FALSE))</f>
      </c>
      <c r="E24" s="84">
        <f>IF(B24="","",VLOOKUP($B24,'6-2_算定表④(旧・新制度)'!$B$8:$S$65536,6,FALSE))</f>
      </c>
      <c r="F24" s="442">
        <f>IF(B24="","",VLOOKUP($B24,'6-2_算定表④(旧・新制度)'!$B$8:$S$65536,14,FALSE))</f>
      </c>
      <c r="G24" s="441">
        <f>IF(B24="","",VLOOKUP($B24,'6-2_算定表④(旧・新制度)'!$B$8:$S$65536,15,FALSE))</f>
      </c>
      <c r="H24" s="442">
        <f>IF(B24="","",VLOOKUP($B24,'6-2_算定表④(旧・新制度)'!$B$8:$S$65536,16,FALSE))</f>
      </c>
      <c r="I24" s="441">
        <f>IF(B24="","",VLOOKUP($B24,'6-2_算定表④(旧・新制度)'!$B$8:$S$65536,17,FALSE))</f>
      </c>
      <c r="J24" s="411">
        <f>IF(B24="","",VLOOKUP($B24,'6-2_算定表④(旧・新制度)'!$B$8:$S$65536,18,FALSE))</f>
      </c>
      <c r="K24" s="702">
        <f>IF($B24="","",VLOOKUP($B24,'6-2_算定表④(旧・新制度)'!$B$8:$S$65536,14,FALSE))</f>
      </c>
      <c r="L24" s="443">
        <f>IF($B24="","",VLOOKUP($B24,'6-2_算定表④(旧・新制度)'!$B$8:$S$65536,14,FALSE))</f>
      </c>
      <c r="M24" s="703">
        <f>IF($B24="","",VLOOKUP($B24,'6-2_算定表④(旧・新制度)'!$B$8:$S$65536,14,FALSE))</f>
      </c>
      <c r="N24" s="702">
        <f>IF($B24="","",VLOOKUP($B24,'6-2_算定表④(旧・新制度)'!$B$8:$S$65536,16,FALSE))</f>
      </c>
      <c r="O24" s="443">
        <f>IF($B24="","",VLOOKUP($B24,'6-2_算定表④(旧・新制度)'!$B$8:$S$65536,16,FALSE))</f>
      </c>
      <c r="P24" s="443">
        <f>IF($B24="","",VLOOKUP($B24,'6-2_算定表④(旧・新制度)'!$B$8:$S$65536,16,FALSE))</f>
      </c>
      <c r="Q24" s="443">
        <f>IF($B24="","",VLOOKUP($B24,'6-2_算定表④(旧・新制度)'!$B$8:$S$65536,16,FALSE))</f>
      </c>
      <c r="R24" s="443">
        <f>IF($B24="","",VLOOKUP($B24,'6-2_算定表④(旧・新制度)'!$B$8:$S$65536,16,FALSE))</f>
      </c>
      <c r="S24" s="443">
        <f>IF($B24="","",VLOOKUP($B24,'6-2_算定表④(旧・新制度)'!$B$8:$S$65536,16,FALSE))</f>
      </c>
      <c r="T24" s="443">
        <f>IF($B24="","",VLOOKUP($B24,'6-2_算定表④(旧・新制度)'!$B$8:$S$65536,16,FALSE))</f>
      </c>
      <c r="U24" s="443">
        <f>IF($B24="","",VLOOKUP($B24,'6-2_算定表④(旧・新制度)'!$B$8:$S$65536,16,FALSE))</f>
      </c>
      <c r="V24" s="703">
        <f>IF($B24="","",VLOOKUP($B24,'6-2_算定表④(旧・新制度)'!$B$8:$S$65536,16,FALSE))</f>
      </c>
      <c r="W24" s="438">
        <f t="shared" si="1"/>
      </c>
      <c r="X24" s="445">
        <f t="shared" si="2"/>
      </c>
      <c r="Y24" s="444">
        <f t="shared" si="3"/>
      </c>
      <c r="Z24" s="446">
        <f t="shared" si="4"/>
      </c>
      <c r="AA24" s="454">
        <f t="shared" si="5"/>
      </c>
      <c r="AB24" s="438">
        <f t="shared" si="6"/>
      </c>
      <c r="AC24" s="437">
        <f t="shared" si="7"/>
      </c>
      <c r="AD24" s="438">
        <f t="shared" si="8"/>
      </c>
      <c r="AE24" s="437">
        <f t="shared" si="9"/>
      </c>
      <c r="AF24" s="439">
        <f t="shared" si="10"/>
      </c>
      <c r="AG24" s="430">
        <f>IF(B24="","",ROUNDUP((G24/'6-2_算定表④(旧・新制度)'!J23*W24)+(I24/'6-2_算定表④(旧・新制度)'!J23*X24)+(G24/'6-2_算定表④(旧・新制度)'!J23*Y24)+(I24/'6-2_算定表④(旧・新制度)'!J23*Z24)+(G24/'6-2_算定表④(旧・新制度)'!J23*AA24)+(I24/'6-2_算定表④(旧・新制度)'!J23*AB24)+(G24/'6-2_算定表④(旧・新制度)'!J23*AC24)+(I24/'6-2_算定表④(旧・新制度)'!J23*AD24),0))</f>
      </c>
      <c r="AH24" s="411">
        <f t="shared" si="12"/>
      </c>
      <c r="AI24" s="998">
        <f>IF(B24="","",VLOOKUP($B24,'6-2_算定表④(旧・新制度)'!$B$8:$AF$65536,31,FALSE))</f>
      </c>
      <c r="AJ24" s="999" t="s">
        <v>205</v>
      </c>
      <c r="AK24" s="1000" t="s">
        <v>205</v>
      </c>
      <c r="AM24" s="60">
        <f t="shared" si="13"/>
      </c>
      <c r="AN24" s="60">
        <f t="shared" si="11"/>
      </c>
    </row>
    <row r="25" spans="1:40" s="53" customFormat="1" ht="18.75" customHeight="1">
      <c r="A25" s="27">
        <f t="shared" si="0"/>
      </c>
      <c r="B25" s="240"/>
      <c r="C25" s="83">
        <f>IF(B25="","",VLOOKUP($B25,'6-2_算定表④(旧・新制度)'!$B$8:$S$65536,2,FALSE))</f>
      </c>
      <c r="D25" s="441">
        <f>IF(B25="","",VLOOKUP($B25,'6-2_算定表④(旧・新制度)'!$B$8:$S$65536,3,FALSE))</f>
      </c>
      <c r="E25" s="84">
        <f>IF(B25="","",VLOOKUP($B25,'6-2_算定表④(旧・新制度)'!$B$8:$S$65536,6,FALSE))</f>
      </c>
      <c r="F25" s="442">
        <f>IF(B25="","",VLOOKUP($B25,'6-2_算定表④(旧・新制度)'!$B$8:$S$65536,14,FALSE))</f>
      </c>
      <c r="G25" s="441">
        <f>IF(B25="","",VLOOKUP($B25,'6-2_算定表④(旧・新制度)'!$B$8:$S$65536,15,FALSE))</f>
      </c>
      <c r="H25" s="442">
        <f>IF(B25="","",VLOOKUP($B25,'6-2_算定表④(旧・新制度)'!$B$8:$S$65536,16,FALSE))</f>
      </c>
      <c r="I25" s="441">
        <f>IF(B25="","",VLOOKUP($B25,'6-2_算定表④(旧・新制度)'!$B$8:$S$65536,17,FALSE))</f>
      </c>
      <c r="J25" s="411">
        <f>IF(B25="","",VLOOKUP($B25,'6-2_算定表④(旧・新制度)'!$B$8:$S$65536,18,FALSE))</f>
      </c>
      <c r="K25" s="702">
        <f>IF($B25="","",VLOOKUP($B25,'6-2_算定表④(旧・新制度)'!$B$8:$S$65536,14,FALSE))</f>
      </c>
      <c r="L25" s="443">
        <f>IF($B25="","",VLOOKUP($B25,'6-2_算定表④(旧・新制度)'!$B$8:$S$65536,14,FALSE))</f>
      </c>
      <c r="M25" s="703">
        <f>IF($B25="","",VLOOKUP($B25,'6-2_算定表④(旧・新制度)'!$B$8:$S$65536,14,FALSE))</f>
      </c>
      <c r="N25" s="702">
        <f>IF($B25="","",VLOOKUP($B25,'6-2_算定表④(旧・新制度)'!$B$8:$S$65536,16,FALSE))</f>
      </c>
      <c r="O25" s="443">
        <f>IF($B25="","",VLOOKUP($B25,'6-2_算定表④(旧・新制度)'!$B$8:$S$65536,16,FALSE))</f>
      </c>
      <c r="P25" s="443">
        <f>IF($B25="","",VLOOKUP($B25,'6-2_算定表④(旧・新制度)'!$B$8:$S$65536,16,FALSE))</f>
      </c>
      <c r="Q25" s="443">
        <f>IF($B25="","",VLOOKUP($B25,'6-2_算定表④(旧・新制度)'!$B$8:$S$65536,16,FALSE))</f>
      </c>
      <c r="R25" s="443">
        <f>IF($B25="","",VLOOKUP($B25,'6-2_算定表④(旧・新制度)'!$B$8:$S$65536,16,FALSE))</f>
      </c>
      <c r="S25" s="443">
        <f>IF($B25="","",VLOOKUP($B25,'6-2_算定表④(旧・新制度)'!$B$8:$S$65536,16,FALSE))</f>
      </c>
      <c r="T25" s="443">
        <f>IF($B25="","",VLOOKUP($B25,'6-2_算定表④(旧・新制度)'!$B$8:$S$65536,16,FALSE))</f>
      </c>
      <c r="U25" s="443">
        <f>IF($B25="","",VLOOKUP($B25,'6-2_算定表④(旧・新制度)'!$B$8:$S$65536,16,FALSE))</f>
      </c>
      <c r="V25" s="703">
        <f>IF($B25="","",VLOOKUP($B25,'6-2_算定表④(旧・新制度)'!$B$8:$S$65536,16,FALSE))</f>
      </c>
      <c r="W25" s="438">
        <f t="shared" si="1"/>
      </c>
      <c r="X25" s="445">
        <f t="shared" si="2"/>
      </c>
      <c r="Y25" s="444">
        <f t="shared" si="3"/>
      </c>
      <c r="Z25" s="446">
        <f t="shared" si="4"/>
      </c>
      <c r="AA25" s="454">
        <f t="shared" si="5"/>
      </c>
      <c r="AB25" s="438">
        <f t="shared" si="6"/>
      </c>
      <c r="AC25" s="437">
        <f t="shared" si="7"/>
      </c>
      <c r="AD25" s="438">
        <f t="shared" si="8"/>
      </c>
      <c r="AE25" s="437">
        <f t="shared" si="9"/>
      </c>
      <c r="AF25" s="439">
        <f t="shared" si="10"/>
      </c>
      <c r="AG25" s="430">
        <f>IF(B25="","",ROUNDUP((G25/'6-2_算定表④(旧・新制度)'!J24*W25)+(I25/'6-2_算定表④(旧・新制度)'!J24*X25)+(G25/'6-2_算定表④(旧・新制度)'!J24*Y25)+(I25/'6-2_算定表④(旧・新制度)'!J24*Z25)+(G25/'6-2_算定表④(旧・新制度)'!J24*AA25)+(I25/'6-2_算定表④(旧・新制度)'!J24*AB25)+(G25/'6-2_算定表④(旧・新制度)'!J24*AC25)+(I25/'6-2_算定表④(旧・新制度)'!J24*AD25),0))</f>
      </c>
      <c r="AH25" s="411">
        <f t="shared" si="12"/>
      </c>
      <c r="AI25" s="998">
        <f>IF(B25="","",VLOOKUP($B25,'6-2_算定表④(旧・新制度)'!$B$8:$AF$65536,31,FALSE))</f>
      </c>
      <c r="AJ25" s="999" t="s">
        <v>205</v>
      </c>
      <c r="AK25" s="1000" t="s">
        <v>205</v>
      </c>
      <c r="AM25" s="60">
        <f t="shared" si="13"/>
      </c>
      <c r="AN25" s="60">
        <f t="shared" si="11"/>
      </c>
    </row>
    <row r="26" spans="1:40" s="53" customFormat="1" ht="18.75" customHeight="1">
      <c r="A26" s="27">
        <f t="shared" si="0"/>
      </c>
      <c r="B26" s="240"/>
      <c r="C26" s="83">
        <f>IF(B26="","",VLOOKUP($B26,'6-2_算定表④(旧・新制度)'!$B$8:$S$65536,2,FALSE))</f>
      </c>
      <c r="D26" s="441">
        <f>IF(B26="","",VLOOKUP($B26,'6-2_算定表④(旧・新制度)'!$B$8:$S$65536,3,FALSE))</f>
      </c>
      <c r="E26" s="84">
        <f>IF(B26="","",VLOOKUP($B26,'6-2_算定表④(旧・新制度)'!$B$8:$S$65536,6,FALSE))</f>
      </c>
      <c r="F26" s="442">
        <f>IF(B26="","",VLOOKUP($B26,'6-2_算定表④(旧・新制度)'!$B$8:$S$65536,14,FALSE))</f>
      </c>
      <c r="G26" s="441">
        <f>IF(B26="","",VLOOKUP($B26,'6-2_算定表④(旧・新制度)'!$B$8:$S$65536,15,FALSE))</f>
      </c>
      <c r="H26" s="442">
        <f>IF(B26="","",VLOOKUP($B26,'6-2_算定表④(旧・新制度)'!$B$8:$S$65536,16,FALSE))</f>
      </c>
      <c r="I26" s="441">
        <f>IF(B26="","",VLOOKUP($B26,'6-2_算定表④(旧・新制度)'!$B$8:$S$65536,17,FALSE))</f>
      </c>
      <c r="J26" s="411">
        <f>IF(B26="","",VLOOKUP($B26,'6-2_算定表④(旧・新制度)'!$B$8:$S$65536,18,FALSE))</f>
      </c>
      <c r="K26" s="702">
        <f>IF($B26="","",VLOOKUP($B26,'6-2_算定表④(旧・新制度)'!$B$8:$S$65536,14,FALSE))</f>
      </c>
      <c r="L26" s="443">
        <f>IF($B26="","",VLOOKUP($B26,'6-2_算定表④(旧・新制度)'!$B$8:$S$65536,14,FALSE))</f>
      </c>
      <c r="M26" s="703">
        <f>IF($B26="","",VLOOKUP($B26,'6-2_算定表④(旧・新制度)'!$B$8:$S$65536,14,FALSE))</f>
      </c>
      <c r="N26" s="702">
        <f>IF($B26="","",VLOOKUP($B26,'6-2_算定表④(旧・新制度)'!$B$8:$S$65536,16,FALSE))</f>
      </c>
      <c r="O26" s="443">
        <f>IF($B26="","",VLOOKUP($B26,'6-2_算定表④(旧・新制度)'!$B$8:$S$65536,16,FALSE))</f>
      </c>
      <c r="P26" s="443">
        <f>IF($B26="","",VLOOKUP($B26,'6-2_算定表④(旧・新制度)'!$B$8:$S$65536,16,FALSE))</f>
      </c>
      <c r="Q26" s="443">
        <f>IF($B26="","",VLOOKUP($B26,'6-2_算定表④(旧・新制度)'!$B$8:$S$65536,16,FALSE))</f>
      </c>
      <c r="R26" s="443">
        <f>IF($B26="","",VLOOKUP($B26,'6-2_算定表④(旧・新制度)'!$B$8:$S$65536,16,FALSE))</f>
      </c>
      <c r="S26" s="443">
        <f>IF($B26="","",VLOOKUP($B26,'6-2_算定表④(旧・新制度)'!$B$8:$S$65536,16,FALSE))</f>
      </c>
      <c r="T26" s="443">
        <f>IF($B26="","",VLOOKUP($B26,'6-2_算定表④(旧・新制度)'!$B$8:$S$65536,16,FALSE))</f>
      </c>
      <c r="U26" s="443">
        <f>IF($B26="","",VLOOKUP($B26,'6-2_算定表④(旧・新制度)'!$B$8:$S$65536,16,FALSE))</f>
      </c>
      <c r="V26" s="703">
        <f>IF($B26="","",VLOOKUP($B26,'6-2_算定表④(旧・新制度)'!$B$8:$S$65536,16,FALSE))</f>
      </c>
      <c r="W26" s="438">
        <f t="shared" si="1"/>
      </c>
      <c r="X26" s="445">
        <f t="shared" si="2"/>
      </c>
      <c r="Y26" s="444">
        <f t="shared" si="3"/>
      </c>
      <c r="Z26" s="446">
        <f t="shared" si="4"/>
      </c>
      <c r="AA26" s="454">
        <f t="shared" si="5"/>
      </c>
      <c r="AB26" s="438">
        <f t="shared" si="6"/>
      </c>
      <c r="AC26" s="437">
        <f t="shared" si="7"/>
      </c>
      <c r="AD26" s="438">
        <f t="shared" si="8"/>
      </c>
      <c r="AE26" s="437">
        <f t="shared" si="9"/>
      </c>
      <c r="AF26" s="439">
        <f t="shared" si="10"/>
      </c>
      <c r="AG26" s="430">
        <f>IF(B26="","",ROUNDUP((G26/'6-2_算定表④(旧・新制度)'!J25*W26)+(I26/'6-2_算定表④(旧・新制度)'!J25*X26)+(G26/'6-2_算定表④(旧・新制度)'!J25*Y26)+(I26/'6-2_算定表④(旧・新制度)'!J25*Z26)+(G26/'6-2_算定表④(旧・新制度)'!J25*AA26)+(I26/'6-2_算定表④(旧・新制度)'!J25*AB26)+(G26/'6-2_算定表④(旧・新制度)'!J25*AC26)+(I26/'6-2_算定表④(旧・新制度)'!J25*AD26),0))</f>
      </c>
      <c r="AH26" s="411">
        <f t="shared" si="12"/>
      </c>
      <c r="AI26" s="998">
        <f>IF(B26="","",VLOOKUP($B26,'6-2_算定表④(旧・新制度)'!$B$8:$AF$65536,31,FALSE))</f>
      </c>
      <c r="AJ26" s="999" t="s">
        <v>205</v>
      </c>
      <c r="AK26" s="1000" t="s">
        <v>205</v>
      </c>
      <c r="AM26" s="60">
        <f t="shared" si="13"/>
      </c>
      <c r="AN26" s="60">
        <f t="shared" si="11"/>
      </c>
    </row>
    <row r="27" spans="1:40" s="53" customFormat="1" ht="18.75" customHeight="1">
      <c r="A27" s="27">
        <f t="shared" si="0"/>
      </c>
      <c r="B27" s="240"/>
      <c r="C27" s="83">
        <f>IF(B27="","",VLOOKUP($B27,'6-2_算定表④(旧・新制度)'!$B$8:$S$65536,2,FALSE))</f>
      </c>
      <c r="D27" s="441">
        <f>IF(B27="","",VLOOKUP($B27,'6-2_算定表④(旧・新制度)'!$B$8:$S$65536,3,FALSE))</f>
      </c>
      <c r="E27" s="84">
        <f>IF(B27="","",VLOOKUP($B27,'6-2_算定表④(旧・新制度)'!$B$8:$S$65536,6,FALSE))</f>
      </c>
      <c r="F27" s="442">
        <f>IF(B27="","",VLOOKUP($B27,'6-2_算定表④(旧・新制度)'!$B$8:$S$65536,14,FALSE))</f>
      </c>
      <c r="G27" s="441">
        <f>IF(B27="","",VLOOKUP($B27,'6-2_算定表④(旧・新制度)'!$B$8:$S$65536,15,FALSE))</f>
      </c>
      <c r="H27" s="442">
        <f>IF(B27="","",VLOOKUP($B27,'6-2_算定表④(旧・新制度)'!$B$8:$S$65536,16,FALSE))</f>
      </c>
      <c r="I27" s="441">
        <f>IF(B27="","",VLOOKUP($B27,'6-2_算定表④(旧・新制度)'!$B$8:$S$65536,17,FALSE))</f>
      </c>
      <c r="J27" s="411">
        <f>IF(B27="","",VLOOKUP($B27,'6-2_算定表④(旧・新制度)'!$B$8:$S$65536,18,FALSE))</f>
      </c>
      <c r="K27" s="702">
        <f>IF($B27="","",VLOOKUP($B27,'6-2_算定表④(旧・新制度)'!$B$8:$S$65536,14,FALSE))</f>
      </c>
      <c r="L27" s="443">
        <f>IF($B27="","",VLOOKUP($B27,'6-2_算定表④(旧・新制度)'!$B$8:$S$65536,14,FALSE))</f>
      </c>
      <c r="M27" s="703">
        <f>IF($B27="","",VLOOKUP($B27,'6-2_算定表④(旧・新制度)'!$B$8:$S$65536,14,FALSE))</f>
      </c>
      <c r="N27" s="702">
        <f>IF($B27="","",VLOOKUP($B27,'6-2_算定表④(旧・新制度)'!$B$8:$S$65536,16,FALSE))</f>
      </c>
      <c r="O27" s="443">
        <f>IF($B27="","",VLOOKUP($B27,'6-2_算定表④(旧・新制度)'!$B$8:$S$65536,16,FALSE))</f>
      </c>
      <c r="P27" s="443">
        <f>IF($B27="","",VLOOKUP($B27,'6-2_算定表④(旧・新制度)'!$B$8:$S$65536,16,FALSE))</f>
      </c>
      <c r="Q27" s="443">
        <f>IF($B27="","",VLOOKUP($B27,'6-2_算定表④(旧・新制度)'!$B$8:$S$65536,16,FALSE))</f>
      </c>
      <c r="R27" s="443">
        <f>IF($B27="","",VLOOKUP($B27,'6-2_算定表④(旧・新制度)'!$B$8:$S$65536,16,FALSE))</f>
      </c>
      <c r="S27" s="443">
        <f>IF($B27="","",VLOOKUP($B27,'6-2_算定表④(旧・新制度)'!$B$8:$S$65536,16,FALSE))</f>
      </c>
      <c r="T27" s="443">
        <f>IF($B27="","",VLOOKUP($B27,'6-2_算定表④(旧・新制度)'!$B$8:$S$65536,16,FALSE))</f>
      </c>
      <c r="U27" s="443">
        <f>IF($B27="","",VLOOKUP($B27,'6-2_算定表④(旧・新制度)'!$B$8:$S$65536,16,FALSE))</f>
      </c>
      <c r="V27" s="703">
        <f>IF($B27="","",VLOOKUP($B27,'6-2_算定表④(旧・新制度)'!$B$8:$S$65536,16,FALSE))</f>
      </c>
      <c r="W27" s="438">
        <f t="shared" si="1"/>
      </c>
      <c r="X27" s="445">
        <f t="shared" si="2"/>
      </c>
      <c r="Y27" s="444">
        <f t="shared" si="3"/>
      </c>
      <c r="Z27" s="446">
        <f t="shared" si="4"/>
      </c>
      <c r="AA27" s="454">
        <f t="shared" si="5"/>
      </c>
      <c r="AB27" s="438">
        <f t="shared" si="6"/>
      </c>
      <c r="AC27" s="437">
        <f t="shared" si="7"/>
      </c>
      <c r="AD27" s="438">
        <f t="shared" si="8"/>
      </c>
      <c r="AE27" s="437">
        <f t="shared" si="9"/>
      </c>
      <c r="AF27" s="439">
        <f t="shared" si="10"/>
      </c>
      <c r="AG27" s="430">
        <f>IF(B27="","",ROUNDUP((G27/'6-2_算定表④(旧・新制度)'!J26*W27)+(I27/'6-2_算定表④(旧・新制度)'!J26*X27)+(G27/'6-2_算定表④(旧・新制度)'!J26*Y27)+(I27/'6-2_算定表④(旧・新制度)'!J26*Z27)+(G27/'6-2_算定表④(旧・新制度)'!J26*AA27)+(I27/'6-2_算定表④(旧・新制度)'!J26*AB27)+(G27/'6-2_算定表④(旧・新制度)'!J26*AC27)+(I27/'6-2_算定表④(旧・新制度)'!J26*AD27),0))</f>
      </c>
      <c r="AH27" s="411">
        <f t="shared" si="12"/>
      </c>
      <c r="AI27" s="998">
        <f>IF(B27="","",VLOOKUP($B27,'6-2_算定表④(旧・新制度)'!$B$8:$AF$65536,31,FALSE))</f>
      </c>
      <c r="AJ27" s="999" t="s">
        <v>205</v>
      </c>
      <c r="AK27" s="1000" t="s">
        <v>205</v>
      </c>
      <c r="AM27" s="60">
        <f t="shared" si="13"/>
      </c>
      <c r="AN27" s="60">
        <f t="shared" si="11"/>
      </c>
    </row>
    <row r="28" spans="1:40" s="53" customFormat="1" ht="18.75" customHeight="1">
      <c r="A28" s="27">
        <f t="shared" si="0"/>
      </c>
      <c r="B28" s="240"/>
      <c r="C28" s="83">
        <f>IF(B28="","",VLOOKUP($B28,'6-2_算定表④(旧・新制度)'!$B$8:$S$65536,2,FALSE))</f>
      </c>
      <c r="D28" s="441">
        <f>IF(B28="","",VLOOKUP($B28,'6-2_算定表④(旧・新制度)'!$B$8:$S$65536,3,FALSE))</f>
      </c>
      <c r="E28" s="84">
        <f>IF(B28="","",VLOOKUP($B28,'6-2_算定表④(旧・新制度)'!$B$8:$S$65536,6,FALSE))</f>
      </c>
      <c r="F28" s="442">
        <f>IF(B28="","",VLOOKUP($B28,'6-2_算定表④(旧・新制度)'!$B$8:$S$65536,14,FALSE))</f>
      </c>
      <c r="G28" s="441">
        <f>IF(B28="","",VLOOKUP($B28,'6-2_算定表④(旧・新制度)'!$B$8:$S$65536,15,FALSE))</f>
      </c>
      <c r="H28" s="442">
        <f>IF(B28="","",VLOOKUP($B28,'6-2_算定表④(旧・新制度)'!$B$8:$S$65536,16,FALSE))</f>
      </c>
      <c r="I28" s="441">
        <f>IF(B28="","",VLOOKUP($B28,'6-2_算定表④(旧・新制度)'!$B$8:$S$65536,17,FALSE))</f>
      </c>
      <c r="J28" s="411">
        <f>IF(B28="","",VLOOKUP($B28,'6-2_算定表④(旧・新制度)'!$B$8:$S$65536,18,FALSE))</f>
      </c>
      <c r="K28" s="702">
        <f>IF($B28="","",VLOOKUP($B28,'6-2_算定表④(旧・新制度)'!$B$8:$S$65536,14,FALSE))</f>
      </c>
      <c r="L28" s="443">
        <f>IF($B28="","",VLOOKUP($B28,'6-2_算定表④(旧・新制度)'!$B$8:$S$65536,14,FALSE))</f>
      </c>
      <c r="M28" s="703">
        <f>IF($B28="","",VLOOKUP($B28,'6-2_算定表④(旧・新制度)'!$B$8:$S$65536,14,FALSE))</f>
      </c>
      <c r="N28" s="702">
        <f>IF($B28="","",VLOOKUP($B28,'6-2_算定表④(旧・新制度)'!$B$8:$S$65536,16,FALSE))</f>
      </c>
      <c r="O28" s="443">
        <f>IF($B28="","",VLOOKUP($B28,'6-2_算定表④(旧・新制度)'!$B$8:$S$65536,16,FALSE))</f>
      </c>
      <c r="P28" s="443">
        <f>IF($B28="","",VLOOKUP($B28,'6-2_算定表④(旧・新制度)'!$B$8:$S$65536,16,FALSE))</f>
      </c>
      <c r="Q28" s="443">
        <f>IF($B28="","",VLOOKUP($B28,'6-2_算定表④(旧・新制度)'!$B$8:$S$65536,16,FALSE))</f>
      </c>
      <c r="R28" s="443">
        <f>IF($B28="","",VLOOKUP($B28,'6-2_算定表④(旧・新制度)'!$B$8:$S$65536,16,FALSE))</f>
      </c>
      <c r="S28" s="443">
        <f>IF($B28="","",VLOOKUP($B28,'6-2_算定表④(旧・新制度)'!$B$8:$S$65536,16,FALSE))</f>
      </c>
      <c r="T28" s="443">
        <f>IF($B28="","",VLOOKUP($B28,'6-2_算定表④(旧・新制度)'!$B$8:$S$65536,16,FALSE))</f>
      </c>
      <c r="U28" s="443">
        <f>IF($B28="","",VLOOKUP($B28,'6-2_算定表④(旧・新制度)'!$B$8:$S$65536,16,FALSE))</f>
      </c>
      <c r="V28" s="703">
        <f>IF($B28="","",VLOOKUP($B28,'6-2_算定表④(旧・新制度)'!$B$8:$S$65536,16,FALSE))</f>
      </c>
      <c r="W28" s="438">
        <f t="shared" si="1"/>
      </c>
      <c r="X28" s="445">
        <f t="shared" si="2"/>
      </c>
      <c r="Y28" s="444">
        <f t="shared" si="3"/>
      </c>
      <c r="Z28" s="446">
        <f t="shared" si="4"/>
      </c>
      <c r="AA28" s="454">
        <f t="shared" si="5"/>
      </c>
      <c r="AB28" s="438">
        <f t="shared" si="6"/>
      </c>
      <c r="AC28" s="437">
        <f t="shared" si="7"/>
      </c>
      <c r="AD28" s="438">
        <f t="shared" si="8"/>
      </c>
      <c r="AE28" s="437">
        <f t="shared" si="9"/>
      </c>
      <c r="AF28" s="439">
        <f t="shared" si="10"/>
      </c>
      <c r="AG28" s="430">
        <f>IF(B28="","",ROUNDUP((G28/'6-2_算定表④(旧・新制度)'!J27*W28)+(I28/'6-2_算定表④(旧・新制度)'!J27*X28)+(G28/'6-2_算定表④(旧・新制度)'!J27*Y28)+(I28/'6-2_算定表④(旧・新制度)'!J27*Z28)+(G28/'6-2_算定表④(旧・新制度)'!J27*AA28)+(I28/'6-2_算定表④(旧・新制度)'!J27*AB28)+(G28/'6-2_算定表④(旧・新制度)'!J27*AC28)+(I28/'6-2_算定表④(旧・新制度)'!J27*AD28),0))</f>
      </c>
      <c r="AH28" s="411">
        <f t="shared" si="12"/>
      </c>
      <c r="AI28" s="998">
        <f>IF(B28="","",VLOOKUP($B28,'6-2_算定表④(旧・新制度)'!$B$8:$AF$65536,31,FALSE))</f>
      </c>
      <c r="AJ28" s="999" t="s">
        <v>205</v>
      </c>
      <c r="AK28" s="1000" t="s">
        <v>205</v>
      </c>
      <c r="AM28" s="60">
        <f t="shared" si="13"/>
      </c>
      <c r="AN28" s="60">
        <f t="shared" si="11"/>
      </c>
    </row>
    <row r="29" spans="1:40" s="53" customFormat="1" ht="18.75" customHeight="1">
      <c r="A29" s="27">
        <f t="shared" si="0"/>
      </c>
      <c r="B29" s="240"/>
      <c r="C29" s="83">
        <f>IF(B29="","",VLOOKUP($B29,'6-2_算定表④(旧・新制度)'!$B$8:$S$65536,2,FALSE))</f>
      </c>
      <c r="D29" s="441">
        <f>IF(B29="","",VLOOKUP($B29,'6-2_算定表④(旧・新制度)'!$B$8:$S$65536,3,FALSE))</f>
      </c>
      <c r="E29" s="84">
        <f>IF(B29="","",VLOOKUP($B29,'6-2_算定表④(旧・新制度)'!$B$8:$S$65536,6,FALSE))</f>
      </c>
      <c r="F29" s="442">
        <f>IF(B29="","",VLOOKUP($B29,'6-2_算定表④(旧・新制度)'!$B$8:$S$65536,14,FALSE))</f>
      </c>
      <c r="G29" s="441">
        <f>IF(B29="","",VLOOKUP($B29,'6-2_算定表④(旧・新制度)'!$B$8:$S$65536,15,FALSE))</f>
      </c>
      <c r="H29" s="442">
        <f>IF(B29="","",VLOOKUP($B29,'6-2_算定表④(旧・新制度)'!$B$8:$S$65536,16,FALSE))</f>
      </c>
      <c r="I29" s="441">
        <f>IF(B29="","",VLOOKUP($B29,'6-2_算定表④(旧・新制度)'!$B$8:$S$65536,17,FALSE))</f>
      </c>
      <c r="J29" s="411">
        <f>IF(B29="","",VLOOKUP($B29,'6-2_算定表④(旧・新制度)'!$B$8:$S$65536,18,FALSE))</f>
      </c>
      <c r="K29" s="702">
        <f>IF($B29="","",VLOOKUP($B29,'6-2_算定表④(旧・新制度)'!$B$8:$S$65536,14,FALSE))</f>
      </c>
      <c r="L29" s="443">
        <f>IF($B29="","",VLOOKUP($B29,'6-2_算定表④(旧・新制度)'!$B$8:$S$65536,14,FALSE))</f>
      </c>
      <c r="M29" s="703">
        <f>IF($B29="","",VLOOKUP($B29,'6-2_算定表④(旧・新制度)'!$B$8:$S$65536,14,FALSE))</f>
      </c>
      <c r="N29" s="702">
        <f>IF($B29="","",VLOOKUP($B29,'6-2_算定表④(旧・新制度)'!$B$8:$S$65536,16,FALSE))</f>
      </c>
      <c r="O29" s="443">
        <f>IF($B29="","",VLOOKUP($B29,'6-2_算定表④(旧・新制度)'!$B$8:$S$65536,16,FALSE))</f>
      </c>
      <c r="P29" s="443">
        <f>IF($B29="","",VLOOKUP($B29,'6-2_算定表④(旧・新制度)'!$B$8:$S$65536,16,FALSE))</f>
      </c>
      <c r="Q29" s="443">
        <f>IF($B29="","",VLOOKUP($B29,'6-2_算定表④(旧・新制度)'!$B$8:$S$65536,16,FALSE))</f>
      </c>
      <c r="R29" s="443">
        <f>IF($B29="","",VLOOKUP($B29,'6-2_算定表④(旧・新制度)'!$B$8:$S$65536,16,FALSE))</f>
      </c>
      <c r="S29" s="443">
        <f>IF($B29="","",VLOOKUP($B29,'6-2_算定表④(旧・新制度)'!$B$8:$S$65536,16,FALSE))</f>
      </c>
      <c r="T29" s="443">
        <f>IF($B29="","",VLOOKUP($B29,'6-2_算定表④(旧・新制度)'!$B$8:$S$65536,16,FALSE))</f>
      </c>
      <c r="U29" s="443">
        <f>IF($B29="","",VLOOKUP($B29,'6-2_算定表④(旧・新制度)'!$B$8:$S$65536,16,FALSE))</f>
      </c>
      <c r="V29" s="703">
        <f>IF($B29="","",VLOOKUP($B29,'6-2_算定表④(旧・新制度)'!$B$8:$S$65536,16,FALSE))</f>
      </c>
      <c r="W29" s="438">
        <f t="shared" si="1"/>
      </c>
      <c r="X29" s="445">
        <f t="shared" si="2"/>
      </c>
      <c r="Y29" s="444">
        <f t="shared" si="3"/>
      </c>
      <c r="Z29" s="446">
        <f t="shared" si="4"/>
      </c>
      <c r="AA29" s="454">
        <f t="shared" si="5"/>
      </c>
      <c r="AB29" s="438">
        <f t="shared" si="6"/>
      </c>
      <c r="AC29" s="437">
        <f t="shared" si="7"/>
      </c>
      <c r="AD29" s="438">
        <f t="shared" si="8"/>
      </c>
      <c r="AE29" s="437">
        <f t="shared" si="9"/>
      </c>
      <c r="AF29" s="439">
        <f t="shared" si="10"/>
      </c>
      <c r="AG29" s="430">
        <f>IF(B29="","",ROUNDUP((G29/'6-2_算定表④(旧・新制度)'!J28*W29)+(I29/'6-2_算定表④(旧・新制度)'!J28*X29)+(G29/'6-2_算定表④(旧・新制度)'!J28*Y29)+(I29/'6-2_算定表④(旧・新制度)'!J28*Z29)+(G29/'6-2_算定表④(旧・新制度)'!J28*AA29)+(I29/'6-2_算定表④(旧・新制度)'!J28*AB29)+(G29/'6-2_算定表④(旧・新制度)'!J28*AC29)+(I29/'6-2_算定表④(旧・新制度)'!J28*AD29),0))</f>
      </c>
      <c r="AH29" s="411">
        <f t="shared" si="12"/>
      </c>
      <c r="AI29" s="998">
        <f>IF(B29="","",VLOOKUP($B29,'6-2_算定表④(旧・新制度)'!$B$8:$AF$65536,31,FALSE))</f>
      </c>
      <c r="AJ29" s="999" t="s">
        <v>205</v>
      </c>
      <c r="AK29" s="1000" t="s">
        <v>205</v>
      </c>
      <c r="AM29" s="60">
        <f t="shared" si="13"/>
      </c>
      <c r="AN29" s="60">
        <f t="shared" si="11"/>
      </c>
    </row>
    <row r="30" spans="1:40" s="53" customFormat="1" ht="18.75" customHeight="1">
      <c r="A30" s="27">
        <f t="shared" si="0"/>
      </c>
      <c r="B30" s="240"/>
      <c r="C30" s="83">
        <f>IF(B30="","",VLOOKUP($B30,'6-2_算定表④(旧・新制度)'!$B$8:$S$65536,2,FALSE))</f>
      </c>
      <c r="D30" s="441">
        <f>IF(B30="","",VLOOKUP($B30,'6-2_算定表④(旧・新制度)'!$B$8:$S$65536,3,FALSE))</f>
      </c>
      <c r="E30" s="84">
        <f>IF(B30="","",VLOOKUP($B30,'6-2_算定表④(旧・新制度)'!$B$8:$S$65536,6,FALSE))</f>
      </c>
      <c r="F30" s="442">
        <f>IF(B30="","",VLOOKUP($B30,'6-2_算定表④(旧・新制度)'!$B$8:$S$65536,14,FALSE))</f>
      </c>
      <c r="G30" s="441">
        <f>IF(B30="","",VLOOKUP($B30,'6-2_算定表④(旧・新制度)'!$B$8:$S$65536,15,FALSE))</f>
      </c>
      <c r="H30" s="442">
        <f>IF(B30="","",VLOOKUP($B30,'6-2_算定表④(旧・新制度)'!$B$8:$S$65536,16,FALSE))</f>
      </c>
      <c r="I30" s="441">
        <f>IF(B30="","",VLOOKUP($B30,'6-2_算定表④(旧・新制度)'!$B$8:$S$65536,17,FALSE))</f>
      </c>
      <c r="J30" s="411">
        <f>IF(B30="","",VLOOKUP($B30,'6-2_算定表④(旧・新制度)'!$B$8:$S$65536,18,FALSE))</f>
      </c>
      <c r="K30" s="702">
        <f>IF($B30="","",VLOOKUP($B30,'6-2_算定表④(旧・新制度)'!$B$8:$S$65536,14,FALSE))</f>
      </c>
      <c r="L30" s="443">
        <f>IF($B30="","",VLOOKUP($B30,'6-2_算定表④(旧・新制度)'!$B$8:$S$65536,14,FALSE))</f>
      </c>
      <c r="M30" s="703">
        <f>IF($B30="","",VLOOKUP($B30,'6-2_算定表④(旧・新制度)'!$B$8:$S$65536,14,FALSE))</f>
      </c>
      <c r="N30" s="702">
        <f>IF($B30="","",VLOOKUP($B30,'6-2_算定表④(旧・新制度)'!$B$8:$S$65536,16,FALSE))</f>
      </c>
      <c r="O30" s="443">
        <f>IF($B30="","",VLOOKUP($B30,'6-2_算定表④(旧・新制度)'!$B$8:$S$65536,16,FALSE))</f>
      </c>
      <c r="P30" s="443">
        <f>IF($B30="","",VLOOKUP($B30,'6-2_算定表④(旧・新制度)'!$B$8:$S$65536,16,FALSE))</f>
      </c>
      <c r="Q30" s="443">
        <f>IF($B30="","",VLOOKUP($B30,'6-2_算定表④(旧・新制度)'!$B$8:$S$65536,16,FALSE))</f>
      </c>
      <c r="R30" s="443">
        <f>IF($B30="","",VLOOKUP($B30,'6-2_算定表④(旧・新制度)'!$B$8:$S$65536,16,FALSE))</f>
      </c>
      <c r="S30" s="443">
        <f>IF($B30="","",VLOOKUP($B30,'6-2_算定表④(旧・新制度)'!$B$8:$S$65536,16,FALSE))</f>
      </c>
      <c r="T30" s="443">
        <f>IF($B30="","",VLOOKUP($B30,'6-2_算定表④(旧・新制度)'!$B$8:$S$65536,16,FALSE))</f>
      </c>
      <c r="U30" s="443">
        <f>IF($B30="","",VLOOKUP($B30,'6-2_算定表④(旧・新制度)'!$B$8:$S$65536,16,FALSE))</f>
      </c>
      <c r="V30" s="703">
        <f>IF($B30="","",VLOOKUP($B30,'6-2_算定表④(旧・新制度)'!$B$8:$S$65536,16,FALSE))</f>
      </c>
      <c r="W30" s="438">
        <f t="shared" si="1"/>
      </c>
      <c r="X30" s="445">
        <f t="shared" si="2"/>
      </c>
      <c r="Y30" s="444">
        <f t="shared" si="3"/>
      </c>
      <c r="Z30" s="446">
        <f t="shared" si="4"/>
      </c>
      <c r="AA30" s="454">
        <f t="shared" si="5"/>
      </c>
      <c r="AB30" s="438">
        <f t="shared" si="6"/>
      </c>
      <c r="AC30" s="437">
        <f t="shared" si="7"/>
      </c>
      <c r="AD30" s="438">
        <f t="shared" si="8"/>
      </c>
      <c r="AE30" s="437">
        <f t="shared" si="9"/>
      </c>
      <c r="AF30" s="439">
        <f t="shared" si="10"/>
      </c>
      <c r="AG30" s="430">
        <f>IF(B30="","",ROUNDUP((G30/'6-2_算定表④(旧・新制度)'!J29*W30)+(I30/'6-2_算定表④(旧・新制度)'!J29*X30)+(G30/'6-2_算定表④(旧・新制度)'!J29*Y30)+(I30/'6-2_算定表④(旧・新制度)'!J29*Z30)+(G30/'6-2_算定表④(旧・新制度)'!J29*AA30)+(I30/'6-2_算定表④(旧・新制度)'!J29*AB30)+(G30/'6-2_算定表④(旧・新制度)'!J29*AC30)+(I30/'6-2_算定表④(旧・新制度)'!J29*AD30),0))</f>
      </c>
      <c r="AH30" s="411">
        <f t="shared" si="12"/>
      </c>
      <c r="AI30" s="998">
        <f>IF(B30="","",VLOOKUP($B30,'6-2_算定表④(旧・新制度)'!$B$8:$AF$65536,31,FALSE))</f>
      </c>
      <c r="AJ30" s="999" t="s">
        <v>205</v>
      </c>
      <c r="AK30" s="1000" t="s">
        <v>205</v>
      </c>
      <c r="AM30" s="60">
        <f>IF(A30&gt;0,ASC(C30&amp;H30),"")</f>
      </c>
      <c r="AN30" s="60">
        <f t="shared" si="11"/>
      </c>
    </row>
    <row r="31" spans="1:40" s="53" customFormat="1" ht="18.75" customHeight="1">
      <c r="A31" s="27">
        <f t="shared" si="0"/>
      </c>
      <c r="B31" s="240"/>
      <c r="C31" s="83">
        <f>IF(B31="","",VLOOKUP($B31,'6-2_算定表④(旧・新制度)'!$B$8:$S$65536,2,FALSE))</f>
      </c>
      <c r="D31" s="441">
        <f>IF(B31="","",VLOOKUP($B31,'6-2_算定表④(旧・新制度)'!$B$8:$S$65536,3,FALSE))</f>
      </c>
      <c r="E31" s="84">
        <f>IF(B31="","",VLOOKUP($B31,'6-2_算定表④(旧・新制度)'!$B$8:$S$65536,6,FALSE))</f>
      </c>
      <c r="F31" s="442">
        <f>IF(B31="","",VLOOKUP($B31,'6-2_算定表④(旧・新制度)'!$B$8:$S$65536,14,FALSE))</f>
      </c>
      <c r="G31" s="441">
        <f>IF(B31="","",VLOOKUP($B31,'6-2_算定表④(旧・新制度)'!$B$8:$S$65536,15,FALSE))</f>
      </c>
      <c r="H31" s="442">
        <f>IF(B31="","",VLOOKUP($B31,'6-2_算定表④(旧・新制度)'!$B$8:$S$65536,16,FALSE))</f>
      </c>
      <c r="I31" s="441">
        <f>IF(B31="","",VLOOKUP($B31,'6-2_算定表④(旧・新制度)'!$B$8:$S$65536,17,FALSE))</f>
      </c>
      <c r="J31" s="411">
        <f>IF(B31="","",VLOOKUP($B31,'6-2_算定表④(旧・新制度)'!$B$8:$S$65536,18,FALSE))</f>
      </c>
      <c r="K31" s="702">
        <f>IF($B31="","",VLOOKUP($B31,'6-2_算定表④(旧・新制度)'!$B$8:$S$65536,14,FALSE))</f>
      </c>
      <c r="L31" s="443">
        <f>IF($B31="","",VLOOKUP($B31,'6-2_算定表④(旧・新制度)'!$B$8:$S$65536,14,FALSE))</f>
      </c>
      <c r="M31" s="703">
        <f>IF($B31="","",VLOOKUP($B31,'6-2_算定表④(旧・新制度)'!$B$8:$S$65536,14,FALSE))</f>
      </c>
      <c r="N31" s="702">
        <f>IF($B31="","",VLOOKUP($B31,'6-2_算定表④(旧・新制度)'!$B$8:$S$65536,16,FALSE))</f>
      </c>
      <c r="O31" s="443">
        <f>IF($B31="","",VLOOKUP($B31,'6-2_算定表④(旧・新制度)'!$B$8:$S$65536,16,FALSE))</f>
      </c>
      <c r="P31" s="443">
        <f>IF($B31="","",VLOOKUP($B31,'6-2_算定表④(旧・新制度)'!$B$8:$S$65536,16,FALSE))</f>
      </c>
      <c r="Q31" s="443">
        <f>IF($B31="","",VLOOKUP($B31,'6-2_算定表④(旧・新制度)'!$B$8:$S$65536,16,FALSE))</f>
      </c>
      <c r="R31" s="443">
        <f>IF($B31="","",VLOOKUP($B31,'6-2_算定表④(旧・新制度)'!$B$8:$S$65536,16,FALSE))</f>
      </c>
      <c r="S31" s="443">
        <f>IF($B31="","",VLOOKUP($B31,'6-2_算定表④(旧・新制度)'!$B$8:$S$65536,16,FALSE))</f>
      </c>
      <c r="T31" s="443">
        <f>IF($B31="","",VLOOKUP($B31,'6-2_算定表④(旧・新制度)'!$B$8:$S$65536,16,FALSE))</f>
      </c>
      <c r="U31" s="443">
        <f>IF($B31="","",VLOOKUP($B31,'6-2_算定表④(旧・新制度)'!$B$8:$S$65536,16,FALSE))</f>
      </c>
      <c r="V31" s="703">
        <f>IF($B31="","",VLOOKUP($B31,'6-2_算定表④(旧・新制度)'!$B$8:$S$65536,16,FALSE))</f>
      </c>
      <c r="W31" s="438">
        <f t="shared" si="1"/>
      </c>
      <c r="X31" s="445">
        <f t="shared" si="2"/>
      </c>
      <c r="Y31" s="444">
        <f t="shared" si="3"/>
      </c>
      <c r="Z31" s="446">
        <f t="shared" si="4"/>
      </c>
      <c r="AA31" s="454">
        <f t="shared" si="5"/>
      </c>
      <c r="AB31" s="438">
        <f t="shared" si="6"/>
      </c>
      <c r="AC31" s="437">
        <f t="shared" si="7"/>
      </c>
      <c r="AD31" s="438">
        <f t="shared" si="8"/>
      </c>
      <c r="AE31" s="437">
        <f t="shared" si="9"/>
      </c>
      <c r="AF31" s="439">
        <f t="shared" si="10"/>
      </c>
      <c r="AG31" s="430">
        <f>IF(B31="","",ROUNDUP((G31/'6-2_算定表④(旧・新制度)'!J30*W31)+(I31/'6-2_算定表④(旧・新制度)'!J30*X31)+(G31/'6-2_算定表④(旧・新制度)'!J30*Y31)+(I31/'6-2_算定表④(旧・新制度)'!J30*Z31)+(G31/'6-2_算定表④(旧・新制度)'!J30*AA31)+(I31/'6-2_算定表④(旧・新制度)'!J30*AB31)+(G31/'6-2_算定表④(旧・新制度)'!J30*AC31)+(I31/'6-2_算定表④(旧・新制度)'!J30*AD31),0))</f>
      </c>
      <c r="AH31" s="411">
        <f t="shared" si="12"/>
      </c>
      <c r="AI31" s="998">
        <f>IF(B31="","",VLOOKUP($B31,'6-2_算定表④(旧・新制度)'!$B$8:$AF$65536,31,FALSE))</f>
      </c>
      <c r="AJ31" s="999" t="s">
        <v>205</v>
      </c>
      <c r="AK31" s="1000" t="s">
        <v>205</v>
      </c>
      <c r="AM31" s="60">
        <f>IF(A31&gt;0,ASC(C31&amp;H31),"")</f>
      </c>
      <c r="AN31" s="60">
        <f t="shared" si="11"/>
      </c>
    </row>
    <row r="32" spans="1:40" s="53" customFormat="1" ht="18.75" customHeight="1">
      <c r="A32" s="27">
        <f t="shared" si="0"/>
      </c>
      <c r="B32" s="240"/>
      <c r="C32" s="83">
        <f>IF(B32="","",VLOOKUP($B32,'6-2_算定表④(旧・新制度)'!$B$8:$S$65536,2,FALSE))</f>
      </c>
      <c r="D32" s="441">
        <f>IF(B32="","",VLOOKUP($B32,'6-2_算定表④(旧・新制度)'!$B$8:$S$65536,3,FALSE))</f>
      </c>
      <c r="E32" s="84">
        <f>IF(B32="","",VLOOKUP($B32,'6-2_算定表④(旧・新制度)'!$B$8:$S$65536,6,FALSE))</f>
      </c>
      <c r="F32" s="442">
        <f>IF(B32="","",VLOOKUP($B32,'6-2_算定表④(旧・新制度)'!$B$8:$S$65536,14,FALSE))</f>
      </c>
      <c r="G32" s="441">
        <f>IF(B32="","",VLOOKUP($B32,'6-2_算定表④(旧・新制度)'!$B$8:$S$65536,15,FALSE))</f>
      </c>
      <c r="H32" s="442">
        <f>IF(B32="","",VLOOKUP($B32,'6-2_算定表④(旧・新制度)'!$B$8:$S$65536,16,FALSE))</f>
      </c>
      <c r="I32" s="441">
        <f>IF(B32="","",VLOOKUP($B32,'6-2_算定表④(旧・新制度)'!$B$8:$S$65536,17,FALSE))</f>
      </c>
      <c r="J32" s="411">
        <f>IF(B32="","",VLOOKUP($B32,'6-2_算定表④(旧・新制度)'!$B$8:$S$65536,18,FALSE))</f>
      </c>
      <c r="K32" s="702">
        <f>IF($B32="","",VLOOKUP($B32,'6-2_算定表④(旧・新制度)'!$B$8:$S$65536,14,FALSE))</f>
      </c>
      <c r="L32" s="443">
        <f>IF($B32="","",VLOOKUP($B32,'6-2_算定表④(旧・新制度)'!$B$8:$S$65536,14,FALSE))</f>
      </c>
      <c r="M32" s="703">
        <f>IF($B32="","",VLOOKUP($B32,'6-2_算定表④(旧・新制度)'!$B$8:$S$65536,14,FALSE))</f>
      </c>
      <c r="N32" s="702">
        <f>IF($B32="","",VLOOKUP($B32,'6-2_算定表④(旧・新制度)'!$B$8:$S$65536,16,FALSE))</f>
      </c>
      <c r="O32" s="443">
        <f>IF($B32="","",VLOOKUP($B32,'6-2_算定表④(旧・新制度)'!$B$8:$S$65536,16,FALSE))</f>
      </c>
      <c r="P32" s="443">
        <f>IF($B32="","",VLOOKUP($B32,'6-2_算定表④(旧・新制度)'!$B$8:$S$65536,16,FALSE))</f>
      </c>
      <c r="Q32" s="443">
        <f>IF($B32="","",VLOOKUP($B32,'6-2_算定表④(旧・新制度)'!$B$8:$S$65536,16,FALSE))</f>
      </c>
      <c r="R32" s="443">
        <f>IF($B32="","",VLOOKUP($B32,'6-2_算定表④(旧・新制度)'!$B$8:$S$65536,16,FALSE))</f>
      </c>
      <c r="S32" s="443">
        <f>IF($B32="","",VLOOKUP($B32,'6-2_算定表④(旧・新制度)'!$B$8:$S$65536,16,FALSE))</f>
      </c>
      <c r="T32" s="443">
        <f>IF($B32="","",VLOOKUP($B32,'6-2_算定表④(旧・新制度)'!$B$8:$S$65536,16,FALSE))</f>
      </c>
      <c r="U32" s="443">
        <f>IF($B32="","",VLOOKUP($B32,'6-2_算定表④(旧・新制度)'!$B$8:$S$65536,16,FALSE))</f>
      </c>
      <c r="V32" s="703">
        <f>IF($B32="","",VLOOKUP($B32,'6-2_算定表④(旧・新制度)'!$B$8:$S$65536,16,FALSE))</f>
      </c>
      <c r="W32" s="438">
        <f t="shared" si="1"/>
      </c>
      <c r="X32" s="445">
        <f t="shared" si="2"/>
      </c>
      <c r="Y32" s="444">
        <f t="shared" si="3"/>
      </c>
      <c r="Z32" s="446">
        <f t="shared" si="4"/>
      </c>
      <c r="AA32" s="454">
        <f t="shared" si="5"/>
      </c>
      <c r="AB32" s="438">
        <f t="shared" si="6"/>
      </c>
      <c r="AC32" s="437">
        <f t="shared" si="7"/>
      </c>
      <c r="AD32" s="438">
        <f t="shared" si="8"/>
      </c>
      <c r="AE32" s="437">
        <f t="shared" si="9"/>
      </c>
      <c r="AF32" s="439">
        <f t="shared" si="10"/>
      </c>
      <c r="AG32" s="430">
        <f>IF(B32="","",ROUNDUP((G32/'6-2_算定表④(旧・新制度)'!J31*W32)+(I32/'6-2_算定表④(旧・新制度)'!J31*X32)+(G32/'6-2_算定表④(旧・新制度)'!J31*Y32)+(I32/'6-2_算定表④(旧・新制度)'!J31*Z32)+(G32/'6-2_算定表④(旧・新制度)'!J31*AA32)+(I32/'6-2_算定表④(旧・新制度)'!J31*AB32)+(G32/'6-2_算定表④(旧・新制度)'!J31*AC32)+(I32/'6-2_算定表④(旧・新制度)'!J31*AD32),0))</f>
      </c>
      <c r="AH32" s="411">
        <f t="shared" si="12"/>
      </c>
      <c r="AI32" s="998">
        <f>IF(B32="","",VLOOKUP($B32,'6-2_算定表④(旧・新制度)'!$B$8:$AF$65536,31,FALSE))</f>
      </c>
      <c r="AJ32" s="999" t="s">
        <v>205</v>
      </c>
      <c r="AK32" s="1000" t="s">
        <v>205</v>
      </c>
      <c r="AM32" s="60">
        <f>IF(A32&gt;0,ASC(C32&amp;H32),"")</f>
      </c>
      <c r="AN32" s="60">
        <f t="shared" si="11"/>
      </c>
    </row>
    <row r="33" spans="1:40" s="53" customFormat="1" ht="18.75" customHeight="1">
      <c r="A33" s="27">
        <f t="shared" si="0"/>
      </c>
      <c r="B33" s="240"/>
      <c r="C33" s="83">
        <f>IF(B33="","",VLOOKUP($B33,'6-2_算定表④(旧・新制度)'!$B$8:$S$65536,2,FALSE))</f>
      </c>
      <c r="D33" s="441">
        <f>IF(B33="","",VLOOKUP($B33,'6-2_算定表④(旧・新制度)'!$B$8:$S$65536,3,FALSE))</f>
      </c>
      <c r="E33" s="84">
        <f>IF(B33="","",VLOOKUP($B33,'6-2_算定表④(旧・新制度)'!$B$8:$S$65536,6,FALSE))</f>
      </c>
      <c r="F33" s="442">
        <f>IF(B33="","",VLOOKUP($B33,'6-2_算定表④(旧・新制度)'!$B$8:$S$65536,14,FALSE))</f>
      </c>
      <c r="G33" s="441">
        <f>IF(B33="","",VLOOKUP($B33,'6-2_算定表④(旧・新制度)'!$B$8:$S$65536,15,FALSE))</f>
      </c>
      <c r="H33" s="442">
        <f>IF(B33="","",VLOOKUP($B33,'6-2_算定表④(旧・新制度)'!$B$8:$S$65536,16,FALSE))</f>
      </c>
      <c r="I33" s="441">
        <f>IF(B33="","",VLOOKUP($B33,'6-2_算定表④(旧・新制度)'!$B$8:$S$65536,17,FALSE))</f>
      </c>
      <c r="J33" s="411">
        <f>IF(B33="","",VLOOKUP($B33,'6-2_算定表④(旧・新制度)'!$B$8:$S$65536,18,FALSE))</f>
      </c>
      <c r="K33" s="702">
        <f>IF($B33="","",VLOOKUP($B33,'6-2_算定表④(旧・新制度)'!$B$8:$S$65536,14,FALSE))</f>
      </c>
      <c r="L33" s="443">
        <f>IF($B33="","",VLOOKUP($B33,'6-2_算定表④(旧・新制度)'!$B$8:$S$65536,14,FALSE))</f>
      </c>
      <c r="M33" s="703">
        <f>IF($B33="","",VLOOKUP($B33,'6-2_算定表④(旧・新制度)'!$B$8:$S$65536,14,FALSE))</f>
      </c>
      <c r="N33" s="702">
        <f>IF($B33="","",VLOOKUP($B33,'6-2_算定表④(旧・新制度)'!$B$8:$S$65536,16,FALSE))</f>
      </c>
      <c r="O33" s="443">
        <f>IF($B33="","",VLOOKUP($B33,'6-2_算定表④(旧・新制度)'!$B$8:$S$65536,16,FALSE))</f>
      </c>
      <c r="P33" s="443">
        <f>IF($B33="","",VLOOKUP($B33,'6-2_算定表④(旧・新制度)'!$B$8:$S$65536,16,FALSE))</f>
      </c>
      <c r="Q33" s="443">
        <f>IF($B33="","",VLOOKUP($B33,'6-2_算定表④(旧・新制度)'!$B$8:$S$65536,16,FALSE))</f>
      </c>
      <c r="R33" s="443">
        <f>IF($B33="","",VLOOKUP($B33,'6-2_算定表④(旧・新制度)'!$B$8:$S$65536,16,FALSE))</f>
      </c>
      <c r="S33" s="443">
        <f>IF($B33="","",VLOOKUP($B33,'6-2_算定表④(旧・新制度)'!$B$8:$S$65536,16,FALSE))</f>
      </c>
      <c r="T33" s="443">
        <f>IF($B33="","",VLOOKUP($B33,'6-2_算定表④(旧・新制度)'!$B$8:$S$65536,16,FALSE))</f>
      </c>
      <c r="U33" s="443">
        <f>IF($B33="","",VLOOKUP($B33,'6-2_算定表④(旧・新制度)'!$B$8:$S$65536,16,FALSE))</f>
      </c>
      <c r="V33" s="703">
        <f>IF($B33="","",VLOOKUP($B33,'6-2_算定表④(旧・新制度)'!$B$8:$S$65536,16,FALSE))</f>
      </c>
      <c r="W33" s="438">
        <f t="shared" si="1"/>
      </c>
      <c r="X33" s="445">
        <f t="shared" si="2"/>
      </c>
      <c r="Y33" s="444">
        <f t="shared" si="3"/>
      </c>
      <c r="Z33" s="446">
        <f t="shared" si="4"/>
      </c>
      <c r="AA33" s="454">
        <f t="shared" si="5"/>
      </c>
      <c r="AB33" s="438">
        <f t="shared" si="6"/>
      </c>
      <c r="AC33" s="437">
        <f t="shared" si="7"/>
      </c>
      <c r="AD33" s="438">
        <f t="shared" si="8"/>
      </c>
      <c r="AE33" s="437">
        <f t="shared" si="9"/>
      </c>
      <c r="AF33" s="439">
        <f t="shared" si="10"/>
      </c>
      <c r="AG33" s="430">
        <f>IF(B33="","",ROUNDUP((G33/'6-2_算定表④(旧・新制度)'!J32*W33)+(I33/'6-2_算定表④(旧・新制度)'!J32*X33)+(G33/'6-2_算定表④(旧・新制度)'!J32*Y33)+(I33/'6-2_算定表④(旧・新制度)'!J32*Z33)+(G33/'6-2_算定表④(旧・新制度)'!J32*AA33)+(I33/'6-2_算定表④(旧・新制度)'!J32*AB33)+(G33/'6-2_算定表④(旧・新制度)'!J32*AC33)+(I33/'6-2_算定表④(旧・新制度)'!J32*AD33),0))</f>
      </c>
      <c r="AH33" s="411">
        <f t="shared" si="12"/>
      </c>
      <c r="AI33" s="998">
        <f>IF(B33="","",VLOOKUP($B33,'6-2_算定表④(旧・新制度)'!$B$8:$AF$65536,31,FALSE))</f>
      </c>
      <c r="AJ33" s="999" t="s">
        <v>205</v>
      </c>
      <c r="AK33" s="1000" t="s">
        <v>205</v>
      </c>
      <c r="AM33" s="60">
        <f t="shared" si="13"/>
      </c>
      <c r="AN33" s="60">
        <f t="shared" si="11"/>
      </c>
    </row>
    <row r="34" spans="1:40" s="53" customFormat="1" ht="18.75" customHeight="1">
      <c r="A34" s="27">
        <f t="shared" si="0"/>
      </c>
      <c r="B34" s="240"/>
      <c r="C34" s="83">
        <f>IF(B34="","",VLOOKUP($B34,'6-2_算定表④(旧・新制度)'!$B$8:$S$65536,2,FALSE))</f>
      </c>
      <c r="D34" s="441">
        <f>IF(B34="","",VLOOKUP($B34,'6-2_算定表④(旧・新制度)'!$B$8:$S$65536,3,FALSE))</f>
      </c>
      <c r="E34" s="84">
        <f>IF(B34="","",VLOOKUP($B34,'6-2_算定表④(旧・新制度)'!$B$8:$S$65536,6,FALSE))</f>
      </c>
      <c r="F34" s="442">
        <f>IF(B34="","",VLOOKUP($B34,'6-2_算定表④(旧・新制度)'!$B$8:$S$65536,14,FALSE))</f>
      </c>
      <c r="G34" s="441">
        <f>IF(B34="","",VLOOKUP($B34,'6-2_算定表④(旧・新制度)'!$B$8:$S$65536,15,FALSE))</f>
      </c>
      <c r="H34" s="442">
        <f>IF(B34="","",VLOOKUP($B34,'6-2_算定表④(旧・新制度)'!$B$8:$S$65536,16,FALSE))</f>
      </c>
      <c r="I34" s="441">
        <f>IF(B34="","",VLOOKUP($B34,'6-2_算定表④(旧・新制度)'!$B$8:$S$65536,17,FALSE))</f>
      </c>
      <c r="J34" s="411">
        <f>IF(B34="","",VLOOKUP($B34,'6-2_算定表④(旧・新制度)'!$B$8:$S$65536,18,FALSE))</f>
      </c>
      <c r="K34" s="702">
        <f>IF($B34="","",VLOOKUP($B34,'6-2_算定表④(旧・新制度)'!$B$8:$S$65536,14,FALSE))</f>
      </c>
      <c r="L34" s="443">
        <f>IF($B34="","",VLOOKUP($B34,'6-2_算定表④(旧・新制度)'!$B$8:$S$65536,14,FALSE))</f>
      </c>
      <c r="M34" s="703">
        <f>IF($B34="","",VLOOKUP($B34,'6-2_算定表④(旧・新制度)'!$B$8:$S$65536,14,FALSE))</f>
      </c>
      <c r="N34" s="702">
        <f>IF($B34="","",VLOOKUP($B34,'6-2_算定表④(旧・新制度)'!$B$8:$S$65536,16,FALSE))</f>
      </c>
      <c r="O34" s="443">
        <f>IF($B34="","",VLOOKUP($B34,'6-2_算定表④(旧・新制度)'!$B$8:$S$65536,16,FALSE))</f>
      </c>
      <c r="P34" s="443">
        <f>IF($B34="","",VLOOKUP($B34,'6-2_算定表④(旧・新制度)'!$B$8:$S$65536,16,FALSE))</f>
      </c>
      <c r="Q34" s="443">
        <f>IF($B34="","",VLOOKUP($B34,'6-2_算定表④(旧・新制度)'!$B$8:$S$65536,16,FALSE))</f>
      </c>
      <c r="R34" s="443">
        <f>IF($B34="","",VLOOKUP($B34,'6-2_算定表④(旧・新制度)'!$B$8:$S$65536,16,FALSE))</f>
      </c>
      <c r="S34" s="443">
        <f>IF($B34="","",VLOOKUP($B34,'6-2_算定表④(旧・新制度)'!$B$8:$S$65536,16,FALSE))</f>
      </c>
      <c r="T34" s="443">
        <f>IF($B34="","",VLOOKUP($B34,'6-2_算定表④(旧・新制度)'!$B$8:$S$65536,16,FALSE))</f>
      </c>
      <c r="U34" s="443">
        <f>IF($B34="","",VLOOKUP($B34,'6-2_算定表④(旧・新制度)'!$B$8:$S$65536,16,FALSE))</f>
      </c>
      <c r="V34" s="703">
        <f>IF($B34="","",VLOOKUP($B34,'6-2_算定表④(旧・新制度)'!$B$8:$S$65536,16,FALSE))</f>
      </c>
      <c r="W34" s="438">
        <f t="shared" si="1"/>
      </c>
      <c r="X34" s="445">
        <f t="shared" si="2"/>
      </c>
      <c r="Y34" s="444">
        <f t="shared" si="3"/>
      </c>
      <c r="Z34" s="446">
        <f t="shared" si="4"/>
      </c>
      <c r="AA34" s="454">
        <f t="shared" si="5"/>
      </c>
      <c r="AB34" s="438">
        <f t="shared" si="6"/>
      </c>
      <c r="AC34" s="437">
        <f t="shared" si="7"/>
      </c>
      <c r="AD34" s="438">
        <f t="shared" si="8"/>
      </c>
      <c r="AE34" s="437">
        <f t="shared" si="9"/>
      </c>
      <c r="AF34" s="439">
        <f t="shared" si="10"/>
      </c>
      <c r="AG34" s="430">
        <f>IF(B34="","",ROUNDUP((G34/'6-2_算定表④(旧・新制度)'!J33*W34)+(I34/'6-2_算定表④(旧・新制度)'!J33*X34)+(G34/'6-2_算定表④(旧・新制度)'!J33*Y34)+(I34/'6-2_算定表④(旧・新制度)'!J33*Z34)+(G34/'6-2_算定表④(旧・新制度)'!J33*AA34)+(I34/'6-2_算定表④(旧・新制度)'!J33*AB34)+(G34/'6-2_算定表④(旧・新制度)'!J33*AC34)+(I34/'6-2_算定表④(旧・新制度)'!J33*AD34),0))</f>
      </c>
      <c r="AH34" s="411">
        <f t="shared" si="12"/>
      </c>
      <c r="AI34" s="998">
        <f>IF(B34="","",VLOOKUP($B34,'6-2_算定表④(旧・新制度)'!$B$8:$AF$65536,31,FALSE))</f>
      </c>
      <c r="AJ34" s="999" t="s">
        <v>205</v>
      </c>
      <c r="AK34" s="1000" t="s">
        <v>205</v>
      </c>
      <c r="AM34" s="60">
        <f t="shared" si="13"/>
      </c>
      <c r="AN34" s="60">
        <f t="shared" si="11"/>
      </c>
    </row>
    <row r="35" spans="1:40" s="53" customFormat="1" ht="18.75" customHeight="1">
      <c r="A35" s="27">
        <f t="shared" si="0"/>
      </c>
      <c r="B35" s="240"/>
      <c r="C35" s="83">
        <f>IF(B35="","",VLOOKUP($B35,'6-2_算定表④(旧・新制度)'!$B$8:$S$65536,2,FALSE))</f>
      </c>
      <c r="D35" s="441">
        <f>IF(B35="","",VLOOKUP($B35,'6-2_算定表④(旧・新制度)'!$B$8:$S$65536,3,FALSE))</f>
      </c>
      <c r="E35" s="84">
        <f>IF(B35="","",VLOOKUP($B35,'6-2_算定表④(旧・新制度)'!$B$8:$S$65536,6,FALSE))</f>
      </c>
      <c r="F35" s="442">
        <f>IF(B35="","",VLOOKUP($B35,'6-2_算定表④(旧・新制度)'!$B$8:$S$65536,14,FALSE))</f>
      </c>
      <c r="G35" s="441">
        <f>IF(B35="","",VLOOKUP($B35,'6-2_算定表④(旧・新制度)'!$B$8:$S$65536,15,FALSE))</f>
      </c>
      <c r="H35" s="442">
        <f>IF(B35="","",VLOOKUP($B35,'6-2_算定表④(旧・新制度)'!$B$8:$S$65536,16,FALSE))</f>
      </c>
      <c r="I35" s="441">
        <f>IF(B35="","",VLOOKUP($B35,'6-2_算定表④(旧・新制度)'!$B$8:$S$65536,17,FALSE))</f>
      </c>
      <c r="J35" s="411">
        <f>IF(B35="","",VLOOKUP($B35,'6-2_算定表④(旧・新制度)'!$B$8:$S$65536,18,FALSE))</f>
      </c>
      <c r="K35" s="702">
        <f>IF($B35="","",VLOOKUP($B35,'6-2_算定表④(旧・新制度)'!$B$8:$S$65536,14,FALSE))</f>
      </c>
      <c r="L35" s="443">
        <f>IF($B35="","",VLOOKUP($B35,'6-2_算定表④(旧・新制度)'!$B$8:$S$65536,14,FALSE))</f>
      </c>
      <c r="M35" s="703">
        <f>IF($B35="","",VLOOKUP($B35,'6-2_算定表④(旧・新制度)'!$B$8:$S$65536,14,FALSE))</f>
      </c>
      <c r="N35" s="702">
        <f>IF($B35="","",VLOOKUP($B35,'6-2_算定表④(旧・新制度)'!$B$8:$S$65536,16,FALSE))</f>
      </c>
      <c r="O35" s="443">
        <f>IF($B35="","",VLOOKUP($B35,'6-2_算定表④(旧・新制度)'!$B$8:$S$65536,16,FALSE))</f>
      </c>
      <c r="P35" s="443">
        <f>IF($B35="","",VLOOKUP($B35,'6-2_算定表④(旧・新制度)'!$B$8:$S$65536,16,FALSE))</f>
      </c>
      <c r="Q35" s="443">
        <f>IF($B35="","",VLOOKUP($B35,'6-2_算定表④(旧・新制度)'!$B$8:$S$65536,16,FALSE))</f>
      </c>
      <c r="R35" s="443">
        <f>IF($B35="","",VLOOKUP($B35,'6-2_算定表④(旧・新制度)'!$B$8:$S$65536,16,FALSE))</f>
      </c>
      <c r="S35" s="443">
        <f>IF($B35="","",VLOOKUP($B35,'6-2_算定表④(旧・新制度)'!$B$8:$S$65536,16,FALSE))</f>
      </c>
      <c r="T35" s="443">
        <f>IF($B35="","",VLOOKUP($B35,'6-2_算定表④(旧・新制度)'!$B$8:$S$65536,16,FALSE))</f>
      </c>
      <c r="U35" s="443">
        <f>IF($B35="","",VLOOKUP($B35,'6-2_算定表④(旧・新制度)'!$B$8:$S$65536,16,FALSE))</f>
      </c>
      <c r="V35" s="703">
        <f>IF($B35="","",VLOOKUP($B35,'6-2_算定表④(旧・新制度)'!$B$8:$S$65536,16,FALSE))</f>
      </c>
      <c r="W35" s="438">
        <f t="shared" si="1"/>
      </c>
      <c r="X35" s="445">
        <f t="shared" si="2"/>
      </c>
      <c r="Y35" s="444">
        <f t="shared" si="3"/>
      </c>
      <c r="Z35" s="446">
        <f t="shared" si="4"/>
      </c>
      <c r="AA35" s="454">
        <f t="shared" si="5"/>
      </c>
      <c r="AB35" s="438">
        <f t="shared" si="6"/>
      </c>
      <c r="AC35" s="437">
        <f t="shared" si="7"/>
      </c>
      <c r="AD35" s="438">
        <f t="shared" si="8"/>
      </c>
      <c r="AE35" s="437">
        <f t="shared" si="9"/>
      </c>
      <c r="AF35" s="439">
        <f t="shared" si="10"/>
      </c>
      <c r="AG35" s="430">
        <f>IF(B35="","",ROUNDUP((G35/'6-2_算定表④(旧・新制度)'!J34*W35)+(I35/'6-2_算定表④(旧・新制度)'!J34*X35)+(G35/'6-2_算定表④(旧・新制度)'!J34*Y35)+(I35/'6-2_算定表④(旧・新制度)'!J34*Z35)+(G35/'6-2_算定表④(旧・新制度)'!J34*AA35)+(I35/'6-2_算定表④(旧・新制度)'!J34*AB35)+(G35/'6-2_算定表④(旧・新制度)'!J34*AC35)+(I35/'6-2_算定表④(旧・新制度)'!J34*AD35),0))</f>
      </c>
      <c r="AH35" s="411">
        <f t="shared" si="12"/>
      </c>
      <c r="AI35" s="998">
        <f>IF(B35="","",VLOOKUP($B35,'6-2_算定表④(旧・新制度)'!$B$8:$AF$65536,31,FALSE))</f>
      </c>
      <c r="AJ35" s="999" t="s">
        <v>205</v>
      </c>
      <c r="AK35" s="1000" t="s">
        <v>205</v>
      </c>
      <c r="AM35" s="60">
        <f t="shared" si="13"/>
      </c>
      <c r="AN35" s="60">
        <f t="shared" si="11"/>
      </c>
    </row>
    <row r="36" spans="1:40" s="53" customFormat="1" ht="18.75" customHeight="1">
      <c r="A36" s="27">
        <f t="shared" si="0"/>
      </c>
      <c r="B36" s="240"/>
      <c r="C36" s="83">
        <f>IF(B36="","",VLOOKUP($B36,'6-2_算定表④(旧・新制度)'!$B$8:$S$65536,2,FALSE))</f>
      </c>
      <c r="D36" s="441">
        <f>IF(B36="","",VLOOKUP($B36,'6-2_算定表④(旧・新制度)'!$B$8:$S$65536,3,FALSE))</f>
      </c>
      <c r="E36" s="84">
        <f>IF(B36="","",VLOOKUP($B36,'6-2_算定表④(旧・新制度)'!$B$8:$S$65536,6,FALSE))</f>
      </c>
      <c r="F36" s="442">
        <f>IF(B36="","",VLOOKUP($B36,'6-2_算定表④(旧・新制度)'!$B$8:$S$65536,14,FALSE))</f>
      </c>
      <c r="G36" s="441">
        <f>IF(B36="","",VLOOKUP($B36,'6-2_算定表④(旧・新制度)'!$B$8:$S$65536,15,FALSE))</f>
      </c>
      <c r="H36" s="442">
        <f>IF(B36="","",VLOOKUP($B36,'6-2_算定表④(旧・新制度)'!$B$8:$S$65536,16,FALSE))</f>
      </c>
      <c r="I36" s="441">
        <f>IF(B36="","",VLOOKUP($B36,'6-2_算定表④(旧・新制度)'!$B$8:$S$65536,17,FALSE))</f>
      </c>
      <c r="J36" s="411">
        <f>IF(B36="","",VLOOKUP($B36,'6-2_算定表④(旧・新制度)'!$B$8:$S$65536,18,FALSE))</f>
      </c>
      <c r="K36" s="702">
        <f>IF($B36="","",VLOOKUP($B36,'6-2_算定表④(旧・新制度)'!$B$8:$S$65536,14,FALSE))</f>
      </c>
      <c r="L36" s="443">
        <f>IF($B36="","",VLOOKUP($B36,'6-2_算定表④(旧・新制度)'!$B$8:$S$65536,14,FALSE))</f>
      </c>
      <c r="M36" s="703">
        <f>IF($B36="","",VLOOKUP($B36,'6-2_算定表④(旧・新制度)'!$B$8:$S$65536,14,FALSE))</f>
      </c>
      <c r="N36" s="702">
        <f>IF($B36="","",VLOOKUP($B36,'6-2_算定表④(旧・新制度)'!$B$8:$S$65536,16,FALSE))</f>
      </c>
      <c r="O36" s="443">
        <f>IF($B36="","",VLOOKUP($B36,'6-2_算定表④(旧・新制度)'!$B$8:$S$65536,16,FALSE))</f>
      </c>
      <c r="P36" s="443">
        <f>IF($B36="","",VLOOKUP($B36,'6-2_算定表④(旧・新制度)'!$B$8:$S$65536,16,FALSE))</f>
      </c>
      <c r="Q36" s="443">
        <f>IF($B36="","",VLOOKUP($B36,'6-2_算定表④(旧・新制度)'!$B$8:$S$65536,16,FALSE))</f>
      </c>
      <c r="R36" s="443">
        <f>IF($B36="","",VLOOKUP($B36,'6-2_算定表④(旧・新制度)'!$B$8:$S$65536,16,FALSE))</f>
      </c>
      <c r="S36" s="443">
        <f>IF($B36="","",VLOOKUP($B36,'6-2_算定表④(旧・新制度)'!$B$8:$S$65536,16,FALSE))</f>
      </c>
      <c r="T36" s="443">
        <f>IF($B36="","",VLOOKUP($B36,'6-2_算定表④(旧・新制度)'!$B$8:$S$65536,16,FALSE))</f>
      </c>
      <c r="U36" s="443">
        <f>IF($B36="","",VLOOKUP($B36,'6-2_算定表④(旧・新制度)'!$B$8:$S$65536,16,FALSE))</f>
      </c>
      <c r="V36" s="703">
        <f>IF($B36="","",VLOOKUP($B36,'6-2_算定表④(旧・新制度)'!$B$8:$S$65536,16,FALSE))</f>
      </c>
      <c r="W36" s="438">
        <f t="shared" si="1"/>
      </c>
      <c r="X36" s="445">
        <f t="shared" si="2"/>
      </c>
      <c r="Y36" s="444">
        <f t="shared" si="3"/>
      </c>
      <c r="Z36" s="446">
        <f t="shared" si="4"/>
      </c>
      <c r="AA36" s="454">
        <f t="shared" si="5"/>
      </c>
      <c r="AB36" s="438">
        <f t="shared" si="6"/>
      </c>
      <c r="AC36" s="437">
        <f t="shared" si="7"/>
      </c>
      <c r="AD36" s="438">
        <f t="shared" si="8"/>
      </c>
      <c r="AE36" s="437">
        <f t="shared" si="9"/>
      </c>
      <c r="AF36" s="439">
        <f t="shared" si="10"/>
      </c>
      <c r="AG36" s="430">
        <f>IF(B36="","",ROUNDUP((G36/'6-2_算定表④(旧・新制度)'!J35*W36)+(I36/'6-2_算定表④(旧・新制度)'!J35*X36)+(G36/'6-2_算定表④(旧・新制度)'!J35*Y36)+(I36/'6-2_算定表④(旧・新制度)'!J35*Z36)+(G36/'6-2_算定表④(旧・新制度)'!J35*AA36)+(I36/'6-2_算定表④(旧・新制度)'!J35*AB36)+(G36/'6-2_算定表④(旧・新制度)'!J35*AC36)+(I36/'6-2_算定表④(旧・新制度)'!J35*AD36),0))</f>
      </c>
      <c r="AH36" s="411">
        <f t="shared" si="12"/>
      </c>
      <c r="AI36" s="998">
        <f>IF(B36="","",VLOOKUP($B36,'6-2_算定表④(旧・新制度)'!$B$8:$AF$65536,31,FALSE))</f>
      </c>
      <c r="AJ36" s="999" t="s">
        <v>205</v>
      </c>
      <c r="AK36" s="1000" t="s">
        <v>205</v>
      </c>
      <c r="AM36" s="60">
        <f t="shared" si="13"/>
      </c>
      <c r="AN36" s="60">
        <f t="shared" si="11"/>
      </c>
    </row>
    <row r="37" spans="1:40" s="53" customFormat="1" ht="18.75" customHeight="1">
      <c r="A37" s="27">
        <f t="shared" si="0"/>
      </c>
      <c r="B37" s="240"/>
      <c r="C37" s="83">
        <f>IF(B37="","",VLOOKUP($B37,'6-2_算定表④(旧・新制度)'!$B$8:$S$65536,2,FALSE))</f>
      </c>
      <c r="D37" s="441">
        <f>IF(B37="","",VLOOKUP($B37,'6-2_算定表④(旧・新制度)'!$B$8:$S$65536,3,FALSE))</f>
      </c>
      <c r="E37" s="84">
        <f>IF(B37="","",VLOOKUP($B37,'6-2_算定表④(旧・新制度)'!$B$8:$S$65536,6,FALSE))</f>
      </c>
      <c r="F37" s="442">
        <f>IF(B37="","",VLOOKUP($B37,'6-2_算定表④(旧・新制度)'!$B$8:$S$65536,14,FALSE))</f>
      </c>
      <c r="G37" s="441">
        <f>IF(B37="","",VLOOKUP($B37,'6-2_算定表④(旧・新制度)'!$B$8:$S$65536,15,FALSE))</f>
      </c>
      <c r="H37" s="442">
        <f>IF(B37="","",VLOOKUP($B37,'6-2_算定表④(旧・新制度)'!$B$8:$S$65536,16,FALSE))</f>
      </c>
      <c r="I37" s="441">
        <f>IF(B37="","",VLOOKUP($B37,'6-2_算定表④(旧・新制度)'!$B$8:$S$65536,17,FALSE))</f>
      </c>
      <c r="J37" s="411">
        <f>IF(B37="","",VLOOKUP($B37,'6-2_算定表④(旧・新制度)'!$B$8:$S$65536,18,FALSE))</f>
      </c>
      <c r="K37" s="702">
        <f>IF($B37="","",VLOOKUP($B37,'6-2_算定表④(旧・新制度)'!$B$8:$S$65536,14,FALSE))</f>
      </c>
      <c r="L37" s="443">
        <f>IF($B37="","",VLOOKUP($B37,'6-2_算定表④(旧・新制度)'!$B$8:$S$65536,14,FALSE))</f>
      </c>
      <c r="M37" s="703">
        <f>IF($B37="","",VLOOKUP($B37,'6-2_算定表④(旧・新制度)'!$B$8:$S$65536,14,FALSE))</f>
      </c>
      <c r="N37" s="702">
        <f>IF($B37="","",VLOOKUP($B37,'6-2_算定表④(旧・新制度)'!$B$8:$S$65536,16,FALSE))</f>
      </c>
      <c r="O37" s="443">
        <f>IF($B37="","",VLOOKUP($B37,'6-2_算定表④(旧・新制度)'!$B$8:$S$65536,16,FALSE))</f>
      </c>
      <c r="P37" s="443">
        <f>IF($B37="","",VLOOKUP($B37,'6-2_算定表④(旧・新制度)'!$B$8:$S$65536,16,FALSE))</f>
      </c>
      <c r="Q37" s="443">
        <f>IF($B37="","",VLOOKUP($B37,'6-2_算定表④(旧・新制度)'!$B$8:$S$65536,16,FALSE))</f>
      </c>
      <c r="R37" s="443">
        <f>IF($B37="","",VLOOKUP($B37,'6-2_算定表④(旧・新制度)'!$B$8:$S$65536,16,FALSE))</f>
      </c>
      <c r="S37" s="443">
        <f>IF($B37="","",VLOOKUP($B37,'6-2_算定表④(旧・新制度)'!$B$8:$S$65536,16,FALSE))</f>
      </c>
      <c r="T37" s="443">
        <f>IF($B37="","",VLOOKUP($B37,'6-2_算定表④(旧・新制度)'!$B$8:$S$65536,16,FALSE))</f>
      </c>
      <c r="U37" s="443">
        <f>IF($B37="","",VLOOKUP($B37,'6-2_算定表④(旧・新制度)'!$B$8:$S$65536,16,FALSE))</f>
      </c>
      <c r="V37" s="703">
        <f>IF($B37="","",VLOOKUP($B37,'6-2_算定表④(旧・新制度)'!$B$8:$S$65536,16,FALSE))</f>
      </c>
      <c r="W37" s="438">
        <f t="shared" si="1"/>
      </c>
      <c r="X37" s="445">
        <f t="shared" si="2"/>
      </c>
      <c r="Y37" s="444">
        <f t="shared" si="3"/>
      </c>
      <c r="Z37" s="446">
        <f t="shared" si="4"/>
      </c>
      <c r="AA37" s="454">
        <f t="shared" si="5"/>
      </c>
      <c r="AB37" s="438">
        <f t="shared" si="6"/>
      </c>
      <c r="AC37" s="437">
        <f t="shared" si="7"/>
      </c>
      <c r="AD37" s="438">
        <f t="shared" si="8"/>
      </c>
      <c r="AE37" s="437">
        <f t="shared" si="9"/>
      </c>
      <c r="AF37" s="439">
        <f t="shared" si="10"/>
      </c>
      <c r="AG37" s="430">
        <f>IF(B37="","",ROUNDUP((G37/'6-2_算定表④(旧・新制度)'!J36*W37)+(I37/'6-2_算定表④(旧・新制度)'!J36*X37)+(G37/'6-2_算定表④(旧・新制度)'!J36*Y37)+(I37/'6-2_算定表④(旧・新制度)'!J36*Z37)+(G37/'6-2_算定表④(旧・新制度)'!J36*AA37)+(I37/'6-2_算定表④(旧・新制度)'!J36*AB37)+(G37/'6-2_算定表④(旧・新制度)'!J36*AC37)+(I37/'6-2_算定表④(旧・新制度)'!J36*AD37),0))</f>
      </c>
      <c r="AH37" s="411">
        <f t="shared" si="12"/>
      </c>
      <c r="AI37" s="998">
        <f>IF(B37="","",VLOOKUP($B37,'6-2_算定表④(旧・新制度)'!$B$8:$AF$65536,31,FALSE))</f>
      </c>
      <c r="AJ37" s="999" t="s">
        <v>205</v>
      </c>
      <c r="AK37" s="1000" t="s">
        <v>205</v>
      </c>
      <c r="AM37" s="60">
        <f t="shared" si="13"/>
      </c>
      <c r="AN37" s="60">
        <f t="shared" si="11"/>
      </c>
    </row>
    <row r="38" spans="1:40" s="53" customFormat="1" ht="18.75" customHeight="1" thickBot="1">
      <c r="A38" s="27">
        <f t="shared" si="0"/>
      </c>
      <c r="B38" s="240"/>
      <c r="C38" s="83">
        <f>IF(B38="","",VLOOKUP($B38,'6-2_算定表④(旧・新制度)'!$B$8:$S$65536,2,FALSE))</f>
      </c>
      <c r="D38" s="441">
        <f>IF(B38="","",VLOOKUP($B38,'6-2_算定表④(旧・新制度)'!$B$8:$S$65536,3,FALSE))</f>
      </c>
      <c r="E38" s="222">
        <f>IF(B38="","",VLOOKUP($B38,'6-2_算定表④(旧・新制度)'!$B$8:$S$65536,6,FALSE))</f>
      </c>
      <c r="F38" s="695">
        <f>IF(B38="","",VLOOKUP($B38,'6-2_算定表④(旧・新制度)'!$B$8:$S$65536,14,FALSE))</f>
      </c>
      <c r="G38" s="696">
        <f>IF(B38="","",VLOOKUP($B38,'6-2_算定表④(旧・新制度)'!$B$8:$S$65536,15,FALSE))</f>
      </c>
      <c r="H38" s="695">
        <f>IF(B38="","",VLOOKUP($B38,'6-2_算定表④(旧・新制度)'!$B$8:$S$65536,16,FALSE))</f>
      </c>
      <c r="I38" s="696">
        <f>IF(B38="","",VLOOKUP($B38,'6-2_算定表④(旧・新制度)'!$B$8:$S$65536,17,FALSE))</f>
      </c>
      <c r="J38" s="656">
        <f>IF(B38="","",VLOOKUP($B38,'6-2_算定表④(旧・新制度)'!$B$8:$S$65536,18,FALSE))</f>
      </c>
      <c r="K38" s="704">
        <f>IF($B38="","",VLOOKUP($B38,'6-2_算定表④(旧・新制度)'!$B$8:$S$65536,14,FALSE))</f>
      </c>
      <c r="L38" s="705">
        <f>IF($B38="","",VLOOKUP($B38,'6-2_算定表④(旧・新制度)'!$B$8:$S$65536,14,FALSE))</f>
      </c>
      <c r="M38" s="706">
        <f>IF($B38="","",VLOOKUP($B38,'6-2_算定表④(旧・新制度)'!$B$8:$S$65536,14,FALSE))</f>
      </c>
      <c r="N38" s="704">
        <f>IF($B38="","",VLOOKUP($B38,'6-2_算定表④(旧・新制度)'!$B$8:$S$65536,16,FALSE))</f>
      </c>
      <c r="O38" s="705">
        <f>IF($B38="","",VLOOKUP($B38,'6-2_算定表④(旧・新制度)'!$B$8:$S$65536,16,FALSE))</f>
      </c>
      <c r="P38" s="705">
        <f>IF($B38="","",VLOOKUP($B38,'6-2_算定表④(旧・新制度)'!$B$8:$S$65536,16,FALSE))</f>
      </c>
      <c r="Q38" s="705">
        <f>IF($B38="","",VLOOKUP($B38,'6-2_算定表④(旧・新制度)'!$B$8:$S$65536,16,FALSE))</f>
      </c>
      <c r="R38" s="705">
        <f>IF($B38="","",VLOOKUP($B38,'6-2_算定表④(旧・新制度)'!$B$8:$S$65536,16,FALSE))</f>
      </c>
      <c r="S38" s="705">
        <f>IF($B38="","",VLOOKUP($B38,'6-2_算定表④(旧・新制度)'!$B$8:$S$65536,16,FALSE))</f>
      </c>
      <c r="T38" s="705">
        <f>IF($B38="","",VLOOKUP($B38,'6-2_算定表④(旧・新制度)'!$B$8:$S$65536,16,FALSE))</f>
      </c>
      <c r="U38" s="705">
        <f>IF($B38="","",VLOOKUP($B38,'6-2_算定表④(旧・新制度)'!$B$8:$S$65536,16,FALSE))</f>
      </c>
      <c r="V38" s="706">
        <f>IF($B38="","",VLOOKUP($B38,'6-2_算定表④(旧・新制度)'!$B$8:$S$65536,16,FALSE))</f>
      </c>
      <c r="W38" s="438">
        <f t="shared" si="1"/>
      </c>
      <c r="X38" s="445">
        <f t="shared" si="2"/>
      </c>
      <c r="Y38" s="444">
        <f t="shared" si="3"/>
      </c>
      <c r="Z38" s="446">
        <f t="shared" si="4"/>
      </c>
      <c r="AA38" s="454">
        <f t="shared" si="5"/>
      </c>
      <c r="AB38" s="438">
        <f t="shared" si="6"/>
      </c>
      <c r="AC38" s="437">
        <f t="shared" si="7"/>
      </c>
      <c r="AD38" s="438">
        <f t="shared" si="8"/>
      </c>
      <c r="AE38" s="437">
        <f t="shared" si="9"/>
      </c>
      <c r="AF38" s="439">
        <f t="shared" si="10"/>
      </c>
      <c r="AG38" s="430">
        <f>IF(B38="","",ROUNDUP((G38/'6-2_算定表④(旧・新制度)'!J37*W38)+(I38/'6-2_算定表④(旧・新制度)'!J37*X38)+(G38/'6-2_算定表④(旧・新制度)'!J37*Y38)+(I38/'6-2_算定表④(旧・新制度)'!J37*Z38)+(G38/'6-2_算定表④(旧・新制度)'!J37*AA38)+(I38/'6-2_算定表④(旧・新制度)'!J37*AB38)+(G38/'6-2_算定表④(旧・新制度)'!J37*AC38)+(I38/'6-2_算定表④(旧・新制度)'!J37*AD38),0))</f>
      </c>
      <c r="AH38" s="411">
        <f t="shared" si="12"/>
      </c>
      <c r="AI38" s="1001">
        <f>IF(B38="","",VLOOKUP($B38,'6-2_算定表④(旧・新制度)'!$B$8:$AF$65536,31,FALSE))</f>
      </c>
      <c r="AJ38" s="1002" t="s">
        <v>205</v>
      </c>
      <c r="AK38" s="1003" t="s">
        <v>205</v>
      </c>
      <c r="AM38" s="60">
        <f t="shared" si="13"/>
      </c>
      <c r="AN38" s="60">
        <f t="shared" si="11"/>
      </c>
    </row>
    <row r="39" spans="1:40" s="65" customFormat="1" ht="18.75" customHeight="1" thickBot="1">
      <c r="A39" s="852" t="s">
        <v>27</v>
      </c>
      <c r="B39" s="984"/>
      <c r="C39" s="984"/>
      <c r="D39" s="984"/>
      <c r="E39" s="985"/>
      <c r="F39" s="985"/>
      <c r="G39" s="985"/>
      <c r="H39" s="985"/>
      <c r="I39" s="985"/>
      <c r="J39" s="519">
        <f>SUM(J9:J38)</f>
        <v>0</v>
      </c>
      <c r="K39" s="697" t="s">
        <v>155</v>
      </c>
      <c r="L39" s="698" t="s">
        <v>155</v>
      </c>
      <c r="M39" s="699" t="s">
        <v>155</v>
      </c>
      <c r="N39" s="697" t="s">
        <v>155</v>
      </c>
      <c r="O39" s="698" t="s">
        <v>155</v>
      </c>
      <c r="P39" s="698" t="s">
        <v>155</v>
      </c>
      <c r="Q39" s="698" t="s">
        <v>155</v>
      </c>
      <c r="R39" s="698" t="s">
        <v>155</v>
      </c>
      <c r="S39" s="698" t="s">
        <v>155</v>
      </c>
      <c r="T39" s="698" t="s">
        <v>155</v>
      </c>
      <c r="U39" s="698" t="s">
        <v>155</v>
      </c>
      <c r="V39" s="699" t="s">
        <v>155</v>
      </c>
      <c r="W39" s="455" t="s">
        <v>155</v>
      </c>
      <c r="X39" s="458" t="s">
        <v>155</v>
      </c>
      <c r="Y39" s="455" t="s">
        <v>155</v>
      </c>
      <c r="Z39" s="459" t="s">
        <v>155</v>
      </c>
      <c r="AA39" s="460" t="s">
        <v>155</v>
      </c>
      <c r="AB39" s="461" t="s">
        <v>155</v>
      </c>
      <c r="AC39" s="462" t="s">
        <v>155</v>
      </c>
      <c r="AD39" s="461" t="s">
        <v>155</v>
      </c>
      <c r="AE39" s="462" t="s">
        <v>155</v>
      </c>
      <c r="AF39" s="457" t="s">
        <v>155</v>
      </c>
      <c r="AG39" s="416">
        <f>SUM(AG9:AG38)</f>
        <v>0</v>
      </c>
      <c r="AH39" s="416">
        <f>SUM(AH9:AH38)</f>
        <v>0</v>
      </c>
      <c r="AI39" s="986"/>
      <c r="AJ39" s="987"/>
      <c r="AK39" s="988"/>
      <c r="AM39" s="66"/>
      <c r="AN39" s="66"/>
    </row>
    <row r="40" spans="1:40" s="67" customFormat="1" ht="16.5" customHeight="1">
      <c r="A40" s="67" t="s">
        <v>29</v>
      </c>
      <c r="B40" s="229"/>
      <c r="C40" s="248"/>
      <c r="AM40" s="68"/>
      <c r="AN40" s="68"/>
    </row>
    <row r="41" spans="1:31" s="168" customFormat="1" ht="14.25" customHeight="1">
      <c r="A41" s="243" t="s">
        <v>254</v>
      </c>
      <c r="B41" s="230"/>
      <c r="C41" s="249"/>
      <c r="Z41" s="169"/>
      <c r="AA41" s="169"/>
      <c r="AC41" s="169"/>
      <c r="AE41" s="169"/>
    </row>
    <row r="42" spans="1:40" s="168" customFormat="1" ht="11.25">
      <c r="A42" s="243" t="s">
        <v>71</v>
      </c>
      <c r="C42" s="249"/>
      <c r="AM42" s="169"/>
      <c r="AN42" s="169"/>
    </row>
    <row r="43" spans="1:40" s="168" customFormat="1" ht="10.5" customHeight="1">
      <c r="A43" s="243" t="s">
        <v>179</v>
      </c>
      <c r="B43" s="230"/>
      <c r="C43" s="249"/>
      <c r="AM43" s="169"/>
      <c r="AN43" s="169"/>
    </row>
    <row r="44" spans="2:40" s="67" customFormat="1" ht="10.5" customHeight="1">
      <c r="B44" s="229"/>
      <c r="C44" s="248"/>
      <c r="AM44" s="68"/>
      <c r="AN44" s="68"/>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2">
    <mergeCell ref="K4:AF4"/>
    <mergeCell ref="AG4:AG7"/>
    <mergeCell ref="W1:Y1"/>
    <mergeCell ref="Z1:AH1"/>
    <mergeCell ref="AJ1:AK1"/>
    <mergeCell ref="W2:Y2"/>
    <mergeCell ref="Z2:AH2"/>
    <mergeCell ref="AJ2:AK2"/>
    <mergeCell ref="K5:V5"/>
    <mergeCell ref="W5:AF5"/>
    <mergeCell ref="A4:A8"/>
    <mergeCell ref="B4:B8"/>
    <mergeCell ref="C4:C8"/>
    <mergeCell ref="D4:D8"/>
    <mergeCell ref="E4:E8"/>
    <mergeCell ref="F4:J4"/>
    <mergeCell ref="I6:I7"/>
    <mergeCell ref="J6:J7"/>
    <mergeCell ref="F5:J5"/>
    <mergeCell ref="F6:F8"/>
    <mergeCell ref="G6:G7"/>
    <mergeCell ref="H6:H8"/>
    <mergeCell ref="K6:M6"/>
    <mergeCell ref="N6:V6"/>
    <mergeCell ref="AC6:AC8"/>
    <mergeCell ref="AD6:AD8"/>
    <mergeCell ref="W6:W8"/>
    <mergeCell ref="X6:X8"/>
    <mergeCell ref="Y6:Y8"/>
    <mergeCell ref="Z6:Z8"/>
    <mergeCell ref="Q7:Q8"/>
    <mergeCell ref="R7:R8"/>
    <mergeCell ref="S7:S8"/>
    <mergeCell ref="T7:T8"/>
    <mergeCell ref="U7:U8"/>
    <mergeCell ref="V7:V8"/>
    <mergeCell ref="K7:K8"/>
    <mergeCell ref="L7:L8"/>
    <mergeCell ref="M7:M8"/>
    <mergeCell ref="N7:N8"/>
    <mergeCell ref="O7:O8"/>
    <mergeCell ref="P7:P8"/>
    <mergeCell ref="AM7:AM8"/>
    <mergeCell ref="AN7:AN8"/>
    <mergeCell ref="AI9:AK9"/>
    <mergeCell ref="AI10:AK10"/>
    <mergeCell ref="AA6:AA8"/>
    <mergeCell ref="AB6:AB8"/>
    <mergeCell ref="AE6:AE8"/>
    <mergeCell ref="AF6:AF8"/>
    <mergeCell ref="AH4:AH7"/>
    <mergeCell ref="AI4:AK8"/>
    <mergeCell ref="AI11:AK11"/>
    <mergeCell ref="AI12:AK12"/>
    <mergeCell ref="AI13:AK13"/>
    <mergeCell ref="AI14:AK14"/>
    <mergeCell ref="AI15:AK15"/>
    <mergeCell ref="AI16:AK16"/>
    <mergeCell ref="AI17:AK17"/>
    <mergeCell ref="AI18:AK18"/>
    <mergeCell ref="AI19:AK19"/>
    <mergeCell ref="AI20:AK20"/>
    <mergeCell ref="AI21:AK21"/>
    <mergeCell ref="AI22:AK22"/>
    <mergeCell ref="AI23:AK23"/>
    <mergeCell ref="AI24:AK24"/>
    <mergeCell ref="AI25:AK25"/>
    <mergeCell ref="AI26:AK26"/>
    <mergeCell ref="AI27:AK27"/>
    <mergeCell ref="AI28:AK28"/>
    <mergeCell ref="AI29:AK29"/>
    <mergeCell ref="AI30:AK30"/>
    <mergeCell ref="AI31:AK31"/>
    <mergeCell ref="AI32:AK32"/>
    <mergeCell ref="AI33:AK33"/>
    <mergeCell ref="AI34:AK34"/>
    <mergeCell ref="AI35:AK35"/>
    <mergeCell ref="AI36:AK36"/>
    <mergeCell ref="AI37:AK37"/>
    <mergeCell ref="AI38:AK38"/>
    <mergeCell ref="A39:I39"/>
    <mergeCell ref="AI39:AK39"/>
  </mergeCells>
  <dataValidations count="2">
    <dataValidation type="list" allowBlank="1" showInputMessage="1" showErrorMessage="1" sqref="K9:V38">
      <formula1>"Ａ,Ｂ,Ｃ１,Ｃ２,Ｄ"</formula1>
    </dataValidation>
    <dataValidation type="whole" allowBlank="1" showInputMessage="1" showErrorMessage="1" sqref="B14:B38">
      <formula1>1</formula1>
      <formula2>999999</formula2>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51" r:id="rId3"/>
  <legacyDrawing r:id="rId2"/>
</worksheet>
</file>

<file path=xl/worksheets/sheet15.xml><?xml version="1.0" encoding="utf-8"?>
<worksheet xmlns="http://schemas.openxmlformats.org/spreadsheetml/2006/main" xmlns:r="http://schemas.openxmlformats.org/officeDocument/2006/relationships">
  <sheetPr>
    <tabColor rgb="FF7030A0"/>
    <pageSetUpPr fitToPage="1"/>
  </sheetPr>
  <dimension ref="A1:W37"/>
  <sheetViews>
    <sheetView view="pageBreakPreview" zoomScale="85" zoomScaleNormal="75" zoomScaleSheetLayoutView="85" zoomScalePageLayoutView="0" workbookViewId="0" topLeftCell="A1">
      <pane xSplit="1" ySplit="8" topLeftCell="B9" activePane="bottomRight" state="frozen"/>
      <selection pane="topLeft" activeCell="M24" sqref="M24"/>
      <selection pane="topRight" activeCell="M24" sqref="M24"/>
      <selection pane="bottomLeft" activeCell="M24" sqref="M24"/>
      <selection pane="bottomRight" activeCell="G9" sqref="G8:G9"/>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8.25390625" style="40" customWidth="1"/>
    <col min="16" max="16" width="14.875" style="40" customWidth="1"/>
    <col min="17" max="17" width="8.25390625" style="294" customWidth="1"/>
    <col min="18" max="18" width="14.875" style="294" customWidth="1"/>
    <col min="19" max="19" width="3.125" style="40" customWidth="1"/>
    <col min="20" max="21" width="5.625" style="40" customWidth="1"/>
    <col min="22" max="22" width="8.25390625" style="40" customWidth="1"/>
    <col min="23" max="16384" width="9.625" style="40" customWidth="1"/>
  </cols>
  <sheetData>
    <row r="1" ht="18.75" customHeight="1" thickBot="1">
      <c r="A1" s="38" t="s">
        <v>244</v>
      </c>
    </row>
    <row r="2" spans="8:18" ht="24.75" customHeight="1" thickBot="1">
      <c r="H2" s="348"/>
      <c r="I2" s="349"/>
      <c r="J2" s="345"/>
      <c r="K2" s="345"/>
      <c r="L2" s="842" t="s">
        <v>25</v>
      </c>
      <c r="M2" s="843"/>
      <c r="N2" s="846">
        <f>'5_総括表'!E3</f>
        <v>0</v>
      </c>
      <c r="O2" s="847"/>
      <c r="P2" s="842" t="s">
        <v>26</v>
      </c>
      <c r="Q2" s="843"/>
      <c r="R2" s="161">
        <f>'5_総括表'!Z3</f>
        <v>0</v>
      </c>
    </row>
    <row r="3" spans="1:18" ht="24.75" customHeight="1" thickBot="1">
      <c r="A3" s="38"/>
      <c r="F3" s="111"/>
      <c r="G3" s="111"/>
      <c r="H3" s="348"/>
      <c r="I3" s="349"/>
      <c r="J3" s="345"/>
      <c r="K3" s="345"/>
      <c r="L3" s="844" t="s">
        <v>23</v>
      </c>
      <c r="M3" s="845"/>
      <c r="N3" s="846">
        <f>'5_総括表'!E4</f>
        <v>0</v>
      </c>
      <c r="O3" s="847"/>
      <c r="P3" s="844" t="s">
        <v>24</v>
      </c>
      <c r="Q3" s="845"/>
      <c r="R3" s="346">
        <f>'5_総括表'!Z4</f>
        <v>0</v>
      </c>
    </row>
    <row r="4" spans="1:9" ht="18.75" customHeight="1" thickBot="1">
      <c r="A4" s="280" t="s">
        <v>231</v>
      </c>
      <c r="F4" s="112"/>
      <c r="G4" s="112"/>
      <c r="H4" s="112"/>
      <c r="I4" s="112"/>
    </row>
    <row r="5" spans="1:18" s="44" customFormat="1" ht="19.5" customHeight="1" thickBot="1">
      <c r="A5" s="113" t="s">
        <v>17</v>
      </c>
      <c r="B5" s="808" t="s">
        <v>125</v>
      </c>
      <c r="C5" s="284"/>
      <c r="D5" s="285"/>
      <c r="E5" s="809" t="s">
        <v>160</v>
      </c>
      <c r="F5" s="155"/>
      <c r="G5" s="156"/>
      <c r="H5" s="811" t="s">
        <v>147</v>
      </c>
      <c r="I5" s="813" t="s">
        <v>148</v>
      </c>
      <c r="J5" s="813" t="s">
        <v>149</v>
      </c>
      <c r="K5" s="803" t="s">
        <v>245</v>
      </c>
      <c r="L5" s="804"/>
      <c r="M5" s="804"/>
      <c r="N5" s="805"/>
      <c r="O5" s="806" t="s">
        <v>246</v>
      </c>
      <c r="P5" s="807"/>
      <c r="Q5" s="806" t="s">
        <v>247</v>
      </c>
      <c r="R5" s="807"/>
    </row>
    <row r="6" spans="1:20" s="44" customFormat="1" ht="38.25" customHeight="1" thickBot="1">
      <c r="A6" s="815" t="s">
        <v>119</v>
      </c>
      <c r="B6" s="809"/>
      <c r="C6" s="286" t="s">
        <v>211</v>
      </c>
      <c r="D6" s="286" t="s">
        <v>67</v>
      </c>
      <c r="E6" s="810"/>
      <c r="F6" s="114" t="s">
        <v>141</v>
      </c>
      <c r="G6" s="116" t="s">
        <v>124</v>
      </c>
      <c r="H6" s="812"/>
      <c r="I6" s="809"/>
      <c r="J6" s="814"/>
      <c r="K6" s="114" t="s">
        <v>21</v>
      </c>
      <c r="L6" s="115" t="s">
        <v>50</v>
      </c>
      <c r="M6" s="342" t="s">
        <v>49</v>
      </c>
      <c r="N6" s="343" t="s">
        <v>68</v>
      </c>
      <c r="O6" s="342" t="s">
        <v>49</v>
      </c>
      <c r="P6" s="343" t="s">
        <v>68</v>
      </c>
      <c r="Q6" s="336" t="s">
        <v>49</v>
      </c>
      <c r="R6" s="337" t="s">
        <v>68</v>
      </c>
      <c r="T6" s="118" t="s">
        <v>70</v>
      </c>
    </row>
    <row r="7" spans="1:20" s="44" customFormat="1" ht="20.25" customHeight="1" thickBot="1">
      <c r="A7" s="816"/>
      <c r="B7" s="48" t="s">
        <v>126</v>
      </c>
      <c r="C7" s="48" t="s">
        <v>127</v>
      </c>
      <c r="D7" s="48" t="s">
        <v>128</v>
      </c>
      <c r="E7" s="48" t="s">
        <v>144</v>
      </c>
      <c r="F7" s="119" t="s">
        <v>129</v>
      </c>
      <c r="G7" s="121" t="s">
        <v>130</v>
      </c>
      <c r="H7" s="151" t="s">
        <v>131</v>
      </c>
      <c r="I7" s="48" t="s">
        <v>132</v>
      </c>
      <c r="J7" s="47" t="s">
        <v>133</v>
      </c>
      <c r="K7" s="119"/>
      <c r="L7" s="120"/>
      <c r="M7" s="121"/>
      <c r="N7" s="328" t="s">
        <v>102</v>
      </c>
      <c r="O7" s="121"/>
      <c r="P7" s="328" t="s">
        <v>102</v>
      </c>
      <c r="Q7" s="338"/>
      <c r="R7" s="339"/>
      <c r="T7" s="123"/>
    </row>
    <row r="8" spans="1:18" s="130" customFormat="1" ht="20.25" customHeight="1" thickBot="1">
      <c r="A8" s="124"/>
      <c r="B8" s="125" t="s">
        <v>19</v>
      </c>
      <c r="C8" s="125" t="s">
        <v>19</v>
      </c>
      <c r="D8" s="125" t="s">
        <v>19</v>
      </c>
      <c r="E8" s="125" t="s">
        <v>145</v>
      </c>
      <c r="F8" s="126" t="s">
        <v>142</v>
      </c>
      <c r="G8" s="128" t="s">
        <v>143</v>
      </c>
      <c r="H8" s="152" t="s">
        <v>22</v>
      </c>
      <c r="I8" s="125" t="s">
        <v>22</v>
      </c>
      <c r="J8" s="125" t="s">
        <v>22</v>
      </c>
      <c r="K8" s="126"/>
      <c r="L8" s="127" t="s">
        <v>20</v>
      </c>
      <c r="M8" s="128" t="s">
        <v>19</v>
      </c>
      <c r="N8" s="330" t="s">
        <v>20</v>
      </c>
      <c r="O8" s="128" t="s">
        <v>19</v>
      </c>
      <c r="P8" s="129" t="s">
        <v>20</v>
      </c>
      <c r="Q8" s="340" t="s">
        <v>19</v>
      </c>
      <c r="R8" s="341" t="s">
        <v>20</v>
      </c>
    </row>
    <row r="9" spans="1:20" s="44" customFormat="1" ht="18" customHeight="1" thickBot="1">
      <c r="A9" s="817">
        <v>1</v>
      </c>
      <c r="B9" s="1054"/>
      <c r="C9" s="1054"/>
      <c r="D9" s="1054"/>
      <c r="E9" s="1050"/>
      <c r="F9" s="399"/>
      <c r="G9" s="400"/>
      <c r="H9" s="470">
        <f>IF(F9="","",IF(ISERROR(F9+ROUNDDOWN(G9*3/74,0)),"",F9+ROUNDDOWN(G9*3/74,0)))</f>
      </c>
      <c r="I9" s="471">
        <f>IF(H9="","",IF(H9&gt;10032,10032,H9))</f>
      </c>
      <c r="J9" s="472">
        <f>IF(H9="","",MIN(H9,I9))</f>
      </c>
      <c r="K9" s="133" t="s">
        <v>84</v>
      </c>
      <c r="L9" s="70">
        <v>1532</v>
      </c>
      <c r="M9" s="376"/>
      <c r="N9" s="377"/>
      <c r="O9" s="357">
        <f>SUMIF('6-2_算定表⑤(新・新制度)'!$AJ:$AJ,$T9,'6-2_算定表⑤(新・新制度)'!$AK:$AK)</f>
        <v>0</v>
      </c>
      <c r="P9" s="134">
        <f>SUMIF('6-2_算定表⑤(新・新制度)'!$AJ:$AJ,$T9,'6-2_算定表⑤(新・新制度)'!$AE:$AE)</f>
        <v>0</v>
      </c>
      <c r="Q9" s="359">
        <f>O9-M9</f>
        <v>0</v>
      </c>
      <c r="R9" s="360">
        <f>P9-N9</f>
        <v>0</v>
      </c>
      <c r="T9" s="135" t="str">
        <f>ASC($A$9&amp;$K9)</f>
        <v>1A</v>
      </c>
    </row>
    <row r="10" spans="1:22" s="44" customFormat="1" ht="18" customHeight="1" thickBot="1">
      <c r="A10" s="817"/>
      <c r="B10" s="1055"/>
      <c r="C10" s="1055"/>
      <c r="D10" s="1055"/>
      <c r="E10" s="1051"/>
      <c r="F10" s="399"/>
      <c r="G10" s="400"/>
      <c r="H10" s="470">
        <f>IF(F10="","",IF(ISERROR(F10+ROUNDDOWN(G10*3/74,0)),"",F10+ROUNDDOWN(G10*3/74,0)))</f>
      </c>
      <c r="I10" s="471">
        <f aca="true" t="shared" si="0" ref="I10:I18">IF(H10="","",IF(H10&gt;10032,10032,H10))</f>
      </c>
      <c r="J10" s="472">
        <f>IF(H10="","",MIN(H10,I10))</f>
      </c>
      <c r="K10" s="136" t="s">
        <v>90</v>
      </c>
      <c r="L10" s="234">
        <v>1532</v>
      </c>
      <c r="M10" s="378"/>
      <c r="N10" s="379"/>
      <c r="O10" s="361">
        <f>SUMIF('6-2_算定表⑤(新・新制度)'!$AJ:$AJ,$T10,'6-2_算定表⑤(新・新制度)'!$AK:$AK)</f>
        <v>0</v>
      </c>
      <c r="P10" s="138">
        <f>SUMIF('6-2_算定表⑤(新・新制度)'!$AJ:$AJ,$T10,'6-2_算定表⑤(新・新制度)'!$AE:$AE)</f>
        <v>0</v>
      </c>
      <c r="Q10" s="359">
        <f aca="true" t="shared" si="1" ref="Q10:R22">O10-M10</f>
        <v>0</v>
      </c>
      <c r="R10" s="360">
        <f t="shared" si="1"/>
        <v>0</v>
      </c>
      <c r="T10" s="139" t="str">
        <f>ASC($A$9&amp;$K10)</f>
        <v>1B</v>
      </c>
      <c r="V10" s="55" t="s">
        <v>8</v>
      </c>
    </row>
    <row r="11" spans="1:21" s="44" customFormat="1" ht="18" customHeight="1" thickBot="1">
      <c r="A11" s="817"/>
      <c r="B11" s="1055"/>
      <c r="C11" s="1055"/>
      <c r="D11" s="1055"/>
      <c r="E11" s="1051"/>
      <c r="F11" s="399"/>
      <c r="G11" s="400"/>
      <c r="H11" s="470">
        <f aca="true" t="shared" si="2" ref="H11:H18">IF(F11="","",IF(ISERROR(F11+ROUNDDOWN(G11*3/74,0)),"",F11+ROUNDDOWN(G11*3/74,0)))</f>
      </c>
      <c r="I11" s="471">
        <f t="shared" si="0"/>
      </c>
      <c r="J11" s="472">
        <f>IF(H11="","",MIN(H11,I11))</f>
      </c>
      <c r="K11" s="136" t="s">
        <v>91</v>
      </c>
      <c r="L11" s="235">
        <v>2814</v>
      </c>
      <c r="M11" s="378"/>
      <c r="N11" s="379"/>
      <c r="O11" s="361">
        <f>SUMIF('6-2_算定表⑤(新・新制度)'!$AJ:$AJ,T11,'6-2_算定表⑤(新・新制度)'!$AK:$AK)+SUMIF('6-2_算定表⑤(新・新制度)'!$AJ:$AJ,U11,'6-2_算定表⑤(新・新制度)'!$AK:$AK)</f>
        <v>0</v>
      </c>
      <c r="P11" s="138">
        <f>SUMIF('6-2_算定表⑤(新・新制度)'!$AJ:$AJ,$T11,'6-2_算定表⑤(新・新制度)'!$AE:$AE)+SUMIF('6-2_算定表⑤(新・新制度)'!$AJ:$AJ,U11,'6-2_算定表⑤(新・新制度)'!$AE:$AE)</f>
        <v>0</v>
      </c>
      <c r="Q11" s="363">
        <f t="shared" si="1"/>
        <v>0</v>
      </c>
      <c r="R11" s="364">
        <f t="shared" si="1"/>
        <v>0</v>
      </c>
      <c r="T11" s="139" t="str">
        <f>ASC($A$9&amp;$K11)</f>
        <v>1C</v>
      </c>
      <c r="U11" s="260"/>
    </row>
    <row r="12" spans="1:20" s="44" customFormat="1" ht="18" customHeight="1" thickBot="1">
      <c r="A12" s="817"/>
      <c r="B12" s="1055"/>
      <c r="C12" s="1055"/>
      <c r="D12" s="1055"/>
      <c r="E12" s="1051"/>
      <c r="F12" s="399"/>
      <c r="G12" s="400"/>
      <c r="H12" s="470"/>
      <c r="I12" s="471"/>
      <c r="J12" s="472"/>
      <c r="K12" s="105" t="s">
        <v>174</v>
      </c>
      <c r="L12" s="236" t="s">
        <v>155</v>
      </c>
      <c r="M12" s="378"/>
      <c r="N12" s="379"/>
      <c r="O12" s="361">
        <f>SUMIF('6-2_算定表⑤(新・新制度)'!$AJ:$AJ,$T12,'6-2_算定表⑤(新・新制度)'!$AK:$AK)</f>
        <v>0</v>
      </c>
      <c r="P12" s="138">
        <f>SUMIF('6-2_算定表⑤(新・新制度)'!$AJ:$AJ,$T12,'6-2_算定表⑤(新・新制度)'!$AE:$AE)</f>
        <v>0</v>
      </c>
      <c r="Q12" s="363">
        <f t="shared" si="1"/>
        <v>0</v>
      </c>
      <c r="R12" s="364">
        <f t="shared" si="1"/>
        <v>0</v>
      </c>
      <c r="T12" s="139" t="str">
        <f>ASC($A$9&amp;$K12)</f>
        <v>1D</v>
      </c>
    </row>
    <row r="13" spans="1:18" s="44" customFormat="1" ht="18" customHeight="1" thickBot="1">
      <c r="A13" s="817"/>
      <c r="B13" s="1055"/>
      <c r="C13" s="1055"/>
      <c r="D13" s="1055"/>
      <c r="E13" s="1052"/>
      <c r="F13" s="401"/>
      <c r="G13" s="402"/>
      <c r="H13" s="473">
        <f t="shared" si="2"/>
      </c>
      <c r="I13" s="474">
        <f t="shared" si="0"/>
      </c>
      <c r="J13" s="475">
        <f>IF(H13="","",MIN(H13,I13))</f>
      </c>
      <c r="K13" s="823" t="s">
        <v>120</v>
      </c>
      <c r="L13" s="824"/>
      <c r="M13" s="365">
        <f aca="true" t="shared" si="3" ref="M13:R13">SUM(M9:M12)</f>
        <v>0</v>
      </c>
      <c r="N13" s="366">
        <f t="shared" si="3"/>
        <v>0</v>
      </c>
      <c r="O13" s="365">
        <f t="shared" si="3"/>
        <v>0</v>
      </c>
      <c r="P13" s="142">
        <f t="shared" si="3"/>
        <v>0</v>
      </c>
      <c r="Q13" s="368">
        <f t="shared" si="3"/>
        <v>0</v>
      </c>
      <c r="R13" s="369">
        <f t="shared" si="3"/>
        <v>0</v>
      </c>
    </row>
    <row r="14" spans="1:23" s="44" customFormat="1" ht="18" customHeight="1" thickBot="1" thickTop="1">
      <c r="A14" s="825">
        <v>2</v>
      </c>
      <c r="B14" s="1055"/>
      <c r="C14" s="1055"/>
      <c r="D14" s="1055"/>
      <c r="E14" s="1056"/>
      <c r="F14" s="476"/>
      <c r="G14" s="477"/>
      <c r="H14" s="470">
        <f t="shared" si="2"/>
      </c>
      <c r="I14" s="471">
        <f t="shared" si="0"/>
      </c>
      <c r="J14" s="472">
        <f>IF(H14="","",MIN(H14,I14))</f>
      </c>
      <c r="K14" s="133" t="s">
        <v>84</v>
      </c>
      <c r="L14" s="70">
        <v>1532</v>
      </c>
      <c r="M14" s="376"/>
      <c r="N14" s="377"/>
      <c r="O14" s="357">
        <f>SUMIF('6-2_算定表⑤(新・新制度)'!$AJ:$AJ,$T14,'6-2_算定表⑤(新・新制度)'!$AK:$AK)</f>
        <v>0</v>
      </c>
      <c r="P14" s="134">
        <f>SUMIF('6-2_算定表⑤(新・新制度)'!$AJ:$AJ,$T14,'6-2_算定表⑤(新・新制度)'!$AE:$AE)</f>
        <v>0</v>
      </c>
      <c r="Q14" s="370">
        <f t="shared" si="1"/>
        <v>0</v>
      </c>
      <c r="R14" s="371">
        <f t="shared" si="1"/>
        <v>0</v>
      </c>
      <c r="T14" s="135" t="str">
        <f>ASC($A$14&amp;$K14)</f>
        <v>2A</v>
      </c>
      <c r="V14" s="143" t="s">
        <v>9</v>
      </c>
      <c r="W14" s="61" t="str">
        <f>IF(D9&gt;=O13,"OK","ERR")</f>
        <v>OK</v>
      </c>
    </row>
    <row r="15" spans="1:23" s="44" customFormat="1" ht="18" customHeight="1" thickBot="1" thickTop="1">
      <c r="A15" s="817"/>
      <c r="B15" s="1055"/>
      <c r="C15" s="1055"/>
      <c r="D15" s="1055"/>
      <c r="E15" s="1057"/>
      <c r="F15" s="476"/>
      <c r="G15" s="477"/>
      <c r="H15" s="470">
        <f t="shared" si="2"/>
      </c>
      <c r="I15" s="471">
        <f t="shared" si="0"/>
      </c>
      <c r="J15" s="472">
        <f>IF(H15="","",MIN(H15,I15))</f>
      </c>
      <c r="K15" s="136" t="s">
        <v>90</v>
      </c>
      <c r="L15" s="234">
        <v>1532</v>
      </c>
      <c r="M15" s="378"/>
      <c r="N15" s="379"/>
      <c r="O15" s="361">
        <f>SUMIF('6-2_算定表⑤(新・新制度)'!$AJ:$AJ,$T15,'6-2_算定表⑤(新・新制度)'!$AK:$AK)</f>
        <v>0</v>
      </c>
      <c r="P15" s="138">
        <f>SUMIF('6-2_算定表⑤(新・新制度)'!$AJ:$AJ,$T15,'6-2_算定表⑤(新・新制度)'!$AE:$AE)</f>
        <v>0</v>
      </c>
      <c r="Q15" s="363">
        <f t="shared" si="1"/>
        <v>0</v>
      </c>
      <c r="R15" s="364">
        <f t="shared" si="1"/>
        <v>0</v>
      </c>
      <c r="T15" s="139" t="str">
        <f>ASC($A$14&amp;$K15)</f>
        <v>2B</v>
      </c>
      <c r="V15" s="143" t="s">
        <v>10</v>
      </c>
      <c r="W15" s="61" t="str">
        <f>IF(D14&gt;=O18,"OK","ERR")</f>
        <v>OK</v>
      </c>
    </row>
    <row r="16" spans="1:23" s="44" customFormat="1" ht="18" customHeight="1" thickBot="1" thickTop="1">
      <c r="A16" s="817"/>
      <c r="B16" s="1055"/>
      <c r="C16" s="1055"/>
      <c r="D16" s="1055"/>
      <c r="E16" s="1057"/>
      <c r="F16" s="476"/>
      <c r="G16" s="477"/>
      <c r="H16" s="470">
        <f t="shared" si="2"/>
      </c>
      <c r="I16" s="471">
        <f t="shared" si="0"/>
      </c>
      <c r="J16" s="472">
        <f>IF(H16="","",MIN(H16,I16))</f>
      </c>
      <c r="K16" s="136" t="s">
        <v>91</v>
      </c>
      <c r="L16" s="235">
        <v>2814</v>
      </c>
      <c r="M16" s="378"/>
      <c r="N16" s="379"/>
      <c r="O16" s="361">
        <f>SUMIF('6-2_算定表⑤(新・新制度)'!$AJ:$AJ,T16,'6-2_算定表⑤(新・新制度)'!$AK:$AK)+SUMIF('6-2_算定表⑤(新・新制度)'!$AJ:$AJ,U16,'6-2_算定表⑤(新・新制度)'!$AK:$AK)</f>
        <v>0</v>
      </c>
      <c r="P16" s="138">
        <f>SUMIF('6-2_算定表⑤(新・新制度)'!$AJ:$AJ,$T16,'6-2_算定表⑤(新・新制度)'!$AE:$AE)+SUMIF('6-2_算定表⑤(新・新制度)'!$AJ:$AJ,U16,'6-2_算定表⑤(新・新制度)'!$AE:$AE)</f>
        <v>0</v>
      </c>
      <c r="Q16" s="363">
        <f t="shared" si="1"/>
        <v>0</v>
      </c>
      <c r="R16" s="364">
        <f t="shared" si="1"/>
        <v>0</v>
      </c>
      <c r="T16" s="139" t="str">
        <f>ASC($A$14&amp;$K16)</f>
        <v>2C</v>
      </c>
      <c r="U16" s="260"/>
      <c r="V16" s="143" t="s">
        <v>11</v>
      </c>
      <c r="W16" s="61" t="str">
        <f>IF(D19&gt;=O23,"OK","ERR")</f>
        <v>OK</v>
      </c>
    </row>
    <row r="17" spans="1:20" s="44" customFormat="1" ht="18" customHeight="1" thickBot="1">
      <c r="A17" s="817"/>
      <c r="B17" s="1055"/>
      <c r="C17" s="1055"/>
      <c r="D17" s="1055"/>
      <c r="E17" s="1057"/>
      <c r="F17" s="476"/>
      <c r="G17" s="477"/>
      <c r="H17" s="470"/>
      <c r="I17" s="471"/>
      <c r="J17" s="472"/>
      <c r="K17" s="105" t="s">
        <v>174</v>
      </c>
      <c r="L17" s="236" t="s">
        <v>155</v>
      </c>
      <c r="M17" s="376"/>
      <c r="N17" s="389"/>
      <c r="O17" s="357">
        <f>SUMIF('6-2_算定表⑤(新・新制度)'!$AJ:$AJ,$T17,'6-2_算定表⑤(新・新制度)'!$AK:$AK)</f>
        <v>0</v>
      </c>
      <c r="P17" s="244">
        <f>SUMIF('6-2_算定表⑤(新・新制度)'!$AJ:$AJ,$T17,'6-2_算定表⑤(新・新制度)'!$AE:$AE)</f>
        <v>0</v>
      </c>
      <c r="Q17" s="363">
        <f t="shared" si="1"/>
        <v>0</v>
      </c>
      <c r="R17" s="364">
        <f t="shared" si="1"/>
        <v>0</v>
      </c>
      <c r="T17" s="139" t="str">
        <f>ASC($A$14&amp;$K17)</f>
        <v>2D</v>
      </c>
    </row>
    <row r="18" spans="1:22" s="44" customFormat="1" ht="18" customHeight="1" thickBot="1">
      <c r="A18" s="826"/>
      <c r="B18" s="1055"/>
      <c r="C18" s="1055"/>
      <c r="D18" s="1055"/>
      <c r="E18" s="1058"/>
      <c r="F18" s="478"/>
      <c r="G18" s="479"/>
      <c r="H18" s="473">
        <f t="shared" si="2"/>
      </c>
      <c r="I18" s="474">
        <f t="shared" si="0"/>
      </c>
      <c r="J18" s="475">
        <f>IF(H18="","",MIN(H18,I18))</f>
      </c>
      <c r="K18" s="823" t="s">
        <v>121</v>
      </c>
      <c r="L18" s="824"/>
      <c r="M18" s="365">
        <f aca="true" t="shared" si="4" ref="M18:R18">SUM(M14:M17)</f>
        <v>0</v>
      </c>
      <c r="N18" s="366">
        <f t="shared" si="4"/>
        <v>0</v>
      </c>
      <c r="O18" s="365">
        <f t="shared" si="4"/>
        <v>0</v>
      </c>
      <c r="P18" s="142">
        <f t="shared" si="4"/>
        <v>0</v>
      </c>
      <c r="Q18" s="368">
        <f t="shared" si="4"/>
        <v>0</v>
      </c>
      <c r="R18" s="369">
        <f t="shared" si="4"/>
        <v>0</v>
      </c>
      <c r="V18" s="55"/>
    </row>
    <row r="19" spans="1:22" s="44" customFormat="1" ht="18" customHeight="1" thickBot="1">
      <c r="A19" s="825">
        <v>3</v>
      </c>
      <c r="B19" s="1055"/>
      <c r="C19" s="1055"/>
      <c r="D19" s="1055"/>
      <c r="E19" s="1056"/>
      <c r="F19" s="476"/>
      <c r="G19" s="477"/>
      <c r="H19" s="470">
        <f>IF(F19="","",IF(ISERROR(F19+ROUNDDOWN(G19*3/74,0)),"",F19+ROUNDDOWN(G19*3/74,0)))</f>
      </c>
      <c r="I19" s="471">
        <f>IF(H19="","",IF(H19&gt;10032,10032,H19))</f>
      </c>
      <c r="J19" s="472">
        <f>IF(H19="","",MIN(H19,I19))</f>
      </c>
      <c r="K19" s="133" t="s">
        <v>84</v>
      </c>
      <c r="L19" s="70">
        <v>1532</v>
      </c>
      <c r="M19" s="376"/>
      <c r="N19" s="377"/>
      <c r="O19" s="357">
        <f>SUMIF('6-2_算定表⑤(新・新制度)'!$AJ:$AJ,$T19,'6-2_算定表⑤(新・新制度)'!$AK:$AK)</f>
        <v>0</v>
      </c>
      <c r="P19" s="134">
        <f>SUMIF('6-2_算定表⑤(新・新制度)'!$AJ:$AJ,$T19,'6-2_算定表⑤(新・新制度)'!$AE:$AE)</f>
        <v>0</v>
      </c>
      <c r="Q19" s="390">
        <f t="shared" si="1"/>
        <v>0</v>
      </c>
      <c r="R19" s="391">
        <f t="shared" si="1"/>
        <v>0</v>
      </c>
      <c r="T19" s="135" t="str">
        <f>ASC($A$19&amp;$K19)</f>
        <v>3A</v>
      </c>
      <c r="V19" s="55" t="s">
        <v>13</v>
      </c>
    </row>
    <row r="20" spans="1:23" s="44" customFormat="1" ht="18" customHeight="1" thickBot="1" thickTop="1">
      <c r="A20" s="817"/>
      <c r="B20" s="1055"/>
      <c r="C20" s="1055"/>
      <c r="D20" s="1055"/>
      <c r="E20" s="1057"/>
      <c r="F20" s="476"/>
      <c r="G20" s="477"/>
      <c r="H20" s="470">
        <f>IF(F20="","",IF(ISERROR(F20+ROUNDDOWN(G20*3/74,0)),"",F20+ROUNDDOWN(G20*3/74,0)))</f>
      </c>
      <c r="I20" s="471">
        <f>IF(H20="","",IF(H20&gt;10032,10032,H20))</f>
      </c>
      <c r="J20" s="472">
        <f>IF(H20="","",MIN(H20,I20))</f>
      </c>
      <c r="K20" s="136" t="s">
        <v>90</v>
      </c>
      <c r="L20" s="234">
        <v>1532</v>
      </c>
      <c r="M20" s="378"/>
      <c r="N20" s="379"/>
      <c r="O20" s="361">
        <f>SUMIF('6-2_算定表⑤(新・新制度)'!$AJ:$AJ,$T20,'6-2_算定表⑤(新・新制度)'!$AK:$AK)</f>
        <v>0</v>
      </c>
      <c r="P20" s="138">
        <f>SUMIF('6-2_算定表⑤(新・新制度)'!$AJ:$AJ,$T20,'6-2_算定表⑤(新・新制度)'!$AE:$AE)</f>
        <v>0</v>
      </c>
      <c r="Q20" s="363">
        <f t="shared" si="1"/>
        <v>0</v>
      </c>
      <c r="R20" s="364">
        <f t="shared" si="1"/>
        <v>0</v>
      </c>
      <c r="T20" s="139" t="str">
        <f>ASC($A$19&amp;$K20)</f>
        <v>3B</v>
      </c>
      <c r="V20" s="55" t="s">
        <v>49</v>
      </c>
      <c r="W20" s="61" t="str">
        <f>IF(O28=SUM('6-2_算定表⑤(新・新制度)'!AK8:AK44),"OK","ERR")</f>
        <v>OK</v>
      </c>
    </row>
    <row r="21" spans="1:23" s="44" customFormat="1" ht="18" customHeight="1" thickBot="1" thickTop="1">
      <c r="A21" s="817"/>
      <c r="B21" s="1055"/>
      <c r="C21" s="1055"/>
      <c r="D21" s="1055"/>
      <c r="E21" s="1057"/>
      <c r="F21" s="476"/>
      <c r="G21" s="477"/>
      <c r="H21" s="470">
        <f>IF(F21="","",IF(ISERROR(F21+ROUNDDOWN(G21*3/74,0)),"",F21+ROUNDDOWN(G21*3/74,0)))</f>
      </c>
      <c r="I21" s="471">
        <f>IF(H21="","",IF(H21&gt;10032,10032,H21))</f>
      </c>
      <c r="J21" s="472">
        <f>IF(H21="","",MIN(H21,I21))</f>
      </c>
      <c r="K21" s="136" t="s">
        <v>91</v>
      </c>
      <c r="L21" s="235">
        <v>2814</v>
      </c>
      <c r="M21" s="378"/>
      <c r="N21" s="379"/>
      <c r="O21" s="361">
        <f>SUMIF('6-2_算定表⑤(新・新制度)'!$AJ:$AJ,T21,'6-2_算定表⑤(新・新制度)'!$AK:$AK)+SUMIF('6-2_算定表⑤(新・新制度)'!$AJ:$AJ,U21,'6-2_算定表⑤(新・新制度)'!$AK:$AK)</f>
        <v>0</v>
      </c>
      <c r="P21" s="138">
        <f>SUMIF('6-2_算定表⑤(新・新制度)'!$AJ:$AJ,$T21,'6-2_算定表⑤(新・新制度)'!$AE:$AE)+SUMIF('6-2_算定表⑤(新・新制度)'!$AJ:$AJ,U21,'6-2_算定表⑤(新・新制度)'!$AE:$AE)</f>
        <v>0</v>
      </c>
      <c r="Q21" s="363">
        <f t="shared" si="1"/>
        <v>0</v>
      </c>
      <c r="R21" s="364">
        <f t="shared" si="1"/>
        <v>0</v>
      </c>
      <c r="T21" s="139" t="str">
        <f>ASC($A$19&amp;$K21)</f>
        <v>3C</v>
      </c>
      <c r="U21" s="260"/>
      <c r="V21" s="55" t="s">
        <v>12</v>
      </c>
      <c r="W21" s="61" t="str">
        <f>IF(P28='6-2_算定表⑤(新・新制度)'!AE45,"OK","ERR")</f>
        <v>OK</v>
      </c>
    </row>
    <row r="22" spans="1:20" s="44" customFormat="1" ht="18" customHeight="1" thickBot="1">
      <c r="A22" s="817"/>
      <c r="B22" s="1055"/>
      <c r="C22" s="1055"/>
      <c r="D22" s="1055"/>
      <c r="E22" s="1057"/>
      <c r="F22" s="476"/>
      <c r="G22" s="477"/>
      <c r="H22" s="470"/>
      <c r="I22" s="471"/>
      <c r="J22" s="472"/>
      <c r="K22" s="105" t="s">
        <v>174</v>
      </c>
      <c r="L22" s="236" t="s">
        <v>155</v>
      </c>
      <c r="M22" s="376"/>
      <c r="N22" s="389"/>
      <c r="O22" s="357">
        <f>SUMIF('6-2_算定表⑤(新・新制度)'!$AJ:$AJ,$T22,'6-2_算定表⑤(新・新制度)'!$AK:$AK)</f>
        <v>0</v>
      </c>
      <c r="P22" s="244">
        <f>SUMIF('6-2_算定表⑤(新・新制度)'!$AJ:$AJ,$T22,'6-2_算定表⑤(新・新制度)'!$AE:$AE)</f>
        <v>0</v>
      </c>
      <c r="Q22" s="363">
        <f t="shared" si="1"/>
        <v>0</v>
      </c>
      <c r="R22" s="364">
        <f t="shared" si="1"/>
        <v>0</v>
      </c>
      <c r="T22" s="139" t="str">
        <f>ASC($A$19&amp;$K22)</f>
        <v>3D</v>
      </c>
    </row>
    <row r="23" spans="1:22" s="44" customFormat="1" ht="18" customHeight="1" thickBot="1">
      <c r="A23" s="826"/>
      <c r="B23" s="1055"/>
      <c r="C23" s="1055"/>
      <c r="D23" s="1055"/>
      <c r="E23" s="1058"/>
      <c r="F23" s="478"/>
      <c r="G23" s="479"/>
      <c r="H23" s="473">
        <f>IF(F23="","",IF(ISERROR(F23+ROUNDDOWN(G23*3/74,0)),"",F23+ROUNDDOWN(G23*3/74,0)))</f>
      </c>
      <c r="I23" s="474">
        <f>IF(H23="","",IF(H23&gt;10032,10032,H23))</f>
      </c>
      <c r="J23" s="475">
        <f>IF(H23="","",MIN(H23,I23))</f>
      </c>
      <c r="K23" s="823" t="s">
        <v>122</v>
      </c>
      <c r="L23" s="824"/>
      <c r="M23" s="365">
        <f aca="true" t="shared" si="5" ref="M23:R23">SUM(M19:M22)</f>
        <v>0</v>
      </c>
      <c r="N23" s="366">
        <f t="shared" si="5"/>
        <v>0</v>
      </c>
      <c r="O23" s="365">
        <f t="shared" si="5"/>
        <v>0</v>
      </c>
      <c r="P23" s="142">
        <f t="shared" si="5"/>
        <v>0</v>
      </c>
      <c r="Q23" s="368">
        <f t="shared" si="5"/>
        <v>0</v>
      </c>
      <c r="R23" s="369">
        <f t="shared" si="5"/>
        <v>0</v>
      </c>
      <c r="V23" s="55"/>
    </row>
    <row r="24" spans="1:18" s="44" customFormat="1" ht="18" customHeight="1" thickBot="1">
      <c r="A24" s="835" t="s">
        <v>27</v>
      </c>
      <c r="B24" s="838">
        <f>SUM(B9:B23)</f>
        <v>0</v>
      </c>
      <c r="C24" s="838">
        <f>SUM(C9:C23)</f>
        <v>0</v>
      </c>
      <c r="D24" s="839">
        <f>SUM(D9:D23)</f>
        <v>0</v>
      </c>
      <c r="E24" s="839">
        <f>SUM(E9:E23)</f>
        <v>0</v>
      </c>
      <c r="F24" s="828"/>
      <c r="G24" s="832"/>
      <c r="H24" s="833"/>
      <c r="I24" s="834"/>
      <c r="J24" s="834"/>
      <c r="K24" s="258" t="s">
        <v>84</v>
      </c>
      <c r="L24" s="70">
        <v>1532</v>
      </c>
      <c r="M24" s="373">
        <f aca="true" t="shared" si="6" ref="M24:N27">SUM(M9,M14,M19)</f>
        <v>0</v>
      </c>
      <c r="N24" s="358">
        <f t="shared" si="6"/>
        <v>0</v>
      </c>
      <c r="O24" s="373">
        <f aca="true" t="shared" si="7" ref="O24:R27">SUM(O9,O14,O19)</f>
        <v>0</v>
      </c>
      <c r="P24" s="134">
        <f t="shared" si="7"/>
        <v>0</v>
      </c>
      <c r="Q24" s="392">
        <f t="shared" si="7"/>
        <v>0</v>
      </c>
      <c r="R24" s="393">
        <f t="shared" si="7"/>
        <v>0</v>
      </c>
    </row>
    <row r="25" spans="1:22" s="44" customFormat="1" ht="18" customHeight="1" thickBot="1">
      <c r="A25" s="836"/>
      <c r="B25" s="838"/>
      <c r="C25" s="838"/>
      <c r="D25" s="840"/>
      <c r="E25" s="840"/>
      <c r="F25" s="828"/>
      <c r="G25" s="832"/>
      <c r="H25" s="833"/>
      <c r="I25" s="834"/>
      <c r="J25" s="834"/>
      <c r="K25" s="136" t="s">
        <v>90</v>
      </c>
      <c r="L25" s="137">
        <v>1532</v>
      </c>
      <c r="M25" s="374">
        <f t="shared" si="6"/>
        <v>0</v>
      </c>
      <c r="N25" s="362">
        <f t="shared" si="6"/>
        <v>0</v>
      </c>
      <c r="O25" s="374">
        <f t="shared" si="7"/>
        <v>0</v>
      </c>
      <c r="P25" s="138">
        <f t="shared" si="7"/>
        <v>0</v>
      </c>
      <c r="Q25" s="359">
        <f t="shared" si="7"/>
        <v>0</v>
      </c>
      <c r="R25" s="360">
        <f t="shared" si="7"/>
        <v>0</v>
      </c>
      <c r="V25" s="55"/>
    </row>
    <row r="26" spans="1:18" s="44" customFormat="1" ht="18" customHeight="1" thickBot="1">
      <c r="A26" s="836"/>
      <c r="B26" s="838"/>
      <c r="C26" s="838"/>
      <c r="D26" s="840"/>
      <c r="E26" s="840"/>
      <c r="F26" s="828"/>
      <c r="G26" s="832"/>
      <c r="H26" s="833"/>
      <c r="I26" s="834"/>
      <c r="J26" s="834"/>
      <c r="K26" s="136" t="s">
        <v>91</v>
      </c>
      <c r="L26" s="233">
        <v>2814</v>
      </c>
      <c r="M26" s="374">
        <f t="shared" si="6"/>
        <v>0</v>
      </c>
      <c r="N26" s="362">
        <f t="shared" si="6"/>
        <v>0</v>
      </c>
      <c r="O26" s="374">
        <f t="shared" si="7"/>
        <v>0</v>
      </c>
      <c r="P26" s="138">
        <f t="shared" si="7"/>
        <v>0</v>
      </c>
      <c r="Q26" s="359">
        <f t="shared" si="7"/>
        <v>0</v>
      </c>
      <c r="R26" s="360">
        <f t="shared" si="7"/>
        <v>0</v>
      </c>
    </row>
    <row r="27" spans="1:18" s="44" customFormat="1" ht="18" customHeight="1" thickBot="1">
      <c r="A27" s="836"/>
      <c r="B27" s="838"/>
      <c r="C27" s="838"/>
      <c r="D27" s="840"/>
      <c r="E27" s="840"/>
      <c r="F27" s="828"/>
      <c r="G27" s="832"/>
      <c r="H27" s="833"/>
      <c r="I27" s="834"/>
      <c r="J27" s="834"/>
      <c r="K27" s="105" t="s">
        <v>174</v>
      </c>
      <c r="L27" s="236" t="s">
        <v>155</v>
      </c>
      <c r="M27" s="373">
        <f t="shared" si="6"/>
        <v>0</v>
      </c>
      <c r="N27" s="394">
        <f t="shared" si="6"/>
        <v>0</v>
      </c>
      <c r="O27" s="373">
        <f t="shared" si="7"/>
        <v>0</v>
      </c>
      <c r="P27" s="244">
        <f t="shared" si="7"/>
        <v>0</v>
      </c>
      <c r="Q27" s="363">
        <f t="shared" si="7"/>
        <v>0</v>
      </c>
      <c r="R27" s="364">
        <f t="shared" si="7"/>
        <v>0</v>
      </c>
    </row>
    <row r="28" spans="1:19" s="44" customFormat="1" ht="18" customHeight="1" thickBot="1">
      <c r="A28" s="837"/>
      <c r="B28" s="838"/>
      <c r="C28" s="838"/>
      <c r="D28" s="841"/>
      <c r="E28" s="841"/>
      <c r="F28" s="828"/>
      <c r="G28" s="832"/>
      <c r="H28" s="833"/>
      <c r="I28" s="834"/>
      <c r="J28" s="834"/>
      <c r="K28" s="823" t="s">
        <v>156</v>
      </c>
      <c r="L28" s="824"/>
      <c r="M28" s="365">
        <f aca="true" t="shared" si="8" ref="M28:R28">SUM(M24:M27)</f>
        <v>0</v>
      </c>
      <c r="N28" s="366">
        <f t="shared" si="8"/>
        <v>0</v>
      </c>
      <c r="O28" s="365">
        <f t="shared" si="8"/>
        <v>0</v>
      </c>
      <c r="P28" s="142">
        <f t="shared" si="8"/>
        <v>0</v>
      </c>
      <c r="Q28" s="368">
        <f t="shared" si="8"/>
        <v>0</v>
      </c>
      <c r="R28" s="369">
        <f t="shared" si="8"/>
        <v>0</v>
      </c>
      <c r="S28" s="150"/>
    </row>
    <row r="29" spans="1:18" s="292" customFormat="1" ht="11.25" customHeight="1">
      <c r="A29" s="287" t="s">
        <v>29</v>
      </c>
      <c r="B29" s="288"/>
      <c r="C29" s="288"/>
      <c r="D29" s="288"/>
      <c r="E29" s="288"/>
      <c r="F29" s="289"/>
      <c r="G29" s="289"/>
      <c r="H29" s="289"/>
      <c r="I29" s="289"/>
      <c r="J29" s="289"/>
      <c r="K29" s="290"/>
      <c r="L29" s="290"/>
      <c r="M29" s="288"/>
      <c r="N29" s="291"/>
      <c r="O29" s="288"/>
      <c r="P29" s="291"/>
      <c r="Q29" s="291"/>
      <c r="R29" s="291"/>
    </row>
    <row r="30" s="292" customFormat="1" ht="11.25" customHeight="1">
      <c r="A30" s="293" t="s">
        <v>150</v>
      </c>
    </row>
    <row r="31" s="294" customFormat="1" ht="11.25" customHeight="1">
      <c r="A31" s="293" t="s">
        <v>227</v>
      </c>
    </row>
    <row r="32" s="292" customFormat="1" ht="11.25" customHeight="1">
      <c r="A32" s="293" t="s">
        <v>228</v>
      </c>
    </row>
    <row r="33" s="294" customFormat="1" ht="11.25" customHeight="1">
      <c r="A33" s="293" t="s">
        <v>5</v>
      </c>
    </row>
    <row r="34" s="294" customFormat="1" ht="11.25" customHeight="1">
      <c r="A34" s="287" t="s">
        <v>151</v>
      </c>
    </row>
    <row r="35" spans="1:9" s="294" customFormat="1" ht="11.25" customHeight="1">
      <c r="A35" s="287" t="s">
        <v>152</v>
      </c>
      <c r="E35" s="298"/>
      <c r="F35" s="298"/>
      <c r="G35" s="298"/>
      <c r="H35" s="298"/>
      <c r="I35" s="298"/>
    </row>
    <row r="36" s="294" customFormat="1" ht="11.25" customHeight="1">
      <c r="A36" s="293" t="s">
        <v>6</v>
      </c>
    </row>
    <row r="37" s="294" customFormat="1" ht="11.25" customHeight="1">
      <c r="A37" s="287" t="s">
        <v>210</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4">
    <mergeCell ref="Q5:R5"/>
    <mergeCell ref="K5:N5"/>
    <mergeCell ref="O5:P5"/>
    <mergeCell ref="L2:M2"/>
    <mergeCell ref="N2:O2"/>
    <mergeCell ref="P2:Q2"/>
    <mergeCell ref="L3:M3"/>
    <mergeCell ref="N3:O3"/>
    <mergeCell ref="P3:Q3"/>
    <mergeCell ref="I24:I28"/>
    <mergeCell ref="J24:J28"/>
    <mergeCell ref="K28:L28"/>
    <mergeCell ref="A24:A28"/>
    <mergeCell ref="B24:B28"/>
    <mergeCell ref="C24:C28"/>
    <mergeCell ref="D24:D28"/>
    <mergeCell ref="E24:E28"/>
    <mergeCell ref="H5:H6"/>
    <mergeCell ref="F24:F28"/>
    <mergeCell ref="A19:A23"/>
    <mergeCell ref="B19:B23"/>
    <mergeCell ref="C19:C23"/>
    <mergeCell ref="D19:D23"/>
    <mergeCell ref="E19:E23"/>
    <mergeCell ref="G24:G28"/>
    <mergeCell ref="H24:H28"/>
    <mergeCell ref="K23:L23"/>
    <mergeCell ref="K13:L13"/>
    <mergeCell ref="A14:A18"/>
    <mergeCell ref="B14:B18"/>
    <mergeCell ref="C14:C18"/>
    <mergeCell ref="D14:D18"/>
    <mergeCell ref="E14:E18"/>
    <mergeCell ref="K18:L18"/>
    <mergeCell ref="I5:I6"/>
    <mergeCell ref="J5:J6"/>
    <mergeCell ref="A6:A7"/>
    <mergeCell ref="A9:A13"/>
    <mergeCell ref="B9:B13"/>
    <mergeCell ref="C9:C13"/>
    <mergeCell ref="D9:D13"/>
    <mergeCell ref="E9:E13"/>
    <mergeCell ref="B5:B6"/>
    <mergeCell ref="E5:E6"/>
  </mergeCells>
  <dataValidations count="1">
    <dataValidation type="whole" allowBlank="1" showInputMessage="1" showErrorMessage="1" sqref="E9 E14 E19 B9:D23">
      <formula1>0</formula1>
      <formula2>999999</formula2>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rgb="FF7030A0"/>
    <pageSetUpPr fitToPage="1"/>
  </sheetPr>
  <dimension ref="A1:AN59"/>
  <sheetViews>
    <sheetView view="pageBreakPreview" zoomScale="85" zoomScaleNormal="75" zoomScaleSheetLayoutView="85" zoomScalePageLayoutView="0" workbookViewId="0" topLeftCell="C1">
      <selection activeCell="N8" sqref="N8"/>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6" width="10.375" style="40" customWidth="1"/>
    <col min="7" max="7" width="12.25390625" style="40" customWidth="1"/>
    <col min="8" max="8" width="12.375" style="40" customWidth="1"/>
    <col min="9" max="9" width="12.25390625" style="40" bestFit="1" customWidth="1"/>
    <col min="10" max="10" width="7.125" style="40" bestFit="1" customWidth="1"/>
    <col min="11" max="12" width="10.375" style="40" customWidth="1"/>
    <col min="13" max="13" width="14.125" style="40" bestFit="1" customWidth="1"/>
    <col min="14" max="14" width="13.125" style="40" bestFit="1" customWidth="1"/>
    <col min="15" max="15" width="6.125" style="40" customWidth="1"/>
    <col min="16" max="16" width="10.00390625" style="40" customWidth="1"/>
    <col min="17" max="17" width="5.25390625" style="40" customWidth="1"/>
    <col min="18" max="18" width="10.00390625" style="40" customWidth="1"/>
    <col min="19" max="19" width="10.75390625" style="40" customWidth="1"/>
    <col min="20" max="20" width="10.625" style="40" customWidth="1"/>
    <col min="21" max="21" width="10.875" style="40" customWidth="1"/>
    <col min="22" max="22" width="12.50390625" style="40" customWidth="1"/>
    <col min="23" max="23" width="13.25390625" style="40" customWidth="1"/>
    <col min="24" max="24" width="11.25390625" style="40" customWidth="1"/>
    <col min="25" max="28" width="11.625" style="40" customWidth="1"/>
    <col min="29" max="30" width="11.25390625" style="40" customWidth="1"/>
    <col min="31" max="31" width="13.00390625" style="40" customWidth="1"/>
    <col min="32" max="32" width="1.37890625" style="40" customWidth="1"/>
    <col min="33" max="33" width="9.125" style="40" customWidth="1"/>
    <col min="34" max="34" width="16.375" style="40" customWidth="1"/>
    <col min="35" max="35" width="3.125" style="40" customWidth="1"/>
    <col min="36" max="36" width="5.625" style="41" customWidth="1"/>
    <col min="37" max="37" width="3.125" style="41" customWidth="1"/>
    <col min="38" max="38" width="3.125" style="40" customWidth="1"/>
    <col min="39" max="39" width="8.25390625" style="40" customWidth="1"/>
    <col min="40" max="16384" width="9.625" style="40" customWidth="1"/>
  </cols>
  <sheetData>
    <row r="1" spans="1:37" ht="24.75" customHeight="1" thickBot="1">
      <c r="A1" s="189" t="s">
        <v>248</v>
      </c>
      <c r="B1" s="39"/>
      <c r="Y1" s="164" t="s">
        <v>25</v>
      </c>
      <c r="Z1" s="897">
        <f>'5_総括表'!E3</f>
        <v>0</v>
      </c>
      <c r="AA1" s="898"/>
      <c r="AB1" s="898"/>
      <c r="AC1" s="898"/>
      <c r="AD1" s="899"/>
      <c r="AE1" s="164" t="s">
        <v>26</v>
      </c>
      <c r="AF1" s="1117">
        <f>'5_総括表'!Z3</f>
        <v>0</v>
      </c>
      <c r="AG1" s="1118"/>
      <c r="AH1" s="1119"/>
      <c r="AI1" s="41"/>
      <c r="AJ1" s="40"/>
      <c r="AK1" s="40"/>
    </row>
    <row r="2" spans="1:37" ht="24.75" customHeight="1" thickBot="1">
      <c r="A2" s="42"/>
      <c r="Y2" s="165" t="s">
        <v>23</v>
      </c>
      <c r="Z2" s="900">
        <f>'5_総括表'!E4</f>
        <v>0</v>
      </c>
      <c r="AA2" s="901"/>
      <c r="AB2" s="901"/>
      <c r="AC2" s="901"/>
      <c r="AD2" s="902"/>
      <c r="AE2" s="165" t="s">
        <v>24</v>
      </c>
      <c r="AF2" s="1117">
        <f>'5_総括表'!Z4</f>
        <v>0</v>
      </c>
      <c r="AG2" s="1118"/>
      <c r="AH2" s="1119"/>
      <c r="AI2" s="41"/>
      <c r="AJ2" s="40"/>
      <c r="AK2" s="40"/>
    </row>
    <row r="3" spans="1:34" ht="31.5" customHeight="1" thickBot="1">
      <c r="A3" s="283" t="s">
        <v>226</v>
      </c>
      <c r="B3" s="282"/>
      <c r="AG3" s="43"/>
      <c r="AH3" s="43" t="s">
        <v>28</v>
      </c>
    </row>
    <row r="4" spans="1:37" s="44" customFormat="1" ht="22.5" customHeight="1" thickBot="1">
      <c r="A4" s="814" t="s">
        <v>32</v>
      </c>
      <c r="B4" s="809" t="s">
        <v>167</v>
      </c>
      <c r="C4" s="906" t="s">
        <v>119</v>
      </c>
      <c r="D4" s="914" t="s">
        <v>117</v>
      </c>
      <c r="E4" s="909" t="s">
        <v>100</v>
      </c>
      <c r="F4" s="910"/>
      <c r="G4" s="911"/>
      <c r="H4" s="912" t="s">
        <v>109</v>
      </c>
      <c r="I4" s="913"/>
      <c r="J4" s="913"/>
      <c r="K4" s="913"/>
      <c r="L4" s="913"/>
      <c r="M4" s="913"/>
      <c r="N4" s="911"/>
      <c r="O4" s="823" t="s">
        <v>113</v>
      </c>
      <c r="P4" s="824"/>
      <c r="Q4" s="891"/>
      <c r="R4" s="891"/>
      <c r="S4" s="891"/>
      <c r="T4" s="891"/>
      <c r="U4" s="892"/>
      <c r="V4" s="809" t="s">
        <v>4</v>
      </c>
      <c r="W4" s="809" t="s">
        <v>115</v>
      </c>
      <c r="X4" s="809" t="s">
        <v>116</v>
      </c>
      <c r="Y4" s="809" t="s">
        <v>69</v>
      </c>
      <c r="Z4" s="1120" t="s">
        <v>258</v>
      </c>
      <c r="AA4" s="1120" t="s">
        <v>258</v>
      </c>
      <c r="AB4" s="1120" t="s">
        <v>258</v>
      </c>
      <c r="AC4" s="809" t="s">
        <v>270</v>
      </c>
      <c r="AD4" s="809" t="s">
        <v>99</v>
      </c>
      <c r="AE4" s="893" t="s">
        <v>187</v>
      </c>
      <c r="AF4" s="858" t="s">
        <v>7</v>
      </c>
      <c r="AG4" s="859"/>
      <c r="AH4" s="860"/>
      <c r="AJ4" s="867" t="s">
        <v>30</v>
      </c>
      <c r="AK4" s="867" t="s">
        <v>78</v>
      </c>
    </row>
    <row r="5" spans="1:37" s="44" customFormat="1" ht="39" customHeight="1" thickBot="1">
      <c r="A5" s="903"/>
      <c r="B5" s="873"/>
      <c r="C5" s="907"/>
      <c r="D5" s="915"/>
      <c r="E5" s="482"/>
      <c r="F5" s="484" t="s">
        <v>256</v>
      </c>
      <c r="G5" s="1072" t="s">
        <v>76</v>
      </c>
      <c r="H5" s="1074" t="s">
        <v>3</v>
      </c>
      <c r="I5" s="895" t="s">
        <v>259</v>
      </c>
      <c r="J5" s="1085" t="s">
        <v>158</v>
      </c>
      <c r="K5" s="495" t="s">
        <v>258</v>
      </c>
      <c r="L5" s="496" t="s">
        <v>258</v>
      </c>
      <c r="M5" s="1109" t="s">
        <v>157</v>
      </c>
      <c r="N5" s="1072" t="s">
        <v>2</v>
      </c>
      <c r="O5" s="823" t="s">
        <v>186</v>
      </c>
      <c r="P5" s="824"/>
      <c r="Q5" s="823" t="s">
        <v>180</v>
      </c>
      <c r="R5" s="1067"/>
      <c r="S5" s="1068" t="s">
        <v>110</v>
      </c>
      <c r="T5" s="880" t="s">
        <v>112</v>
      </c>
      <c r="U5" s="1079" t="s">
        <v>111</v>
      </c>
      <c r="V5" s="873"/>
      <c r="W5" s="873"/>
      <c r="X5" s="873"/>
      <c r="Y5" s="873"/>
      <c r="Z5" s="1121"/>
      <c r="AA5" s="1121"/>
      <c r="AB5" s="1121"/>
      <c r="AC5" s="873"/>
      <c r="AD5" s="873"/>
      <c r="AE5" s="894"/>
      <c r="AF5" s="1077"/>
      <c r="AG5" s="1078"/>
      <c r="AH5" s="863"/>
      <c r="AJ5" s="1076"/>
      <c r="AK5" s="1076"/>
    </row>
    <row r="6" spans="1:37" s="44" customFormat="1" ht="50.25" customHeight="1">
      <c r="A6" s="903"/>
      <c r="B6" s="873"/>
      <c r="C6" s="907"/>
      <c r="D6" s="1071"/>
      <c r="E6" s="481" t="s">
        <v>146</v>
      </c>
      <c r="F6" s="483" t="s">
        <v>257</v>
      </c>
      <c r="G6" s="1073"/>
      <c r="H6" s="1075"/>
      <c r="I6" s="896"/>
      <c r="J6" s="1086"/>
      <c r="K6" s="497" t="s">
        <v>260</v>
      </c>
      <c r="L6" s="487" t="s">
        <v>261</v>
      </c>
      <c r="M6" s="1110"/>
      <c r="N6" s="1073"/>
      <c r="O6" s="1122" t="s">
        <v>18</v>
      </c>
      <c r="P6" s="309" t="s">
        <v>169</v>
      </c>
      <c r="Q6" s="1122" t="s">
        <v>18</v>
      </c>
      <c r="R6" s="309" t="s">
        <v>169</v>
      </c>
      <c r="S6" s="1069"/>
      <c r="T6" s="881"/>
      <c r="U6" s="1080"/>
      <c r="V6" s="931"/>
      <c r="W6" s="903"/>
      <c r="X6" s="873"/>
      <c r="Y6" s="903"/>
      <c r="Z6" s="485" t="s">
        <v>262</v>
      </c>
      <c r="AA6" s="485" t="s">
        <v>264</v>
      </c>
      <c r="AB6" s="485" t="s">
        <v>263</v>
      </c>
      <c r="AC6" s="903"/>
      <c r="AD6" s="903"/>
      <c r="AE6" s="1084"/>
      <c r="AF6" s="861"/>
      <c r="AG6" s="862"/>
      <c r="AH6" s="863"/>
      <c r="AJ6" s="868"/>
      <c r="AK6" s="868"/>
    </row>
    <row r="7" spans="1:37" s="44" customFormat="1" ht="17.25" customHeight="1" thickBot="1">
      <c r="A7" s="903"/>
      <c r="B7" s="873"/>
      <c r="C7" s="907"/>
      <c r="D7" s="492" t="s">
        <v>104</v>
      </c>
      <c r="E7" s="497" t="s">
        <v>0</v>
      </c>
      <c r="F7" s="499"/>
      <c r="G7" s="494" t="s">
        <v>1</v>
      </c>
      <c r="H7" s="489" t="s">
        <v>88</v>
      </c>
      <c r="I7" s="500" t="s">
        <v>79</v>
      </c>
      <c r="J7" s="487" t="s">
        <v>89</v>
      </c>
      <c r="K7" s="497"/>
      <c r="L7" s="487"/>
      <c r="M7" s="501" t="s">
        <v>102</v>
      </c>
      <c r="N7" s="502" t="s">
        <v>103</v>
      </c>
      <c r="O7" s="1123"/>
      <c r="P7" s="503" t="s">
        <v>80</v>
      </c>
      <c r="Q7" s="1123"/>
      <c r="R7" s="503" t="s">
        <v>81</v>
      </c>
      <c r="S7" s="731" t="s">
        <v>82</v>
      </c>
      <c r="T7" s="505" t="s">
        <v>83</v>
      </c>
      <c r="U7" s="491" t="s">
        <v>92</v>
      </c>
      <c r="V7" s="490" t="s">
        <v>93</v>
      </c>
      <c r="W7" s="490" t="s">
        <v>94</v>
      </c>
      <c r="X7" s="490" t="s">
        <v>95</v>
      </c>
      <c r="Y7" s="490" t="s">
        <v>96</v>
      </c>
      <c r="Z7" s="488"/>
      <c r="AA7" s="488"/>
      <c r="AB7" s="488" t="s">
        <v>271</v>
      </c>
      <c r="AC7" s="490" t="s">
        <v>97</v>
      </c>
      <c r="AD7" s="490" t="s">
        <v>98</v>
      </c>
      <c r="AE7" s="493" t="s">
        <v>114</v>
      </c>
      <c r="AF7" s="861"/>
      <c r="AG7" s="862"/>
      <c r="AH7" s="863"/>
      <c r="AJ7" s="870"/>
      <c r="AK7" s="870"/>
    </row>
    <row r="8" spans="1:40" s="53" customFormat="1" ht="18.75" customHeight="1" thickBot="1">
      <c r="A8" s="563">
        <f>IF(B8="","",ROW($A8)-ROW($A$7))</f>
      </c>
      <c r="B8" s="728"/>
      <c r="C8" s="566"/>
      <c r="D8" s="561"/>
      <c r="E8" s="558"/>
      <c r="F8" s="231"/>
      <c r="G8" s="555">
        <f>IF(A8="","",IF(F8&gt;30,30,F8))</f>
      </c>
      <c r="H8" s="406">
        <f>IF(A8="","",(D8*G8))</f>
      </c>
      <c r="I8" s="522"/>
      <c r="J8" s="552"/>
      <c r="K8" s="551"/>
      <c r="L8" s="552"/>
      <c r="M8" s="406">
        <f>IF(A8="","",ROUNDDOWN((I8*K8/12+H8),0))</f>
      </c>
      <c r="N8" s="548">
        <f>IF(A8="","",ROUNDDOWN(10032*G8*(K8/J8),0))</f>
      </c>
      <c r="O8" s="545"/>
      <c r="P8" s="407">
        <f>IF($H8="","",IF($O8="Ａ",LOOKUP($D8,{8000,8500,9000,10000,10032,12000},{0,1532,1032,32,0,0}),IF($O8="Ｂ",LOOKUP($D8,{8000,8500,9000,10000,10032,12000},{0,1532,1032,408,408,408}),IF($O8="Ｃ",LOOKUP($D8,{8000,8500,9000,10000,10032,12000},{782,2814,2814,2814,2814,2814}),0))))</f>
      </c>
      <c r="Q8" s="463"/>
      <c r="R8" s="542">
        <f>IF($H8="","",IF($Q8="Ａ",LOOKUP($D8,{8000,8500,9000,10000,10032,12000},{0,1532,1032,32,0,0}),IF($Q8="Ｂ",LOOKUP($D8,{8000,8500,9000,10000,10032,12000},{0,1532,1032,408,408,408}),IF($Q8="Ｃ",LOOKUP($D8,{8000,8500,9000,10000,10032,12000},{782,2814,2814,2814,2814,2814}),0))))</f>
      </c>
      <c r="S8" s="430">
        <f>IF(L8&gt;=7,R8,IF(AND(J8+L8&lt;=7,L8&gt;=4),P8,IF(ISERROR(ROUNDUP(P8*3/12+R8*9/12,0)),"",ROUNDUP(P8*3/12+R8*9/12,0))))</f>
      </c>
      <c r="T8" s="539">
        <f>IF(B8="","",SUMIF('6-3_調整額内訳⑤(新・新制度)'!B:B,$B8,'6-3_調整額内訳⑤(新・新制度)'!AF:AF))</f>
      </c>
      <c r="U8" s="529">
        <f aca="true" t="shared" si="0" ref="U8:U44">IF(B8="","",SUM(S8:T8))</f>
      </c>
      <c r="V8" s="410">
        <f aca="true" t="shared" si="1" ref="V8:V44">IF(B8="","",ROUNDDOWN(U8*G8,0))</f>
      </c>
      <c r="W8" s="535">
        <f aca="true" t="shared" si="2" ref="W8:W44">IF(M8&gt;=N8,N8,M8)</f>
      </c>
      <c r="X8" s="537"/>
      <c r="Y8" s="535">
        <f aca="true" t="shared" si="3" ref="Y8:Y44">IF(A8="","",IF((M8-W8)&lt;X8,W8-(M8-X8),0))</f>
      </c>
      <c r="Z8" s="537"/>
      <c r="AA8" s="532" t="str">
        <f aca="true" t="shared" si="4" ref="AA8:AA44">_xlfn.IFERROR(D8*(E8-F8)*(K8/J8),"0")</f>
        <v>0</v>
      </c>
      <c r="AB8" s="527">
        <f>_xlfn.IFERROR(IF(AA8-Z8&gt;0,0,AA8-Z8),"0")</f>
        <v>0</v>
      </c>
      <c r="AC8" s="569"/>
      <c r="AD8" s="410">
        <f>IF(B8="","",MAX(0,W8-Y8-AC8))</f>
      </c>
      <c r="AE8" s="524">
        <f aca="true" t="shared" si="5" ref="AE8:AE44">IF(B8="","",IF(MIN(V8,AD8)+AB8&gt;0,MIN(V8,AD8)+AB8,0))</f>
      </c>
      <c r="AF8" s="1125"/>
      <c r="AG8" s="1107"/>
      <c r="AH8" s="1108"/>
      <c r="AJ8" s="54">
        <f aca="true" t="shared" si="6" ref="AJ8:AJ44">IF(A8&gt;0,ASC(C8&amp;Q8),"")</f>
      </c>
      <c r="AK8" s="54">
        <f aca="true" t="shared" si="7" ref="AK8:AK44">IF(B8="","",IF(AE8&gt;0,1,0))</f>
      </c>
      <c r="AM8" s="55" t="s">
        <v>15</v>
      </c>
      <c r="AN8" s="44"/>
    </row>
    <row r="9" spans="1:40" s="53" customFormat="1" ht="18.75" customHeight="1" thickBot="1" thickTop="1">
      <c r="A9" s="564">
        <f>IF(B9="","",ROW($A9)-ROW($A$7))</f>
      </c>
      <c r="B9" s="729"/>
      <c r="C9" s="567"/>
      <c r="D9" s="403"/>
      <c r="E9" s="559"/>
      <c r="F9" s="202"/>
      <c r="G9" s="556">
        <f>IF(A9="","",IF(F9&gt;30,30,F9))</f>
      </c>
      <c r="H9" s="404">
        <f>IF(A9="","",(D9*G9))</f>
      </c>
      <c r="I9" s="521"/>
      <c r="J9" s="109"/>
      <c r="K9" s="553"/>
      <c r="L9" s="109"/>
      <c r="M9" s="404">
        <f>IF(A9="","",ROUNDDOWN((I9*K9/12+H9),0))</f>
      </c>
      <c r="N9" s="549">
        <f>IF(A9="","",ROUNDDOWN(10032*G9*(K9/J9),0))</f>
      </c>
      <c r="O9" s="546"/>
      <c r="P9" s="408">
        <f>IF($H9="","",IF($O9="Ａ",LOOKUP($D9,{8000,8500,9000,10000,10032,12000},{0,1532,1032,32,0,0}),IF($O9="Ｂ",LOOKUP($D9,{8000,8500,9000,10000,10032,12000},{0,1532,1032,408,408,408}),IF($O9="Ｃ",LOOKUP($D9,{8000,8500,9000,10000,10032,12000},{782,2814,2814,2814,2814,2814}),0))))</f>
      </c>
      <c r="Q9" s="465"/>
      <c r="R9" s="543">
        <f>IF($H9="","",IF($Q9="Ａ",LOOKUP($D9,{8000,8500,9000,10000,10032,12000},{0,1532,1032,32,0,0}),IF($Q9="Ｂ",LOOKUP($D9,{8000,8500,9000,10000,10032,12000},{0,1532,1032,408,408,408}),IF($Q9="Ｃ",LOOKUP($D9,{8000,8500,9000,10000,10032,12000},{782,2814,2814,2814,2814,2814}),0))))</f>
      </c>
      <c r="S9" s="413">
        <f>IF(L9&gt;=7,R9,IF(AND(J9+L9&lt;=7,L9&gt;=4),P9,IF(ISERROR(ROUNDUP(P9*3/12+R9*9/12,0)),"",ROUNDUP(P9*3/12+R9*9/12,0))))</f>
      </c>
      <c r="T9" s="540">
        <f>IF(B9="","",SUMIF('6-3_調整額内訳⑤(新・新制度)'!B:B,$B9,'6-3_調整額内訳⑤(新・新制度)'!AF:AF))</f>
      </c>
      <c r="U9" s="530">
        <f t="shared" si="0"/>
      </c>
      <c r="V9" s="413">
        <f t="shared" si="1"/>
      </c>
      <c r="W9" s="412">
        <f t="shared" si="2"/>
      </c>
      <c r="X9" s="414"/>
      <c r="Y9" s="412">
        <f t="shared" si="3"/>
      </c>
      <c r="Z9" s="414"/>
      <c r="AA9" s="533" t="str">
        <f t="shared" si="4"/>
        <v>0</v>
      </c>
      <c r="AB9" s="486">
        <f>_xlfn.IFERROR(IF(AA9-Z9&gt;0,0,AA9-Z9),"0")</f>
        <v>0</v>
      </c>
      <c r="AC9" s="570"/>
      <c r="AD9" s="413">
        <f aca="true" t="shared" si="8" ref="AD9:AD44">IF(B9="","",MAX(0,W9-Y9-AC9))</f>
      </c>
      <c r="AE9" s="525">
        <f t="shared" si="5"/>
      </c>
      <c r="AF9" s="1124"/>
      <c r="AG9" s="1101"/>
      <c r="AH9" s="1102"/>
      <c r="AJ9" s="60">
        <f t="shared" si="6"/>
      </c>
      <c r="AK9" s="60">
        <f t="shared" si="7"/>
      </c>
      <c r="AM9" s="55" t="s">
        <v>14</v>
      </c>
      <c r="AN9" s="61" t="str">
        <f>IF(T45='6-3_調整額内訳⑤(新・新制度)'!AF39,"OK","ERR")</f>
        <v>OK</v>
      </c>
    </row>
    <row r="10" spans="1:40" s="53" customFormat="1" ht="18.75" customHeight="1" thickTop="1">
      <c r="A10" s="564">
        <f>IF(B10="","",ROW($A10)-ROW($A$7))</f>
      </c>
      <c r="B10" s="729"/>
      <c r="C10" s="567"/>
      <c r="D10" s="403"/>
      <c r="E10" s="559"/>
      <c r="F10" s="202"/>
      <c r="G10" s="556">
        <f>IF(A10="","",IF(F10&gt;30,30,F10))</f>
      </c>
      <c r="H10" s="404">
        <f>IF(A10="","",(D10*G10))</f>
      </c>
      <c r="I10" s="521"/>
      <c r="J10" s="109"/>
      <c r="K10" s="553"/>
      <c r="L10" s="109"/>
      <c r="M10" s="404">
        <f>IF(A10="","",ROUNDDOWN((I10*K10/12+H10),0))</f>
      </c>
      <c r="N10" s="549">
        <f>IF(A10="","",ROUNDDOWN(10032*G10*(K10/J10),0))</f>
      </c>
      <c r="O10" s="546"/>
      <c r="P10" s="408">
        <f>IF($H10="","",IF($O10="Ａ",LOOKUP($D10,{8000,8500,9000,10000,10032,12000},{0,1532,1032,32,0,0}),IF($O10="Ｂ",LOOKUP($D10,{8000,8500,9000,10000,10032,12000},{0,1532,1032,408,408,408}),IF($O10="Ｃ",LOOKUP($D10,{8000,8500,9000,10000,10032,12000},{782,2814,2814,2814,2814,2814}),0))))</f>
      </c>
      <c r="Q10" s="465"/>
      <c r="R10" s="543">
        <f>IF($H10="","",IF($Q10="Ａ",LOOKUP($D10,{8000,8500,9000,10000,10032,12000},{0,1532,1032,32,0,0}),IF($Q10="Ｂ",LOOKUP($D10,{8000,8500,9000,10000,10032,12000},{0,1532,1032,408,408,408}),IF($Q10="Ｃ",LOOKUP($D10,{8000,8500,9000,10000,10032,12000},{782,2814,2814,2814,2814,2814}),0))))</f>
      </c>
      <c r="S10" s="413">
        <f aca="true" t="shared" si="9" ref="S10:S44">IF(L10&gt;=7,R10,IF(AND(J10+L10&lt;=7,L10&gt;=4),P10,IF(ISERROR(ROUNDUP(P10*3/12+R10*9/12,0)),"",ROUNDUP(P10*3/12+R10*9/12,0))))</f>
      </c>
      <c r="T10" s="540">
        <f>IF(B10="","",SUMIF('6-3_調整額内訳⑤(新・新制度)'!B:B,$B10,'6-3_調整額内訳⑤(新・新制度)'!AF:AF))</f>
      </c>
      <c r="U10" s="530">
        <f t="shared" si="0"/>
      </c>
      <c r="V10" s="413">
        <f t="shared" si="1"/>
      </c>
      <c r="W10" s="412">
        <f t="shared" si="2"/>
      </c>
      <c r="X10" s="414"/>
      <c r="Y10" s="412">
        <f t="shared" si="3"/>
      </c>
      <c r="Z10" s="414"/>
      <c r="AA10" s="533" t="str">
        <f t="shared" si="4"/>
        <v>0</v>
      </c>
      <c r="AB10" s="486">
        <f>_xlfn.IFERROR(IF(AA10-Z10&gt;0,0,AA10-Z10),"0")</f>
        <v>0</v>
      </c>
      <c r="AC10" s="570"/>
      <c r="AD10" s="413">
        <f t="shared" si="8"/>
      </c>
      <c r="AE10" s="525">
        <f t="shared" si="5"/>
      </c>
      <c r="AF10" s="1124"/>
      <c r="AG10" s="1101"/>
      <c r="AH10" s="1102"/>
      <c r="AJ10" s="60">
        <f t="shared" si="6"/>
      </c>
      <c r="AK10" s="60">
        <f t="shared" si="7"/>
      </c>
      <c r="AM10" s="55"/>
      <c r="AN10" s="62"/>
    </row>
    <row r="11" spans="1:37" s="53" customFormat="1" ht="18.75" customHeight="1">
      <c r="A11" s="564">
        <f aca="true" t="shared" si="10" ref="A11:A44">IF(B11="","",ROW($A11)-ROW($A$7))</f>
      </c>
      <c r="B11" s="729"/>
      <c r="C11" s="567"/>
      <c r="D11" s="403"/>
      <c r="E11" s="559"/>
      <c r="F11" s="202"/>
      <c r="G11" s="556">
        <f aca="true" t="shared" si="11" ref="G11:G44">IF(A11="","",IF(F11&gt;30,30,F11))</f>
      </c>
      <c r="H11" s="404">
        <f aca="true" t="shared" si="12" ref="H11:H44">IF(A11="","",(D11*G11))</f>
      </c>
      <c r="I11" s="521"/>
      <c r="J11" s="109"/>
      <c r="K11" s="553"/>
      <c r="L11" s="109"/>
      <c r="M11" s="404">
        <f aca="true" t="shared" si="13" ref="M11:M44">IF(A11="","",ROUNDDOWN((I11*K11/12+H11),0))</f>
      </c>
      <c r="N11" s="549">
        <f aca="true" t="shared" si="14" ref="N11:N44">IF(A11="","",ROUNDDOWN(10032*G11*(K11/J11),0))</f>
      </c>
      <c r="O11" s="546"/>
      <c r="P11" s="408">
        <f>IF($H11="","",IF($O11="Ａ",LOOKUP($D11,{8000,8500,9000,10000,10032,12000},{0,1532,1032,32,0,0}),IF($O11="Ｂ",LOOKUP($D11,{8000,8500,9000,10000,10032,12000},{0,1532,1032,408,408,408}),IF($O11="Ｃ",LOOKUP($D11,{8000,8500,9000,10000,10032,12000},{782,2814,2814,2814,2814,2814}),0))))</f>
      </c>
      <c r="Q11" s="465"/>
      <c r="R11" s="543">
        <f>IF($H11="","",IF($Q11="Ａ",LOOKUP($D11,{8000,8500,9000,10000,10032,12000},{0,1532,1032,32,0,0}),IF($Q11="Ｂ",LOOKUP($D11,{8000,8500,9000,10000,10032,12000},{0,1532,1032,408,408,408}),IF($Q11="Ｃ",LOOKUP($D11,{8000,8500,9000,10000,10032,12000},{782,2814,2814,2814,2814,2814}),0))))</f>
      </c>
      <c r="S11" s="413">
        <f t="shared" si="9"/>
      </c>
      <c r="T11" s="540">
        <f>IF(B11="","",SUMIF('6-3_調整額内訳⑤(新・新制度)'!B:B,$B11,'6-3_調整額内訳⑤(新・新制度)'!AF:AF))</f>
      </c>
      <c r="U11" s="530">
        <f t="shared" si="0"/>
      </c>
      <c r="V11" s="413">
        <f t="shared" si="1"/>
      </c>
      <c r="W11" s="412">
        <f t="shared" si="2"/>
      </c>
      <c r="X11" s="414"/>
      <c r="Y11" s="412">
        <f t="shared" si="3"/>
      </c>
      <c r="Z11" s="414"/>
      <c r="AA11" s="533" t="str">
        <f t="shared" si="4"/>
        <v>0</v>
      </c>
      <c r="AB11" s="486">
        <f aca="true" t="shared" si="15" ref="AB11:AB44">_xlfn.IFERROR(IF(AA11-Z11&gt;0,0,AA11-Z11),"0")</f>
        <v>0</v>
      </c>
      <c r="AC11" s="570"/>
      <c r="AD11" s="413">
        <f t="shared" si="8"/>
      </c>
      <c r="AE11" s="525">
        <f t="shared" si="5"/>
      </c>
      <c r="AF11" s="1124"/>
      <c r="AG11" s="1101"/>
      <c r="AH11" s="1102"/>
      <c r="AJ11" s="60">
        <f t="shared" si="6"/>
      </c>
      <c r="AK11" s="60">
        <f t="shared" si="7"/>
      </c>
    </row>
    <row r="12" spans="1:37" s="53" customFormat="1" ht="18.75" customHeight="1">
      <c r="A12" s="564">
        <f t="shared" si="10"/>
      </c>
      <c r="B12" s="729"/>
      <c r="C12" s="567"/>
      <c r="D12" s="403"/>
      <c r="E12" s="559"/>
      <c r="F12" s="202"/>
      <c r="G12" s="556">
        <f t="shared" si="11"/>
      </c>
      <c r="H12" s="404">
        <f t="shared" si="12"/>
      </c>
      <c r="I12" s="521"/>
      <c r="J12" s="109"/>
      <c r="K12" s="553"/>
      <c r="L12" s="109"/>
      <c r="M12" s="404">
        <f t="shared" si="13"/>
      </c>
      <c r="N12" s="549">
        <f t="shared" si="14"/>
      </c>
      <c r="O12" s="546"/>
      <c r="P12" s="408">
        <f>IF($H12="","",IF($O12="Ａ",LOOKUP($D12,{8000,8500,9000,10000,10032,12000},{0,1532,1032,32,0,0}),IF($O12="Ｂ",LOOKUP($D12,{8000,8500,9000,10000,10032,12000},{0,1532,1032,408,408,408}),IF($O12="Ｃ",LOOKUP($D12,{8000,8500,9000,10000,10032,12000},{782,2814,2814,2814,2814,2814}),0))))</f>
      </c>
      <c r="Q12" s="465"/>
      <c r="R12" s="543">
        <f>IF($H12="","",IF($Q12="Ａ",LOOKUP($D12,{8000,8500,9000,10000,10032,12000},{0,1532,1032,32,0,0}),IF($Q12="Ｂ",LOOKUP($D12,{8000,8500,9000,10000,10032,12000},{0,1532,1032,408,408,408}),IF($Q12="Ｃ",LOOKUP($D12,{8000,8500,9000,10000,10032,12000},{782,2814,2814,2814,2814,2814}),0))))</f>
      </c>
      <c r="S12" s="413">
        <f t="shared" si="9"/>
      </c>
      <c r="T12" s="540">
        <f>IF(B12="","",SUMIF('6-3_調整額内訳⑤(新・新制度)'!B:B,$B12,'6-3_調整額内訳⑤(新・新制度)'!AF:AF))</f>
      </c>
      <c r="U12" s="530">
        <f t="shared" si="0"/>
      </c>
      <c r="V12" s="413">
        <f t="shared" si="1"/>
      </c>
      <c r="W12" s="412">
        <f t="shared" si="2"/>
      </c>
      <c r="X12" s="414"/>
      <c r="Y12" s="412">
        <f t="shared" si="3"/>
      </c>
      <c r="Z12" s="414"/>
      <c r="AA12" s="533" t="str">
        <f t="shared" si="4"/>
        <v>0</v>
      </c>
      <c r="AB12" s="486">
        <f t="shared" si="15"/>
        <v>0</v>
      </c>
      <c r="AC12" s="570"/>
      <c r="AD12" s="413">
        <f t="shared" si="8"/>
      </c>
      <c r="AE12" s="525">
        <f t="shared" si="5"/>
      </c>
      <c r="AF12" s="1124"/>
      <c r="AG12" s="1101"/>
      <c r="AH12" s="1102"/>
      <c r="AJ12" s="60">
        <f t="shared" si="6"/>
      </c>
      <c r="AK12" s="60">
        <f t="shared" si="7"/>
      </c>
    </row>
    <row r="13" spans="1:37" s="53" customFormat="1" ht="18.75" customHeight="1">
      <c r="A13" s="564">
        <f t="shared" si="10"/>
      </c>
      <c r="B13" s="237"/>
      <c r="C13" s="567"/>
      <c r="D13" s="403"/>
      <c r="E13" s="559"/>
      <c r="F13" s="202"/>
      <c r="G13" s="556">
        <f t="shared" si="11"/>
      </c>
      <c r="H13" s="404">
        <f t="shared" si="12"/>
      </c>
      <c r="I13" s="521"/>
      <c r="J13" s="109"/>
      <c r="K13" s="553"/>
      <c r="L13" s="109"/>
      <c r="M13" s="404">
        <f t="shared" si="13"/>
      </c>
      <c r="N13" s="549">
        <f t="shared" si="14"/>
      </c>
      <c r="O13" s="546"/>
      <c r="P13" s="408">
        <f>IF($H13="","",IF($O13="Ａ",LOOKUP($D13,{8000,8500,9000,10000,10032,12000},{0,1532,1032,32,0,0}),IF($O13="Ｂ",LOOKUP($D13,{8000,8500,9000,10000,10032,12000},{0,1532,1032,408,408,408}),IF($O13="Ｃ",LOOKUP($D13,{8000,8500,9000,10000,10032,12000},{782,2814,2814,2814,2814,2814}),0))))</f>
      </c>
      <c r="Q13" s="465"/>
      <c r="R13" s="543">
        <f>IF($H13="","",IF($Q13="Ａ",LOOKUP($D13,{8000,8500,9000,10000,10032,12000},{0,1532,1032,32,0,0}),IF($Q13="Ｂ",LOOKUP($D13,{8000,8500,9000,10000,10032,12000},{0,1532,1032,408,408,408}),IF($Q13="Ｃ",LOOKUP($D13,{8000,8500,9000,10000,10032,12000},{782,2814,2814,2814,2814,2814}),0))))</f>
      </c>
      <c r="S13" s="413">
        <f t="shared" si="9"/>
      </c>
      <c r="T13" s="540">
        <f>IF(B13="","",SUMIF('6-3_調整額内訳⑤(新・新制度)'!B:B,$B13,'6-3_調整額内訳⑤(新・新制度)'!AF:AF))</f>
      </c>
      <c r="U13" s="530">
        <f t="shared" si="0"/>
      </c>
      <c r="V13" s="413">
        <f t="shared" si="1"/>
      </c>
      <c r="W13" s="412">
        <f t="shared" si="2"/>
      </c>
      <c r="X13" s="414"/>
      <c r="Y13" s="412">
        <f t="shared" si="3"/>
      </c>
      <c r="Z13" s="414"/>
      <c r="AA13" s="533" t="str">
        <f t="shared" si="4"/>
        <v>0</v>
      </c>
      <c r="AB13" s="486">
        <f t="shared" si="15"/>
        <v>0</v>
      </c>
      <c r="AC13" s="570"/>
      <c r="AD13" s="413">
        <f t="shared" si="8"/>
      </c>
      <c r="AE13" s="525">
        <f t="shared" si="5"/>
      </c>
      <c r="AF13" s="1124"/>
      <c r="AG13" s="1101"/>
      <c r="AH13" s="1102"/>
      <c r="AJ13" s="60">
        <f t="shared" si="6"/>
      </c>
      <c r="AK13" s="60">
        <f t="shared" si="7"/>
      </c>
    </row>
    <row r="14" spans="1:37" s="53" customFormat="1" ht="18.75" customHeight="1">
      <c r="A14" s="564">
        <f t="shared" si="10"/>
      </c>
      <c r="B14" s="237"/>
      <c r="C14" s="567"/>
      <c r="D14" s="403"/>
      <c r="E14" s="559"/>
      <c r="F14" s="202"/>
      <c r="G14" s="556">
        <f t="shared" si="11"/>
      </c>
      <c r="H14" s="404">
        <f t="shared" si="12"/>
      </c>
      <c r="I14" s="521"/>
      <c r="J14" s="109"/>
      <c r="K14" s="553"/>
      <c r="L14" s="109"/>
      <c r="M14" s="404">
        <f t="shared" si="13"/>
      </c>
      <c r="N14" s="549">
        <f t="shared" si="14"/>
      </c>
      <c r="O14" s="546"/>
      <c r="P14" s="408">
        <f>IF($H14="","",IF($O14="Ａ",LOOKUP($D14,{8000,8500,9000,10000,10032,12000},{0,1532,1032,32,0,0}),IF($O14="Ｂ",LOOKUP($D14,{8000,8500,9000,10000,10032,12000},{0,1532,1032,408,408,408}),IF($O14="Ｃ",LOOKUP($D14,{8000,8500,9000,10000,10032,12000},{782,2814,2814,2814,2814,2814}),0))))</f>
      </c>
      <c r="Q14" s="465"/>
      <c r="R14" s="543">
        <f>IF($H14="","",IF($Q14="Ａ",LOOKUP($D14,{8000,8500,9000,10000,10032,12000},{0,1532,1032,32,0,0}),IF($Q14="Ｂ",LOOKUP($D14,{8000,8500,9000,10000,10032,12000},{0,1532,1032,408,408,408}),IF($Q14="Ｃ",LOOKUP($D14,{8000,8500,9000,10000,10032,12000},{782,2814,2814,2814,2814,2814}),0))))</f>
      </c>
      <c r="S14" s="413">
        <f t="shared" si="9"/>
      </c>
      <c r="T14" s="540">
        <f>IF(B14="","",SUMIF('6-3_調整額内訳⑤(新・新制度)'!B:B,$B14,'6-3_調整額内訳⑤(新・新制度)'!AF:AF))</f>
      </c>
      <c r="U14" s="530">
        <f t="shared" si="0"/>
      </c>
      <c r="V14" s="413">
        <f t="shared" si="1"/>
      </c>
      <c r="W14" s="412">
        <f t="shared" si="2"/>
      </c>
      <c r="X14" s="414"/>
      <c r="Y14" s="412">
        <f t="shared" si="3"/>
      </c>
      <c r="Z14" s="414"/>
      <c r="AA14" s="533" t="str">
        <f t="shared" si="4"/>
        <v>0</v>
      </c>
      <c r="AB14" s="486">
        <f t="shared" si="15"/>
        <v>0</v>
      </c>
      <c r="AC14" s="570"/>
      <c r="AD14" s="413">
        <f t="shared" si="8"/>
      </c>
      <c r="AE14" s="525">
        <f t="shared" si="5"/>
      </c>
      <c r="AF14" s="1124"/>
      <c r="AG14" s="1101"/>
      <c r="AH14" s="1102"/>
      <c r="AJ14" s="60">
        <f t="shared" si="6"/>
      </c>
      <c r="AK14" s="60">
        <f t="shared" si="7"/>
      </c>
    </row>
    <row r="15" spans="1:37" s="53" customFormat="1" ht="18.75" customHeight="1">
      <c r="A15" s="564">
        <f t="shared" si="10"/>
      </c>
      <c r="B15" s="237"/>
      <c r="C15" s="567"/>
      <c r="D15" s="403"/>
      <c r="E15" s="559"/>
      <c r="F15" s="202"/>
      <c r="G15" s="556">
        <f t="shared" si="11"/>
      </c>
      <c r="H15" s="404">
        <f t="shared" si="12"/>
      </c>
      <c r="I15" s="521"/>
      <c r="J15" s="109"/>
      <c r="K15" s="553"/>
      <c r="L15" s="109"/>
      <c r="M15" s="404">
        <f t="shared" si="13"/>
      </c>
      <c r="N15" s="549">
        <f t="shared" si="14"/>
      </c>
      <c r="O15" s="546"/>
      <c r="P15" s="408">
        <f>IF($H15="","",IF($O15="Ａ",LOOKUP($D15,{8000,8500,9000,10000,10032,12000},{0,1532,1032,32,0,0}),IF($O15="Ｂ",LOOKUP($D15,{8000,8500,9000,10000,10032,12000},{0,1532,1032,408,408,408}),IF($O15="Ｃ",LOOKUP($D15,{8000,8500,9000,10000,10032,12000},{782,2814,2814,2814,2814,2814}),0))))</f>
      </c>
      <c r="Q15" s="465"/>
      <c r="R15" s="543">
        <f>IF($H15="","",IF($Q15="Ａ",LOOKUP($D15,{8000,8500,9000,10000,10032,12000},{0,1532,1032,32,0,0}),IF($Q15="Ｂ",LOOKUP($D15,{8000,8500,9000,10000,10032,12000},{0,1532,1032,408,408,408}),IF($Q15="Ｃ",LOOKUP($D15,{8000,8500,9000,10000,10032,12000},{782,2814,2814,2814,2814,2814}),0))))</f>
      </c>
      <c r="S15" s="413">
        <f t="shared" si="9"/>
      </c>
      <c r="T15" s="540">
        <f>IF(B15="","",SUMIF('6-3_調整額内訳⑤(新・新制度)'!B:B,$B15,'6-3_調整額内訳⑤(新・新制度)'!AF:AF))</f>
      </c>
      <c r="U15" s="530">
        <f t="shared" si="0"/>
      </c>
      <c r="V15" s="413">
        <f t="shared" si="1"/>
      </c>
      <c r="W15" s="412">
        <f t="shared" si="2"/>
      </c>
      <c r="X15" s="414"/>
      <c r="Y15" s="412">
        <f t="shared" si="3"/>
      </c>
      <c r="Z15" s="414"/>
      <c r="AA15" s="533" t="str">
        <f t="shared" si="4"/>
        <v>0</v>
      </c>
      <c r="AB15" s="486">
        <f t="shared" si="15"/>
        <v>0</v>
      </c>
      <c r="AC15" s="570"/>
      <c r="AD15" s="413">
        <f t="shared" si="8"/>
      </c>
      <c r="AE15" s="525">
        <f t="shared" si="5"/>
      </c>
      <c r="AF15" s="1124"/>
      <c r="AG15" s="1101"/>
      <c r="AH15" s="1102"/>
      <c r="AJ15" s="60">
        <f t="shared" si="6"/>
      </c>
      <c r="AK15" s="60">
        <f t="shared" si="7"/>
      </c>
    </row>
    <row r="16" spans="1:37" s="53" customFormat="1" ht="18.75" customHeight="1">
      <c r="A16" s="564">
        <f t="shared" si="10"/>
      </c>
      <c r="B16" s="237"/>
      <c r="C16" s="567"/>
      <c r="D16" s="403"/>
      <c r="E16" s="559"/>
      <c r="F16" s="202"/>
      <c r="G16" s="556">
        <f t="shared" si="11"/>
      </c>
      <c r="H16" s="404">
        <f t="shared" si="12"/>
      </c>
      <c r="I16" s="521"/>
      <c r="J16" s="109"/>
      <c r="K16" s="553"/>
      <c r="L16" s="109"/>
      <c r="M16" s="404">
        <f t="shared" si="13"/>
      </c>
      <c r="N16" s="549">
        <f t="shared" si="14"/>
      </c>
      <c r="O16" s="546"/>
      <c r="P16" s="408">
        <f>IF($H16="","",IF($O16="Ａ",LOOKUP($D16,{8000,8500,9000,10000,10032,12000},{0,1532,1032,32,0,0}),IF($O16="Ｂ",LOOKUP($D16,{8000,8500,9000,10000,10032,12000},{0,1532,1032,408,408,408}),IF($O16="Ｃ",LOOKUP($D16,{8000,8500,9000,10000,10032,12000},{782,2814,2814,2814,2814,2814}),0))))</f>
      </c>
      <c r="Q16" s="465"/>
      <c r="R16" s="543">
        <f>IF($H16="","",IF($Q16="Ａ",LOOKUP($D16,{8000,8500,9000,10000,10032,12000},{0,1532,1032,32,0,0}),IF($Q16="Ｂ",LOOKUP($D16,{8000,8500,9000,10000,10032,12000},{0,1532,1032,408,408,408}),IF($Q16="Ｃ",LOOKUP($D16,{8000,8500,9000,10000,10032,12000},{782,2814,2814,2814,2814,2814}),0))))</f>
      </c>
      <c r="S16" s="413">
        <f t="shared" si="9"/>
      </c>
      <c r="T16" s="540">
        <f>IF(B16="","",SUMIF('6-3_調整額内訳⑤(新・新制度)'!B:B,$B16,'6-3_調整額内訳⑤(新・新制度)'!AF:AF))</f>
      </c>
      <c r="U16" s="530">
        <f t="shared" si="0"/>
      </c>
      <c r="V16" s="413">
        <f t="shared" si="1"/>
      </c>
      <c r="W16" s="412">
        <f t="shared" si="2"/>
      </c>
      <c r="X16" s="414"/>
      <c r="Y16" s="412">
        <f t="shared" si="3"/>
      </c>
      <c r="Z16" s="414"/>
      <c r="AA16" s="533" t="str">
        <f t="shared" si="4"/>
        <v>0</v>
      </c>
      <c r="AB16" s="486">
        <f t="shared" si="15"/>
        <v>0</v>
      </c>
      <c r="AC16" s="570"/>
      <c r="AD16" s="413">
        <f t="shared" si="8"/>
      </c>
      <c r="AE16" s="525">
        <f t="shared" si="5"/>
      </c>
      <c r="AF16" s="1124"/>
      <c r="AG16" s="1101"/>
      <c r="AH16" s="1102"/>
      <c r="AJ16" s="60">
        <f t="shared" si="6"/>
      </c>
      <c r="AK16" s="60">
        <f t="shared" si="7"/>
      </c>
    </row>
    <row r="17" spans="1:37" s="53" customFormat="1" ht="18.75" customHeight="1">
      <c r="A17" s="564">
        <f t="shared" si="10"/>
      </c>
      <c r="B17" s="237"/>
      <c r="C17" s="567"/>
      <c r="D17" s="403"/>
      <c r="E17" s="559"/>
      <c r="F17" s="202"/>
      <c r="G17" s="556">
        <f t="shared" si="11"/>
      </c>
      <c r="H17" s="404">
        <f t="shared" si="12"/>
      </c>
      <c r="I17" s="521"/>
      <c r="J17" s="109"/>
      <c r="K17" s="553"/>
      <c r="L17" s="109"/>
      <c r="M17" s="404">
        <f t="shared" si="13"/>
      </c>
      <c r="N17" s="549">
        <f t="shared" si="14"/>
      </c>
      <c r="O17" s="546"/>
      <c r="P17" s="408">
        <f>IF($H17="","",IF($O17="Ａ",LOOKUP($D17,{8000,8500,9000,10000,10032,12000},{0,1532,1032,32,0,0}),IF($O17="Ｂ",LOOKUP($D17,{8000,8500,9000,10000,10032,12000},{0,1532,1032,408,408,408}),IF($O17="Ｃ",LOOKUP($D17,{8000,8500,9000,10000,10032,12000},{782,2814,2814,2814,2814,2814}),0))))</f>
      </c>
      <c r="Q17" s="465"/>
      <c r="R17" s="543">
        <f>IF($H17="","",IF($Q17="Ａ",LOOKUP($D17,{8000,8500,9000,10000,10032,12000},{0,1532,1032,32,0,0}),IF($Q17="Ｂ",LOOKUP($D17,{8000,8500,9000,10000,10032,12000},{0,1532,1032,408,408,408}),IF($Q17="Ｃ",LOOKUP($D17,{8000,8500,9000,10000,10032,12000},{782,2814,2814,2814,2814,2814}),0))))</f>
      </c>
      <c r="S17" s="413">
        <f t="shared" si="9"/>
      </c>
      <c r="T17" s="540">
        <f>IF(B17="","",SUMIF('6-3_調整額内訳⑤(新・新制度)'!B:B,$B17,'6-3_調整額内訳⑤(新・新制度)'!AF:AF))</f>
      </c>
      <c r="U17" s="530">
        <f t="shared" si="0"/>
      </c>
      <c r="V17" s="413">
        <f t="shared" si="1"/>
      </c>
      <c r="W17" s="412">
        <f t="shared" si="2"/>
      </c>
      <c r="X17" s="414"/>
      <c r="Y17" s="412">
        <f t="shared" si="3"/>
      </c>
      <c r="Z17" s="414"/>
      <c r="AA17" s="533" t="str">
        <f t="shared" si="4"/>
        <v>0</v>
      </c>
      <c r="AB17" s="486">
        <f t="shared" si="15"/>
        <v>0</v>
      </c>
      <c r="AC17" s="570"/>
      <c r="AD17" s="413">
        <f t="shared" si="8"/>
      </c>
      <c r="AE17" s="525">
        <f t="shared" si="5"/>
      </c>
      <c r="AF17" s="1124"/>
      <c r="AG17" s="1101"/>
      <c r="AH17" s="1102"/>
      <c r="AJ17" s="60">
        <f t="shared" si="6"/>
      </c>
      <c r="AK17" s="60">
        <f t="shared" si="7"/>
      </c>
    </row>
    <row r="18" spans="1:37" s="53" customFormat="1" ht="18.75" customHeight="1">
      <c r="A18" s="564">
        <f t="shared" si="10"/>
      </c>
      <c r="B18" s="237"/>
      <c r="C18" s="567"/>
      <c r="D18" s="403"/>
      <c r="E18" s="559"/>
      <c r="F18" s="202"/>
      <c r="G18" s="556">
        <f t="shared" si="11"/>
      </c>
      <c r="H18" s="404">
        <f t="shared" si="12"/>
      </c>
      <c r="I18" s="521"/>
      <c r="J18" s="109"/>
      <c r="K18" s="553"/>
      <c r="L18" s="109"/>
      <c r="M18" s="404">
        <f t="shared" si="13"/>
      </c>
      <c r="N18" s="549">
        <f t="shared" si="14"/>
      </c>
      <c r="O18" s="546"/>
      <c r="P18" s="408">
        <f>IF($H18="","",IF($O18="Ａ",LOOKUP($D18,{8000,8500,9000,10000,10032,12000},{0,1532,1032,32,0,0}),IF($O18="Ｂ",LOOKUP($D18,{8000,8500,9000,10000,10032,12000},{0,1532,1032,408,408,408}),IF($O18="Ｃ",LOOKUP($D18,{8000,8500,9000,10000,10032,12000},{782,2814,2814,2814,2814,2814}),0))))</f>
      </c>
      <c r="Q18" s="465"/>
      <c r="R18" s="543">
        <f>IF($H18="","",IF($Q18="Ａ",LOOKUP($D18,{8000,8500,9000,10000,10032,12000},{0,1532,1032,32,0,0}),IF($Q18="Ｂ",LOOKUP($D18,{8000,8500,9000,10000,10032,12000},{0,1532,1032,408,408,408}),IF($Q18="Ｃ",LOOKUP($D18,{8000,8500,9000,10000,10032,12000},{782,2814,2814,2814,2814,2814}),0))))</f>
      </c>
      <c r="S18" s="413">
        <f t="shared" si="9"/>
      </c>
      <c r="T18" s="540">
        <f>IF(B18="","",SUMIF('6-3_調整額内訳⑤(新・新制度)'!B:B,$B18,'6-3_調整額内訳⑤(新・新制度)'!AF:AF))</f>
      </c>
      <c r="U18" s="530">
        <f t="shared" si="0"/>
      </c>
      <c r="V18" s="413">
        <f t="shared" si="1"/>
      </c>
      <c r="W18" s="412">
        <f t="shared" si="2"/>
      </c>
      <c r="X18" s="414"/>
      <c r="Y18" s="412">
        <f t="shared" si="3"/>
      </c>
      <c r="Z18" s="414"/>
      <c r="AA18" s="533" t="str">
        <f t="shared" si="4"/>
        <v>0</v>
      </c>
      <c r="AB18" s="486">
        <f t="shared" si="15"/>
        <v>0</v>
      </c>
      <c r="AC18" s="570"/>
      <c r="AD18" s="413">
        <f t="shared" si="8"/>
      </c>
      <c r="AE18" s="525">
        <f t="shared" si="5"/>
      </c>
      <c r="AF18" s="1124"/>
      <c r="AG18" s="1101"/>
      <c r="AH18" s="1102"/>
      <c r="AJ18" s="60">
        <f t="shared" si="6"/>
      </c>
      <c r="AK18" s="60">
        <f t="shared" si="7"/>
      </c>
    </row>
    <row r="19" spans="1:37" s="53" customFormat="1" ht="18.75" customHeight="1">
      <c r="A19" s="564">
        <f t="shared" si="10"/>
      </c>
      <c r="B19" s="237"/>
      <c r="C19" s="567"/>
      <c r="D19" s="403"/>
      <c r="E19" s="559"/>
      <c r="F19" s="202"/>
      <c r="G19" s="556">
        <f t="shared" si="11"/>
      </c>
      <c r="H19" s="404">
        <f t="shared" si="12"/>
      </c>
      <c r="I19" s="521"/>
      <c r="J19" s="109"/>
      <c r="K19" s="553"/>
      <c r="L19" s="109"/>
      <c r="M19" s="404">
        <f t="shared" si="13"/>
      </c>
      <c r="N19" s="549">
        <f t="shared" si="14"/>
      </c>
      <c r="O19" s="546"/>
      <c r="P19" s="408">
        <f>IF($H19="","",IF($O19="Ａ",LOOKUP($D19,{8000,8500,9000,10000,10032,12000},{0,1532,1032,32,0,0}),IF($O19="Ｂ",LOOKUP($D19,{8000,8500,9000,10000,10032,12000},{0,1532,1032,408,408,408}),IF($O19="Ｃ",LOOKUP($D19,{8000,8500,9000,10000,10032,12000},{782,2814,2814,2814,2814,2814}),0))))</f>
      </c>
      <c r="Q19" s="465"/>
      <c r="R19" s="543">
        <f>IF($H19="","",IF($Q19="Ａ",LOOKUP($D19,{8000,8500,9000,10000,10032,12000},{0,1532,1032,32,0,0}),IF($Q19="Ｂ",LOOKUP($D19,{8000,8500,9000,10000,10032,12000},{0,1532,1032,408,408,408}),IF($Q19="Ｃ",LOOKUP($D19,{8000,8500,9000,10000,10032,12000},{782,2814,2814,2814,2814,2814}),0))))</f>
      </c>
      <c r="S19" s="413">
        <f t="shared" si="9"/>
      </c>
      <c r="T19" s="540">
        <f>IF(B19="","",SUMIF('6-3_調整額内訳⑤(新・新制度)'!B:B,$B19,'6-3_調整額内訳⑤(新・新制度)'!AF:AF))</f>
      </c>
      <c r="U19" s="530">
        <f t="shared" si="0"/>
      </c>
      <c r="V19" s="413">
        <f t="shared" si="1"/>
      </c>
      <c r="W19" s="412">
        <f t="shared" si="2"/>
      </c>
      <c r="X19" s="414"/>
      <c r="Y19" s="412">
        <f t="shared" si="3"/>
      </c>
      <c r="Z19" s="414"/>
      <c r="AA19" s="533" t="str">
        <f t="shared" si="4"/>
        <v>0</v>
      </c>
      <c r="AB19" s="486">
        <f t="shared" si="15"/>
        <v>0</v>
      </c>
      <c r="AC19" s="570"/>
      <c r="AD19" s="413">
        <f t="shared" si="8"/>
      </c>
      <c r="AE19" s="525">
        <f t="shared" si="5"/>
      </c>
      <c r="AF19" s="1124"/>
      <c r="AG19" s="1101"/>
      <c r="AH19" s="1102"/>
      <c r="AJ19" s="60">
        <f t="shared" si="6"/>
      </c>
      <c r="AK19" s="60">
        <f t="shared" si="7"/>
      </c>
    </row>
    <row r="20" spans="1:37" s="53" customFormat="1" ht="18.75" customHeight="1">
      <c r="A20" s="564">
        <f t="shared" si="10"/>
      </c>
      <c r="B20" s="237"/>
      <c r="C20" s="567"/>
      <c r="D20" s="403"/>
      <c r="E20" s="559"/>
      <c r="F20" s="202"/>
      <c r="G20" s="556">
        <f t="shared" si="11"/>
      </c>
      <c r="H20" s="404">
        <f t="shared" si="12"/>
      </c>
      <c r="I20" s="521"/>
      <c r="J20" s="109"/>
      <c r="K20" s="553"/>
      <c r="L20" s="109"/>
      <c r="M20" s="404">
        <f t="shared" si="13"/>
      </c>
      <c r="N20" s="549">
        <f t="shared" si="14"/>
      </c>
      <c r="O20" s="546"/>
      <c r="P20" s="408">
        <f>IF($H20="","",IF($O20="Ａ",LOOKUP($D20,{8000,8500,9000,10000,10032,12000},{0,1532,1032,32,0,0}),IF($O20="Ｂ",LOOKUP($D20,{8000,8500,9000,10000,10032,12000},{0,1532,1032,408,408,408}),IF($O20="Ｃ",LOOKUP($D20,{8000,8500,9000,10000,10032,12000},{782,2814,2814,2814,2814,2814}),0))))</f>
      </c>
      <c r="Q20" s="465"/>
      <c r="R20" s="543">
        <f>IF($H20="","",IF($Q20="Ａ",LOOKUP($D20,{8000,8500,9000,10000,10032,12000},{0,1532,1032,32,0,0}),IF($Q20="Ｂ",LOOKUP($D20,{8000,8500,9000,10000,10032,12000},{0,1532,1032,408,408,408}),IF($Q20="Ｃ",LOOKUP($D20,{8000,8500,9000,10000,10032,12000},{782,2814,2814,2814,2814,2814}),0))))</f>
      </c>
      <c r="S20" s="413">
        <f t="shared" si="9"/>
      </c>
      <c r="T20" s="540">
        <f>IF(B20="","",SUMIF('6-3_調整額内訳⑤(新・新制度)'!B:B,$B20,'6-3_調整額内訳⑤(新・新制度)'!AF:AF))</f>
      </c>
      <c r="U20" s="530">
        <f t="shared" si="0"/>
      </c>
      <c r="V20" s="413">
        <f t="shared" si="1"/>
      </c>
      <c r="W20" s="412">
        <f t="shared" si="2"/>
      </c>
      <c r="X20" s="414"/>
      <c r="Y20" s="412">
        <f t="shared" si="3"/>
      </c>
      <c r="Z20" s="414"/>
      <c r="AA20" s="533" t="str">
        <f t="shared" si="4"/>
        <v>0</v>
      </c>
      <c r="AB20" s="486">
        <f t="shared" si="15"/>
        <v>0</v>
      </c>
      <c r="AC20" s="570"/>
      <c r="AD20" s="413">
        <f t="shared" si="8"/>
      </c>
      <c r="AE20" s="525">
        <f t="shared" si="5"/>
      </c>
      <c r="AF20" s="1124"/>
      <c r="AG20" s="1101"/>
      <c r="AH20" s="1102"/>
      <c r="AJ20" s="60">
        <f t="shared" si="6"/>
      </c>
      <c r="AK20" s="60">
        <f t="shared" si="7"/>
      </c>
    </row>
    <row r="21" spans="1:37" s="53" customFormat="1" ht="18.75" customHeight="1">
      <c r="A21" s="564">
        <f t="shared" si="10"/>
      </c>
      <c r="B21" s="237"/>
      <c r="C21" s="567"/>
      <c r="D21" s="403"/>
      <c r="E21" s="559"/>
      <c r="F21" s="202"/>
      <c r="G21" s="556">
        <f t="shared" si="11"/>
      </c>
      <c r="H21" s="404">
        <f t="shared" si="12"/>
      </c>
      <c r="I21" s="521"/>
      <c r="J21" s="109"/>
      <c r="K21" s="553"/>
      <c r="L21" s="109"/>
      <c r="M21" s="404">
        <f t="shared" si="13"/>
      </c>
      <c r="N21" s="549">
        <f t="shared" si="14"/>
      </c>
      <c r="O21" s="546"/>
      <c r="P21" s="408">
        <f>IF($H21="","",IF($O21="Ａ",LOOKUP($D21,{8000,8500,9000,10000,10032,12000},{0,1532,1032,32,0,0}),IF($O21="Ｂ",LOOKUP($D21,{8000,8500,9000,10000,10032,12000},{0,1532,1032,408,408,408}),IF($O21="Ｃ",LOOKUP($D21,{8000,8500,9000,10000,10032,12000},{782,2814,2814,2814,2814,2814}),0))))</f>
      </c>
      <c r="Q21" s="465"/>
      <c r="R21" s="543">
        <f>IF($H21="","",IF($Q21="Ａ",LOOKUP($D21,{8000,8500,9000,10000,10032,12000},{0,1532,1032,32,0,0}),IF($Q21="Ｂ",LOOKUP($D21,{8000,8500,9000,10000,10032,12000},{0,1532,1032,408,408,408}),IF($Q21="Ｃ",LOOKUP($D21,{8000,8500,9000,10000,10032,12000},{782,2814,2814,2814,2814,2814}),0))))</f>
      </c>
      <c r="S21" s="413">
        <f t="shared" si="9"/>
      </c>
      <c r="T21" s="540">
        <f>IF(B21="","",SUMIF('6-3_調整額内訳⑤(新・新制度)'!B:B,$B21,'6-3_調整額内訳⑤(新・新制度)'!AF:AF))</f>
      </c>
      <c r="U21" s="530">
        <f t="shared" si="0"/>
      </c>
      <c r="V21" s="413">
        <f t="shared" si="1"/>
      </c>
      <c r="W21" s="412">
        <f t="shared" si="2"/>
      </c>
      <c r="X21" s="414"/>
      <c r="Y21" s="412">
        <f t="shared" si="3"/>
      </c>
      <c r="Z21" s="414"/>
      <c r="AA21" s="533" t="str">
        <f t="shared" si="4"/>
        <v>0</v>
      </c>
      <c r="AB21" s="486">
        <f t="shared" si="15"/>
        <v>0</v>
      </c>
      <c r="AC21" s="570"/>
      <c r="AD21" s="413">
        <f t="shared" si="8"/>
      </c>
      <c r="AE21" s="525">
        <f t="shared" si="5"/>
      </c>
      <c r="AF21" s="1124"/>
      <c r="AG21" s="1101"/>
      <c r="AH21" s="1102"/>
      <c r="AJ21" s="60">
        <f t="shared" si="6"/>
      </c>
      <c r="AK21" s="60">
        <f t="shared" si="7"/>
      </c>
    </row>
    <row r="22" spans="1:37" s="53" customFormat="1" ht="18.75" customHeight="1">
      <c r="A22" s="564">
        <f t="shared" si="10"/>
      </c>
      <c r="B22" s="237"/>
      <c r="C22" s="567"/>
      <c r="D22" s="403"/>
      <c r="E22" s="559"/>
      <c r="F22" s="202"/>
      <c r="G22" s="556">
        <f t="shared" si="11"/>
      </c>
      <c r="H22" s="404">
        <f t="shared" si="12"/>
      </c>
      <c r="I22" s="521"/>
      <c r="J22" s="109"/>
      <c r="K22" s="553"/>
      <c r="L22" s="109"/>
      <c r="M22" s="404">
        <f t="shared" si="13"/>
      </c>
      <c r="N22" s="549">
        <f t="shared" si="14"/>
      </c>
      <c r="O22" s="546"/>
      <c r="P22" s="408">
        <f>IF($H22="","",IF($O22="Ａ",LOOKUP($D22,{8000,8500,9000,10000,10032,12000},{0,1532,1032,32,0,0}),IF($O22="Ｂ",LOOKUP($D22,{8000,8500,9000,10000,10032,12000},{0,1532,1032,408,408,408}),IF($O22="Ｃ",LOOKUP($D22,{8000,8500,9000,10000,10032,12000},{782,2814,2814,2814,2814,2814}),0))))</f>
      </c>
      <c r="Q22" s="465"/>
      <c r="R22" s="543">
        <f>IF($H22="","",IF($Q22="Ａ",LOOKUP($D22,{8000,8500,9000,10000,10032,12000},{0,1532,1032,32,0,0}),IF($Q22="Ｂ",LOOKUP($D22,{8000,8500,9000,10000,10032,12000},{0,1532,1032,408,408,408}),IF($Q22="Ｃ",LOOKUP($D22,{8000,8500,9000,10000,10032,12000},{782,2814,2814,2814,2814,2814}),0))))</f>
      </c>
      <c r="S22" s="413">
        <f t="shared" si="9"/>
      </c>
      <c r="T22" s="540">
        <f>IF(B22="","",SUMIF('6-3_調整額内訳⑤(新・新制度)'!B:B,$B22,'6-3_調整額内訳⑤(新・新制度)'!AF:AF))</f>
      </c>
      <c r="U22" s="530">
        <f t="shared" si="0"/>
      </c>
      <c r="V22" s="413">
        <f t="shared" si="1"/>
      </c>
      <c r="W22" s="412">
        <f t="shared" si="2"/>
      </c>
      <c r="X22" s="414"/>
      <c r="Y22" s="412">
        <f t="shared" si="3"/>
      </c>
      <c r="Z22" s="414"/>
      <c r="AA22" s="533" t="str">
        <f t="shared" si="4"/>
        <v>0</v>
      </c>
      <c r="AB22" s="486">
        <f t="shared" si="15"/>
        <v>0</v>
      </c>
      <c r="AC22" s="570"/>
      <c r="AD22" s="413">
        <f t="shared" si="8"/>
      </c>
      <c r="AE22" s="525">
        <f t="shared" si="5"/>
      </c>
      <c r="AF22" s="1124"/>
      <c r="AG22" s="1101"/>
      <c r="AH22" s="1102"/>
      <c r="AJ22" s="60">
        <f t="shared" si="6"/>
      </c>
      <c r="AK22" s="60">
        <f t="shared" si="7"/>
      </c>
    </row>
    <row r="23" spans="1:37" s="53" customFormat="1" ht="18.75" customHeight="1">
      <c r="A23" s="564">
        <f t="shared" si="10"/>
      </c>
      <c r="B23" s="237"/>
      <c r="C23" s="567"/>
      <c r="D23" s="403"/>
      <c r="E23" s="559"/>
      <c r="F23" s="202"/>
      <c r="G23" s="556">
        <f t="shared" si="11"/>
      </c>
      <c r="H23" s="404">
        <f t="shared" si="12"/>
      </c>
      <c r="I23" s="521"/>
      <c r="J23" s="109"/>
      <c r="K23" s="553"/>
      <c r="L23" s="109"/>
      <c r="M23" s="404">
        <f t="shared" si="13"/>
      </c>
      <c r="N23" s="549">
        <f t="shared" si="14"/>
      </c>
      <c r="O23" s="546"/>
      <c r="P23" s="408">
        <f>IF($H23="","",IF($O23="Ａ",LOOKUP($D23,{8000,8500,9000,10000,10032,12000},{0,1532,1032,32,0,0}),IF($O23="Ｂ",LOOKUP($D23,{8000,8500,9000,10000,10032,12000},{0,1532,1032,408,408,408}),IF($O23="Ｃ",LOOKUP($D23,{8000,8500,9000,10000,10032,12000},{782,2814,2814,2814,2814,2814}),0))))</f>
      </c>
      <c r="Q23" s="465"/>
      <c r="R23" s="543">
        <f>IF($H23="","",IF($Q23="Ａ",LOOKUP($D23,{8000,8500,9000,10000,10032,12000},{0,1532,1032,32,0,0}),IF($Q23="Ｂ",LOOKUP($D23,{8000,8500,9000,10000,10032,12000},{0,1532,1032,408,408,408}),IF($Q23="Ｃ",LOOKUP($D23,{8000,8500,9000,10000,10032,12000},{782,2814,2814,2814,2814,2814}),0))))</f>
      </c>
      <c r="S23" s="413">
        <f t="shared" si="9"/>
      </c>
      <c r="T23" s="540">
        <f>IF(B23="","",SUMIF('6-3_調整額内訳⑤(新・新制度)'!B:B,$B23,'6-3_調整額内訳⑤(新・新制度)'!AF:AF))</f>
      </c>
      <c r="U23" s="530">
        <f t="shared" si="0"/>
      </c>
      <c r="V23" s="413">
        <f t="shared" si="1"/>
      </c>
      <c r="W23" s="412">
        <f t="shared" si="2"/>
      </c>
      <c r="X23" s="414"/>
      <c r="Y23" s="412">
        <f t="shared" si="3"/>
      </c>
      <c r="Z23" s="414"/>
      <c r="AA23" s="533" t="str">
        <f t="shared" si="4"/>
        <v>0</v>
      </c>
      <c r="AB23" s="486">
        <f t="shared" si="15"/>
        <v>0</v>
      </c>
      <c r="AC23" s="570"/>
      <c r="AD23" s="413">
        <f t="shared" si="8"/>
      </c>
      <c r="AE23" s="525">
        <f t="shared" si="5"/>
      </c>
      <c r="AF23" s="1124"/>
      <c r="AG23" s="1101"/>
      <c r="AH23" s="1102"/>
      <c r="AJ23" s="60">
        <f t="shared" si="6"/>
      </c>
      <c r="AK23" s="60">
        <f t="shared" si="7"/>
      </c>
    </row>
    <row r="24" spans="1:37" s="53" customFormat="1" ht="18.75" customHeight="1">
      <c r="A24" s="564">
        <f t="shared" si="10"/>
      </c>
      <c r="B24" s="237"/>
      <c r="C24" s="567"/>
      <c r="D24" s="403"/>
      <c r="E24" s="559"/>
      <c r="F24" s="202"/>
      <c r="G24" s="556">
        <f t="shared" si="11"/>
      </c>
      <c r="H24" s="404">
        <f t="shared" si="12"/>
      </c>
      <c r="I24" s="521"/>
      <c r="J24" s="109"/>
      <c r="K24" s="553"/>
      <c r="L24" s="109"/>
      <c r="M24" s="404">
        <f t="shared" si="13"/>
      </c>
      <c r="N24" s="549">
        <f t="shared" si="14"/>
      </c>
      <c r="O24" s="546"/>
      <c r="P24" s="408">
        <f>IF($H24="","",IF($O24="Ａ",LOOKUP($D24,{8000,8500,9000,10000,10032,12000},{0,1532,1032,32,0,0}),IF($O24="Ｂ",LOOKUP($D24,{8000,8500,9000,10000,10032,12000},{0,1532,1032,408,408,408}),IF($O24="Ｃ",LOOKUP($D24,{8000,8500,9000,10000,10032,12000},{782,2814,2814,2814,2814,2814}),0))))</f>
      </c>
      <c r="Q24" s="465"/>
      <c r="R24" s="543">
        <f>IF($H24="","",IF($Q24="Ａ",LOOKUP($D24,{8000,8500,9000,10000,10032,12000},{0,1532,1032,32,0,0}),IF($Q24="Ｂ",LOOKUP($D24,{8000,8500,9000,10000,10032,12000},{0,1532,1032,408,408,408}),IF($Q24="Ｃ",LOOKUP($D24,{8000,8500,9000,10000,10032,12000},{782,2814,2814,2814,2814,2814}),0))))</f>
      </c>
      <c r="S24" s="413">
        <f t="shared" si="9"/>
      </c>
      <c r="T24" s="540">
        <f>IF(B24="","",SUMIF('6-3_調整額内訳⑤(新・新制度)'!B:B,$B24,'6-3_調整額内訳⑤(新・新制度)'!AF:AF))</f>
      </c>
      <c r="U24" s="530">
        <f t="shared" si="0"/>
      </c>
      <c r="V24" s="413">
        <f t="shared" si="1"/>
      </c>
      <c r="W24" s="412">
        <f t="shared" si="2"/>
      </c>
      <c r="X24" s="414"/>
      <c r="Y24" s="412">
        <f t="shared" si="3"/>
      </c>
      <c r="Z24" s="414"/>
      <c r="AA24" s="533" t="str">
        <f t="shared" si="4"/>
        <v>0</v>
      </c>
      <c r="AB24" s="486">
        <f t="shared" si="15"/>
        <v>0</v>
      </c>
      <c r="AC24" s="570"/>
      <c r="AD24" s="413">
        <f t="shared" si="8"/>
      </c>
      <c r="AE24" s="525">
        <f t="shared" si="5"/>
      </c>
      <c r="AF24" s="1124"/>
      <c r="AG24" s="1101"/>
      <c r="AH24" s="1102"/>
      <c r="AJ24" s="60">
        <f t="shared" si="6"/>
      </c>
      <c r="AK24" s="60">
        <f t="shared" si="7"/>
      </c>
    </row>
    <row r="25" spans="1:37" s="53" customFormat="1" ht="18.75" customHeight="1">
      <c r="A25" s="564">
        <f t="shared" si="10"/>
      </c>
      <c r="B25" s="237"/>
      <c r="C25" s="567"/>
      <c r="D25" s="403"/>
      <c r="E25" s="559"/>
      <c r="F25" s="202"/>
      <c r="G25" s="556">
        <f t="shared" si="11"/>
      </c>
      <c r="H25" s="404">
        <f t="shared" si="12"/>
      </c>
      <c r="I25" s="521"/>
      <c r="J25" s="109"/>
      <c r="K25" s="553"/>
      <c r="L25" s="109"/>
      <c r="M25" s="404">
        <f t="shared" si="13"/>
      </c>
      <c r="N25" s="549">
        <f t="shared" si="14"/>
      </c>
      <c r="O25" s="546"/>
      <c r="P25" s="408">
        <f>IF($H25="","",IF($O25="Ａ",LOOKUP($D25,{8000,8500,9000,10000,10032,12000},{0,1532,1032,32,0,0}),IF($O25="Ｂ",LOOKUP($D25,{8000,8500,9000,10000,10032,12000},{0,1532,1032,408,408,408}),IF($O25="Ｃ",LOOKUP($D25,{8000,8500,9000,10000,10032,12000},{782,2814,2814,2814,2814,2814}),0))))</f>
      </c>
      <c r="Q25" s="465"/>
      <c r="R25" s="543">
        <f>IF($H25="","",IF($Q25="Ａ",LOOKUP($D25,{8000,8500,9000,10000,10032,12000},{0,1532,1032,32,0,0}),IF($Q25="Ｂ",LOOKUP($D25,{8000,8500,9000,10000,10032,12000},{0,1532,1032,408,408,408}),IF($Q25="Ｃ",LOOKUP($D25,{8000,8500,9000,10000,10032,12000},{782,2814,2814,2814,2814,2814}),0))))</f>
      </c>
      <c r="S25" s="413">
        <f t="shared" si="9"/>
      </c>
      <c r="T25" s="540">
        <f>IF(B25="","",SUMIF('6-3_調整額内訳⑤(新・新制度)'!B:B,$B25,'6-3_調整額内訳⑤(新・新制度)'!AF:AF))</f>
      </c>
      <c r="U25" s="530">
        <f t="shared" si="0"/>
      </c>
      <c r="V25" s="413">
        <f t="shared" si="1"/>
      </c>
      <c r="W25" s="412">
        <f t="shared" si="2"/>
      </c>
      <c r="X25" s="414"/>
      <c r="Y25" s="412">
        <f t="shared" si="3"/>
      </c>
      <c r="Z25" s="414"/>
      <c r="AA25" s="533" t="str">
        <f t="shared" si="4"/>
        <v>0</v>
      </c>
      <c r="AB25" s="486">
        <f t="shared" si="15"/>
        <v>0</v>
      </c>
      <c r="AC25" s="570"/>
      <c r="AD25" s="413">
        <f t="shared" si="8"/>
      </c>
      <c r="AE25" s="525">
        <f t="shared" si="5"/>
      </c>
      <c r="AF25" s="1124"/>
      <c r="AG25" s="1101"/>
      <c r="AH25" s="1102"/>
      <c r="AJ25" s="60">
        <f t="shared" si="6"/>
      </c>
      <c r="AK25" s="60">
        <f t="shared" si="7"/>
      </c>
    </row>
    <row r="26" spans="1:37" s="53" customFormat="1" ht="18.75" customHeight="1">
      <c r="A26" s="564">
        <f t="shared" si="10"/>
      </c>
      <c r="B26" s="237"/>
      <c r="C26" s="567"/>
      <c r="D26" s="403"/>
      <c r="E26" s="559"/>
      <c r="F26" s="202"/>
      <c r="G26" s="556">
        <f t="shared" si="11"/>
      </c>
      <c r="H26" s="404">
        <f t="shared" si="12"/>
      </c>
      <c r="I26" s="521"/>
      <c r="J26" s="109"/>
      <c r="K26" s="553"/>
      <c r="L26" s="109"/>
      <c r="M26" s="404">
        <f t="shared" si="13"/>
      </c>
      <c r="N26" s="549">
        <f t="shared" si="14"/>
      </c>
      <c r="O26" s="546"/>
      <c r="P26" s="408">
        <f>IF($H26="","",IF($O26="Ａ",LOOKUP($D26,{8000,8500,9000,10000,10032,12000},{0,1532,1032,32,0,0}),IF($O26="Ｂ",LOOKUP($D26,{8000,8500,9000,10000,10032,12000},{0,1532,1032,408,408,408}),IF($O26="Ｃ",LOOKUP($D26,{8000,8500,9000,10000,10032,12000},{782,2814,2814,2814,2814,2814}),0))))</f>
      </c>
      <c r="Q26" s="465"/>
      <c r="R26" s="543">
        <f>IF($H26="","",IF($Q26="Ａ",LOOKUP($D26,{8000,8500,9000,10000,10032,12000},{0,1532,1032,32,0,0}),IF($Q26="Ｂ",LOOKUP($D26,{8000,8500,9000,10000,10032,12000},{0,1532,1032,408,408,408}),IF($Q26="Ｃ",LOOKUP($D26,{8000,8500,9000,10000,10032,12000},{782,2814,2814,2814,2814,2814}),0))))</f>
      </c>
      <c r="S26" s="413">
        <f t="shared" si="9"/>
      </c>
      <c r="T26" s="540">
        <f>IF(B26="","",SUMIF('6-3_調整額内訳⑤(新・新制度)'!B:B,$B26,'6-3_調整額内訳⑤(新・新制度)'!AF:AF))</f>
      </c>
      <c r="U26" s="530">
        <f t="shared" si="0"/>
      </c>
      <c r="V26" s="413">
        <f t="shared" si="1"/>
      </c>
      <c r="W26" s="412">
        <f t="shared" si="2"/>
      </c>
      <c r="X26" s="414"/>
      <c r="Y26" s="412">
        <f t="shared" si="3"/>
      </c>
      <c r="Z26" s="414"/>
      <c r="AA26" s="533" t="str">
        <f t="shared" si="4"/>
        <v>0</v>
      </c>
      <c r="AB26" s="486">
        <f t="shared" si="15"/>
        <v>0</v>
      </c>
      <c r="AC26" s="570"/>
      <c r="AD26" s="413">
        <f t="shared" si="8"/>
      </c>
      <c r="AE26" s="525">
        <f t="shared" si="5"/>
      </c>
      <c r="AF26" s="1124"/>
      <c r="AG26" s="1101"/>
      <c r="AH26" s="1102"/>
      <c r="AJ26" s="60">
        <f t="shared" si="6"/>
      </c>
      <c r="AK26" s="60">
        <f t="shared" si="7"/>
      </c>
    </row>
    <row r="27" spans="1:37" s="53" customFormat="1" ht="18.75" customHeight="1">
      <c r="A27" s="564">
        <f t="shared" si="10"/>
      </c>
      <c r="B27" s="237"/>
      <c r="C27" s="567"/>
      <c r="D27" s="403"/>
      <c r="E27" s="559"/>
      <c r="F27" s="202"/>
      <c r="G27" s="556">
        <f t="shared" si="11"/>
      </c>
      <c r="H27" s="404">
        <f t="shared" si="12"/>
      </c>
      <c r="I27" s="521"/>
      <c r="J27" s="109"/>
      <c r="K27" s="553"/>
      <c r="L27" s="109"/>
      <c r="M27" s="404">
        <f t="shared" si="13"/>
      </c>
      <c r="N27" s="549">
        <f t="shared" si="14"/>
      </c>
      <c r="O27" s="546"/>
      <c r="P27" s="408">
        <f>IF($H27="","",IF($O27="Ａ",LOOKUP($D27,{8000,8500,9000,10000,10032,12000},{0,1532,1032,32,0,0}),IF($O27="Ｂ",LOOKUP($D27,{8000,8500,9000,10000,10032,12000},{0,1532,1032,408,408,408}),IF($O27="Ｃ",LOOKUP($D27,{8000,8500,9000,10000,10032,12000},{782,2814,2814,2814,2814,2814}),0))))</f>
      </c>
      <c r="Q27" s="465"/>
      <c r="R27" s="543">
        <f>IF($H27="","",IF($Q27="Ａ",LOOKUP($D27,{8000,8500,9000,10000,10032,12000},{0,1532,1032,32,0,0}),IF($Q27="Ｂ",LOOKUP($D27,{8000,8500,9000,10000,10032,12000},{0,1532,1032,408,408,408}),IF($Q27="Ｃ",LOOKUP($D27,{8000,8500,9000,10000,10032,12000},{782,2814,2814,2814,2814,2814}),0))))</f>
      </c>
      <c r="S27" s="413">
        <f t="shared" si="9"/>
      </c>
      <c r="T27" s="540">
        <f>IF(B27="","",SUMIF('6-3_調整額内訳⑤(新・新制度)'!B:B,$B27,'6-3_調整額内訳⑤(新・新制度)'!AF:AF))</f>
      </c>
      <c r="U27" s="530">
        <f t="shared" si="0"/>
      </c>
      <c r="V27" s="413">
        <f t="shared" si="1"/>
      </c>
      <c r="W27" s="412">
        <f t="shared" si="2"/>
      </c>
      <c r="X27" s="414"/>
      <c r="Y27" s="412">
        <f t="shared" si="3"/>
      </c>
      <c r="Z27" s="414"/>
      <c r="AA27" s="533" t="str">
        <f t="shared" si="4"/>
        <v>0</v>
      </c>
      <c r="AB27" s="486">
        <f t="shared" si="15"/>
        <v>0</v>
      </c>
      <c r="AC27" s="570"/>
      <c r="AD27" s="413">
        <f t="shared" si="8"/>
      </c>
      <c r="AE27" s="525">
        <f t="shared" si="5"/>
      </c>
      <c r="AF27" s="1124"/>
      <c r="AG27" s="1101"/>
      <c r="AH27" s="1102"/>
      <c r="AJ27" s="60">
        <f t="shared" si="6"/>
      </c>
      <c r="AK27" s="60">
        <f t="shared" si="7"/>
      </c>
    </row>
    <row r="28" spans="1:37" s="53" customFormat="1" ht="18.75" customHeight="1">
      <c r="A28" s="564">
        <f t="shared" si="10"/>
      </c>
      <c r="B28" s="237"/>
      <c r="C28" s="567"/>
      <c r="D28" s="403"/>
      <c r="E28" s="559"/>
      <c r="F28" s="202"/>
      <c r="G28" s="556">
        <f t="shared" si="11"/>
      </c>
      <c r="H28" s="404">
        <f t="shared" si="12"/>
      </c>
      <c r="I28" s="521"/>
      <c r="J28" s="109"/>
      <c r="K28" s="553"/>
      <c r="L28" s="109"/>
      <c r="M28" s="404">
        <f t="shared" si="13"/>
      </c>
      <c r="N28" s="549">
        <f t="shared" si="14"/>
      </c>
      <c r="O28" s="546"/>
      <c r="P28" s="408">
        <f>IF($H28="","",IF($O28="Ａ",LOOKUP($D28,{8000,8500,9000,10000,10032,12000},{0,1532,1032,32,0,0}),IF($O28="Ｂ",LOOKUP($D28,{8000,8500,9000,10000,10032,12000},{0,1532,1032,408,408,408}),IF($O28="Ｃ",LOOKUP($D28,{8000,8500,9000,10000,10032,12000},{782,2814,2814,2814,2814,2814}),0))))</f>
      </c>
      <c r="Q28" s="465"/>
      <c r="R28" s="543">
        <f>IF($H28="","",IF($Q28="Ａ",LOOKUP($D28,{8000,8500,9000,10000,10032,12000},{0,1532,1032,32,0,0}),IF($Q28="Ｂ",LOOKUP($D28,{8000,8500,9000,10000,10032,12000},{0,1532,1032,408,408,408}),IF($Q28="Ｃ",LOOKUP($D28,{8000,8500,9000,10000,10032,12000},{782,2814,2814,2814,2814,2814}),0))))</f>
      </c>
      <c r="S28" s="413">
        <f t="shared" si="9"/>
      </c>
      <c r="T28" s="540">
        <f>IF(B28="","",SUMIF('6-3_調整額内訳⑤(新・新制度)'!B:B,$B28,'6-3_調整額内訳⑤(新・新制度)'!AF:AF))</f>
      </c>
      <c r="U28" s="530">
        <f t="shared" si="0"/>
      </c>
      <c r="V28" s="413">
        <f t="shared" si="1"/>
      </c>
      <c r="W28" s="412">
        <f t="shared" si="2"/>
      </c>
      <c r="X28" s="414"/>
      <c r="Y28" s="412">
        <f t="shared" si="3"/>
      </c>
      <c r="Z28" s="414"/>
      <c r="AA28" s="533" t="str">
        <f t="shared" si="4"/>
        <v>0</v>
      </c>
      <c r="AB28" s="486">
        <f t="shared" si="15"/>
        <v>0</v>
      </c>
      <c r="AC28" s="570"/>
      <c r="AD28" s="413">
        <f t="shared" si="8"/>
      </c>
      <c r="AE28" s="525">
        <f t="shared" si="5"/>
      </c>
      <c r="AF28" s="1124"/>
      <c r="AG28" s="1101"/>
      <c r="AH28" s="1102"/>
      <c r="AJ28" s="60">
        <f t="shared" si="6"/>
      </c>
      <c r="AK28" s="60">
        <f t="shared" si="7"/>
      </c>
    </row>
    <row r="29" spans="1:37" s="53" customFormat="1" ht="18.75" customHeight="1">
      <c r="A29" s="564">
        <f t="shared" si="10"/>
      </c>
      <c r="B29" s="237"/>
      <c r="C29" s="567"/>
      <c r="D29" s="403"/>
      <c r="E29" s="559"/>
      <c r="F29" s="202"/>
      <c r="G29" s="556">
        <f t="shared" si="11"/>
      </c>
      <c r="H29" s="404">
        <f t="shared" si="12"/>
      </c>
      <c r="I29" s="521"/>
      <c r="J29" s="109"/>
      <c r="K29" s="553"/>
      <c r="L29" s="109"/>
      <c r="M29" s="404">
        <f t="shared" si="13"/>
      </c>
      <c r="N29" s="549">
        <f t="shared" si="14"/>
      </c>
      <c r="O29" s="546"/>
      <c r="P29" s="408">
        <f>IF($H29="","",IF($O29="Ａ",LOOKUP($D29,{8000,8500,9000,10000,10032,12000},{0,1532,1032,32,0,0}),IF($O29="Ｂ",LOOKUP($D29,{8000,8500,9000,10000,10032,12000},{0,1532,1032,408,408,408}),IF($O29="Ｃ",LOOKUP($D29,{8000,8500,9000,10000,10032,12000},{782,2814,2814,2814,2814,2814}),0))))</f>
      </c>
      <c r="Q29" s="465"/>
      <c r="R29" s="543">
        <f>IF($H29="","",IF($Q29="Ａ",LOOKUP($D29,{8000,8500,9000,10000,10032,12000},{0,1532,1032,32,0,0}),IF($Q29="Ｂ",LOOKUP($D29,{8000,8500,9000,10000,10032,12000},{0,1532,1032,408,408,408}),IF($Q29="Ｃ",LOOKUP($D29,{8000,8500,9000,10000,10032,12000},{782,2814,2814,2814,2814,2814}),0))))</f>
      </c>
      <c r="S29" s="413">
        <f t="shared" si="9"/>
      </c>
      <c r="T29" s="540">
        <f>IF(B29="","",SUMIF('6-3_調整額内訳⑤(新・新制度)'!B:B,$B29,'6-3_調整額内訳⑤(新・新制度)'!AF:AF))</f>
      </c>
      <c r="U29" s="530">
        <f t="shared" si="0"/>
      </c>
      <c r="V29" s="413">
        <f t="shared" si="1"/>
      </c>
      <c r="W29" s="412">
        <f t="shared" si="2"/>
      </c>
      <c r="X29" s="414"/>
      <c r="Y29" s="412">
        <f t="shared" si="3"/>
      </c>
      <c r="Z29" s="414"/>
      <c r="AA29" s="533" t="str">
        <f t="shared" si="4"/>
        <v>0</v>
      </c>
      <c r="AB29" s="486">
        <f t="shared" si="15"/>
        <v>0</v>
      </c>
      <c r="AC29" s="570"/>
      <c r="AD29" s="413">
        <f t="shared" si="8"/>
      </c>
      <c r="AE29" s="525">
        <f t="shared" si="5"/>
      </c>
      <c r="AF29" s="1124"/>
      <c r="AG29" s="1101"/>
      <c r="AH29" s="1102"/>
      <c r="AJ29" s="60">
        <f t="shared" si="6"/>
      </c>
      <c r="AK29" s="60">
        <f t="shared" si="7"/>
      </c>
    </row>
    <row r="30" spans="1:37" s="53" customFormat="1" ht="18.75" customHeight="1">
      <c r="A30" s="564">
        <f t="shared" si="10"/>
      </c>
      <c r="B30" s="237"/>
      <c r="C30" s="567"/>
      <c r="D30" s="403"/>
      <c r="E30" s="559"/>
      <c r="F30" s="202"/>
      <c r="G30" s="556">
        <f t="shared" si="11"/>
      </c>
      <c r="H30" s="404">
        <f t="shared" si="12"/>
      </c>
      <c r="I30" s="521"/>
      <c r="J30" s="109"/>
      <c r="K30" s="553"/>
      <c r="L30" s="109"/>
      <c r="M30" s="404">
        <f t="shared" si="13"/>
      </c>
      <c r="N30" s="549">
        <f t="shared" si="14"/>
      </c>
      <c r="O30" s="546"/>
      <c r="P30" s="408">
        <f>IF($H30="","",IF($O30="Ａ",LOOKUP($D30,{8000,8500,9000,10000,10032,12000},{0,1532,1032,32,0,0}),IF($O30="Ｂ",LOOKUP($D30,{8000,8500,9000,10000,10032,12000},{0,1532,1032,408,408,408}),IF($O30="Ｃ",LOOKUP($D30,{8000,8500,9000,10000,10032,12000},{782,2814,2814,2814,2814,2814}),0))))</f>
      </c>
      <c r="Q30" s="465"/>
      <c r="R30" s="543">
        <f>IF($H30="","",IF($Q30="Ａ",LOOKUP($D30,{8000,8500,9000,10000,10032,12000},{0,1532,1032,32,0,0}),IF($Q30="Ｂ",LOOKUP($D30,{8000,8500,9000,10000,10032,12000},{0,1532,1032,408,408,408}),IF($Q30="Ｃ",LOOKUP($D30,{8000,8500,9000,10000,10032,12000},{782,2814,2814,2814,2814,2814}),0))))</f>
      </c>
      <c r="S30" s="413">
        <f t="shared" si="9"/>
      </c>
      <c r="T30" s="540">
        <f>IF(B30="","",SUMIF('6-3_調整額内訳⑤(新・新制度)'!B:B,$B30,'6-3_調整額内訳⑤(新・新制度)'!AF:AF))</f>
      </c>
      <c r="U30" s="530">
        <f t="shared" si="0"/>
      </c>
      <c r="V30" s="413">
        <f t="shared" si="1"/>
      </c>
      <c r="W30" s="412">
        <f t="shared" si="2"/>
      </c>
      <c r="X30" s="414"/>
      <c r="Y30" s="412">
        <f t="shared" si="3"/>
      </c>
      <c r="Z30" s="414"/>
      <c r="AA30" s="533" t="str">
        <f t="shared" si="4"/>
        <v>0</v>
      </c>
      <c r="AB30" s="486">
        <f t="shared" si="15"/>
        <v>0</v>
      </c>
      <c r="AC30" s="570"/>
      <c r="AD30" s="413">
        <f t="shared" si="8"/>
      </c>
      <c r="AE30" s="525">
        <f t="shared" si="5"/>
      </c>
      <c r="AF30" s="1124"/>
      <c r="AG30" s="1101"/>
      <c r="AH30" s="1102"/>
      <c r="AJ30" s="60">
        <f t="shared" si="6"/>
      </c>
      <c r="AK30" s="60">
        <f t="shared" si="7"/>
      </c>
    </row>
    <row r="31" spans="1:37" s="53" customFormat="1" ht="18.75" customHeight="1">
      <c r="A31" s="564">
        <f t="shared" si="10"/>
      </c>
      <c r="B31" s="237"/>
      <c r="C31" s="567"/>
      <c r="D31" s="403"/>
      <c r="E31" s="559"/>
      <c r="F31" s="202"/>
      <c r="G31" s="556">
        <f t="shared" si="11"/>
      </c>
      <c r="H31" s="404">
        <f t="shared" si="12"/>
      </c>
      <c r="I31" s="521"/>
      <c r="J31" s="109"/>
      <c r="K31" s="553"/>
      <c r="L31" s="109"/>
      <c r="M31" s="404">
        <f t="shared" si="13"/>
      </c>
      <c r="N31" s="549">
        <f t="shared" si="14"/>
      </c>
      <c r="O31" s="546"/>
      <c r="P31" s="408">
        <f>IF($H31="","",IF($O31="Ａ",LOOKUP($D31,{8000,8500,9000,10000,10032,12000},{0,1532,1032,32,0,0}),IF($O31="Ｂ",LOOKUP($D31,{8000,8500,9000,10000,10032,12000},{0,1532,1032,408,408,408}),IF($O31="Ｃ",LOOKUP($D31,{8000,8500,9000,10000,10032,12000},{782,2814,2814,2814,2814,2814}),0))))</f>
      </c>
      <c r="Q31" s="465"/>
      <c r="R31" s="543">
        <f>IF($H31="","",IF($Q31="Ａ",LOOKUP($D31,{8000,8500,9000,10000,10032,12000},{0,1532,1032,32,0,0}),IF($Q31="Ｂ",LOOKUP($D31,{8000,8500,9000,10000,10032,12000},{0,1532,1032,408,408,408}),IF($Q31="Ｃ",LOOKUP($D31,{8000,8500,9000,10000,10032,12000},{782,2814,2814,2814,2814,2814}),0))))</f>
      </c>
      <c r="S31" s="413">
        <f t="shared" si="9"/>
      </c>
      <c r="T31" s="540">
        <f>IF(B31="","",SUMIF('6-3_調整額内訳⑤(新・新制度)'!B:B,$B31,'6-3_調整額内訳⑤(新・新制度)'!AF:AF))</f>
      </c>
      <c r="U31" s="530">
        <f t="shared" si="0"/>
      </c>
      <c r="V31" s="413">
        <f t="shared" si="1"/>
      </c>
      <c r="W31" s="412">
        <f t="shared" si="2"/>
      </c>
      <c r="X31" s="414"/>
      <c r="Y31" s="412">
        <f t="shared" si="3"/>
      </c>
      <c r="Z31" s="414"/>
      <c r="AA31" s="533" t="str">
        <f t="shared" si="4"/>
        <v>0</v>
      </c>
      <c r="AB31" s="486">
        <f t="shared" si="15"/>
        <v>0</v>
      </c>
      <c r="AC31" s="570"/>
      <c r="AD31" s="413">
        <f t="shared" si="8"/>
      </c>
      <c r="AE31" s="525">
        <f t="shared" si="5"/>
      </c>
      <c r="AF31" s="1124"/>
      <c r="AG31" s="1101"/>
      <c r="AH31" s="1102"/>
      <c r="AJ31" s="60">
        <f t="shared" si="6"/>
      </c>
      <c r="AK31" s="60">
        <f t="shared" si="7"/>
      </c>
    </row>
    <row r="32" spans="1:37" s="53" customFormat="1" ht="18.75" customHeight="1">
      <c r="A32" s="564">
        <f t="shared" si="10"/>
      </c>
      <c r="B32" s="237"/>
      <c r="C32" s="567"/>
      <c r="D32" s="403"/>
      <c r="E32" s="559"/>
      <c r="F32" s="202"/>
      <c r="G32" s="556">
        <f t="shared" si="11"/>
      </c>
      <c r="H32" s="404">
        <f t="shared" si="12"/>
      </c>
      <c r="I32" s="521"/>
      <c r="J32" s="109"/>
      <c r="K32" s="553"/>
      <c r="L32" s="109"/>
      <c r="M32" s="404">
        <f t="shared" si="13"/>
      </c>
      <c r="N32" s="549">
        <f t="shared" si="14"/>
      </c>
      <c r="O32" s="546"/>
      <c r="P32" s="408">
        <f>IF($H32="","",IF($O32="Ａ",LOOKUP($D32,{8000,8500,9000,10000,10032,12000},{0,1532,1032,32,0,0}),IF($O32="Ｂ",LOOKUP($D32,{8000,8500,9000,10000,10032,12000},{0,1532,1032,408,408,408}),IF($O32="Ｃ",LOOKUP($D32,{8000,8500,9000,10000,10032,12000},{782,2814,2814,2814,2814,2814}),0))))</f>
      </c>
      <c r="Q32" s="465"/>
      <c r="R32" s="543">
        <f>IF($H32="","",IF($Q32="Ａ",LOOKUP($D32,{8000,8500,9000,10000,10032,12000},{0,1532,1032,32,0,0}),IF($Q32="Ｂ",LOOKUP($D32,{8000,8500,9000,10000,10032,12000},{0,1532,1032,408,408,408}),IF($Q32="Ｃ",LOOKUP($D32,{8000,8500,9000,10000,10032,12000},{782,2814,2814,2814,2814,2814}),0))))</f>
      </c>
      <c r="S32" s="413">
        <f t="shared" si="9"/>
      </c>
      <c r="T32" s="540">
        <f>IF(B32="","",SUMIF('6-3_調整額内訳⑤(新・新制度)'!B:B,$B32,'6-3_調整額内訳⑤(新・新制度)'!AF:AF))</f>
      </c>
      <c r="U32" s="530">
        <f t="shared" si="0"/>
      </c>
      <c r="V32" s="413">
        <f t="shared" si="1"/>
      </c>
      <c r="W32" s="412">
        <f t="shared" si="2"/>
      </c>
      <c r="X32" s="414"/>
      <c r="Y32" s="412">
        <f t="shared" si="3"/>
      </c>
      <c r="Z32" s="414"/>
      <c r="AA32" s="533" t="str">
        <f t="shared" si="4"/>
        <v>0</v>
      </c>
      <c r="AB32" s="486">
        <f t="shared" si="15"/>
        <v>0</v>
      </c>
      <c r="AC32" s="570"/>
      <c r="AD32" s="413">
        <f t="shared" si="8"/>
      </c>
      <c r="AE32" s="525">
        <f t="shared" si="5"/>
      </c>
      <c r="AF32" s="1124"/>
      <c r="AG32" s="1101"/>
      <c r="AH32" s="1102"/>
      <c r="AJ32" s="60">
        <f t="shared" si="6"/>
      </c>
      <c r="AK32" s="60">
        <f t="shared" si="7"/>
      </c>
    </row>
    <row r="33" spans="1:37" s="53" customFormat="1" ht="18.75" customHeight="1">
      <c r="A33" s="564">
        <f t="shared" si="10"/>
      </c>
      <c r="B33" s="237"/>
      <c r="C33" s="567"/>
      <c r="D33" s="403"/>
      <c r="E33" s="559"/>
      <c r="F33" s="202"/>
      <c r="G33" s="556">
        <f t="shared" si="11"/>
      </c>
      <c r="H33" s="404">
        <f t="shared" si="12"/>
      </c>
      <c r="I33" s="521"/>
      <c r="J33" s="109"/>
      <c r="K33" s="553"/>
      <c r="L33" s="109"/>
      <c r="M33" s="404">
        <f t="shared" si="13"/>
      </c>
      <c r="N33" s="549">
        <f t="shared" si="14"/>
      </c>
      <c r="O33" s="546"/>
      <c r="P33" s="408">
        <f>IF($H33="","",IF($O33="Ａ",LOOKUP($D33,{8000,8500,9000,10000,10032,12000},{0,1532,1032,32,0,0}),IF($O33="Ｂ",LOOKUP($D33,{8000,8500,9000,10000,10032,12000},{0,1532,1032,408,408,408}),IF($O33="Ｃ",LOOKUP($D33,{8000,8500,9000,10000,10032,12000},{782,2814,2814,2814,2814,2814}),0))))</f>
      </c>
      <c r="Q33" s="465"/>
      <c r="R33" s="543">
        <f>IF($H33="","",IF($Q33="Ａ",LOOKUP($D33,{8000,8500,9000,10000,10032,12000},{0,1532,1032,32,0,0}),IF($Q33="Ｂ",LOOKUP($D33,{8000,8500,9000,10000,10032,12000},{0,1532,1032,408,408,408}),IF($Q33="Ｃ",LOOKUP($D33,{8000,8500,9000,10000,10032,12000},{782,2814,2814,2814,2814,2814}),0))))</f>
      </c>
      <c r="S33" s="413">
        <f t="shared" si="9"/>
      </c>
      <c r="T33" s="540">
        <f>IF(B33="","",SUMIF('6-3_調整額内訳⑤(新・新制度)'!B:B,$B33,'6-3_調整額内訳⑤(新・新制度)'!AF:AF))</f>
      </c>
      <c r="U33" s="530">
        <f t="shared" si="0"/>
      </c>
      <c r="V33" s="413">
        <f t="shared" si="1"/>
      </c>
      <c r="W33" s="412">
        <f t="shared" si="2"/>
      </c>
      <c r="X33" s="414"/>
      <c r="Y33" s="412">
        <f t="shared" si="3"/>
      </c>
      <c r="Z33" s="414"/>
      <c r="AA33" s="533" t="str">
        <f t="shared" si="4"/>
        <v>0</v>
      </c>
      <c r="AB33" s="486">
        <f t="shared" si="15"/>
        <v>0</v>
      </c>
      <c r="AC33" s="570"/>
      <c r="AD33" s="413">
        <f t="shared" si="8"/>
      </c>
      <c r="AE33" s="525">
        <f t="shared" si="5"/>
      </c>
      <c r="AF33" s="1124"/>
      <c r="AG33" s="1101"/>
      <c r="AH33" s="1102"/>
      <c r="AJ33" s="60">
        <f t="shared" si="6"/>
      </c>
      <c r="AK33" s="60">
        <f t="shared" si="7"/>
      </c>
    </row>
    <row r="34" spans="1:37" s="53" customFormat="1" ht="18.75" customHeight="1">
      <c r="A34" s="564">
        <f t="shared" si="10"/>
      </c>
      <c r="B34" s="237"/>
      <c r="C34" s="567"/>
      <c r="D34" s="403"/>
      <c r="E34" s="559"/>
      <c r="F34" s="202"/>
      <c r="G34" s="556">
        <f t="shared" si="11"/>
      </c>
      <c r="H34" s="404">
        <f t="shared" si="12"/>
      </c>
      <c r="I34" s="521"/>
      <c r="J34" s="109"/>
      <c r="K34" s="553"/>
      <c r="L34" s="109"/>
      <c r="M34" s="404">
        <f t="shared" si="13"/>
      </c>
      <c r="N34" s="549">
        <f t="shared" si="14"/>
      </c>
      <c r="O34" s="546"/>
      <c r="P34" s="408">
        <f>IF($H34="","",IF($O34="Ａ",LOOKUP($D34,{8000,8500,9000,10000,10032,12000},{0,1532,1032,32,0,0}),IF($O34="Ｂ",LOOKUP($D34,{8000,8500,9000,10000,10032,12000},{0,1532,1032,408,408,408}),IF($O34="Ｃ",LOOKUP($D34,{8000,8500,9000,10000,10032,12000},{782,2814,2814,2814,2814,2814}),0))))</f>
      </c>
      <c r="Q34" s="465"/>
      <c r="R34" s="543">
        <f>IF($H34="","",IF($Q34="Ａ",LOOKUP($D34,{8000,8500,9000,10000,10032,12000},{0,1532,1032,32,0,0}),IF($Q34="Ｂ",LOOKUP($D34,{8000,8500,9000,10000,10032,12000},{0,1532,1032,408,408,408}),IF($Q34="Ｃ",LOOKUP($D34,{8000,8500,9000,10000,10032,12000},{782,2814,2814,2814,2814,2814}),0))))</f>
      </c>
      <c r="S34" s="413">
        <f t="shared" si="9"/>
      </c>
      <c r="T34" s="540">
        <f>IF(B34="","",SUMIF('6-3_調整額内訳⑤(新・新制度)'!B:B,$B34,'6-3_調整額内訳⑤(新・新制度)'!AF:AF))</f>
      </c>
      <c r="U34" s="530">
        <f t="shared" si="0"/>
      </c>
      <c r="V34" s="413">
        <f t="shared" si="1"/>
      </c>
      <c r="W34" s="412">
        <f t="shared" si="2"/>
      </c>
      <c r="X34" s="414"/>
      <c r="Y34" s="412">
        <f t="shared" si="3"/>
      </c>
      <c r="Z34" s="414"/>
      <c r="AA34" s="533" t="str">
        <f t="shared" si="4"/>
        <v>0</v>
      </c>
      <c r="AB34" s="486">
        <f t="shared" si="15"/>
        <v>0</v>
      </c>
      <c r="AC34" s="570"/>
      <c r="AD34" s="413">
        <f t="shared" si="8"/>
      </c>
      <c r="AE34" s="525">
        <f t="shared" si="5"/>
      </c>
      <c r="AF34" s="1124"/>
      <c r="AG34" s="1101"/>
      <c r="AH34" s="1102"/>
      <c r="AJ34" s="60">
        <f t="shared" si="6"/>
      </c>
      <c r="AK34" s="60">
        <f t="shared" si="7"/>
      </c>
    </row>
    <row r="35" spans="1:37" s="53" customFormat="1" ht="18.75" customHeight="1">
      <c r="A35" s="564">
        <f t="shared" si="10"/>
      </c>
      <c r="B35" s="237"/>
      <c r="C35" s="567"/>
      <c r="D35" s="403"/>
      <c r="E35" s="559"/>
      <c r="F35" s="202"/>
      <c r="G35" s="556">
        <f t="shared" si="11"/>
      </c>
      <c r="H35" s="404">
        <f t="shared" si="12"/>
      </c>
      <c r="I35" s="521"/>
      <c r="J35" s="109"/>
      <c r="K35" s="553"/>
      <c r="L35" s="109"/>
      <c r="M35" s="404">
        <f t="shared" si="13"/>
      </c>
      <c r="N35" s="549">
        <f t="shared" si="14"/>
      </c>
      <c r="O35" s="546"/>
      <c r="P35" s="408">
        <f>IF($H35="","",IF($O35="Ａ",LOOKUP($D35,{8000,8500,9000,10000,10032,12000},{0,1532,1032,32,0,0}),IF($O35="Ｂ",LOOKUP($D35,{8000,8500,9000,10000,10032,12000},{0,1532,1032,408,408,408}),IF($O35="Ｃ",LOOKUP($D35,{8000,8500,9000,10000,10032,12000},{782,2814,2814,2814,2814,2814}),0))))</f>
      </c>
      <c r="Q35" s="465"/>
      <c r="R35" s="543">
        <f>IF($H35="","",IF($Q35="Ａ",LOOKUP($D35,{8000,8500,9000,10000,10032,12000},{0,1532,1032,32,0,0}),IF($Q35="Ｂ",LOOKUP($D35,{8000,8500,9000,10000,10032,12000},{0,1532,1032,408,408,408}),IF($Q35="Ｃ",LOOKUP($D35,{8000,8500,9000,10000,10032,12000},{782,2814,2814,2814,2814,2814}),0))))</f>
      </c>
      <c r="S35" s="413">
        <f t="shared" si="9"/>
      </c>
      <c r="T35" s="540">
        <f>IF(B35="","",SUMIF('6-3_調整額内訳⑤(新・新制度)'!B:B,$B35,'6-3_調整額内訳⑤(新・新制度)'!AF:AF))</f>
      </c>
      <c r="U35" s="530">
        <f t="shared" si="0"/>
      </c>
      <c r="V35" s="413">
        <f t="shared" si="1"/>
      </c>
      <c r="W35" s="412">
        <f t="shared" si="2"/>
      </c>
      <c r="X35" s="414"/>
      <c r="Y35" s="412">
        <f t="shared" si="3"/>
      </c>
      <c r="Z35" s="414"/>
      <c r="AA35" s="533" t="str">
        <f t="shared" si="4"/>
        <v>0</v>
      </c>
      <c r="AB35" s="486">
        <f t="shared" si="15"/>
        <v>0</v>
      </c>
      <c r="AC35" s="570"/>
      <c r="AD35" s="413">
        <f t="shared" si="8"/>
      </c>
      <c r="AE35" s="525">
        <f t="shared" si="5"/>
      </c>
      <c r="AF35" s="1124"/>
      <c r="AG35" s="1101"/>
      <c r="AH35" s="1102"/>
      <c r="AJ35" s="60">
        <f t="shared" si="6"/>
      </c>
      <c r="AK35" s="60">
        <f t="shared" si="7"/>
      </c>
    </row>
    <row r="36" spans="1:37" s="53" customFormat="1" ht="18.75" customHeight="1">
      <c r="A36" s="564">
        <f t="shared" si="10"/>
      </c>
      <c r="B36" s="237"/>
      <c r="C36" s="567"/>
      <c r="D36" s="403"/>
      <c r="E36" s="559"/>
      <c r="F36" s="202"/>
      <c r="G36" s="556">
        <f t="shared" si="11"/>
      </c>
      <c r="H36" s="404">
        <f t="shared" si="12"/>
      </c>
      <c r="I36" s="521"/>
      <c r="J36" s="109"/>
      <c r="K36" s="553"/>
      <c r="L36" s="109"/>
      <c r="M36" s="404">
        <f t="shared" si="13"/>
      </c>
      <c r="N36" s="549">
        <f t="shared" si="14"/>
      </c>
      <c r="O36" s="546"/>
      <c r="P36" s="408">
        <f>IF($H36="","",IF($O36="Ａ",LOOKUP($D36,{8000,8500,9000,10000,10032,12000},{0,1532,1032,32,0,0}),IF($O36="Ｂ",LOOKUP($D36,{8000,8500,9000,10000,10032,12000},{0,1532,1032,408,408,408}),IF($O36="Ｃ",LOOKUP($D36,{8000,8500,9000,10000,10032,12000},{782,2814,2814,2814,2814,2814}),0))))</f>
      </c>
      <c r="Q36" s="465"/>
      <c r="R36" s="543">
        <f>IF($H36="","",IF($Q36="Ａ",LOOKUP($D36,{8000,8500,9000,10000,10032,12000},{0,1532,1032,32,0,0}),IF($Q36="Ｂ",LOOKUP($D36,{8000,8500,9000,10000,10032,12000},{0,1532,1032,408,408,408}),IF($Q36="Ｃ",LOOKUP($D36,{8000,8500,9000,10000,10032,12000},{782,2814,2814,2814,2814,2814}),0))))</f>
      </c>
      <c r="S36" s="413">
        <f t="shared" si="9"/>
      </c>
      <c r="T36" s="540">
        <f>IF(B36="","",SUMIF('6-3_調整額内訳⑤(新・新制度)'!B:B,$B36,'6-3_調整額内訳⑤(新・新制度)'!AF:AF))</f>
      </c>
      <c r="U36" s="530">
        <f t="shared" si="0"/>
      </c>
      <c r="V36" s="413">
        <f t="shared" si="1"/>
      </c>
      <c r="W36" s="412">
        <f t="shared" si="2"/>
      </c>
      <c r="X36" s="414"/>
      <c r="Y36" s="412">
        <f t="shared" si="3"/>
      </c>
      <c r="Z36" s="414"/>
      <c r="AA36" s="533" t="str">
        <f t="shared" si="4"/>
        <v>0</v>
      </c>
      <c r="AB36" s="486">
        <f t="shared" si="15"/>
        <v>0</v>
      </c>
      <c r="AC36" s="570"/>
      <c r="AD36" s="413">
        <f t="shared" si="8"/>
      </c>
      <c r="AE36" s="525">
        <f t="shared" si="5"/>
      </c>
      <c r="AF36" s="1124"/>
      <c r="AG36" s="1101"/>
      <c r="AH36" s="1102"/>
      <c r="AJ36" s="60">
        <f t="shared" si="6"/>
      </c>
      <c r="AK36" s="60">
        <f t="shared" si="7"/>
      </c>
    </row>
    <row r="37" spans="1:37" s="53" customFormat="1" ht="18.75" customHeight="1">
      <c r="A37" s="564">
        <f t="shared" si="10"/>
      </c>
      <c r="B37" s="237"/>
      <c r="C37" s="567"/>
      <c r="D37" s="403"/>
      <c r="E37" s="559"/>
      <c r="F37" s="202"/>
      <c r="G37" s="556">
        <f t="shared" si="11"/>
      </c>
      <c r="H37" s="404">
        <f t="shared" si="12"/>
      </c>
      <c r="I37" s="521"/>
      <c r="J37" s="109"/>
      <c r="K37" s="553"/>
      <c r="L37" s="109"/>
      <c r="M37" s="404">
        <f t="shared" si="13"/>
      </c>
      <c r="N37" s="549">
        <f t="shared" si="14"/>
      </c>
      <c r="O37" s="546"/>
      <c r="P37" s="408">
        <f>IF($H37="","",IF($O37="Ａ",LOOKUP($D37,{8000,8500,9000,10000,10032,12000},{0,1532,1032,32,0,0}),IF($O37="Ｂ",LOOKUP($D37,{8000,8500,9000,10000,10032,12000},{0,1532,1032,408,408,408}),IF($O37="Ｃ",LOOKUP($D37,{8000,8500,9000,10000,10032,12000},{782,2814,2814,2814,2814,2814}),0))))</f>
      </c>
      <c r="Q37" s="465"/>
      <c r="R37" s="543">
        <f>IF($H37="","",IF($Q37="Ａ",LOOKUP($D37,{8000,8500,9000,10000,10032,12000},{0,1532,1032,32,0,0}),IF($Q37="Ｂ",LOOKUP($D37,{8000,8500,9000,10000,10032,12000},{0,1532,1032,408,408,408}),IF($Q37="Ｃ",LOOKUP($D37,{8000,8500,9000,10000,10032,12000},{782,2814,2814,2814,2814,2814}),0))))</f>
      </c>
      <c r="S37" s="413">
        <f t="shared" si="9"/>
      </c>
      <c r="T37" s="540">
        <f>IF(B37="","",SUMIF('6-3_調整額内訳⑤(新・新制度)'!B:B,$B37,'6-3_調整額内訳⑤(新・新制度)'!AF:AF))</f>
      </c>
      <c r="U37" s="530">
        <f t="shared" si="0"/>
      </c>
      <c r="V37" s="413">
        <f t="shared" si="1"/>
      </c>
      <c r="W37" s="412">
        <f t="shared" si="2"/>
      </c>
      <c r="X37" s="414"/>
      <c r="Y37" s="412">
        <f t="shared" si="3"/>
      </c>
      <c r="Z37" s="414"/>
      <c r="AA37" s="533" t="str">
        <f t="shared" si="4"/>
        <v>0</v>
      </c>
      <c r="AB37" s="486">
        <f t="shared" si="15"/>
        <v>0</v>
      </c>
      <c r="AC37" s="570"/>
      <c r="AD37" s="413">
        <f t="shared" si="8"/>
      </c>
      <c r="AE37" s="525">
        <f t="shared" si="5"/>
      </c>
      <c r="AF37" s="1124"/>
      <c r="AG37" s="1101"/>
      <c r="AH37" s="1102"/>
      <c r="AJ37" s="60">
        <f t="shared" si="6"/>
      </c>
      <c r="AK37" s="60">
        <f t="shared" si="7"/>
      </c>
    </row>
    <row r="38" spans="1:37" s="53" customFormat="1" ht="18.75" customHeight="1">
      <c r="A38" s="564">
        <f t="shared" si="10"/>
      </c>
      <c r="B38" s="237"/>
      <c r="C38" s="567"/>
      <c r="D38" s="403"/>
      <c r="E38" s="559"/>
      <c r="F38" s="202"/>
      <c r="G38" s="556">
        <f t="shared" si="11"/>
      </c>
      <c r="H38" s="404">
        <f t="shared" si="12"/>
      </c>
      <c r="I38" s="521"/>
      <c r="J38" s="109"/>
      <c r="K38" s="553"/>
      <c r="L38" s="109"/>
      <c r="M38" s="404">
        <f t="shared" si="13"/>
      </c>
      <c r="N38" s="549">
        <f t="shared" si="14"/>
      </c>
      <c r="O38" s="546"/>
      <c r="P38" s="408">
        <f>IF($H38="","",IF($O38="Ａ",LOOKUP($D38,{8000,8500,9000,10000,10032,12000},{0,1532,1032,32,0,0}),IF($O38="Ｂ",LOOKUP($D38,{8000,8500,9000,10000,10032,12000},{0,1532,1032,408,408,408}),IF($O38="Ｃ",LOOKUP($D38,{8000,8500,9000,10000,10032,12000},{782,2814,2814,2814,2814,2814}),0))))</f>
      </c>
      <c r="Q38" s="465"/>
      <c r="R38" s="543">
        <f>IF($H38="","",IF($Q38="Ａ",LOOKUP($D38,{8000,8500,9000,10000,10032,12000},{0,1532,1032,32,0,0}),IF($Q38="Ｂ",LOOKUP($D38,{8000,8500,9000,10000,10032,12000},{0,1532,1032,408,408,408}),IF($Q38="Ｃ",LOOKUP($D38,{8000,8500,9000,10000,10032,12000},{782,2814,2814,2814,2814,2814}),0))))</f>
      </c>
      <c r="S38" s="413">
        <f t="shared" si="9"/>
      </c>
      <c r="T38" s="540">
        <f>IF(B38="","",SUMIF('6-3_調整額内訳⑤(新・新制度)'!B:B,$B38,'6-3_調整額内訳⑤(新・新制度)'!AF:AF))</f>
      </c>
      <c r="U38" s="530">
        <f t="shared" si="0"/>
      </c>
      <c r="V38" s="413">
        <f t="shared" si="1"/>
      </c>
      <c r="W38" s="412">
        <f t="shared" si="2"/>
      </c>
      <c r="X38" s="414"/>
      <c r="Y38" s="412">
        <f t="shared" si="3"/>
      </c>
      <c r="Z38" s="414"/>
      <c r="AA38" s="533" t="str">
        <f t="shared" si="4"/>
        <v>0</v>
      </c>
      <c r="AB38" s="486">
        <f t="shared" si="15"/>
        <v>0</v>
      </c>
      <c r="AC38" s="570"/>
      <c r="AD38" s="413">
        <f t="shared" si="8"/>
      </c>
      <c r="AE38" s="525">
        <f t="shared" si="5"/>
      </c>
      <c r="AF38" s="1124"/>
      <c r="AG38" s="1101"/>
      <c r="AH38" s="1102"/>
      <c r="AJ38" s="60">
        <f t="shared" si="6"/>
      </c>
      <c r="AK38" s="60">
        <f t="shared" si="7"/>
      </c>
    </row>
    <row r="39" spans="1:37" s="53" customFormat="1" ht="18.75" customHeight="1">
      <c r="A39" s="564">
        <f t="shared" si="10"/>
      </c>
      <c r="B39" s="237"/>
      <c r="C39" s="567"/>
      <c r="D39" s="403"/>
      <c r="E39" s="559"/>
      <c r="F39" s="202"/>
      <c r="G39" s="556">
        <f t="shared" si="11"/>
      </c>
      <c r="H39" s="404">
        <f t="shared" si="12"/>
      </c>
      <c r="I39" s="521"/>
      <c r="J39" s="109"/>
      <c r="K39" s="553"/>
      <c r="L39" s="109"/>
      <c r="M39" s="404">
        <f t="shared" si="13"/>
      </c>
      <c r="N39" s="549">
        <f t="shared" si="14"/>
      </c>
      <c r="O39" s="546"/>
      <c r="P39" s="408">
        <f>IF($H39="","",IF($O39="Ａ",LOOKUP($D39,{8000,8500,9000,10000,10032,12000},{0,1532,1032,32,0,0}),IF($O39="Ｂ",LOOKUP($D39,{8000,8500,9000,10000,10032,12000},{0,1532,1032,408,408,408}),IF($O39="Ｃ",LOOKUP($D39,{8000,8500,9000,10000,10032,12000},{782,2814,2814,2814,2814,2814}),0))))</f>
      </c>
      <c r="Q39" s="465"/>
      <c r="R39" s="543">
        <f>IF($H39="","",IF($Q39="Ａ",LOOKUP($D39,{8000,8500,9000,10000,10032,12000},{0,1532,1032,32,0,0}),IF($Q39="Ｂ",LOOKUP($D39,{8000,8500,9000,10000,10032,12000},{0,1532,1032,408,408,408}),IF($Q39="Ｃ",LOOKUP($D39,{8000,8500,9000,10000,10032,12000},{782,2814,2814,2814,2814,2814}),0))))</f>
      </c>
      <c r="S39" s="413">
        <f t="shared" si="9"/>
      </c>
      <c r="T39" s="540">
        <f>IF(B39="","",SUMIF('6-3_調整額内訳⑤(新・新制度)'!B:B,$B39,'6-3_調整額内訳⑤(新・新制度)'!AF:AF))</f>
      </c>
      <c r="U39" s="530">
        <f t="shared" si="0"/>
      </c>
      <c r="V39" s="413">
        <f t="shared" si="1"/>
      </c>
      <c r="W39" s="412">
        <f t="shared" si="2"/>
      </c>
      <c r="X39" s="414"/>
      <c r="Y39" s="412">
        <f t="shared" si="3"/>
      </c>
      <c r="Z39" s="414"/>
      <c r="AA39" s="533" t="str">
        <f t="shared" si="4"/>
        <v>0</v>
      </c>
      <c r="AB39" s="486">
        <f t="shared" si="15"/>
        <v>0</v>
      </c>
      <c r="AC39" s="570"/>
      <c r="AD39" s="413">
        <f t="shared" si="8"/>
      </c>
      <c r="AE39" s="525">
        <f t="shared" si="5"/>
      </c>
      <c r="AF39" s="1124"/>
      <c r="AG39" s="1101"/>
      <c r="AH39" s="1102"/>
      <c r="AJ39" s="60">
        <f t="shared" si="6"/>
      </c>
      <c r="AK39" s="60">
        <f t="shared" si="7"/>
      </c>
    </row>
    <row r="40" spans="1:37" s="53" customFormat="1" ht="18.75" customHeight="1">
      <c r="A40" s="564">
        <f t="shared" si="10"/>
      </c>
      <c r="B40" s="237"/>
      <c r="C40" s="567"/>
      <c r="D40" s="403"/>
      <c r="E40" s="559"/>
      <c r="F40" s="202"/>
      <c r="G40" s="556">
        <f t="shared" si="11"/>
      </c>
      <c r="H40" s="404">
        <f t="shared" si="12"/>
      </c>
      <c r="I40" s="521"/>
      <c r="J40" s="109"/>
      <c r="K40" s="553"/>
      <c r="L40" s="109"/>
      <c r="M40" s="404">
        <f t="shared" si="13"/>
      </c>
      <c r="N40" s="549">
        <f t="shared" si="14"/>
      </c>
      <c r="O40" s="546"/>
      <c r="P40" s="408">
        <f>IF($H40="","",IF($O40="Ａ",LOOKUP($D40,{8000,8500,9000,10000,10032,12000},{0,1532,1032,32,0,0}),IF($O40="Ｂ",LOOKUP($D40,{8000,8500,9000,10000,10032,12000},{0,1532,1032,408,408,408}),IF($O40="Ｃ",LOOKUP($D40,{8000,8500,9000,10000,10032,12000},{782,2814,2814,2814,2814,2814}),0))))</f>
      </c>
      <c r="Q40" s="465"/>
      <c r="R40" s="543">
        <f>IF($H40="","",IF($Q40="Ａ",LOOKUP($D40,{8000,8500,9000,10000,10032,12000},{0,1532,1032,32,0,0}),IF($Q40="Ｂ",LOOKUP($D40,{8000,8500,9000,10000,10032,12000},{0,1532,1032,408,408,408}),IF($Q40="Ｃ",LOOKUP($D40,{8000,8500,9000,10000,10032,12000},{782,2814,2814,2814,2814,2814}),0))))</f>
      </c>
      <c r="S40" s="413">
        <f t="shared" si="9"/>
      </c>
      <c r="T40" s="540">
        <f>IF(B40="","",SUMIF('6-3_調整額内訳⑤(新・新制度)'!B:B,$B40,'6-3_調整額内訳⑤(新・新制度)'!AF:AF))</f>
      </c>
      <c r="U40" s="530">
        <f t="shared" si="0"/>
      </c>
      <c r="V40" s="413">
        <f t="shared" si="1"/>
      </c>
      <c r="W40" s="412">
        <f t="shared" si="2"/>
      </c>
      <c r="X40" s="414"/>
      <c r="Y40" s="412">
        <f t="shared" si="3"/>
      </c>
      <c r="Z40" s="414"/>
      <c r="AA40" s="533" t="str">
        <f t="shared" si="4"/>
        <v>0</v>
      </c>
      <c r="AB40" s="486">
        <f t="shared" si="15"/>
        <v>0</v>
      </c>
      <c r="AC40" s="570"/>
      <c r="AD40" s="413">
        <f t="shared" si="8"/>
      </c>
      <c r="AE40" s="525">
        <f t="shared" si="5"/>
      </c>
      <c r="AF40" s="1124"/>
      <c r="AG40" s="1101"/>
      <c r="AH40" s="1102"/>
      <c r="AJ40" s="60">
        <f t="shared" si="6"/>
      </c>
      <c r="AK40" s="60">
        <f t="shared" si="7"/>
      </c>
    </row>
    <row r="41" spans="1:37" s="53" customFormat="1" ht="18.75" customHeight="1">
      <c r="A41" s="564">
        <f t="shared" si="10"/>
      </c>
      <c r="B41" s="237"/>
      <c r="C41" s="567"/>
      <c r="D41" s="403"/>
      <c r="E41" s="559"/>
      <c r="F41" s="202"/>
      <c r="G41" s="556">
        <f t="shared" si="11"/>
      </c>
      <c r="H41" s="404">
        <f t="shared" si="12"/>
      </c>
      <c r="I41" s="521"/>
      <c r="J41" s="109"/>
      <c r="K41" s="553"/>
      <c r="L41" s="109"/>
      <c r="M41" s="404">
        <f t="shared" si="13"/>
      </c>
      <c r="N41" s="549">
        <f t="shared" si="14"/>
      </c>
      <c r="O41" s="546"/>
      <c r="P41" s="408">
        <f>IF($H41="","",IF($O41="Ａ",LOOKUP($D41,{8000,8500,9000,10000,10032,12000},{0,1532,1032,32,0,0}),IF($O41="Ｂ",LOOKUP($D41,{8000,8500,9000,10000,10032,12000},{0,1532,1032,408,408,408}),IF($O41="Ｃ",LOOKUP($D41,{8000,8500,9000,10000,10032,12000},{782,2814,2814,2814,2814,2814}),0))))</f>
      </c>
      <c r="Q41" s="465"/>
      <c r="R41" s="543">
        <f>IF($H41="","",IF($Q41="Ａ",LOOKUP($D41,{8000,8500,9000,10000,10032,12000},{0,1532,1032,32,0,0}),IF($Q41="Ｂ",LOOKUP($D41,{8000,8500,9000,10000,10032,12000},{0,1532,1032,408,408,408}),IF($Q41="Ｃ",LOOKUP($D41,{8000,8500,9000,10000,10032,12000},{782,2814,2814,2814,2814,2814}),0))))</f>
      </c>
      <c r="S41" s="413">
        <f t="shared" si="9"/>
      </c>
      <c r="T41" s="540">
        <f>IF(B41="","",SUMIF('6-3_調整額内訳⑤(新・新制度)'!B:B,$B41,'6-3_調整額内訳⑤(新・新制度)'!AF:AF))</f>
      </c>
      <c r="U41" s="530">
        <f t="shared" si="0"/>
      </c>
      <c r="V41" s="413">
        <f t="shared" si="1"/>
      </c>
      <c r="W41" s="412">
        <f t="shared" si="2"/>
      </c>
      <c r="X41" s="414"/>
      <c r="Y41" s="412">
        <f t="shared" si="3"/>
      </c>
      <c r="Z41" s="414"/>
      <c r="AA41" s="533" t="str">
        <f t="shared" si="4"/>
        <v>0</v>
      </c>
      <c r="AB41" s="486">
        <f t="shared" si="15"/>
        <v>0</v>
      </c>
      <c r="AC41" s="570"/>
      <c r="AD41" s="413">
        <f t="shared" si="8"/>
      </c>
      <c r="AE41" s="525">
        <f t="shared" si="5"/>
      </c>
      <c r="AF41" s="1124"/>
      <c r="AG41" s="1101"/>
      <c r="AH41" s="1102"/>
      <c r="AJ41" s="60">
        <f t="shared" si="6"/>
      </c>
      <c r="AK41" s="60">
        <f t="shared" si="7"/>
      </c>
    </row>
    <row r="42" spans="1:37" s="53" customFormat="1" ht="18.75" customHeight="1">
      <c r="A42" s="564">
        <f t="shared" si="10"/>
      </c>
      <c r="B42" s="237"/>
      <c r="C42" s="567"/>
      <c r="D42" s="403"/>
      <c r="E42" s="559"/>
      <c r="F42" s="202"/>
      <c r="G42" s="556">
        <f t="shared" si="11"/>
      </c>
      <c r="H42" s="404">
        <f t="shared" si="12"/>
      </c>
      <c r="I42" s="521"/>
      <c r="J42" s="109"/>
      <c r="K42" s="553"/>
      <c r="L42" s="109"/>
      <c r="M42" s="404">
        <f t="shared" si="13"/>
      </c>
      <c r="N42" s="549">
        <f t="shared" si="14"/>
      </c>
      <c r="O42" s="546"/>
      <c r="P42" s="408">
        <f>IF($H42="","",IF($O42="Ａ",LOOKUP($D42,{8000,8500,9000,10000,10032,12000},{0,1532,1032,32,0,0}),IF($O42="Ｂ",LOOKUP($D42,{8000,8500,9000,10000,10032,12000},{0,1532,1032,408,408,408}),IF($O42="Ｃ",LOOKUP($D42,{8000,8500,9000,10000,10032,12000},{782,2814,2814,2814,2814,2814}),0))))</f>
      </c>
      <c r="Q42" s="465"/>
      <c r="R42" s="543">
        <f>IF($H42="","",IF($Q42="Ａ",LOOKUP($D42,{8000,8500,9000,10000,10032,12000},{0,1532,1032,32,0,0}),IF($Q42="Ｂ",LOOKUP($D42,{8000,8500,9000,10000,10032,12000},{0,1532,1032,408,408,408}),IF($Q42="Ｃ",LOOKUP($D42,{8000,8500,9000,10000,10032,12000},{782,2814,2814,2814,2814,2814}),0))))</f>
      </c>
      <c r="S42" s="413">
        <f t="shared" si="9"/>
      </c>
      <c r="T42" s="540">
        <f>IF(B42="","",SUMIF('6-3_調整額内訳⑤(新・新制度)'!B:B,$B42,'6-3_調整額内訳⑤(新・新制度)'!AF:AF))</f>
      </c>
      <c r="U42" s="530">
        <f t="shared" si="0"/>
      </c>
      <c r="V42" s="413">
        <f t="shared" si="1"/>
      </c>
      <c r="W42" s="412">
        <f t="shared" si="2"/>
      </c>
      <c r="X42" s="414"/>
      <c r="Y42" s="412">
        <f t="shared" si="3"/>
      </c>
      <c r="Z42" s="414"/>
      <c r="AA42" s="533" t="str">
        <f t="shared" si="4"/>
        <v>0</v>
      </c>
      <c r="AB42" s="486">
        <f t="shared" si="15"/>
        <v>0</v>
      </c>
      <c r="AC42" s="570"/>
      <c r="AD42" s="413">
        <f t="shared" si="8"/>
      </c>
      <c r="AE42" s="525">
        <f t="shared" si="5"/>
      </c>
      <c r="AF42" s="1124"/>
      <c r="AG42" s="1101"/>
      <c r="AH42" s="1102"/>
      <c r="AJ42" s="60">
        <f t="shared" si="6"/>
      </c>
      <c r="AK42" s="60">
        <f t="shared" si="7"/>
      </c>
    </row>
    <row r="43" spans="1:37" s="53" customFormat="1" ht="18.75" customHeight="1">
      <c r="A43" s="564">
        <f t="shared" si="10"/>
      </c>
      <c r="B43" s="237"/>
      <c r="C43" s="567"/>
      <c r="D43" s="403"/>
      <c r="E43" s="559"/>
      <c r="F43" s="202"/>
      <c r="G43" s="556">
        <f t="shared" si="11"/>
      </c>
      <c r="H43" s="404">
        <f t="shared" si="12"/>
      </c>
      <c r="I43" s="521"/>
      <c r="J43" s="109"/>
      <c r="K43" s="553"/>
      <c r="L43" s="109"/>
      <c r="M43" s="404">
        <f t="shared" si="13"/>
      </c>
      <c r="N43" s="549">
        <f t="shared" si="14"/>
      </c>
      <c r="O43" s="546"/>
      <c r="P43" s="408">
        <f>IF($H43="","",IF($O43="Ａ",LOOKUP($D43,{8000,8500,9000,10000,10032,12000},{0,1532,1032,32,0,0}),IF($O43="Ｂ",LOOKUP($D43,{8000,8500,9000,10000,10032,12000},{0,1532,1032,408,408,408}),IF($O43="Ｃ",LOOKUP($D43,{8000,8500,9000,10000,10032,12000},{782,2814,2814,2814,2814,2814}),0))))</f>
      </c>
      <c r="Q43" s="465"/>
      <c r="R43" s="543">
        <f>IF($H43="","",IF($Q43="Ａ",LOOKUP($D43,{8000,8500,9000,10000,10032,12000},{0,1532,1032,32,0,0}),IF($Q43="Ｂ",LOOKUP($D43,{8000,8500,9000,10000,10032,12000},{0,1532,1032,408,408,408}),IF($Q43="Ｃ",LOOKUP($D43,{8000,8500,9000,10000,10032,12000},{782,2814,2814,2814,2814,2814}),0))))</f>
      </c>
      <c r="S43" s="413">
        <f t="shared" si="9"/>
      </c>
      <c r="T43" s="540">
        <f>IF(B43="","",SUMIF('6-3_調整額内訳⑤(新・新制度)'!B:B,$B43,'6-3_調整額内訳⑤(新・新制度)'!AF:AF))</f>
      </c>
      <c r="U43" s="530">
        <f t="shared" si="0"/>
      </c>
      <c r="V43" s="413">
        <f t="shared" si="1"/>
      </c>
      <c r="W43" s="412">
        <f t="shared" si="2"/>
      </c>
      <c r="X43" s="414"/>
      <c r="Y43" s="412">
        <f t="shared" si="3"/>
      </c>
      <c r="Z43" s="414"/>
      <c r="AA43" s="533" t="str">
        <f t="shared" si="4"/>
        <v>0</v>
      </c>
      <c r="AB43" s="486">
        <f t="shared" si="15"/>
        <v>0</v>
      </c>
      <c r="AC43" s="570"/>
      <c r="AD43" s="413">
        <f t="shared" si="8"/>
      </c>
      <c r="AE43" s="525">
        <f t="shared" si="5"/>
      </c>
      <c r="AF43" s="1124"/>
      <c r="AG43" s="1101"/>
      <c r="AH43" s="1102"/>
      <c r="AJ43" s="60">
        <f t="shared" si="6"/>
      </c>
      <c r="AK43" s="60">
        <f t="shared" si="7"/>
      </c>
    </row>
    <row r="44" spans="1:37" s="53" customFormat="1" ht="18.75" customHeight="1" thickBot="1">
      <c r="A44" s="565">
        <f t="shared" si="10"/>
      </c>
      <c r="B44" s="239"/>
      <c r="C44" s="568"/>
      <c r="D44" s="562"/>
      <c r="E44" s="560"/>
      <c r="F44" s="203"/>
      <c r="G44" s="557">
        <f t="shared" si="11"/>
      </c>
      <c r="H44" s="405">
        <f t="shared" si="12"/>
      </c>
      <c r="I44" s="523"/>
      <c r="J44" s="110"/>
      <c r="K44" s="554"/>
      <c r="L44" s="110"/>
      <c r="M44" s="405">
        <f t="shared" si="13"/>
      </c>
      <c r="N44" s="550">
        <f t="shared" si="14"/>
      </c>
      <c r="O44" s="547"/>
      <c r="P44" s="409">
        <f>IF($H44="","",IF($O44="Ａ",LOOKUP($D44,{8000,8500,9000,10000,10032,12000},{0,1532,1032,32,0,0}),IF($O44="Ｂ",LOOKUP($D44,{8000,8500,9000,10000,10032,12000},{0,1532,1032,408,408,408}),IF($O44="Ｃ",LOOKUP($D44,{8000,8500,9000,10000,10032,12000},{782,2814,2814,2814,2814,2814}),0))))</f>
      </c>
      <c r="Q44" s="467"/>
      <c r="R44" s="544">
        <f>IF($H44="","",IF($Q44="Ａ",LOOKUP($D44,{8000,8500,9000,10000,10032,12000},{0,1532,1032,32,0,0}),IF($Q44="Ｂ",LOOKUP($D44,{8000,8500,9000,10000,10032,12000},{0,1532,1032,408,408,408}),IF($Q44="Ｃ",LOOKUP($D44,{8000,8500,9000,10000,10032,12000},{782,2814,2814,2814,2814,2814}),0))))</f>
      </c>
      <c r="S44" s="415">
        <f t="shared" si="9"/>
      </c>
      <c r="T44" s="541">
        <f>IF(B44="","",SUMIF('6-3_調整額内訳⑤(新・新制度)'!B:B,$B44,'6-3_調整額内訳⑤(新・新制度)'!AF:AF))</f>
      </c>
      <c r="U44" s="531">
        <f t="shared" si="0"/>
      </c>
      <c r="V44" s="415">
        <f t="shared" si="1"/>
      </c>
      <c r="W44" s="536">
        <f t="shared" si="2"/>
      </c>
      <c r="X44" s="538"/>
      <c r="Y44" s="536">
        <f t="shared" si="3"/>
      </c>
      <c r="Z44" s="538"/>
      <c r="AA44" s="534" t="str">
        <f t="shared" si="4"/>
        <v>0</v>
      </c>
      <c r="AB44" s="528">
        <f t="shared" si="15"/>
        <v>0</v>
      </c>
      <c r="AC44" s="571"/>
      <c r="AD44" s="415">
        <f t="shared" si="8"/>
      </c>
      <c r="AE44" s="526">
        <f t="shared" si="5"/>
      </c>
      <c r="AF44" s="1126"/>
      <c r="AG44" s="1104"/>
      <c r="AH44" s="1105"/>
      <c r="AJ44" s="60">
        <f t="shared" si="6"/>
      </c>
      <c r="AK44" s="60">
        <f t="shared" si="7"/>
      </c>
    </row>
    <row r="45" spans="1:37" s="65" customFormat="1" ht="25.5" customHeight="1" thickBot="1">
      <c r="A45" s="1081" t="s">
        <v>161</v>
      </c>
      <c r="B45" s="1082"/>
      <c r="C45" s="1082"/>
      <c r="D45" s="1083"/>
      <c r="E45" s="507">
        <f>SUM(E8:E44)</f>
        <v>0</v>
      </c>
      <c r="F45" s="508"/>
      <c r="G45" s="509">
        <f>SUM(G8:G44)</f>
        <v>0</v>
      </c>
      <c r="H45" s="469" t="s">
        <v>155</v>
      </c>
      <c r="I45" s="510" t="s">
        <v>155</v>
      </c>
      <c r="J45" s="511" t="s">
        <v>155</v>
      </c>
      <c r="K45" s="512"/>
      <c r="L45" s="513"/>
      <c r="M45" s="514">
        <f>SUM(M8:M44)</f>
        <v>0</v>
      </c>
      <c r="N45" s="515" t="s">
        <v>155</v>
      </c>
      <c r="O45" s="469" t="s">
        <v>155</v>
      </c>
      <c r="P45" s="515"/>
      <c r="Q45" s="469" t="s">
        <v>155</v>
      </c>
      <c r="R45" s="515"/>
      <c r="S45" s="516">
        <f aca="true" t="shared" si="16" ref="S45:AE45">SUM(S8:S44)</f>
        <v>0</v>
      </c>
      <c r="T45" s="517">
        <f t="shared" si="16"/>
        <v>0</v>
      </c>
      <c r="U45" s="518">
        <f t="shared" si="16"/>
        <v>0</v>
      </c>
      <c r="V45" s="519">
        <f t="shared" si="16"/>
        <v>0</v>
      </c>
      <c r="W45" s="519">
        <f>SUM(W8:W44)</f>
        <v>0</v>
      </c>
      <c r="X45" s="519">
        <f t="shared" si="16"/>
        <v>0</v>
      </c>
      <c r="Y45" s="519">
        <f t="shared" si="16"/>
        <v>0</v>
      </c>
      <c r="Z45" s="519">
        <f>SUM(Z8:Z44)</f>
        <v>0</v>
      </c>
      <c r="AA45" s="519"/>
      <c r="AB45" s="519"/>
      <c r="AC45" s="519">
        <f t="shared" si="16"/>
        <v>0</v>
      </c>
      <c r="AD45" s="519">
        <f t="shared" si="16"/>
        <v>0</v>
      </c>
      <c r="AE45" s="520">
        <f t="shared" si="16"/>
        <v>0</v>
      </c>
      <c r="AF45" s="986"/>
      <c r="AG45" s="987"/>
      <c r="AH45" s="988"/>
      <c r="AJ45" s="66"/>
      <c r="AK45" s="66"/>
    </row>
    <row r="46" spans="1:37" s="295" customFormat="1" ht="15.75" customHeight="1">
      <c r="A46" s="295" t="s">
        <v>29</v>
      </c>
      <c r="O46" s="296"/>
      <c r="Q46" s="296"/>
      <c r="AJ46" s="297"/>
      <c r="AK46" s="297"/>
    </row>
    <row r="47" spans="1:37" s="295" customFormat="1" ht="15.75" customHeight="1">
      <c r="A47" s="295" t="s">
        <v>153</v>
      </c>
      <c r="O47" s="296"/>
      <c r="Q47" s="296"/>
      <c r="AJ47" s="297"/>
      <c r="AK47" s="297"/>
    </row>
    <row r="48" spans="1:37" s="295" customFormat="1" ht="15.75" customHeight="1">
      <c r="A48" s="295" t="s">
        <v>168</v>
      </c>
      <c r="O48" s="296"/>
      <c r="Q48" s="296"/>
      <c r="AJ48" s="297"/>
      <c r="AK48" s="297"/>
    </row>
    <row r="49" spans="1:37" s="295" customFormat="1" ht="15.75" customHeight="1">
      <c r="A49" s="295" t="s">
        <v>159</v>
      </c>
      <c r="O49" s="296"/>
      <c r="Q49" s="296"/>
      <c r="AJ49" s="297"/>
      <c r="AK49" s="297"/>
    </row>
    <row r="50" spans="1:37" s="295" customFormat="1" ht="15.75" customHeight="1">
      <c r="A50" s="295" t="s">
        <v>249</v>
      </c>
      <c r="O50" s="296"/>
      <c r="Q50" s="296"/>
      <c r="AJ50" s="297"/>
      <c r="AK50" s="297"/>
    </row>
    <row r="51" spans="1:37" s="295" customFormat="1" ht="15.75" customHeight="1">
      <c r="A51" s="295" t="s">
        <v>255</v>
      </c>
      <c r="O51" s="296"/>
      <c r="Q51" s="296"/>
      <c r="AJ51" s="297"/>
      <c r="AK51" s="297"/>
    </row>
    <row r="52" spans="1:37" s="295" customFormat="1" ht="15.75" customHeight="1">
      <c r="A52" s="295" t="s">
        <v>176</v>
      </c>
      <c r="O52" s="296"/>
      <c r="Q52" s="296"/>
      <c r="AJ52" s="297"/>
      <c r="AK52" s="297"/>
    </row>
    <row r="53" spans="1:37" s="295" customFormat="1" ht="15.75" customHeight="1">
      <c r="A53" s="295" t="s">
        <v>177</v>
      </c>
      <c r="O53" s="296"/>
      <c r="Q53" s="296"/>
      <c r="AJ53" s="297"/>
      <c r="AK53" s="297"/>
    </row>
    <row r="54" spans="1:37" s="295" customFormat="1" ht="15.75" customHeight="1">
      <c r="A54" s="295" t="s">
        <v>250</v>
      </c>
      <c r="O54" s="296"/>
      <c r="Q54" s="296"/>
      <c r="AJ54" s="297"/>
      <c r="AK54" s="297"/>
    </row>
    <row r="55" spans="1:37" s="295" customFormat="1" ht="15.75" customHeight="1">
      <c r="A55" s="295" t="s">
        <v>229</v>
      </c>
      <c r="O55" s="296"/>
      <c r="Q55" s="296"/>
      <c r="AJ55" s="297"/>
      <c r="AK55" s="297"/>
    </row>
    <row r="56" spans="1:36" s="295" customFormat="1" ht="15.75" customHeight="1">
      <c r="A56" s="295" t="s">
        <v>230</v>
      </c>
      <c r="O56" s="296"/>
      <c r="Q56" s="296"/>
      <c r="AI56" s="297"/>
      <c r="AJ56" s="297"/>
    </row>
    <row r="57" spans="1:37" s="295" customFormat="1" ht="15.75" customHeight="1">
      <c r="A57" s="295" t="s">
        <v>163</v>
      </c>
      <c r="O57" s="296"/>
      <c r="Q57" s="296"/>
      <c r="AJ57" s="297"/>
      <c r="AK57" s="297"/>
    </row>
    <row r="58" spans="1:37" s="295" customFormat="1" ht="15.75" customHeight="1">
      <c r="A58" s="295" t="s">
        <v>164</v>
      </c>
      <c r="O58" s="296"/>
      <c r="Q58" s="296"/>
      <c r="AJ58" s="297"/>
      <c r="AK58" s="297"/>
    </row>
    <row r="59" spans="1:37" s="295" customFormat="1" ht="15.75" customHeight="1">
      <c r="A59" s="295" t="s">
        <v>165</v>
      </c>
      <c r="O59" s="296"/>
      <c r="Q59" s="296"/>
      <c r="AJ59" s="297"/>
      <c r="AK59" s="297"/>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6">
    <mergeCell ref="AF42:AH42"/>
    <mergeCell ref="AF30:AH30"/>
    <mergeCell ref="AF31:AH31"/>
    <mergeCell ref="AF32:AH32"/>
    <mergeCell ref="AF33:AH33"/>
    <mergeCell ref="AF37:AH37"/>
    <mergeCell ref="AF34:AH34"/>
    <mergeCell ref="AF35:AH35"/>
    <mergeCell ref="AF36:AH36"/>
    <mergeCell ref="AF28:AH28"/>
    <mergeCell ref="AF29:AH29"/>
    <mergeCell ref="AF44:AH44"/>
    <mergeCell ref="A45:D45"/>
    <mergeCell ref="AF45:AH45"/>
    <mergeCell ref="AF38:AH38"/>
    <mergeCell ref="AF39:AH39"/>
    <mergeCell ref="AF40:AH40"/>
    <mergeCell ref="AF43:AH43"/>
    <mergeCell ref="AF41:AH41"/>
    <mergeCell ref="AF22:AH22"/>
    <mergeCell ref="AF23:AH23"/>
    <mergeCell ref="AF24:AH24"/>
    <mergeCell ref="AF25:AH25"/>
    <mergeCell ref="AF26:AH26"/>
    <mergeCell ref="AF27:AH27"/>
    <mergeCell ref="AF13:AH13"/>
    <mergeCell ref="AF14:AH14"/>
    <mergeCell ref="AF15:AH15"/>
    <mergeCell ref="AF16:AH16"/>
    <mergeCell ref="AF17:AH17"/>
    <mergeCell ref="AF21:AH21"/>
    <mergeCell ref="AF18:AH18"/>
    <mergeCell ref="AF19:AH19"/>
    <mergeCell ref="AF20:AH20"/>
    <mergeCell ref="Q6:Q7"/>
    <mergeCell ref="AF8:AH8"/>
    <mergeCell ref="AF9:AH9"/>
    <mergeCell ref="AF10:AH10"/>
    <mergeCell ref="AF11:AH11"/>
    <mergeCell ref="AC4:AC6"/>
    <mergeCell ref="Z4:Z5"/>
    <mergeCell ref="Q5:R5"/>
    <mergeCell ref="O4:U4"/>
    <mergeCell ref="V4:V6"/>
    <mergeCell ref="AF12:AH12"/>
    <mergeCell ref="AJ4:AJ7"/>
    <mergeCell ref="AK4:AK7"/>
    <mergeCell ref="G5:G6"/>
    <mergeCell ref="H5:H6"/>
    <mergeCell ref="I5:I6"/>
    <mergeCell ref="J5:J6"/>
    <mergeCell ref="M5:M6"/>
    <mergeCell ref="N5:N6"/>
    <mergeCell ref="O5:P5"/>
    <mergeCell ref="W4:W6"/>
    <mergeCell ref="X4:X6"/>
    <mergeCell ref="Y4:Y6"/>
    <mergeCell ref="S5:S6"/>
    <mergeCell ref="T5:T6"/>
    <mergeCell ref="U5:U6"/>
    <mergeCell ref="O6:O7"/>
    <mergeCell ref="A4:A7"/>
    <mergeCell ref="B4:B7"/>
    <mergeCell ref="C4:C7"/>
    <mergeCell ref="D4:D6"/>
    <mergeCell ref="E4:G4"/>
    <mergeCell ref="H4:N4"/>
    <mergeCell ref="AF1:AH1"/>
    <mergeCell ref="AF2:AH2"/>
    <mergeCell ref="AA4:AA5"/>
    <mergeCell ref="AB4:AB5"/>
    <mergeCell ref="Z1:AD1"/>
    <mergeCell ref="Z2:AD2"/>
    <mergeCell ref="AD4:AD6"/>
    <mergeCell ref="AE4:AE6"/>
    <mergeCell ref="AF4:AH7"/>
  </mergeCells>
  <dataValidations count="3">
    <dataValidation type="list" allowBlank="1" showInputMessage="1" showErrorMessage="1" sqref="Q8:Q44 O8:O44">
      <formula1>"Ａ,Ｂ,Ｃ,Ｄ"</formula1>
    </dataValidation>
    <dataValidation type="whole" allowBlank="1" showInputMessage="1" showErrorMessage="1" sqref="C8:C44">
      <formula1>1</formula1>
      <formula2>4</formula2>
    </dataValidation>
    <dataValidation type="whole" allowBlank="1" showInputMessage="1" showErrorMessage="1" sqref="M8:M44 H8:I44 X8:X44">
      <formula1>0</formula1>
      <formula2>9999999</formula2>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35" r:id="rId3"/>
  <legacyDrawing r:id="rId2"/>
</worksheet>
</file>

<file path=xl/worksheets/sheet17.xml><?xml version="1.0" encoding="utf-8"?>
<worksheet xmlns="http://schemas.openxmlformats.org/spreadsheetml/2006/main" xmlns:r="http://schemas.openxmlformats.org/officeDocument/2006/relationships">
  <sheetPr>
    <tabColor rgb="FF7030A0"/>
    <pageSetUpPr fitToPage="1"/>
  </sheetPr>
  <dimension ref="A1:AO44"/>
  <sheetViews>
    <sheetView view="pageBreakPreview" zoomScaleNormal="75" zoomScaleSheetLayoutView="100" zoomScalePageLayoutView="0" workbookViewId="0" topLeftCell="A1">
      <selection activeCell="A1" sqref="A1"/>
    </sheetView>
  </sheetViews>
  <sheetFormatPr defaultColWidth="9.625" defaultRowHeight="13.5"/>
  <cols>
    <col min="1" max="1" width="6.25390625" style="40" customWidth="1"/>
    <col min="2" max="2" width="15.625" style="227" customWidth="1"/>
    <col min="3" max="3" width="6.00390625" style="246" bestFit="1" customWidth="1"/>
    <col min="4" max="5" width="11.25390625" style="40" customWidth="1"/>
    <col min="6" max="6" width="5.50390625" style="40" customWidth="1"/>
    <col min="7" max="7" width="10.25390625" style="40" bestFit="1" customWidth="1"/>
    <col min="8" max="8" width="3.50390625" style="40" bestFit="1" customWidth="1"/>
    <col min="9" max="9" width="10.75390625" style="40" customWidth="1"/>
    <col min="10" max="10" width="12.25390625" style="40" bestFit="1" customWidth="1"/>
    <col min="11" max="22" width="4.25390625" style="40" customWidth="1"/>
    <col min="23" max="30" width="4.375" style="40" customWidth="1"/>
    <col min="31" max="32" width="10.25390625" style="40" bestFit="1" customWidth="1"/>
    <col min="33" max="33" width="9.75390625" style="40" customWidth="1"/>
    <col min="34" max="34" width="6.50390625" style="40" customWidth="1"/>
    <col min="35" max="35" width="8.25390625" style="40" customWidth="1"/>
    <col min="36" max="36" width="3.125" style="40" customWidth="1"/>
    <col min="37" max="37" width="8.625" style="41" bestFit="1" customWidth="1"/>
    <col min="38" max="38" width="5.25390625" style="41" bestFit="1" customWidth="1"/>
    <col min="39" max="16384" width="9.625" style="40" customWidth="1"/>
  </cols>
  <sheetData>
    <row r="1" spans="1:38" ht="24.75" customHeight="1">
      <c r="A1" s="39" t="s">
        <v>251</v>
      </c>
      <c r="B1" s="226"/>
      <c r="W1" s="918" t="s">
        <v>25</v>
      </c>
      <c r="X1" s="918"/>
      <c r="Y1" s="918"/>
      <c r="Z1" s="897">
        <f>'5_総括表'!E3</f>
        <v>0</v>
      </c>
      <c r="AA1" s="919"/>
      <c r="AB1" s="919"/>
      <c r="AC1" s="919"/>
      <c r="AD1" s="919"/>
      <c r="AE1" s="919"/>
      <c r="AF1" s="920"/>
      <c r="AG1" s="164" t="s">
        <v>26</v>
      </c>
      <c r="AH1" s="921">
        <f>'5_総括表'!Z3</f>
        <v>0</v>
      </c>
      <c r="AI1" s="922"/>
      <c r="AK1" s="46"/>
      <c r="AL1" s="46"/>
    </row>
    <row r="2" spans="1:38" ht="24.75" customHeight="1" thickBot="1">
      <c r="A2" s="42"/>
      <c r="W2" s="923" t="s">
        <v>23</v>
      </c>
      <c r="X2" s="923"/>
      <c r="Y2" s="923"/>
      <c r="Z2" s="900">
        <f>'5_総括表'!E4</f>
        <v>0</v>
      </c>
      <c r="AA2" s="924"/>
      <c r="AB2" s="924"/>
      <c r="AC2" s="924"/>
      <c r="AD2" s="924"/>
      <c r="AE2" s="924"/>
      <c r="AF2" s="925"/>
      <c r="AG2" s="165" t="s">
        <v>24</v>
      </c>
      <c r="AH2" s="926">
        <f>'5_総括表'!Z4</f>
        <v>0</v>
      </c>
      <c r="AI2" s="927"/>
      <c r="AK2" s="69"/>
      <c r="AL2" s="70"/>
    </row>
    <row r="3" spans="1:38" ht="21" thickBot="1">
      <c r="A3" s="281" t="s">
        <v>231</v>
      </c>
      <c r="B3" s="228"/>
      <c r="AH3" s="43"/>
      <c r="AI3" s="43" t="s">
        <v>28</v>
      </c>
      <c r="AK3" s="69"/>
      <c r="AL3" s="70"/>
    </row>
    <row r="4" spans="1:38" s="44" customFormat="1" ht="18.75" customHeight="1" thickBot="1">
      <c r="A4" s="814" t="s">
        <v>32</v>
      </c>
      <c r="B4" s="1095" t="s">
        <v>170</v>
      </c>
      <c r="C4" s="906" t="s">
        <v>16</v>
      </c>
      <c r="D4" s="809" t="s">
        <v>75</v>
      </c>
      <c r="E4" s="809" t="s">
        <v>106</v>
      </c>
      <c r="F4" s="803" t="s">
        <v>253</v>
      </c>
      <c r="G4" s="804"/>
      <c r="H4" s="804"/>
      <c r="I4" s="804"/>
      <c r="J4" s="805"/>
      <c r="K4" s="932" t="s">
        <v>65</v>
      </c>
      <c r="L4" s="933"/>
      <c r="M4" s="933"/>
      <c r="N4" s="933"/>
      <c r="O4" s="933"/>
      <c r="P4" s="933"/>
      <c r="Q4" s="933"/>
      <c r="R4" s="933"/>
      <c r="S4" s="933"/>
      <c r="T4" s="933"/>
      <c r="U4" s="933"/>
      <c r="V4" s="933"/>
      <c r="W4" s="933"/>
      <c r="X4" s="933"/>
      <c r="Y4" s="933"/>
      <c r="Z4" s="933"/>
      <c r="AA4" s="933"/>
      <c r="AB4" s="933"/>
      <c r="AC4" s="933"/>
      <c r="AD4" s="939"/>
      <c r="AE4" s="809" t="s">
        <v>63</v>
      </c>
      <c r="AF4" s="934" t="s">
        <v>64</v>
      </c>
      <c r="AG4" s="937" t="s">
        <v>66</v>
      </c>
      <c r="AH4" s="938"/>
      <c r="AI4" s="939"/>
      <c r="AK4" s="69"/>
      <c r="AL4" s="70"/>
    </row>
    <row r="5" spans="1:38" s="44" customFormat="1" ht="18.75" customHeight="1" thickBot="1">
      <c r="A5" s="903"/>
      <c r="B5" s="1096"/>
      <c r="C5" s="907"/>
      <c r="D5" s="873"/>
      <c r="E5" s="873"/>
      <c r="F5" s="932" t="s">
        <v>107</v>
      </c>
      <c r="G5" s="945"/>
      <c r="H5" s="946"/>
      <c r="I5" s="946"/>
      <c r="J5" s="947"/>
      <c r="K5" s="948" t="s">
        <v>62</v>
      </c>
      <c r="L5" s="949"/>
      <c r="M5" s="949"/>
      <c r="N5" s="949"/>
      <c r="O5" s="949"/>
      <c r="P5" s="949"/>
      <c r="Q5" s="949"/>
      <c r="R5" s="949"/>
      <c r="S5" s="949"/>
      <c r="T5" s="949"/>
      <c r="U5" s="949"/>
      <c r="V5" s="950"/>
      <c r="W5" s="803" t="s">
        <v>118</v>
      </c>
      <c r="X5" s="804"/>
      <c r="Y5" s="804"/>
      <c r="Z5" s="804"/>
      <c r="AA5" s="804"/>
      <c r="AB5" s="804"/>
      <c r="AC5" s="804"/>
      <c r="AD5" s="805"/>
      <c r="AE5" s="873"/>
      <c r="AF5" s="935"/>
      <c r="AG5" s="940"/>
      <c r="AH5" s="941"/>
      <c r="AI5" s="942"/>
      <c r="AK5" s="69"/>
      <c r="AL5" s="70"/>
    </row>
    <row r="6" spans="1:38" s="44" customFormat="1" ht="21.75" customHeight="1" thickBot="1">
      <c r="A6" s="903"/>
      <c r="B6" s="1096"/>
      <c r="C6" s="907"/>
      <c r="D6" s="873"/>
      <c r="E6" s="873"/>
      <c r="F6" s="951" t="s">
        <v>18</v>
      </c>
      <c r="G6" s="928" t="s">
        <v>50</v>
      </c>
      <c r="H6" s="951" t="s">
        <v>18</v>
      </c>
      <c r="I6" s="928" t="s">
        <v>50</v>
      </c>
      <c r="J6" s="930" t="s">
        <v>108</v>
      </c>
      <c r="K6" s="1094" t="s">
        <v>60</v>
      </c>
      <c r="L6" s="1094"/>
      <c r="M6" s="1094"/>
      <c r="N6" s="953" t="s">
        <v>61</v>
      </c>
      <c r="O6" s="954"/>
      <c r="P6" s="954"/>
      <c r="Q6" s="954"/>
      <c r="R6" s="954"/>
      <c r="S6" s="954"/>
      <c r="T6" s="954"/>
      <c r="U6" s="954"/>
      <c r="V6" s="955"/>
      <c r="W6" s="932" t="s">
        <v>84</v>
      </c>
      <c r="X6" s="957" t="s">
        <v>84</v>
      </c>
      <c r="Y6" s="932" t="s">
        <v>90</v>
      </c>
      <c r="Z6" s="960" t="s">
        <v>90</v>
      </c>
      <c r="AA6" s="1007" t="s">
        <v>91</v>
      </c>
      <c r="AB6" s="1010" t="s">
        <v>91</v>
      </c>
      <c r="AC6" s="1111" t="s">
        <v>174</v>
      </c>
      <c r="AD6" s="1114" t="s">
        <v>174</v>
      </c>
      <c r="AE6" s="873"/>
      <c r="AF6" s="936"/>
      <c r="AG6" s="943"/>
      <c r="AH6" s="944"/>
      <c r="AI6" s="942"/>
      <c r="AK6" s="69"/>
      <c r="AL6" s="71"/>
    </row>
    <row r="7" spans="1:41" s="44" customFormat="1" ht="20.25" customHeight="1" thickBot="1">
      <c r="A7" s="903"/>
      <c r="B7" s="1096"/>
      <c r="C7" s="907"/>
      <c r="D7" s="873"/>
      <c r="E7" s="873"/>
      <c r="F7" s="952"/>
      <c r="G7" s="929"/>
      <c r="H7" s="952"/>
      <c r="I7" s="929"/>
      <c r="J7" s="931"/>
      <c r="K7" s="803" t="s">
        <v>54</v>
      </c>
      <c r="L7" s="1087" t="s">
        <v>55</v>
      </c>
      <c r="M7" s="805" t="s">
        <v>56</v>
      </c>
      <c r="N7" s="803" t="s">
        <v>51</v>
      </c>
      <c r="O7" s="1087" t="s">
        <v>85</v>
      </c>
      <c r="P7" s="1087" t="s">
        <v>86</v>
      </c>
      <c r="Q7" s="1087" t="s">
        <v>87</v>
      </c>
      <c r="R7" s="1087" t="s">
        <v>52</v>
      </c>
      <c r="S7" s="1087" t="s">
        <v>53</v>
      </c>
      <c r="T7" s="1087" t="s">
        <v>57</v>
      </c>
      <c r="U7" s="1087" t="s">
        <v>58</v>
      </c>
      <c r="V7" s="805" t="s">
        <v>59</v>
      </c>
      <c r="W7" s="943"/>
      <c r="X7" s="958"/>
      <c r="Y7" s="943"/>
      <c r="Z7" s="961"/>
      <c r="AA7" s="1008"/>
      <c r="AB7" s="1011"/>
      <c r="AC7" s="1112"/>
      <c r="AD7" s="1115"/>
      <c r="AE7" s="873"/>
      <c r="AF7" s="936"/>
      <c r="AG7" s="943"/>
      <c r="AH7" s="944"/>
      <c r="AI7" s="942"/>
      <c r="AK7" s="967" t="s">
        <v>30</v>
      </c>
      <c r="AL7" s="967" t="s">
        <v>78</v>
      </c>
      <c r="AM7" s="72"/>
      <c r="AN7" s="72"/>
      <c r="AO7" s="72"/>
    </row>
    <row r="8" spans="1:38" s="44" customFormat="1" ht="18.75" customHeight="1" thickBot="1">
      <c r="A8" s="904"/>
      <c r="B8" s="1097"/>
      <c r="C8" s="908"/>
      <c r="D8" s="905"/>
      <c r="E8" s="905"/>
      <c r="F8" s="1129"/>
      <c r="G8" s="73" t="s">
        <v>80</v>
      </c>
      <c r="H8" s="1129"/>
      <c r="I8" s="73" t="s">
        <v>81</v>
      </c>
      <c r="J8" s="47" t="s">
        <v>88</v>
      </c>
      <c r="K8" s="803"/>
      <c r="L8" s="1087"/>
      <c r="M8" s="805"/>
      <c r="N8" s="803"/>
      <c r="O8" s="1087"/>
      <c r="P8" s="1087"/>
      <c r="Q8" s="1087"/>
      <c r="R8" s="1087"/>
      <c r="S8" s="1087"/>
      <c r="T8" s="1087"/>
      <c r="U8" s="1087"/>
      <c r="V8" s="805"/>
      <c r="W8" s="956"/>
      <c r="X8" s="959"/>
      <c r="Y8" s="956"/>
      <c r="Z8" s="962"/>
      <c r="AA8" s="1009"/>
      <c r="AB8" s="1012"/>
      <c r="AC8" s="1113"/>
      <c r="AD8" s="1116"/>
      <c r="AE8" s="490" t="s">
        <v>89</v>
      </c>
      <c r="AF8" s="74" t="s">
        <v>79</v>
      </c>
      <c r="AG8" s="956"/>
      <c r="AH8" s="1127"/>
      <c r="AI8" s="1128"/>
      <c r="AK8" s="968"/>
      <c r="AL8" s="968"/>
    </row>
    <row r="9" spans="1:38" s="53" customFormat="1" ht="18.75" customHeight="1">
      <c r="A9" s="34">
        <f>IF(B9="","",ROW($A9)-ROW($A$8))</f>
      </c>
      <c r="B9" s="730"/>
      <c r="C9" s="682">
        <f>IF(B9="","",VLOOKUP($B9,'6-2_算定表⑤(新・新制度)'!$B$8:$S$65536,2,FALSE))</f>
      </c>
      <c r="D9" s="686">
        <f>IF(B9="","",VLOOKUP($B9,'6-2_算定表⑤(新・新制度)'!$B$8:$S$65536,3,FALSE))</f>
      </c>
      <c r="E9" s="214">
        <f>IF(B9="","",VLOOKUP($B9,'6-2_算定表⑤(新・新制度)'!$B$8:$S$65536,6,FALSE))</f>
      </c>
      <c r="F9" s="684">
        <f>IF(B9="","",VLOOKUP($B9,'6-2_算定表⑤(新・新制度)'!$B$8:$S$65536,14,FALSE))</f>
      </c>
      <c r="G9" s="429">
        <f>IF(B9="","",VLOOKUP($B9,'6-2_算定表⑤(新・新制度)'!$B$8:$S$65536,15,FALSE))</f>
      </c>
      <c r="H9" s="428">
        <f>IF(B9="","",VLOOKUP($B9,'6-2_算定表⑤(新・新制度)'!$B$8:$S$65536,16,FALSE))</f>
      </c>
      <c r="I9" s="429">
        <f>IF(B9="","",VLOOKUP($B9,'6-2_算定表⑤(新・新制度)'!$B$8:$S$65536,17,FALSE))</f>
      </c>
      <c r="J9" s="430">
        <f>IF(B9="","",VLOOKUP($B9,'6-2_算定表⑤(新・新制度)'!$B$8:$S$65536,18,FALSE))</f>
      </c>
      <c r="K9" s="431">
        <f>IF($B9="","",VLOOKUP($B9,'6-2_算定表⑤(新・新制度)'!$B$8:$S$65536,14,FALSE))</f>
      </c>
      <c r="L9" s="432">
        <f>IF($B9="","",VLOOKUP($B9,'6-2_算定表⑤(新・新制度)'!$B$8:$S$65536,14,FALSE))</f>
      </c>
      <c r="M9" s="433">
        <f>IF($B9="","",VLOOKUP($B9,'6-2_算定表⑤(新・新制度)'!$B$8:$S$65536,14,FALSE))</f>
      </c>
      <c r="N9" s="431">
        <f>IF($B9="","",VLOOKUP($B9,'6-2_算定表⑤(新・新制度)'!$B$8:$S$65536,16,FALSE))</f>
      </c>
      <c r="O9" s="443">
        <f>IF($B9="","",VLOOKUP($B9,'6-2_算定表⑤(新・新制度)'!$B$8:$S$65536,16,FALSE))</f>
      </c>
      <c r="P9" s="443">
        <f>IF($B9="","",VLOOKUP($B9,'6-2_算定表⑤(新・新制度)'!$B$8:$S$65536,16,FALSE))</f>
      </c>
      <c r="Q9" s="443"/>
      <c r="R9" s="443"/>
      <c r="S9" s="443"/>
      <c r="T9" s="443"/>
      <c r="U9" s="443"/>
      <c r="V9" s="443"/>
      <c r="W9" s="444">
        <f aca="true" t="shared" si="0" ref="W9:W38">IF($B9="","",COUNTIF($K9:$M9,W$6))</f>
      </c>
      <c r="X9" s="445">
        <f aca="true" t="shared" si="1" ref="X9:X38">IF($B9="","",COUNTIF($N9:$V9,X$6))</f>
      </c>
      <c r="Y9" s="444">
        <f aca="true" t="shared" si="2" ref="Y9:Y38">IF($B9="","",COUNTIF($K9:$M9,Y$6))</f>
      </c>
      <c r="Z9" s="446">
        <f aca="true" t="shared" si="3" ref="Z9:Z38">IF($B9="","",COUNTIF($N9:$V9,Z$6))</f>
      </c>
      <c r="AA9" s="438">
        <f aca="true" t="shared" si="4" ref="AA9:AA38">IF($B9="","",COUNTIF($K9:$M9,AA$6))</f>
      </c>
      <c r="AB9" s="446">
        <f aca="true" t="shared" si="5" ref="AB9:AB38">IF($B9="","",COUNTIF($N9:$V9,AB$6))</f>
      </c>
      <c r="AC9" s="437">
        <f aca="true" t="shared" si="6" ref="AC9:AC38">IF($B9="","",COUNTIF($K9:$M9,AC$6))</f>
      </c>
      <c r="AD9" s="438">
        <f aca="true" t="shared" si="7" ref="AD9:AD38">IF($B9="","",COUNTIF($N9:$V9,AD$6))</f>
      </c>
      <c r="AE9" s="681">
        <f>IF(B9="","",ROUNDUP((G9/'6-2_算定表⑤(新・新制度)'!J8*W9)+(I9/'6-2_算定表⑤(新・新制度)'!J8*X9)+(G9/'6-2_算定表⑤(新・新制度)'!J8*Y9)+(I9/'6-2_算定表⑤(新・新制度)'!J8*Z9)+(G9/'6-2_算定表⑤(新・新制度)'!J8*AA9)+(I9/'6-2_算定表⑤(新・新制度)'!J8*AB9),0))</f>
      </c>
      <c r="AF9" s="605">
        <f>IF(B9="","",AE9-J9)</f>
      </c>
      <c r="AG9" s="1130">
        <f>IF(B9="","",VLOOKUP($B9,'6-2_算定表⑤(新・新制度)'!$B$8:$AF$65536,31,FALSE))</f>
      </c>
      <c r="AH9" s="1131"/>
      <c r="AI9" s="1132"/>
      <c r="AK9" s="60">
        <f>IF(A9&gt;0,ASC(C9&amp;H9),"")</f>
      </c>
      <c r="AL9" s="60">
        <f>IF(B9="","",IF(AF9=0,0,1))</f>
      </c>
    </row>
    <row r="10" spans="1:38" s="53" customFormat="1" ht="18.75" customHeight="1">
      <c r="A10" s="34">
        <f>IF(B10="","",ROW($A10)-ROW($A$8))</f>
      </c>
      <c r="B10" s="683"/>
      <c r="C10" s="83">
        <f>IF(B10="","",VLOOKUP($B10,'6-2_算定表⑤(新・新制度)'!$B$8:$S$65536,2,FALSE))</f>
      </c>
      <c r="D10" s="687">
        <f>IF(B10="","",VLOOKUP($B10,'6-2_算定表⑤(新・新制度)'!$B$8:$S$65536,3,FALSE))</f>
      </c>
      <c r="E10" s="214">
        <f>IF(B10="","",VLOOKUP($B10,'6-2_算定表⑤(新・新制度)'!$B$8:$S$65536,6,FALSE))</f>
      </c>
      <c r="F10" s="684">
        <f>IF(B10="","",VLOOKUP($B10,'6-2_算定表⑤(新・新制度)'!$B$8:$S$65536,14,FALSE))</f>
      </c>
      <c r="G10" s="429">
        <f>IF(B10="","",VLOOKUP($B10,'6-2_算定表⑤(新・新制度)'!$B$8:$S$65536,15,FALSE))</f>
      </c>
      <c r="H10" s="428">
        <f>IF(B10="","",VLOOKUP($B10,'6-2_算定表⑤(新・新制度)'!$B$8:$S$65536,16,FALSE))</f>
      </c>
      <c r="I10" s="429">
        <f>IF(B10="","",VLOOKUP($B10,'6-2_算定表⑤(新・新制度)'!$B$8:$S$65536,17,FALSE))</f>
      </c>
      <c r="J10" s="430">
        <f>IF(B10="","",VLOOKUP($B10,'6-2_算定表⑤(新・新制度)'!$B$8:$S$65536,18,FALSE))</f>
      </c>
      <c r="K10" s="431">
        <f>IF($B10="","",VLOOKUP($B10,'6-2_算定表⑤(新・新制度)'!$B$8:$S$65536,14,FALSE))</f>
      </c>
      <c r="L10" s="432">
        <f>IF($B10="","",VLOOKUP($B10,'6-2_算定表⑤(新・新制度)'!$B$8:$S$65536,14,FALSE))</f>
      </c>
      <c r="M10" s="433">
        <f>IF($B10="","",VLOOKUP($B10,'6-2_算定表⑤(新・新制度)'!$B$8:$S$65536,14,FALSE))</f>
      </c>
      <c r="N10" s="431">
        <f>IF($B10="","",VLOOKUP($B10,'6-2_算定表⑤(新・新制度)'!$B$8:$S$65536,16,FALSE))</f>
      </c>
      <c r="O10" s="443">
        <f>IF($B10="","",VLOOKUP($B10,'6-2_算定表⑤(新・新制度)'!$B$8:$S$65536,16,FALSE))</f>
      </c>
      <c r="P10" s="443">
        <f>IF($B10="","",VLOOKUP($B10,'6-2_算定表⑤(新・新制度)'!$B$8:$S$65536,16,FALSE))</f>
      </c>
      <c r="Q10" s="443"/>
      <c r="R10" s="443"/>
      <c r="S10" s="443"/>
      <c r="T10" s="443"/>
      <c r="U10" s="443"/>
      <c r="V10" s="443"/>
      <c r="W10" s="444">
        <f t="shared" si="0"/>
      </c>
      <c r="X10" s="445">
        <f t="shared" si="1"/>
      </c>
      <c r="Y10" s="444">
        <f t="shared" si="2"/>
      </c>
      <c r="Z10" s="446">
        <f t="shared" si="3"/>
      </c>
      <c r="AA10" s="438">
        <f t="shared" si="4"/>
      </c>
      <c r="AB10" s="446">
        <f t="shared" si="5"/>
      </c>
      <c r="AC10" s="437">
        <f t="shared" si="6"/>
      </c>
      <c r="AD10" s="438">
        <f t="shared" si="7"/>
      </c>
      <c r="AE10" s="681">
        <f>IF(B10="","",ROUNDUP((G10/'6-2_算定表⑤(新・新制度)'!J9*W10)+(I10/'6-2_算定表⑤(新・新制度)'!J9*X10)+(G10/'6-2_算定表⑤(新・新制度)'!J9*Y10)+(I10/'6-2_算定表⑤(新・新制度)'!J9*Z10)+(G10/'6-2_算定表⑤(新・新制度)'!J9*AA10)+(I10/'6-2_算定表⑤(新・新制度)'!J9*AB10),0))</f>
      </c>
      <c r="AF10" s="605">
        <f>IF(B10="","",AE10-J10)</f>
      </c>
      <c r="AG10" s="677">
        <f>IF(B10="","",VLOOKUP($B10,'6-2_算定表⑤(新・新制度)'!$B$8:$AF$65536,31,FALSE))</f>
      </c>
      <c r="AH10" s="678"/>
      <c r="AI10" s="679"/>
      <c r="AK10" s="54">
        <f>IF(A10&gt;0,ASC(C10&amp;H10),"")</f>
      </c>
      <c r="AL10" s="54">
        <f aca="true" t="shared" si="8" ref="AL10:AL38">IF(B10="","",IF(AF10=0,0,1))</f>
      </c>
    </row>
    <row r="11" spans="1:38" s="53" customFormat="1" ht="18.75" customHeight="1">
      <c r="A11" s="34">
        <f aca="true" t="shared" si="9" ref="A11:A38">IF(B11="","",ROW($A11)-ROW($A$8))</f>
      </c>
      <c r="B11" s="683"/>
      <c r="C11" s="83">
        <f>IF(B11="","",VLOOKUP($B11,'6-2_算定表⑤(新・新制度)'!$B$8:$S$65536,2,FALSE))</f>
      </c>
      <c r="D11" s="687">
        <f>IF(B11="","",VLOOKUP($B11,'6-2_算定表⑤(新・新制度)'!$B$8:$S$65536,3,FALSE))</f>
      </c>
      <c r="E11" s="214">
        <f>IF(B11="","",VLOOKUP($B11,'6-2_算定表⑤(新・新制度)'!$B$8:$S$65536,6,FALSE))</f>
      </c>
      <c r="F11" s="684">
        <f>IF(B11="","",VLOOKUP($B11,'6-2_算定表⑤(新・新制度)'!$B$8:$S$65536,14,FALSE))</f>
      </c>
      <c r="G11" s="429">
        <f>IF(B11="","",VLOOKUP($B11,'6-2_算定表⑤(新・新制度)'!$B$8:$S$65536,15,FALSE))</f>
      </c>
      <c r="H11" s="428">
        <f>IF(B11="","",VLOOKUP($B11,'6-2_算定表⑤(新・新制度)'!$B$8:$S$65536,16,FALSE))</f>
      </c>
      <c r="I11" s="429">
        <f>IF(B11="","",VLOOKUP($B11,'6-2_算定表⑤(新・新制度)'!$B$8:$S$65536,17,FALSE))</f>
      </c>
      <c r="J11" s="430">
        <f>IF(B11="","",VLOOKUP($B11,'6-2_算定表⑤(新・新制度)'!$B$8:$S$65536,18,FALSE))</f>
      </c>
      <c r="K11" s="431">
        <f>IF($B11="","",VLOOKUP($B11,'6-2_算定表⑤(新・新制度)'!$B$8:$S$65536,14,FALSE))</f>
      </c>
      <c r="L11" s="432">
        <f>IF($B11="","",VLOOKUP($B11,'6-2_算定表⑤(新・新制度)'!$B$8:$S$65536,14,FALSE))</f>
      </c>
      <c r="M11" s="433">
        <f>IF($B11="","",VLOOKUP($B11,'6-2_算定表⑤(新・新制度)'!$B$8:$S$65536,14,FALSE))</f>
      </c>
      <c r="N11" s="431">
        <f>IF($B11="","",VLOOKUP($B11,'6-2_算定表⑤(新・新制度)'!$B$8:$S$65536,16,FALSE))</f>
      </c>
      <c r="O11" s="443">
        <f>IF($B11="","",VLOOKUP($B11,'6-2_算定表⑤(新・新制度)'!$B$8:$S$65536,16,FALSE))</f>
      </c>
      <c r="P11" s="443">
        <f>IF($B11="","",VLOOKUP($B11,'6-2_算定表⑤(新・新制度)'!$B$8:$S$65536,16,FALSE))</f>
      </c>
      <c r="Q11" s="443">
        <f>IF($B11="","",VLOOKUP($B11,'6-2_算定表⑤(新・新制度)'!$B$8:$S$65536,16,FALSE))</f>
      </c>
      <c r="R11" s="443">
        <f>IF($B11="","",VLOOKUP($B11,'6-2_算定表⑤(新・新制度)'!$B$8:$S$65536,16,FALSE))</f>
      </c>
      <c r="S11" s="443">
        <f>IF($B11="","",VLOOKUP($B11,'6-2_算定表⑤(新・新制度)'!$B$8:$S$65536,16,FALSE))</f>
      </c>
      <c r="T11" s="443">
        <f>IF($B11="","",VLOOKUP($B11,'6-2_算定表⑤(新・新制度)'!$B$8:$S$65536,16,FALSE))</f>
      </c>
      <c r="U11" s="443">
        <f>IF($B11="","",VLOOKUP($B11,'6-2_算定表⑤(新・新制度)'!$B$8:$S$65536,16,FALSE))</f>
      </c>
      <c r="V11" s="443">
        <f>IF($B11="","",VLOOKUP($B11,'6-2_算定表⑤(新・新制度)'!$B$8:$S$65536,16,FALSE))</f>
      </c>
      <c r="W11" s="444">
        <f t="shared" si="0"/>
      </c>
      <c r="X11" s="445">
        <f t="shared" si="1"/>
      </c>
      <c r="Y11" s="444">
        <f t="shared" si="2"/>
      </c>
      <c r="Z11" s="446">
        <f t="shared" si="3"/>
      </c>
      <c r="AA11" s="438">
        <f t="shared" si="4"/>
      </c>
      <c r="AB11" s="446">
        <f t="shared" si="5"/>
      </c>
      <c r="AC11" s="437">
        <f t="shared" si="6"/>
      </c>
      <c r="AD11" s="438">
        <f t="shared" si="7"/>
      </c>
      <c r="AE11" s="681">
        <f>IF(B11="","",ROUNDUP((G11/'6-2_算定表⑤(新・新制度)'!J10*W11)+(I11/'6-2_算定表⑤(新・新制度)'!J10*X11)+(G11/'6-2_算定表⑤(新・新制度)'!J10*Y11)+(I11/'6-2_算定表⑤(新・新制度)'!J10*Z11)+(G11/'6-2_算定表⑤(新・新制度)'!J10*AA11)+(I11/'6-2_算定表⑤(新・新制度)'!J10*AB11),0))</f>
      </c>
      <c r="AF11" s="605">
        <f aca="true" t="shared" si="10" ref="AF11:AF38">IF(B11="","",AE11-J11)</f>
      </c>
      <c r="AG11" s="677">
        <f>IF(B11="","",VLOOKUP($B11,'6-2_算定表⑤(新・新制度)'!$B$8:$AF$65536,31,FALSE))</f>
      </c>
      <c r="AH11" s="678"/>
      <c r="AI11" s="679"/>
      <c r="AK11" s="60">
        <f aca="true" t="shared" si="11" ref="AK11:AK38">IF(A11&gt;0,ASC(C11&amp;H11),"")</f>
      </c>
      <c r="AL11" s="60">
        <f t="shared" si="8"/>
      </c>
    </row>
    <row r="12" spans="1:38" s="53" customFormat="1" ht="18.75" customHeight="1">
      <c r="A12" s="34">
        <f t="shared" si="9"/>
      </c>
      <c r="B12" s="683"/>
      <c r="C12" s="83">
        <f>IF(B12="","",VLOOKUP($B12,'6-2_算定表⑤(新・新制度)'!$B$8:$S$65536,2,FALSE))</f>
      </c>
      <c r="D12" s="687">
        <f>IF(B12="","",VLOOKUP($B12,'6-2_算定表⑤(新・新制度)'!$B$8:$S$65536,3,FALSE))</f>
      </c>
      <c r="E12" s="214">
        <f>IF(B12="","",VLOOKUP($B12,'6-2_算定表⑤(新・新制度)'!$B$8:$S$65536,6,FALSE))</f>
      </c>
      <c r="F12" s="684">
        <f>IF(B12="","",VLOOKUP($B12,'6-2_算定表⑤(新・新制度)'!$B$8:$S$65536,14,FALSE))</f>
      </c>
      <c r="G12" s="429">
        <f>IF(B12="","",VLOOKUP($B12,'6-2_算定表⑤(新・新制度)'!$B$8:$S$65536,15,FALSE))</f>
      </c>
      <c r="H12" s="428">
        <f>IF(B12="","",VLOOKUP($B12,'6-2_算定表⑤(新・新制度)'!$B$8:$S$65536,16,FALSE))</f>
      </c>
      <c r="I12" s="429">
        <f>IF(B12="","",VLOOKUP($B12,'6-2_算定表⑤(新・新制度)'!$B$8:$S$65536,17,FALSE))</f>
      </c>
      <c r="J12" s="430">
        <f>IF(B12="","",VLOOKUP($B12,'6-2_算定表⑤(新・新制度)'!$B$8:$S$65536,18,FALSE))</f>
      </c>
      <c r="K12" s="431">
        <f>IF($B12="","",VLOOKUP($B12,'6-2_算定表⑤(新・新制度)'!$B$8:$S$65536,14,FALSE))</f>
      </c>
      <c r="L12" s="432">
        <f>IF($B12="","",VLOOKUP($B12,'6-2_算定表⑤(新・新制度)'!$B$8:$S$65536,14,FALSE))</f>
      </c>
      <c r="M12" s="433">
        <f>IF($B12="","",VLOOKUP($B12,'6-2_算定表⑤(新・新制度)'!$B$8:$S$65536,14,FALSE))</f>
      </c>
      <c r="N12" s="431">
        <f>IF($B12="","",VLOOKUP($B12,'6-2_算定表⑤(新・新制度)'!$B$8:$S$65536,16,FALSE))</f>
      </c>
      <c r="O12" s="443">
        <f>IF($B12="","",VLOOKUP($B12,'6-2_算定表⑤(新・新制度)'!$B$8:$S$65536,16,FALSE))</f>
      </c>
      <c r="P12" s="443">
        <f>IF($B12="","",VLOOKUP($B12,'6-2_算定表⑤(新・新制度)'!$B$8:$S$65536,16,FALSE))</f>
      </c>
      <c r="Q12" s="443">
        <f>IF($B12="","",VLOOKUP($B12,'6-2_算定表⑤(新・新制度)'!$B$8:$S$65536,16,FALSE))</f>
      </c>
      <c r="R12" s="443">
        <f>IF($B12="","",VLOOKUP($B12,'6-2_算定表⑤(新・新制度)'!$B$8:$S$65536,16,FALSE))</f>
      </c>
      <c r="S12" s="443">
        <f>IF($B12="","",VLOOKUP($B12,'6-2_算定表⑤(新・新制度)'!$B$8:$S$65536,16,FALSE))</f>
      </c>
      <c r="T12" s="443">
        <f>IF($B12="","",VLOOKUP($B12,'6-2_算定表⑤(新・新制度)'!$B$8:$S$65536,16,FALSE))</f>
      </c>
      <c r="U12" s="443">
        <f>IF($B12="","",VLOOKUP($B12,'6-2_算定表⑤(新・新制度)'!$B$8:$S$65536,16,FALSE))</f>
      </c>
      <c r="V12" s="443">
        <f>IF($B12="","",VLOOKUP($B12,'6-2_算定表⑤(新・新制度)'!$B$8:$S$65536,16,FALSE))</f>
      </c>
      <c r="W12" s="444">
        <f t="shared" si="0"/>
      </c>
      <c r="X12" s="445">
        <f t="shared" si="1"/>
      </c>
      <c r="Y12" s="444">
        <f t="shared" si="2"/>
      </c>
      <c r="Z12" s="446">
        <f t="shared" si="3"/>
      </c>
      <c r="AA12" s="438">
        <f t="shared" si="4"/>
      </c>
      <c r="AB12" s="446">
        <f t="shared" si="5"/>
      </c>
      <c r="AC12" s="437">
        <f t="shared" si="6"/>
      </c>
      <c r="AD12" s="438">
        <f t="shared" si="7"/>
      </c>
      <c r="AE12" s="681">
        <f>IF(B12="","",ROUNDUP((G12/'6-2_算定表⑤(新・新制度)'!J11*W12)+(I12/'6-2_算定表⑤(新・新制度)'!J11*X12)+(G12/'6-2_算定表⑤(新・新制度)'!J11*Y12)+(I12/'6-2_算定表⑤(新・新制度)'!J11*Z12)+(G12/'6-2_算定表⑤(新・新制度)'!J11*AA12)+(I12/'6-2_算定表⑤(新・新制度)'!J11*AB12),0))</f>
      </c>
      <c r="AF12" s="605">
        <f t="shared" si="10"/>
      </c>
      <c r="AG12" s="677">
        <f>IF(B12="","",VLOOKUP($B12,'6-2_算定表⑤(新・新制度)'!$B$8:$AF$65536,31,FALSE))</f>
      </c>
      <c r="AH12" s="678"/>
      <c r="AI12" s="679"/>
      <c r="AK12" s="60">
        <f t="shared" si="11"/>
      </c>
      <c r="AL12" s="60">
        <f t="shared" si="8"/>
      </c>
    </row>
    <row r="13" spans="1:38" s="53" customFormat="1" ht="18.75" customHeight="1">
      <c r="A13" s="34">
        <f t="shared" si="9"/>
      </c>
      <c r="B13" s="683"/>
      <c r="C13" s="83">
        <f>IF(B13="","",VLOOKUP($B13,'6-2_算定表⑤(新・新制度)'!$B$8:$S$65536,2,FALSE))</f>
      </c>
      <c r="D13" s="687">
        <f>IF(B13="","",VLOOKUP($B13,'6-2_算定表⑤(新・新制度)'!$B$8:$S$65536,3,FALSE))</f>
      </c>
      <c r="E13" s="214">
        <f>IF(B13="","",VLOOKUP($B13,'6-2_算定表⑤(新・新制度)'!$B$8:$S$65536,6,FALSE))</f>
      </c>
      <c r="F13" s="684">
        <f>IF(B13="","",VLOOKUP($B13,'6-2_算定表⑤(新・新制度)'!$B$8:$S$65536,14,FALSE))</f>
      </c>
      <c r="G13" s="429">
        <f>IF(B13="","",VLOOKUP($B13,'6-2_算定表⑤(新・新制度)'!$B$8:$S$65536,15,FALSE))</f>
      </c>
      <c r="H13" s="428">
        <f>IF(B13="","",VLOOKUP($B13,'6-2_算定表⑤(新・新制度)'!$B$8:$S$65536,16,FALSE))</f>
      </c>
      <c r="I13" s="429">
        <f>IF(B13="","",VLOOKUP($B13,'6-2_算定表⑤(新・新制度)'!$B$8:$S$65536,17,FALSE))</f>
      </c>
      <c r="J13" s="430">
        <f>IF(B13="","",VLOOKUP($B13,'6-2_算定表⑤(新・新制度)'!$B$8:$S$65536,18,FALSE))</f>
      </c>
      <c r="K13" s="431">
        <f>IF($B13="","",VLOOKUP($B13,'6-2_算定表⑤(新・新制度)'!$B$8:$S$65536,14,FALSE))</f>
      </c>
      <c r="L13" s="432">
        <f>IF($B13="","",VLOOKUP($B13,'6-2_算定表⑤(新・新制度)'!$B$8:$S$65536,14,FALSE))</f>
      </c>
      <c r="M13" s="433">
        <f>IF($B13="","",VLOOKUP($B13,'6-2_算定表⑤(新・新制度)'!$B$8:$S$65536,14,FALSE))</f>
      </c>
      <c r="N13" s="431">
        <f>IF($B13="","",VLOOKUP($B13,'6-2_算定表⑤(新・新制度)'!$B$8:$S$65536,16,FALSE))</f>
      </c>
      <c r="O13" s="443">
        <f>IF($B13="","",VLOOKUP($B13,'6-2_算定表⑤(新・新制度)'!$B$8:$S$65536,16,FALSE))</f>
      </c>
      <c r="P13" s="443">
        <f>IF($B13="","",VLOOKUP($B13,'6-2_算定表⑤(新・新制度)'!$B$8:$S$65536,16,FALSE))</f>
      </c>
      <c r="Q13" s="443">
        <f>IF($B13="","",VLOOKUP($B13,'6-2_算定表⑤(新・新制度)'!$B$8:$S$65536,16,FALSE))</f>
      </c>
      <c r="R13" s="443">
        <f>IF($B13="","",VLOOKUP($B13,'6-2_算定表⑤(新・新制度)'!$B$8:$S$65536,16,FALSE))</f>
      </c>
      <c r="S13" s="443">
        <f>IF($B13="","",VLOOKUP($B13,'6-2_算定表⑤(新・新制度)'!$B$8:$S$65536,16,FALSE))</f>
      </c>
      <c r="T13" s="443">
        <f>IF($B13="","",VLOOKUP($B13,'6-2_算定表⑤(新・新制度)'!$B$8:$S$65536,16,FALSE))</f>
      </c>
      <c r="U13" s="443">
        <f>IF($B13="","",VLOOKUP($B13,'6-2_算定表⑤(新・新制度)'!$B$8:$S$65536,16,FALSE))</f>
      </c>
      <c r="V13" s="443">
        <f>IF($B13="","",VLOOKUP($B13,'6-2_算定表⑤(新・新制度)'!$B$8:$S$65536,16,FALSE))</f>
      </c>
      <c r="W13" s="444">
        <f t="shared" si="0"/>
      </c>
      <c r="X13" s="445">
        <f t="shared" si="1"/>
      </c>
      <c r="Y13" s="444">
        <f t="shared" si="2"/>
      </c>
      <c r="Z13" s="446">
        <f t="shared" si="3"/>
      </c>
      <c r="AA13" s="438">
        <f t="shared" si="4"/>
      </c>
      <c r="AB13" s="446">
        <f t="shared" si="5"/>
      </c>
      <c r="AC13" s="437">
        <f t="shared" si="6"/>
      </c>
      <c r="AD13" s="438">
        <f t="shared" si="7"/>
      </c>
      <c r="AE13" s="681">
        <f>IF(B13="","",ROUNDUP((G13/'6-2_算定表⑤(新・新制度)'!J12*W13)+(I13/'6-2_算定表⑤(新・新制度)'!J12*X13)+(G13/'6-2_算定表⑤(新・新制度)'!J12*Y13)+(I13/'6-2_算定表⑤(新・新制度)'!J12*Z13)+(G13/'6-2_算定表⑤(新・新制度)'!J12*AA13)+(I13/'6-2_算定表⑤(新・新制度)'!J12*AB13),0))</f>
      </c>
      <c r="AF13" s="605">
        <f t="shared" si="10"/>
      </c>
      <c r="AG13" s="677">
        <f>IF(B13="","",VLOOKUP($B13,'6-2_算定表⑤(新・新制度)'!$B$8:$AF$65536,31,FALSE))</f>
      </c>
      <c r="AH13" s="678"/>
      <c r="AI13" s="679"/>
      <c r="AK13" s="60">
        <f t="shared" si="11"/>
      </c>
      <c r="AL13" s="60">
        <f t="shared" si="8"/>
      </c>
    </row>
    <row r="14" spans="1:38" s="53" customFormat="1" ht="18.75" customHeight="1">
      <c r="A14" s="34">
        <f t="shared" si="9"/>
      </c>
      <c r="B14" s="683"/>
      <c r="C14" s="83">
        <f>IF(B14="","",VLOOKUP($B14,'6-2_算定表⑤(新・新制度)'!$B$8:$S$65536,2,FALSE))</f>
      </c>
      <c r="D14" s="687">
        <f>IF(B14="","",VLOOKUP($B14,'6-2_算定表⑤(新・新制度)'!$B$8:$S$65536,3,FALSE))</f>
      </c>
      <c r="E14" s="214">
        <f>IF(B14="","",VLOOKUP($B14,'6-2_算定表⑤(新・新制度)'!$B$8:$S$65536,6,FALSE))</f>
      </c>
      <c r="F14" s="684">
        <f>IF(B14="","",VLOOKUP($B14,'6-2_算定表⑤(新・新制度)'!$B$8:$S$65536,14,FALSE))</f>
      </c>
      <c r="G14" s="429">
        <f>IF(B14="","",VLOOKUP($B14,'6-2_算定表⑤(新・新制度)'!$B$8:$S$65536,15,FALSE))</f>
      </c>
      <c r="H14" s="428">
        <f>IF(B14="","",VLOOKUP($B14,'6-2_算定表⑤(新・新制度)'!$B$8:$S$65536,16,FALSE))</f>
      </c>
      <c r="I14" s="429">
        <f>IF(B14="","",VLOOKUP($B14,'6-2_算定表⑤(新・新制度)'!$B$8:$S$65536,17,FALSE))</f>
      </c>
      <c r="J14" s="430">
        <f>IF(B14="","",VLOOKUP($B14,'6-2_算定表⑤(新・新制度)'!$B$8:$S$65536,18,FALSE))</f>
      </c>
      <c r="K14" s="431">
        <f>IF($B14="","",VLOOKUP($B14,'6-2_算定表⑤(新・新制度)'!$B$8:$S$65536,14,FALSE))</f>
      </c>
      <c r="L14" s="432">
        <f>IF($B14="","",VLOOKUP($B14,'6-2_算定表⑤(新・新制度)'!$B$8:$S$65536,14,FALSE))</f>
      </c>
      <c r="M14" s="433">
        <f>IF($B14="","",VLOOKUP($B14,'6-2_算定表⑤(新・新制度)'!$B$8:$S$65536,14,FALSE))</f>
      </c>
      <c r="N14" s="431">
        <f>IF($B14="","",VLOOKUP($B14,'6-2_算定表⑤(新・新制度)'!$B$8:$S$65536,16,FALSE))</f>
      </c>
      <c r="O14" s="443">
        <f>IF($B14="","",VLOOKUP($B14,'6-2_算定表⑤(新・新制度)'!$B$8:$S$65536,16,FALSE))</f>
      </c>
      <c r="P14" s="443">
        <f>IF($B14="","",VLOOKUP($B14,'6-2_算定表⑤(新・新制度)'!$B$8:$S$65536,16,FALSE))</f>
      </c>
      <c r="Q14" s="443">
        <f>IF($B14="","",VLOOKUP($B14,'6-2_算定表⑤(新・新制度)'!$B$8:$S$65536,16,FALSE))</f>
      </c>
      <c r="R14" s="443">
        <f>IF($B14="","",VLOOKUP($B14,'6-2_算定表⑤(新・新制度)'!$B$8:$S$65536,16,FALSE))</f>
      </c>
      <c r="S14" s="443">
        <f>IF($B14="","",VLOOKUP($B14,'6-2_算定表⑤(新・新制度)'!$B$8:$S$65536,16,FALSE))</f>
      </c>
      <c r="T14" s="443">
        <f>IF($B14="","",VLOOKUP($B14,'6-2_算定表⑤(新・新制度)'!$B$8:$S$65536,16,FALSE))</f>
      </c>
      <c r="U14" s="443">
        <f>IF($B14="","",VLOOKUP($B14,'6-2_算定表⑤(新・新制度)'!$B$8:$S$65536,16,FALSE))</f>
      </c>
      <c r="V14" s="443">
        <f>IF($B14="","",VLOOKUP($B14,'6-2_算定表⑤(新・新制度)'!$B$8:$S$65536,16,FALSE))</f>
      </c>
      <c r="W14" s="444">
        <f t="shared" si="0"/>
      </c>
      <c r="X14" s="445">
        <f t="shared" si="1"/>
      </c>
      <c r="Y14" s="444">
        <f t="shared" si="2"/>
      </c>
      <c r="Z14" s="446">
        <f t="shared" si="3"/>
      </c>
      <c r="AA14" s="438">
        <f t="shared" si="4"/>
      </c>
      <c r="AB14" s="446">
        <f t="shared" si="5"/>
      </c>
      <c r="AC14" s="437">
        <f t="shared" si="6"/>
      </c>
      <c r="AD14" s="438">
        <f t="shared" si="7"/>
      </c>
      <c r="AE14" s="681">
        <f>IF(B14="","",ROUNDUP((G14/'6-2_算定表⑤(新・新制度)'!J13*W14)+(I14/'6-2_算定表⑤(新・新制度)'!J13*X14)+(G14/'6-2_算定表⑤(新・新制度)'!J13*Y14)+(I14/'6-2_算定表⑤(新・新制度)'!J13*Z14)+(G14/'6-2_算定表⑤(新・新制度)'!J13*AA14)+(I14/'6-2_算定表⑤(新・新制度)'!J13*AB14),0))</f>
      </c>
      <c r="AF14" s="605">
        <f t="shared" si="10"/>
      </c>
      <c r="AG14" s="677">
        <f>IF(B14="","",VLOOKUP($B14,'6-2_算定表⑤(新・新制度)'!$B$8:$AF$65536,31,FALSE))</f>
      </c>
      <c r="AH14" s="678"/>
      <c r="AI14" s="679"/>
      <c r="AK14" s="60">
        <f t="shared" si="11"/>
      </c>
      <c r="AL14" s="60">
        <f t="shared" si="8"/>
      </c>
    </row>
    <row r="15" spans="1:38" s="53" customFormat="1" ht="18.75" customHeight="1">
      <c r="A15" s="34">
        <f t="shared" si="9"/>
      </c>
      <c r="B15" s="683"/>
      <c r="C15" s="83">
        <f>IF(B15="","",VLOOKUP($B15,'6-2_算定表⑤(新・新制度)'!$B$8:$S$65536,2,FALSE))</f>
      </c>
      <c r="D15" s="687">
        <f>IF(B15="","",VLOOKUP($B15,'6-2_算定表⑤(新・新制度)'!$B$8:$S$65536,3,FALSE))</f>
      </c>
      <c r="E15" s="214">
        <f>IF(B15="","",VLOOKUP($B15,'6-2_算定表⑤(新・新制度)'!$B$8:$S$65536,6,FALSE))</f>
      </c>
      <c r="F15" s="684">
        <f>IF(B15="","",VLOOKUP($B15,'6-2_算定表⑤(新・新制度)'!$B$8:$S$65536,14,FALSE))</f>
      </c>
      <c r="G15" s="429">
        <f>IF(B15="","",VLOOKUP($B15,'6-2_算定表⑤(新・新制度)'!$B$8:$S$65536,15,FALSE))</f>
      </c>
      <c r="H15" s="428">
        <f>IF(B15="","",VLOOKUP($B15,'6-2_算定表⑤(新・新制度)'!$B$8:$S$65536,16,FALSE))</f>
      </c>
      <c r="I15" s="429">
        <f>IF(B15="","",VLOOKUP($B15,'6-2_算定表⑤(新・新制度)'!$B$8:$S$65536,17,FALSE))</f>
      </c>
      <c r="J15" s="430">
        <f>IF(B15="","",VLOOKUP($B15,'6-2_算定表⑤(新・新制度)'!$B$8:$S$65536,18,FALSE))</f>
      </c>
      <c r="K15" s="431">
        <f>IF($B15="","",VLOOKUP($B15,'6-2_算定表⑤(新・新制度)'!$B$8:$S$65536,14,FALSE))</f>
      </c>
      <c r="L15" s="432">
        <f>IF($B15="","",VLOOKUP($B15,'6-2_算定表⑤(新・新制度)'!$B$8:$S$65536,14,FALSE))</f>
      </c>
      <c r="M15" s="433">
        <f>IF($B15="","",VLOOKUP($B15,'6-2_算定表⑤(新・新制度)'!$B$8:$S$65536,14,FALSE))</f>
      </c>
      <c r="N15" s="431">
        <f>IF($B15="","",VLOOKUP($B15,'6-2_算定表⑤(新・新制度)'!$B$8:$S$65536,16,FALSE))</f>
      </c>
      <c r="O15" s="443">
        <f>IF($B15="","",VLOOKUP($B15,'6-2_算定表⑤(新・新制度)'!$B$8:$S$65536,16,FALSE))</f>
      </c>
      <c r="P15" s="443">
        <f>IF($B15="","",VLOOKUP($B15,'6-2_算定表⑤(新・新制度)'!$B$8:$S$65536,16,FALSE))</f>
      </c>
      <c r="Q15" s="443">
        <f>IF($B15="","",VLOOKUP($B15,'6-2_算定表⑤(新・新制度)'!$B$8:$S$65536,16,FALSE))</f>
      </c>
      <c r="R15" s="443">
        <f>IF($B15="","",VLOOKUP($B15,'6-2_算定表⑤(新・新制度)'!$B$8:$S$65536,16,FALSE))</f>
      </c>
      <c r="S15" s="443">
        <f>IF($B15="","",VLOOKUP($B15,'6-2_算定表⑤(新・新制度)'!$B$8:$S$65536,16,FALSE))</f>
      </c>
      <c r="T15" s="443">
        <f>IF($B15="","",VLOOKUP($B15,'6-2_算定表⑤(新・新制度)'!$B$8:$S$65536,16,FALSE))</f>
      </c>
      <c r="U15" s="443">
        <f>IF($B15="","",VLOOKUP($B15,'6-2_算定表⑤(新・新制度)'!$B$8:$S$65536,16,FALSE))</f>
      </c>
      <c r="V15" s="443">
        <f>IF($B15="","",VLOOKUP($B15,'6-2_算定表⑤(新・新制度)'!$B$8:$S$65536,16,FALSE))</f>
      </c>
      <c r="W15" s="444">
        <f t="shared" si="0"/>
      </c>
      <c r="X15" s="445">
        <f t="shared" si="1"/>
      </c>
      <c r="Y15" s="444">
        <f t="shared" si="2"/>
      </c>
      <c r="Z15" s="446">
        <f t="shared" si="3"/>
      </c>
      <c r="AA15" s="438">
        <f t="shared" si="4"/>
      </c>
      <c r="AB15" s="446">
        <f t="shared" si="5"/>
      </c>
      <c r="AC15" s="437">
        <f t="shared" si="6"/>
      </c>
      <c r="AD15" s="438">
        <f t="shared" si="7"/>
      </c>
      <c r="AE15" s="681">
        <f>IF(B15="","",ROUNDUP((G15/'6-2_算定表⑤(新・新制度)'!J14*W15)+(I15/'6-2_算定表⑤(新・新制度)'!J14*X15)+(G15/'6-2_算定表⑤(新・新制度)'!J14*Y15)+(I15/'6-2_算定表⑤(新・新制度)'!J14*Z15)+(G15/'6-2_算定表⑤(新・新制度)'!J14*AA15)+(I15/'6-2_算定表⑤(新・新制度)'!J14*AB15),0))</f>
      </c>
      <c r="AF15" s="605">
        <f t="shared" si="10"/>
      </c>
      <c r="AG15" s="677">
        <f>IF(B15="","",VLOOKUP($B15,'6-2_算定表⑤(新・新制度)'!$B$8:$AF$65536,31,FALSE))</f>
      </c>
      <c r="AH15" s="678"/>
      <c r="AI15" s="679"/>
      <c r="AK15" s="60">
        <f t="shared" si="11"/>
      </c>
      <c r="AL15" s="60">
        <f t="shared" si="8"/>
      </c>
    </row>
    <row r="16" spans="1:38" s="53" customFormat="1" ht="18.75" customHeight="1">
      <c r="A16" s="34">
        <f t="shared" si="9"/>
      </c>
      <c r="B16" s="683"/>
      <c r="C16" s="83">
        <f>IF(B16="","",VLOOKUP($B16,'6-2_算定表⑤(新・新制度)'!$B$8:$S$65536,2,FALSE))</f>
      </c>
      <c r="D16" s="687">
        <f>IF(B16="","",VLOOKUP($B16,'6-2_算定表⑤(新・新制度)'!$B$8:$S$65536,3,FALSE))</f>
      </c>
      <c r="E16" s="214">
        <f>IF(B16="","",VLOOKUP($B16,'6-2_算定表⑤(新・新制度)'!$B$8:$S$65536,6,FALSE))</f>
      </c>
      <c r="F16" s="684">
        <f>IF(B16="","",VLOOKUP($B16,'6-2_算定表⑤(新・新制度)'!$B$8:$S$65536,14,FALSE))</f>
      </c>
      <c r="G16" s="429">
        <f>IF(B16="","",VLOOKUP($B16,'6-2_算定表⑤(新・新制度)'!$B$8:$S$65536,15,FALSE))</f>
      </c>
      <c r="H16" s="428">
        <f>IF(B16="","",VLOOKUP($B16,'6-2_算定表⑤(新・新制度)'!$B$8:$S$65536,16,FALSE))</f>
      </c>
      <c r="I16" s="429">
        <f>IF(B16="","",VLOOKUP($B16,'6-2_算定表⑤(新・新制度)'!$B$8:$S$65536,17,FALSE))</f>
      </c>
      <c r="J16" s="430">
        <f>IF(B16="","",VLOOKUP($B16,'6-2_算定表⑤(新・新制度)'!$B$8:$S$65536,18,FALSE))</f>
      </c>
      <c r="K16" s="431">
        <f>IF($B16="","",VLOOKUP($B16,'6-2_算定表⑤(新・新制度)'!$B$8:$S$65536,14,FALSE))</f>
      </c>
      <c r="L16" s="432">
        <f>IF($B16="","",VLOOKUP($B16,'6-2_算定表⑤(新・新制度)'!$B$8:$S$65536,14,FALSE))</f>
      </c>
      <c r="M16" s="433">
        <f>IF($B16="","",VLOOKUP($B16,'6-2_算定表⑤(新・新制度)'!$B$8:$S$65536,14,FALSE))</f>
      </c>
      <c r="N16" s="431">
        <f>IF($B16="","",VLOOKUP($B16,'6-2_算定表⑤(新・新制度)'!$B$8:$S$65536,16,FALSE))</f>
      </c>
      <c r="O16" s="443">
        <f>IF($B16="","",VLOOKUP($B16,'6-2_算定表⑤(新・新制度)'!$B$8:$S$65536,16,FALSE))</f>
      </c>
      <c r="P16" s="443">
        <f>IF($B16="","",VLOOKUP($B16,'6-2_算定表⑤(新・新制度)'!$B$8:$S$65536,16,FALSE))</f>
      </c>
      <c r="Q16" s="443">
        <f>IF($B16="","",VLOOKUP($B16,'6-2_算定表⑤(新・新制度)'!$B$8:$S$65536,16,FALSE))</f>
      </c>
      <c r="R16" s="443">
        <f>IF($B16="","",VLOOKUP($B16,'6-2_算定表⑤(新・新制度)'!$B$8:$S$65536,16,FALSE))</f>
      </c>
      <c r="S16" s="443">
        <f>IF($B16="","",VLOOKUP($B16,'6-2_算定表⑤(新・新制度)'!$B$8:$S$65536,16,FALSE))</f>
      </c>
      <c r="T16" s="443">
        <f>IF($B16="","",VLOOKUP($B16,'6-2_算定表⑤(新・新制度)'!$B$8:$S$65536,16,FALSE))</f>
      </c>
      <c r="U16" s="443">
        <f>IF($B16="","",VLOOKUP($B16,'6-2_算定表⑤(新・新制度)'!$B$8:$S$65536,16,FALSE))</f>
      </c>
      <c r="V16" s="443">
        <f>IF($B16="","",VLOOKUP($B16,'6-2_算定表⑤(新・新制度)'!$B$8:$S$65536,16,FALSE))</f>
      </c>
      <c r="W16" s="444">
        <f t="shared" si="0"/>
      </c>
      <c r="X16" s="445">
        <f t="shared" si="1"/>
      </c>
      <c r="Y16" s="444">
        <f t="shared" si="2"/>
      </c>
      <c r="Z16" s="446">
        <f t="shared" si="3"/>
      </c>
      <c r="AA16" s="438">
        <f t="shared" si="4"/>
      </c>
      <c r="AB16" s="446">
        <f t="shared" si="5"/>
      </c>
      <c r="AC16" s="437">
        <f t="shared" si="6"/>
      </c>
      <c r="AD16" s="438">
        <f t="shared" si="7"/>
      </c>
      <c r="AE16" s="681">
        <f>IF(B16="","",ROUNDUP((G16/'6-2_算定表⑤(新・新制度)'!J15*W16)+(I16/'6-2_算定表⑤(新・新制度)'!J15*X16)+(G16/'6-2_算定表⑤(新・新制度)'!J15*Y16)+(I16/'6-2_算定表⑤(新・新制度)'!J15*Z16)+(G16/'6-2_算定表⑤(新・新制度)'!J15*AA16)+(I16/'6-2_算定表⑤(新・新制度)'!J15*AB16),0))</f>
      </c>
      <c r="AF16" s="605">
        <f t="shared" si="10"/>
      </c>
      <c r="AG16" s="677">
        <f>IF(B16="","",VLOOKUP($B16,'6-2_算定表⑤(新・新制度)'!$B$8:$AF$65536,31,FALSE))</f>
      </c>
      <c r="AH16" s="678"/>
      <c r="AI16" s="679"/>
      <c r="AK16" s="60">
        <f t="shared" si="11"/>
      </c>
      <c r="AL16" s="60">
        <f t="shared" si="8"/>
      </c>
    </row>
    <row r="17" spans="1:38" s="53" customFormat="1" ht="18.75" customHeight="1">
      <c r="A17" s="34">
        <f t="shared" si="9"/>
      </c>
      <c r="B17" s="683"/>
      <c r="C17" s="83">
        <f>IF(B17="","",VLOOKUP($B17,'6-2_算定表⑤(新・新制度)'!$B$8:$S$65536,2,FALSE))</f>
      </c>
      <c r="D17" s="687">
        <f>IF(B17="","",VLOOKUP($B17,'6-2_算定表⑤(新・新制度)'!$B$8:$S$65536,3,FALSE))</f>
      </c>
      <c r="E17" s="214">
        <f>IF(B17="","",VLOOKUP($B17,'6-2_算定表⑤(新・新制度)'!$B$8:$S$65536,6,FALSE))</f>
      </c>
      <c r="F17" s="684">
        <f>IF(B17="","",VLOOKUP($B17,'6-2_算定表⑤(新・新制度)'!$B$8:$S$65536,14,FALSE))</f>
      </c>
      <c r="G17" s="429">
        <f>IF(B17="","",VLOOKUP($B17,'6-2_算定表⑤(新・新制度)'!$B$8:$S$65536,15,FALSE))</f>
      </c>
      <c r="H17" s="428">
        <f>IF(B17="","",VLOOKUP($B17,'6-2_算定表⑤(新・新制度)'!$B$8:$S$65536,16,FALSE))</f>
      </c>
      <c r="I17" s="429">
        <f>IF(B17="","",VLOOKUP($B17,'6-2_算定表⑤(新・新制度)'!$B$8:$S$65536,17,FALSE))</f>
      </c>
      <c r="J17" s="430">
        <f>IF(B17="","",VLOOKUP($B17,'6-2_算定表⑤(新・新制度)'!$B$8:$S$65536,18,FALSE))</f>
      </c>
      <c r="K17" s="431">
        <f>IF($B17="","",VLOOKUP($B17,'6-2_算定表⑤(新・新制度)'!$B$8:$S$65536,14,FALSE))</f>
      </c>
      <c r="L17" s="432">
        <f>IF($B17="","",VLOOKUP($B17,'6-2_算定表⑤(新・新制度)'!$B$8:$S$65536,14,FALSE))</f>
      </c>
      <c r="M17" s="433">
        <f>IF($B17="","",VLOOKUP($B17,'6-2_算定表⑤(新・新制度)'!$B$8:$S$65536,14,FALSE))</f>
      </c>
      <c r="N17" s="431">
        <f>IF($B17="","",VLOOKUP($B17,'6-2_算定表⑤(新・新制度)'!$B$8:$S$65536,16,FALSE))</f>
      </c>
      <c r="O17" s="443">
        <f>IF($B17="","",VLOOKUP($B17,'6-2_算定表⑤(新・新制度)'!$B$8:$S$65536,16,FALSE))</f>
      </c>
      <c r="P17" s="443">
        <f>IF($B17="","",VLOOKUP($B17,'6-2_算定表⑤(新・新制度)'!$B$8:$S$65536,16,FALSE))</f>
      </c>
      <c r="Q17" s="443">
        <f>IF($B17="","",VLOOKUP($B17,'6-2_算定表⑤(新・新制度)'!$B$8:$S$65536,16,FALSE))</f>
      </c>
      <c r="R17" s="443">
        <f>IF($B17="","",VLOOKUP($B17,'6-2_算定表⑤(新・新制度)'!$B$8:$S$65536,16,FALSE))</f>
      </c>
      <c r="S17" s="443">
        <f>IF($B17="","",VLOOKUP($B17,'6-2_算定表⑤(新・新制度)'!$B$8:$S$65536,16,FALSE))</f>
      </c>
      <c r="T17" s="443">
        <f>IF($B17="","",VLOOKUP($B17,'6-2_算定表⑤(新・新制度)'!$B$8:$S$65536,16,FALSE))</f>
      </c>
      <c r="U17" s="443">
        <f>IF($B17="","",VLOOKUP($B17,'6-2_算定表⑤(新・新制度)'!$B$8:$S$65536,16,FALSE))</f>
      </c>
      <c r="V17" s="443">
        <f>IF($B17="","",VLOOKUP($B17,'6-2_算定表⑤(新・新制度)'!$B$8:$S$65536,16,FALSE))</f>
      </c>
      <c r="W17" s="444">
        <f t="shared" si="0"/>
      </c>
      <c r="X17" s="445">
        <f t="shared" si="1"/>
      </c>
      <c r="Y17" s="444">
        <f t="shared" si="2"/>
      </c>
      <c r="Z17" s="446">
        <f t="shared" si="3"/>
      </c>
      <c r="AA17" s="438">
        <f t="shared" si="4"/>
      </c>
      <c r="AB17" s="446">
        <f t="shared" si="5"/>
      </c>
      <c r="AC17" s="437">
        <f t="shared" si="6"/>
      </c>
      <c r="AD17" s="438">
        <f t="shared" si="7"/>
      </c>
      <c r="AE17" s="681">
        <f>IF(B17="","",ROUNDUP((G17/'6-2_算定表⑤(新・新制度)'!J16*W17)+(I17/'6-2_算定表⑤(新・新制度)'!J16*X17)+(G17/'6-2_算定表⑤(新・新制度)'!J16*Y17)+(I17/'6-2_算定表⑤(新・新制度)'!J16*Z17)+(G17/'6-2_算定表⑤(新・新制度)'!J16*AA17)+(I17/'6-2_算定表⑤(新・新制度)'!J16*AB17),0))</f>
      </c>
      <c r="AF17" s="605">
        <f t="shared" si="10"/>
      </c>
      <c r="AG17" s="677">
        <f>IF(B17="","",VLOOKUP($B17,'6-2_算定表⑤(新・新制度)'!$B$8:$AF$65536,31,FALSE))</f>
      </c>
      <c r="AH17" s="678"/>
      <c r="AI17" s="679"/>
      <c r="AK17" s="60">
        <f t="shared" si="11"/>
      </c>
      <c r="AL17" s="60">
        <f t="shared" si="8"/>
      </c>
    </row>
    <row r="18" spans="1:38" s="53" customFormat="1" ht="18.75" customHeight="1">
      <c r="A18" s="34">
        <f t="shared" si="9"/>
      </c>
      <c r="B18" s="683"/>
      <c r="C18" s="83">
        <f>IF(B18="","",VLOOKUP($B18,'6-2_算定表⑤(新・新制度)'!$B$8:$S$65536,2,FALSE))</f>
      </c>
      <c r="D18" s="687">
        <f>IF(B18="","",VLOOKUP($B18,'6-2_算定表⑤(新・新制度)'!$B$8:$S$65536,3,FALSE))</f>
      </c>
      <c r="E18" s="214">
        <f>IF(B18="","",VLOOKUP($B18,'6-2_算定表⑤(新・新制度)'!$B$8:$S$65536,6,FALSE))</f>
      </c>
      <c r="F18" s="684">
        <f>IF(B18="","",VLOOKUP($B18,'6-2_算定表⑤(新・新制度)'!$B$8:$S$65536,14,FALSE))</f>
      </c>
      <c r="G18" s="429">
        <f>IF(B18="","",VLOOKUP($B18,'6-2_算定表⑤(新・新制度)'!$B$8:$S$65536,15,FALSE))</f>
      </c>
      <c r="H18" s="428">
        <f>IF(B18="","",VLOOKUP($B18,'6-2_算定表⑤(新・新制度)'!$B$8:$S$65536,16,FALSE))</f>
      </c>
      <c r="I18" s="429">
        <f>IF(B18="","",VLOOKUP($B18,'6-2_算定表⑤(新・新制度)'!$B$8:$S$65536,17,FALSE))</f>
      </c>
      <c r="J18" s="430">
        <f>IF(B18="","",VLOOKUP($B18,'6-2_算定表⑤(新・新制度)'!$B$8:$S$65536,18,FALSE))</f>
      </c>
      <c r="K18" s="431">
        <f>IF($B18="","",VLOOKUP($B18,'6-2_算定表⑤(新・新制度)'!$B$8:$S$65536,14,FALSE))</f>
      </c>
      <c r="L18" s="432">
        <f>IF($B18="","",VLOOKUP($B18,'6-2_算定表⑤(新・新制度)'!$B$8:$S$65536,14,FALSE))</f>
      </c>
      <c r="M18" s="433">
        <f>IF($B18="","",VLOOKUP($B18,'6-2_算定表⑤(新・新制度)'!$B$8:$S$65536,14,FALSE))</f>
      </c>
      <c r="N18" s="431">
        <f>IF($B18="","",VLOOKUP($B18,'6-2_算定表⑤(新・新制度)'!$B$8:$S$65536,16,FALSE))</f>
      </c>
      <c r="O18" s="443">
        <f>IF($B18="","",VLOOKUP($B18,'6-2_算定表⑤(新・新制度)'!$B$8:$S$65536,16,FALSE))</f>
      </c>
      <c r="P18" s="443">
        <f>IF($B18="","",VLOOKUP($B18,'6-2_算定表⑤(新・新制度)'!$B$8:$S$65536,16,FALSE))</f>
      </c>
      <c r="Q18" s="443">
        <f>IF($B18="","",VLOOKUP($B18,'6-2_算定表⑤(新・新制度)'!$B$8:$S$65536,16,FALSE))</f>
      </c>
      <c r="R18" s="443">
        <f>IF($B18="","",VLOOKUP($B18,'6-2_算定表⑤(新・新制度)'!$B$8:$S$65536,16,FALSE))</f>
      </c>
      <c r="S18" s="443">
        <f>IF($B18="","",VLOOKUP($B18,'6-2_算定表⑤(新・新制度)'!$B$8:$S$65536,16,FALSE))</f>
      </c>
      <c r="T18" s="443">
        <f>IF($B18="","",VLOOKUP($B18,'6-2_算定表⑤(新・新制度)'!$B$8:$S$65536,16,FALSE))</f>
      </c>
      <c r="U18" s="443">
        <f>IF($B18="","",VLOOKUP($B18,'6-2_算定表⑤(新・新制度)'!$B$8:$S$65536,16,FALSE))</f>
      </c>
      <c r="V18" s="443">
        <f>IF($B18="","",VLOOKUP($B18,'6-2_算定表⑤(新・新制度)'!$B$8:$S$65536,16,FALSE))</f>
      </c>
      <c r="W18" s="444">
        <f t="shared" si="0"/>
      </c>
      <c r="X18" s="445">
        <f t="shared" si="1"/>
      </c>
      <c r="Y18" s="444">
        <f t="shared" si="2"/>
      </c>
      <c r="Z18" s="446">
        <f t="shared" si="3"/>
      </c>
      <c r="AA18" s="438">
        <f t="shared" si="4"/>
      </c>
      <c r="AB18" s="446">
        <f t="shared" si="5"/>
      </c>
      <c r="AC18" s="437">
        <f t="shared" si="6"/>
      </c>
      <c r="AD18" s="438">
        <f t="shared" si="7"/>
      </c>
      <c r="AE18" s="681">
        <f>IF(B18="","",ROUNDUP((G18/'6-2_算定表⑤(新・新制度)'!J17*W18)+(I18/'6-2_算定表⑤(新・新制度)'!J17*X18)+(G18/'6-2_算定表⑤(新・新制度)'!J17*Y18)+(I18/'6-2_算定表⑤(新・新制度)'!J17*Z18)+(G18/'6-2_算定表⑤(新・新制度)'!J17*AA18)+(I18/'6-2_算定表⑤(新・新制度)'!J17*AB18),0))</f>
      </c>
      <c r="AF18" s="605">
        <f t="shared" si="10"/>
      </c>
      <c r="AG18" s="677">
        <f>IF(B18="","",VLOOKUP($B18,'6-2_算定表⑤(新・新制度)'!$B$8:$AF$65536,31,FALSE))</f>
      </c>
      <c r="AH18" s="678"/>
      <c r="AI18" s="679"/>
      <c r="AK18" s="60">
        <f t="shared" si="11"/>
      </c>
      <c r="AL18" s="60">
        <f t="shared" si="8"/>
      </c>
    </row>
    <row r="19" spans="1:38" s="53" customFormat="1" ht="18.75" customHeight="1">
      <c r="A19" s="34">
        <f t="shared" si="9"/>
      </c>
      <c r="B19" s="683"/>
      <c r="C19" s="83">
        <f>IF(B19="","",VLOOKUP($B19,'6-2_算定表⑤(新・新制度)'!$B$8:$S$65536,2,FALSE))</f>
      </c>
      <c r="D19" s="687">
        <f>IF(B19="","",VLOOKUP($B19,'6-2_算定表⑤(新・新制度)'!$B$8:$S$65536,3,FALSE))</f>
      </c>
      <c r="E19" s="214">
        <f>IF(B19="","",VLOOKUP($B19,'6-2_算定表⑤(新・新制度)'!$B$8:$S$65536,6,FALSE))</f>
      </c>
      <c r="F19" s="684">
        <f>IF(B19="","",VLOOKUP($B19,'6-2_算定表⑤(新・新制度)'!$B$8:$S$65536,14,FALSE))</f>
      </c>
      <c r="G19" s="429">
        <f>IF(B19="","",VLOOKUP($B19,'6-2_算定表⑤(新・新制度)'!$B$8:$S$65536,15,FALSE))</f>
      </c>
      <c r="H19" s="428">
        <f>IF(B19="","",VLOOKUP($B19,'6-2_算定表⑤(新・新制度)'!$B$8:$S$65536,16,FALSE))</f>
      </c>
      <c r="I19" s="429">
        <f>IF(B19="","",VLOOKUP($B19,'6-2_算定表⑤(新・新制度)'!$B$8:$S$65536,17,FALSE))</f>
      </c>
      <c r="J19" s="430">
        <f>IF(B19="","",VLOOKUP($B19,'6-2_算定表⑤(新・新制度)'!$B$8:$S$65536,18,FALSE))</f>
      </c>
      <c r="K19" s="431">
        <f>IF($B19="","",VLOOKUP($B19,'6-2_算定表⑤(新・新制度)'!$B$8:$S$65536,14,FALSE))</f>
      </c>
      <c r="L19" s="432">
        <f>IF($B19="","",VLOOKUP($B19,'6-2_算定表⑤(新・新制度)'!$B$8:$S$65536,14,FALSE))</f>
      </c>
      <c r="M19" s="433">
        <f>IF($B19="","",VLOOKUP($B19,'6-2_算定表⑤(新・新制度)'!$B$8:$S$65536,14,FALSE))</f>
      </c>
      <c r="N19" s="431">
        <f>IF($B19="","",VLOOKUP($B19,'6-2_算定表⑤(新・新制度)'!$B$8:$S$65536,16,FALSE))</f>
      </c>
      <c r="O19" s="443">
        <f>IF($B19="","",VLOOKUP($B19,'6-2_算定表⑤(新・新制度)'!$B$8:$S$65536,16,FALSE))</f>
      </c>
      <c r="P19" s="443">
        <f>IF($B19="","",VLOOKUP($B19,'6-2_算定表⑤(新・新制度)'!$B$8:$S$65536,16,FALSE))</f>
      </c>
      <c r="Q19" s="443">
        <f>IF($B19="","",VLOOKUP($B19,'6-2_算定表⑤(新・新制度)'!$B$8:$S$65536,16,FALSE))</f>
      </c>
      <c r="R19" s="443">
        <f>IF($B19="","",VLOOKUP($B19,'6-2_算定表⑤(新・新制度)'!$B$8:$S$65536,16,FALSE))</f>
      </c>
      <c r="S19" s="443">
        <f>IF($B19="","",VLOOKUP($B19,'6-2_算定表⑤(新・新制度)'!$B$8:$S$65536,16,FALSE))</f>
      </c>
      <c r="T19" s="443">
        <f>IF($B19="","",VLOOKUP($B19,'6-2_算定表⑤(新・新制度)'!$B$8:$S$65536,16,FALSE))</f>
      </c>
      <c r="U19" s="443">
        <f>IF($B19="","",VLOOKUP($B19,'6-2_算定表⑤(新・新制度)'!$B$8:$S$65536,16,FALSE))</f>
      </c>
      <c r="V19" s="443">
        <f>IF($B19="","",VLOOKUP($B19,'6-2_算定表⑤(新・新制度)'!$B$8:$S$65536,16,FALSE))</f>
      </c>
      <c r="W19" s="444">
        <f t="shared" si="0"/>
      </c>
      <c r="X19" s="445">
        <f t="shared" si="1"/>
      </c>
      <c r="Y19" s="444">
        <f t="shared" si="2"/>
      </c>
      <c r="Z19" s="446">
        <f t="shared" si="3"/>
      </c>
      <c r="AA19" s="438">
        <f t="shared" si="4"/>
      </c>
      <c r="AB19" s="446">
        <f t="shared" si="5"/>
      </c>
      <c r="AC19" s="437">
        <f t="shared" si="6"/>
      </c>
      <c r="AD19" s="438">
        <f t="shared" si="7"/>
      </c>
      <c r="AE19" s="681">
        <f>IF(B19="","",ROUNDUP((G19/'6-2_算定表⑤(新・新制度)'!J18*W19)+(I19/'6-2_算定表⑤(新・新制度)'!J18*X19)+(G19/'6-2_算定表⑤(新・新制度)'!J18*Y19)+(I19/'6-2_算定表⑤(新・新制度)'!J18*Z19)+(G19/'6-2_算定表⑤(新・新制度)'!J18*AA19)+(I19/'6-2_算定表⑤(新・新制度)'!J18*AB19),0))</f>
      </c>
      <c r="AF19" s="605">
        <f t="shared" si="10"/>
      </c>
      <c r="AG19" s="677">
        <f>IF(B19="","",VLOOKUP($B19,'6-2_算定表⑤(新・新制度)'!$B$8:$AF$65536,31,FALSE))</f>
      </c>
      <c r="AH19" s="678"/>
      <c r="AI19" s="679"/>
      <c r="AK19" s="60">
        <f t="shared" si="11"/>
      </c>
      <c r="AL19" s="60">
        <f t="shared" si="8"/>
      </c>
    </row>
    <row r="20" spans="1:38" s="53" customFormat="1" ht="18.75" customHeight="1">
      <c r="A20" s="34">
        <f t="shared" si="9"/>
      </c>
      <c r="B20" s="683"/>
      <c r="C20" s="83">
        <f>IF(B20="","",VLOOKUP($B20,'6-2_算定表⑤(新・新制度)'!$B$8:$S$65536,2,FALSE))</f>
      </c>
      <c r="D20" s="687">
        <f>IF(B20="","",VLOOKUP($B20,'6-2_算定表⑤(新・新制度)'!$B$8:$S$65536,3,FALSE))</f>
      </c>
      <c r="E20" s="214">
        <f>IF(B20="","",VLOOKUP($B20,'6-2_算定表⑤(新・新制度)'!$B$8:$S$65536,6,FALSE))</f>
      </c>
      <c r="F20" s="684">
        <f>IF(B20="","",VLOOKUP($B20,'6-2_算定表⑤(新・新制度)'!$B$8:$S$65536,14,FALSE))</f>
      </c>
      <c r="G20" s="429">
        <f>IF(B20="","",VLOOKUP($B20,'6-2_算定表⑤(新・新制度)'!$B$8:$S$65536,15,FALSE))</f>
      </c>
      <c r="H20" s="428">
        <f>IF(B20="","",VLOOKUP($B20,'6-2_算定表⑤(新・新制度)'!$B$8:$S$65536,16,FALSE))</f>
      </c>
      <c r="I20" s="429">
        <f>IF(B20="","",VLOOKUP($B20,'6-2_算定表⑤(新・新制度)'!$B$8:$S$65536,17,FALSE))</f>
      </c>
      <c r="J20" s="430">
        <f>IF(B20="","",VLOOKUP($B20,'6-2_算定表⑤(新・新制度)'!$B$8:$S$65536,18,FALSE))</f>
      </c>
      <c r="K20" s="431">
        <f>IF($B20="","",VLOOKUP($B20,'6-2_算定表⑤(新・新制度)'!$B$8:$S$65536,14,FALSE))</f>
      </c>
      <c r="L20" s="432">
        <f>IF($B20="","",VLOOKUP($B20,'6-2_算定表⑤(新・新制度)'!$B$8:$S$65536,14,FALSE))</f>
      </c>
      <c r="M20" s="433">
        <f>IF($B20="","",VLOOKUP($B20,'6-2_算定表⑤(新・新制度)'!$B$8:$S$65536,14,FALSE))</f>
      </c>
      <c r="N20" s="431">
        <f>IF($B20="","",VLOOKUP($B20,'6-2_算定表⑤(新・新制度)'!$B$8:$S$65536,16,FALSE))</f>
      </c>
      <c r="O20" s="443">
        <f>IF($B20="","",VLOOKUP($B20,'6-2_算定表⑤(新・新制度)'!$B$8:$S$65536,16,FALSE))</f>
      </c>
      <c r="P20" s="443">
        <f>IF($B20="","",VLOOKUP($B20,'6-2_算定表⑤(新・新制度)'!$B$8:$S$65536,16,FALSE))</f>
      </c>
      <c r="Q20" s="443">
        <f>IF($B20="","",VLOOKUP($B20,'6-2_算定表⑤(新・新制度)'!$B$8:$S$65536,16,FALSE))</f>
      </c>
      <c r="R20" s="443">
        <f>IF($B20="","",VLOOKUP($B20,'6-2_算定表⑤(新・新制度)'!$B$8:$S$65536,16,FALSE))</f>
      </c>
      <c r="S20" s="443">
        <f>IF($B20="","",VLOOKUP($B20,'6-2_算定表⑤(新・新制度)'!$B$8:$S$65536,16,FALSE))</f>
      </c>
      <c r="T20" s="443">
        <f>IF($B20="","",VLOOKUP($B20,'6-2_算定表⑤(新・新制度)'!$B$8:$S$65536,16,FALSE))</f>
      </c>
      <c r="U20" s="443">
        <f>IF($B20="","",VLOOKUP($B20,'6-2_算定表⑤(新・新制度)'!$B$8:$S$65536,16,FALSE))</f>
      </c>
      <c r="V20" s="443">
        <f>IF($B20="","",VLOOKUP($B20,'6-2_算定表⑤(新・新制度)'!$B$8:$S$65536,16,FALSE))</f>
      </c>
      <c r="W20" s="444">
        <f t="shared" si="0"/>
      </c>
      <c r="X20" s="445">
        <f t="shared" si="1"/>
      </c>
      <c r="Y20" s="444">
        <f t="shared" si="2"/>
      </c>
      <c r="Z20" s="446">
        <f t="shared" si="3"/>
      </c>
      <c r="AA20" s="438">
        <f t="shared" si="4"/>
      </c>
      <c r="AB20" s="446">
        <f t="shared" si="5"/>
      </c>
      <c r="AC20" s="437">
        <f t="shared" si="6"/>
      </c>
      <c r="AD20" s="438">
        <f t="shared" si="7"/>
      </c>
      <c r="AE20" s="681">
        <f>IF(B20="","",ROUNDUP((G20/'6-2_算定表⑤(新・新制度)'!J19*W20)+(I20/'6-2_算定表⑤(新・新制度)'!J19*X20)+(G20/'6-2_算定表⑤(新・新制度)'!J19*Y20)+(I20/'6-2_算定表⑤(新・新制度)'!J19*Z20)+(G20/'6-2_算定表⑤(新・新制度)'!J19*AA20)+(I20/'6-2_算定表⑤(新・新制度)'!J19*AB20),0))</f>
      </c>
      <c r="AF20" s="605">
        <f t="shared" si="10"/>
      </c>
      <c r="AG20" s="677">
        <f>IF(B20="","",VLOOKUP($B20,'6-2_算定表⑤(新・新制度)'!$B$8:$AF$65536,31,FALSE))</f>
      </c>
      <c r="AH20" s="678"/>
      <c r="AI20" s="679"/>
      <c r="AK20" s="60">
        <f t="shared" si="11"/>
      </c>
      <c r="AL20" s="60">
        <f t="shared" si="8"/>
      </c>
    </row>
    <row r="21" spans="1:38" s="53" customFormat="1" ht="18.75" customHeight="1">
      <c r="A21" s="34">
        <f t="shared" si="9"/>
      </c>
      <c r="B21" s="683"/>
      <c r="C21" s="83">
        <f>IF(B21="","",VLOOKUP($B21,'6-2_算定表⑤(新・新制度)'!$B$8:$S$65536,2,FALSE))</f>
      </c>
      <c r="D21" s="687">
        <f>IF(B21="","",VLOOKUP($B21,'6-2_算定表⑤(新・新制度)'!$B$8:$S$65536,3,FALSE))</f>
      </c>
      <c r="E21" s="214">
        <f>IF(B21="","",VLOOKUP($B21,'6-2_算定表⑤(新・新制度)'!$B$8:$S$65536,6,FALSE))</f>
      </c>
      <c r="F21" s="684">
        <f>IF(B21="","",VLOOKUP($B21,'6-2_算定表⑤(新・新制度)'!$B$8:$S$65536,14,FALSE))</f>
      </c>
      <c r="G21" s="429">
        <f>IF(B21="","",VLOOKUP($B21,'6-2_算定表⑤(新・新制度)'!$B$8:$S$65536,15,FALSE))</f>
      </c>
      <c r="H21" s="428">
        <f>IF(B21="","",VLOOKUP($B21,'6-2_算定表⑤(新・新制度)'!$B$8:$S$65536,16,FALSE))</f>
      </c>
      <c r="I21" s="429">
        <f>IF(B21="","",VLOOKUP($B21,'6-2_算定表⑤(新・新制度)'!$B$8:$S$65536,17,FALSE))</f>
      </c>
      <c r="J21" s="430">
        <f>IF(B21="","",VLOOKUP($B21,'6-2_算定表⑤(新・新制度)'!$B$8:$S$65536,18,FALSE))</f>
      </c>
      <c r="K21" s="431">
        <f>IF($B21="","",VLOOKUP($B21,'6-2_算定表⑤(新・新制度)'!$B$8:$S$65536,14,FALSE))</f>
      </c>
      <c r="L21" s="432">
        <f>IF($B21="","",VLOOKUP($B21,'6-2_算定表⑤(新・新制度)'!$B$8:$S$65536,14,FALSE))</f>
      </c>
      <c r="M21" s="433">
        <f>IF($B21="","",VLOOKUP($B21,'6-2_算定表⑤(新・新制度)'!$B$8:$S$65536,14,FALSE))</f>
      </c>
      <c r="N21" s="431">
        <f>IF($B21="","",VLOOKUP($B21,'6-2_算定表⑤(新・新制度)'!$B$8:$S$65536,16,FALSE))</f>
      </c>
      <c r="O21" s="443">
        <f>IF($B21="","",VLOOKUP($B21,'6-2_算定表⑤(新・新制度)'!$B$8:$S$65536,16,FALSE))</f>
      </c>
      <c r="P21" s="443">
        <f>IF($B21="","",VLOOKUP($B21,'6-2_算定表⑤(新・新制度)'!$B$8:$S$65536,16,FALSE))</f>
      </c>
      <c r="Q21" s="443">
        <f>IF($B21="","",VLOOKUP($B21,'6-2_算定表⑤(新・新制度)'!$B$8:$S$65536,16,FALSE))</f>
      </c>
      <c r="R21" s="443">
        <f>IF($B21="","",VLOOKUP($B21,'6-2_算定表⑤(新・新制度)'!$B$8:$S$65536,16,FALSE))</f>
      </c>
      <c r="S21" s="443">
        <f>IF($B21="","",VLOOKUP($B21,'6-2_算定表⑤(新・新制度)'!$B$8:$S$65536,16,FALSE))</f>
      </c>
      <c r="T21" s="443">
        <f>IF($B21="","",VLOOKUP($B21,'6-2_算定表⑤(新・新制度)'!$B$8:$S$65536,16,FALSE))</f>
      </c>
      <c r="U21" s="443">
        <f>IF($B21="","",VLOOKUP($B21,'6-2_算定表⑤(新・新制度)'!$B$8:$S$65536,16,FALSE))</f>
      </c>
      <c r="V21" s="443">
        <f>IF($B21="","",VLOOKUP($B21,'6-2_算定表⑤(新・新制度)'!$B$8:$S$65536,16,FALSE))</f>
      </c>
      <c r="W21" s="444">
        <f t="shared" si="0"/>
      </c>
      <c r="X21" s="445">
        <f t="shared" si="1"/>
      </c>
      <c r="Y21" s="444">
        <f t="shared" si="2"/>
      </c>
      <c r="Z21" s="446">
        <f t="shared" si="3"/>
      </c>
      <c r="AA21" s="438">
        <f t="shared" si="4"/>
      </c>
      <c r="AB21" s="446">
        <f t="shared" si="5"/>
      </c>
      <c r="AC21" s="437">
        <f t="shared" si="6"/>
      </c>
      <c r="AD21" s="438">
        <f t="shared" si="7"/>
      </c>
      <c r="AE21" s="681">
        <f>IF(B21="","",ROUNDUP((G21/'6-2_算定表⑤(新・新制度)'!J20*W21)+(I21/'6-2_算定表⑤(新・新制度)'!J20*X21)+(G21/'6-2_算定表⑤(新・新制度)'!J20*Y21)+(I21/'6-2_算定表⑤(新・新制度)'!J20*Z21)+(G21/'6-2_算定表⑤(新・新制度)'!J20*AA21)+(I21/'6-2_算定表⑤(新・新制度)'!J20*AB21),0))</f>
      </c>
      <c r="AF21" s="605">
        <f t="shared" si="10"/>
      </c>
      <c r="AG21" s="677">
        <f>IF(B21="","",VLOOKUP($B21,'6-2_算定表⑤(新・新制度)'!$B$8:$AF$65536,31,FALSE))</f>
      </c>
      <c r="AH21" s="678"/>
      <c r="AI21" s="679"/>
      <c r="AK21" s="60">
        <f t="shared" si="11"/>
      </c>
      <c r="AL21" s="60">
        <f t="shared" si="8"/>
      </c>
    </row>
    <row r="22" spans="1:38" s="53" customFormat="1" ht="18.75" customHeight="1">
      <c r="A22" s="34">
        <f t="shared" si="9"/>
      </c>
      <c r="B22" s="683"/>
      <c r="C22" s="83">
        <f>IF(B22="","",VLOOKUP($B22,'6-2_算定表⑤(新・新制度)'!$B$8:$S$65536,2,FALSE))</f>
      </c>
      <c r="D22" s="687">
        <f>IF(B22="","",VLOOKUP($B22,'6-2_算定表⑤(新・新制度)'!$B$8:$S$65536,3,FALSE))</f>
      </c>
      <c r="E22" s="214">
        <f>IF(B22="","",VLOOKUP($B22,'6-2_算定表⑤(新・新制度)'!$B$8:$S$65536,6,FALSE))</f>
      </c>
      <c r="F22" s="684">
        <f>IF(B22="","",VLOOKUP($B22,'6-2_算定表⑤(新・新制度)'!$B$8:$S$65536,14,FALSE))</f>
      </c>
      <c r="G22" s="429">
        <f>IF(B22="","",VLOOKUP($B22,'6-2_算定表⑤(新・新制度)'!$B$8:$S$65536,15,FALSE))</f>
      </c>
      <c r="H22" s="428">
        <f>IF(B22="","",VLOOKUP($B22,'6-2_算定表⑤(新・新制度)'!$B$8:$S$65536,16,FALSE))</f>
      </c>
      <c r="I22" s="429">
        <f>IF(B22="","",VLOOKUP($B22,'6-2_算定表⑤(新・新制度)'!$B$8:$S$65536,17,FALSE))</f>
      </c>
      <c r="J22" s="430">
        <f>IF(B22="","",VLOOKUP($B22,'6-2_算定表⑤(新・新制度)'!$B$8:$S$65536,18,FALSE))</f>
      </c>
      <c r="K22" s="431">
        <f>IF($B22="","",VLOOKUP($B22,'6-2_算定表⑤(新・新制度)'!$B$8:$S$65536,14,FALSE))</f>
      </c>
      <c r="L22" s="432">
        <f>IF($B22="","",VLOOKUP($B22,'6-2_算定表⑤(新・新制度)'!$B$8:$S$65536,14,FALSE))</f>
      </c>
      <c r="M22" s="433">
        <f>IF($B22="","",VLOOKUP($B22,'6-2_算定表⑤(新・新制度)'!$B$8:$S$65536,14,FALSE))</f>
      </c>
      <c r="N22" s="431">
        <f>IF($B22="","",VLOOKUP($B22,'6-2_算定表⑤(新・新制度)'!$B$8:$S$65536,16,FALSE))</f>
      </c>
      <c r="O22" s="443">
        <f>IF($B22="","",VLOOKUP($B22,'6-2_算定表⑤(新・新制度)'!$B$8:$S$65536,16,FALSE))</f>
      </c>
      <c r="P22" s="443">
        <f>IF($B22="","",VLOOKUP($B22,'6-2_算定表⑤(新・新制度)'!$B$8:$S$65536,16,FALSE))</f>
      </c>
      <c r="Q22" s="443">
        <f>IF($B22="","",VLOOKUP($B22,'6-2_算定表⑤(新・新制度)'!$B$8:$S$65536,16,FALSE))</f>
      </c>
      <c r="R22" s="443">
        <f>IF($B22="","",VLOOKUP($B22,'6-2_算定表⑤(新・新制度)'!$B$8:$S$65536,16,FALSE))</f>
      </c>
      <c r="S22" s="443">
        <f>IF($B22="","",VLOOKUP($B22,'6-2_算定表⑤(新・新制度)'!$B$8:$S$65536,16,FALSE))</f>
      </c>
      <c r="T22" s="443">
        <f>IF($B22="","",VLOOKUP($B22,'6-2_算定表⑤(新・新制度)'!$B$8:$S$65536,16,FALSE))</f>
      </c>
      <c r="U22" s="443">
        <f>IF($B22="","",VLOOKUP($B22,'6-2_算定表⑤(新・新制度)'!$B$8:$S$65536,16,FALSE))</f>
      </c>
      <c r="V22" s="443">
        <f>IF($B22="","",VLOOKUP($B22,'6-2_算定表⑤(新・新制度)'!$B$8:$S$65536,16,FALSE))</f>
      </c>
      <c r="W22" s="444">
        <f t="shared" si="0"/>
      </c>
      <c r="X22" s="445">
        <f t="shared" si="1"/>
      </c>
      <c r="Y22" s="444">
        <f t="shared" si="2"/>
      </c>
      <c r="Z22" s="446">
        <f t="shared" si="3"/>
      </c>
      <c r="AA22" s="438">
        <f t="shared" si="4"/>
      </c>
      <c r="AB22" s="446">
        <f t="shared" si="5"/>
      </c>
      <c r="AC22" s="437">
        <f t="shared" si="6"/>
      </c>
      <c r="AD22" s="438">
        <f t="shared" si="7"/>
      </c>
      <c r="AE22" s="681">
        <f>IF(B22="","",ROUNDUP((G22/'6-2_算定表⑤(新・新制度)'!J21*W22)+(I22/'6-2_算定表⑤(新・新制度)'!J21*X22)+(G22/'6-2_算定表⑤(新・新制度)'!J21*Y22)+(I22/'6-2_算定表⑤(新・新制度)'!J21*Z22)+(G22/'6-2_算定表⑤(新・新制度)'!J21*AA22)+(I22/'6-2_算定表⑤(新・新制度)'!J21*AB22),0))</f>
      </c>
      <c r="AF22" s="605">
        <f t="shared" si="10"/>
      </c>
      <c r="AG22" s="677">
        <f>IF(B22="","",VLOOKUP($B22,'6-2_算定表⑤(新・新制度)'!$B$8:$AF$65536,31,FALSE))</f>
      </c>
      <c r="AH22" s="678"/>
      <c r="AI22" s="679"/>
      <c r="AK22" s="60">
        <f t="shared" si="11"/>
      </c>
      <c r="AL22" s="60">
        <f t="shared" si="8"/>
      </c>
    </row>
    <row r="23" spans="1:38" s="53" customFormat="1" ht="18.75" customHeight="1">
      <c r="A23" s="34">
        <f t="shared" si="9"/>
      </c>
      <c r="B23" s="683"/>
      <c r="C23" s="83">
        <f>IF(B23="","",VLOOKUP($B23,'6-2_算定表⑤(新・新制度)'!$B$8:$S$65536,2,FALSE))</f>
      </c>
      <c r="D23" s="687">
        <f>IF(B23="","",VLOOKUP($B23,'6-2_算定表⑤(新・新制度)'!$B$8:$S$65536,3,FALSE))</f>
      </c>
      <c r="E23" s="214">
        <f>IF(B23="","",VLOOKUP($B23,'6-2_算定表⑤(新・新制度)'!$B$8:$S$65536,6,FALSE))</f>
      </c>
      <c r="F23" s="684">
        <f>IF(B23="","",VLOOKUP($B23,'6-2_算定表⑤(新・新制度)'!$B$8:$S$65536,14,FALSE))</f>
      </c>
      <c r="G23" s="429">
        <f>IF(B23="","",VLOOKUP($B23,'6-2_算定表⑤(新・新制度)'!$B$8:$S$65536,15,FALSE))</f>
      </c>
      <c r="H23" s="428">
        <f>IF(B23="","",VLOOKUP($B23,'6-2_算定表⑤(新・新制度)'!$B$8:$S$65536,16,FALSE))</f>
      </c>
      <c r="I23" s="429">
        <f>IF(B23="","",VLOOKUP($B23,'6-2_算定表⑤(新・新制度)'!$B$8:$S$65536,17,FALSE))</f>
      </c>
      <c r="J23" s="430">
        <f>IF(B23="","",VLOOKUP($B23,'6-2_算定表⑤(新・新制度)'!$B$8:$S$65536,18,FALSE))</f>
      </c>
      <c r="K23" s="431">
        <f>IF($B23="","",VLOOKUP($B23,'6-2_算定表⑤(新・新制度)'!$B$8:$S$65536,14,FALSE))</f>
      </c>
      <c r="L23" s="432">
        <f>IF($B23="","",VLOOKUP($B23,'6-2_算定表⑤(新・新制度)'!$B$8:$S$65536,14,FALSE))</f>
      </c>
      <c r="M23" s="433">
        <f>IF($B23="","",VLOOKUP($B23,'6-2_算定表⑤(新・新制度)'!$B$8:$S$65536,14,FALSE))</f>
      </c>
      <c r="N23" s="431">
        <f>IF($B23="","",VLOOKUP($B23,'6-2_算定表⑤(新・新制度)'!$B$8:$S$65536,16,FALSE))</f>
      </c>
      <c r="O23" s="443">
        <f>IF($B23="","",VLOOKUP($B23,'6-2_算定表⑤(新・新制度)'!$B$8:$S$65536,16,FALSE))</f>
      </c>
      <c r="P23" s="443">
        <f>IF($B23="","",VLOOKUP($B23,'6-2_算定表⑤(新・新制度)'!$B$8:$S$65536,16,FALSE))</f>
      </c>
      <c r="Q23" s="443">
        <f>IF($B23="","",VLOOKUP($B23,'6-2_算定表⑤(新・新制度)'!$B$8:$S$65536,16,FALSE))</f>
      </c>
      <c r="R23" s="443">
        <f>IF($B23="","",VLOOKUP($B23,'6-2_算定表⑤(新・新制度)'!$B$8:$S$65536,16,FALSE))</f>
      </c>
      <c r="S23" s="443">
        <f>IF($B23="","",VLOOKUP($B23,'6-2_算定表⑤(新・新制度)'!$B$8:$S$65536,16,FALSE))</f>
      </c>
      <c r="T23" s="443">
        <f>IF($B23="","",VLOOKUP($B23,'6-2_算定表⑤(新・新制度)'!$B$8:$S$65536,16,FALSE))</f>
      </c>
      <c r="U23" s="443">
        <f>IF($B23="","",VLOOKUP($B23,'6-2_算定表⑤(新・新制度)'!$B$8:$S$65536,16,FALSE))</f>
      </c>
      <c r="V23" s="443">
        <f>IF($B23="","",VLOOKUP($B23,'6-2_算定表⑤(新・新制度)'!$B$8:$S$65536,16,FALSE))</f>
      </c>
      <c r="W23" s="444">
        <f t="shared" si="0"/>
      </c>
      <c r="X23" s="445">
        <f t="shared" si="1"/>
      </c>
      <c r="Y23" s="444">
        <f t="shared" si="2"/>
      </c>
      <c r="Z23" s="446">
        <f t="shared" si="3"/>
      </c>
      <c r="AA23" s="438">
        <f t="shared" si="4"/>
      </c>
      <c r="AB23" s="446">
        <f t="shared" si="5"/>
      </c>
      <c r="AC23" s="437">
        <f t="shared" si="6"/>
      </c>
      <c r="AD23" s="438">
        <f t="shared" si="7"/>
      </c>
      <c r="AE23" s="681">
        <f>IF(B23="","",ROUNDUP((G23/'6-2_算定表⑤(新・新制度)'!J22*W23)+(I23/'6-2_算定表⑤(新・新制度)'!J22*X23)+(G23/'6-2_算定表⑤(新・新制度)'!J22*Y23)+(I23/'6-2_算定表⑤(新・新制度)'!J22*Z23)+(G23/'6-2_算定表⑤(新・新制度)'!J22*AA23)+(I23/'6-2_算定表⑤(新・新制度)'!J22*AB23),0))</f>
      </c>
      <c r="AF23" s="605">
        <f t="shared" si="10"/>
      </c>
      <c r="AG23" s="677">
        <f>IF(B23="","",VLOOKUP($B23,'6-2_算定表⑤(新・新制度)'!$B$8:$AF$65536,31,FALSE))</f>
      </c>
      <c r="AH23" s="678"/>
      <c r="AI23" s="679"/>
      <c r="AK23" s="60">
        <f t="shared" si="11"/>
      </c>
      <c r="AL23" s="60">
        <f t="shared" si="8"/>
      </c>
    </row>
    <row r="24" spans="1:38" s="53" customFormat="1" ht="18.75" customHeight="1">
      <c r="A24" s="34">
        <f t="shared" si="9"/>
      </c>
      <c r="B24" s="683"/>
      <c r="C24" s="83">
        <f>IF(B24="","",VLOOKUP($B24,'6-2_算定表⑤(新・新制度)'!$B$8:$S$65536,2,FALSE))</f>
      </c>
      <c r="D24" s="687">
        <f>IF(B24="","",VLOOKUP($B24,'6-2_算定表⑤(新・新制度)'!$B$8:$S$65536,3,FALSE))</f>
      </c>
      <c r="E24" s="214">
        <f>IF(B24="","",VLOOKUP($B24,'6-2_算定表⑤(新・新制度)'!$B$8:$S$65536,6,FALSE))</f>
      </c>
      <c r="F24" s="684">
        <f>IF(B24="","",VLOOKUP($B24,'6-2_算定表⑤(新・新制度)'!$B$8:$S$65536,14,FALSE))</f>
      </c>
      <c r="G24" s="429">
        <f>IF(B24="","",VLOOKUP($B24,'6-2_算定表⑤(新・新制度)'!$B$8:$S$65536,15,FALSE))</f>
      </c>
      <c r="H24" s="428">
        <f>IF(B24="","",VLOOKUP($B24,'6-2_算定表⑤(新・新制度)'!$B$8:$S$65536,16,FALSE))</f>
      </c>
      <c r="I24" s="429">
        <f>IF(B24="","",VLOOKUP($B24,'6-2_算定表⑤(新・新制度)'!$B$8:$S$65536,17,FALSE))</f>
      </c>
      <c r="J24" s="430">
        <f>IF(B24="","",VLOOKUP($B24,'6-2_算定表⑤(新・新制度)'!$B$8:$S$65536,18,FALSE))</f>
      </c>
      <c r="K24" s="431">
        <f>IF($B24="","",VLOOKUP($B24,'6-2_算定表⑤(新・新制度)'!$B$8:$S$65536,14,FALSE))</f>
      </c>
      <c r="L24" s="432">
        <f>IF($B24="","",VLOOKUP($B24,'6-2_算定表⑤(新・新制度)'!$B$8:$S$65536,14,FALSE))</f>
      </c>
      <c r="M24" s="433">
        <f>IF($B24="","",VLOOKUP($B24,'6-2_算定表⑤(新・新制度)'!$B$8:$S$65536,14,FALSE))</f>
      </c>
      <c r="N24" s="431">
        <f>IF($B24="","",VLOOKUP($B24,'6-2_算定表⑤(新・新制度)'!$B$8:$S$65536,16,FALSE))</f>
      </c>
      <c r="O24" s="443">
        <f>IF($B24="","",VLOOKUP($B24,'6-2_算定表⑤(新・新制度)'!$B$8:$S$65536,16,FALSE))</f>
      </c>
      <c r="P24" s="443">
        <f>IF($B24="","",VLOOKUP($B24,'6-2_算定表⑤(新・新制度)'!$B$8:$S$65536,16,FALSE))</f>
      </c>
      <c r="Q24" s="443">
        <f>IF($B24="","",VLOOKUP($B24,'6-2_算定表⑤(新・新制度)'!$B$8:$S$65536,16,FALSE))</f>
      </c>
      <c r="R24" s="443">
        <f>IF($B24="","",VLOOKUP($B24,'6-2_算定表⑤(新・新制度)'!$B$8:$S$65536,16,FALSE))</f>
      </c>
      <c r="S24" s="443">
        <f>IF($B24="","",VLOOKUP($B24,'6-2_算定表⑤(新・新制度)'!$B$8:$S$65536,16,FALSE))</f>
      </c>
      <c r="T24" s="443">
        <f>IF($B24="","",VLOOKUP($B24,'6-2_算定表⑤(新・新制度)'!$B$8:$S$65536,16,FALSE))</f>
      </c>
      <c r="U24" s="443">
        <f>IF($B24="","",VLOOKUP($B24,'6-2_算定表⑤(新・新制度)'!$B$8:$S$65536,16,FALSE))</f>
      </c>
      <c r="V24" s="443">
        <f>IF($B24="","",VLOOKUP($B24,'6-2_算定表⑤(新・新制度)'!$B$8:$S$65536,16,FALSE))</f>
      </c>
      <c r="W24" s="444">
        <f t="shared" si="0"/>
      </c>
      <c r="X24" s="445">
        <f t="shared" si="1"/>
      </c>
      <c r="Y24" s="444">
        <f t="shared" si="2"/>
      </c>
      <c r="Z24" s="446">
        <f t="shared" si="3"/>
      </c>
      <c r="AA24" s="438">
        <f t="shared" si="4"/>
      </c>
      <c r="AB24" s="446">
        <f t="shared" si="5"/>
      </c>
      <c r="AC24" s="437">
        <f t="shared" si="6"/>
      </c>
      <c r="AD24" s="438">
        <f t="shared" si="7"/>
      </c>
      <c r="AE24" s="681">
        <f>IF(B24="","",ROUNDUP((G24/'6-2_算定表⑤(新・新制度)'!J23*W24)+(I24/'6-2_算定表⑤(新・新制度)'!J23*X24)+(G24/'6-2_算定表⑤(新・新制度)'!J23*Y24)+(I24/'6-2_算定表⑤(新・新制度)'!J23*Z24)+(G24/'6-2_算定表⑤(新・新制度)'!J23*AA24)+(I24/'6-2_算定表⑤(新・新制度)'!J23*AB24),0))</f>
      </c>
      <c r="AF24" s="605">
        <f t="shared" si="10"/>
      </c>
      <c r="AG24" s="677">
        <f>IF(B24="","",VLOOKUP($B24,'6-2_算定表⑤(新・新制度)'!$B$8:$AF$65536,31,FALSE))</f>
      </c>
      <c r="AH24" s="678"/>
      <c r="AI24" s="679"/>
      <c r="AK24" s="60">
        <f t="shared" si="11"/>
      </c>
      <c r="AL24" s="60">
        <f t="shared" si="8"/>
      </c>
    </row>
    <row r="25" spans="1:38" s="53" customFormat="1" ht="18.75" customHeight="1">
      <c r="A25" s="34">
        <f t="shared" si="9"/>
      </c>
      <c r="B25" s="683"/>
      <c r="C25" s="83">
        <f>IF(B25="","",VLOOKUP($B25,'6-2_算定表⑤(新・新制度)'!$B$8:$S$65536,2,FALSE))</f>
      </c>
      <c r="D25" s="687">
        <f>IF(B25="","",VLOOKUP($B25,'6-2_算定表⑤(新・新制度)'!$B$8:$S$65536,3,FALSE))</f>
      </c>
      <c r="E25" s="214">
        <f>IF(B25="","",VLOOKUP($B25,'6-2_算定表⑤(新・新制度)'!$B$8:$S$65536,6,FALSE))</f>
      </c>
      <c r="F25" s="684">
        <f>IF(B25="","",VLOOKUP($B25,'6-2_算定表⑤(新・新制度)'!$B$8:$S$65536,14,FALSE))</f>
      </c>
      <c r="G25" s="429">
        <f>IF(B25="","",VLOOKUP($B25,'6-2_算定表⑤(新・新制度)'!$B$8:$S$65536,15,FALSE))</f>
      </c>
      <c r="H25" s="428">
        <f>IF(B25="","",VLOOKUP($B25,'6-2_算定表⑤(新・新制度)'!$B$8:$S$65536,16,FALSE))</f>
      </c>
      <c r="I25" s="429">
        <f>IF(B25="","",VLOOKUP($B25,'6-2_算定表⑤(新・新制度)'!$B$8:$S$65536,17,FALSE))</f>
      </c>
      <c r="J25" s="430">
        <f>IF(B25="","",VLOOKUP($B25,'6-2_算定表⑤(新・新制度)'!$B$8:$S$65536,18,FALSE))</f>
      </c>
      <c r="K25" s="431">
        <f>IF($B25="","",VLOOKUP($B25,'6-2_算定表⑤(新・新制度)'!$B$8:$S$65536,14,FALSE))</f>
      </c>
      <c r="L25" s="432">
        <f>IF($B25="","",VLOOKUP($B25,'6-2_算定表⑤(新・新制度)'!$B$8:$S$65536,14,FALSE))</f>
      </c>
      <c r="M25" s="433">
        <f>IF($B25="","",VLOOKUP($B25,'6-2_算定表⑤(新・新制度)'!$B$8:$S$65536,14,FALSE))</f>
      </c>
      <c r="N25" s="431">
        <f>IF($B25="","",VLOOKUP($B25,'6-2_算定表⑤(新・新制度)'!$B$8:$S$65536,16,FALSE))</f>
      </c>
      <c r="O25" s="443">
        <f>IF($B25="","",VLOOKUP($B25,'6-2_算定表⑤(新・新制度)'!$B$8:$S$65536,16,FALSE))</f>
      </c>
      <c r="P25" s="443">
        <f>IF($B25="","",VLOOKUP($B25,'6-2_算定表⑤(新・新制度)'!$B$8:$S$65536,16,FALSE))</f>
      </c>
      <c r="Q25" s="443">
        <f>IF($B25="","",VLOOKUP($B25,'6-2_算定表⑤(新・新制度)'!$B$8:$S$65536,16,FALSE))</f>
      </c>
      <c r="R25" s="443">
        <f>IF($B25="","",VLOOKUP($B25,'6-2_算定表⑤(新・新制度)'!$B$8:$S$65536,16,FALSE))</f>
      </c>
      <c r="S25" s="443">
        <f>IF($B25="","",VLOOKUP($B25,'6-2_算定表⑤(新・新制度)'!$B$8:$S$65536,16,FALSE))</f>
      </c>
      <c r="T25" s="443">
        <f>IF($B25="","",VLOOKUP($B25,'6-2_算定表⑤(新・新制度)'!$B$8:$S$65536,16,FALSE))</f>
      </c>
      <c r="U25" s="443">
        <f>IF($B25="","",VLOOKUP($B25,'6-2_算定表⑤(新・新制度)'!$B$8:$S$65536,16,FALSE))</f>
      </c>
      <c r="V25" s="443">
        <f>IF($B25="","",VLOOKUP($B25,'6-2_算定表⑤(新・新制度)'!$B$8:$S$65536,16,FALSE))</f>
      </c>
      <c r="W25" s="444">
        <f t="shared" si="0"/>
      </c>
      <c r="X25" s="445">
        <f t="shared" si="1"/>
      </c>
      <c r="Y25" s="444">
        <f t="shared" si="2"/>
      </c>
      <c r="Z25" s="446">
        <f t="shared" si="3"/>
      </c>
      <c r="AA25" s="438">
        <f t="shared" si="4"/>
      </c>
      <c r="AB25" s="446">
        <f t="shared" si="5"/>
      </c>
      <c r="AC25" s="437">
        <f t="shared" si="6"/>
      </c>
      <c r="AD25" s="438">
        <f t="shared" si="7"/>
      </c>
      <c r="AE25" s="681">
        <f>IF(B25="","",ROUNDUP((G25/'6-2_算定表⑤(新・新制度)'!J24*W25)+(I25/'6-2_算定表⑤(新・新制度)'!J24*X25)+(G25/'6-2_算定表⑤(新・新制度)'!J24*Y25)+(I25/'6-2_算定表⑤(新・新制度)'!J24*Z25)+(G25/'6-2_算定表⑤(新・新制度)'!J24*AA25)+(I25/'6-2_算定表⑤(新・新制度)'!J24*AB25),0))</f>
      </c>
      <c r="AF25" s="605">
        <f t="shared" si="10"/>
      </c>
      <c r="AG25" s="677">
        <f>IF(B25="","",VLOOKUP($B25,'6-2_算定表⑤(新・新制度)'!$B$8:$AF$65536,31,FALSE))</f>
      </c>
      <c r="AH25" s="678"/>
      <c r="AI25" s="679"/>
      <c r="AK25" s="60">
        <f t="shared" si="11"/>
      </c>
      <c r="AL25" s="60">
        <f t="shared" si="8"/>
      </c>
    </row>
    <row r="26" spans="1:38" s="53" customFormat="1" ht="18.75" customHeight="1">
      <c r="A26" s="34">
        <f t="shared" si="9"/>
      </c>
      <c r="B26" s="683"/>
      <c r="C26" s="83">
        <f>IF(B26="","",VLOOKUP($B26,'6-2_算定表⑤(新・新制度)'!$B$8:$S$65536,2,FALSE))</f>
      </c>
      <c r="D26" s="687">
        <f>IF(B26="","",VLOOKUP($B26,'6-2_算定表⑤(新・新制度)'!$B$8:$S$65536,3,FALSE))</f>
      </c>
      <c r="E26" s="214">
        <f>IF(B26="","",VLOOKUP($B26,'6-2_算定表⑤(新・新制度)'!$B$8:$S$65536,6,FALSE))</f>
      </c>
      <c r="F26" s="684">
        <f>IF(B26="","",VLOOKUP($B26,'6-2_算定表⑤(新・新制度)'!$B$8:$S$65536,14,FALSE))</f>
      </c>
      <c r="G26" s="429">
        <f>IF(B26="","",VLOOKUP($B26,'6-2_算定表⑤(新・新制度)'!$B$8:$S$65536,15,FALSE))</f>
      </c>
      <c r="H26" s="428">
        <f>IF(B26="","",VLOOKUP($B26,'6-2_算定表⑤(新・新制度)'!$B$8:$S$65536,16,FALSE))</f>
      </c>
      <c r="I26" s="429">
        <f>IF(B26="","",VLOOKUP($B26,'6-2_算定表⑤(新・新制度)'!$B$8:$S$65536,17,FALSE))</f>
      </c>
      <c r="J26" s="430">
        <f>IF(B26="","",VLOOKUP($B26,'6-2_算定表⑤(新・新制度)'!$B$8:$S$65536,18,FALSE))</f>
      </c>
      <c r="K26" s="431">
        <f>IF($B26="","",VLOOKUP($B26,'6-2_算定表⑤(新・新制度)'!$B$8:$S$65536,14,FALSE))</f>
      </c>
      <c r="L26" s="432">
        <f>IF($B26="","",VLOOKUP($B26,'6-2_算定表⑤(新・新制度)'!$B$8:$S$65536,14,FALSE))</f>
      </c>
      <c r="M26" s="433">
        <f>IF($B26="","",VLOOKUP($B26,'6-2_算定表⑤(新・新制度)'!$B$8:$S$65536,14,FALSE))</f>
      </c>
      <c r="N26" s="431">
        <f>IF($B26="","",VLOOKUP($B26,'6-2_算定表⑤(新・新制度)'!$B$8:$S$65536,16,FALSE))</f>
      </c>
      <c r="O26" s="443">
        <f>IF($B26="","",VLOOKUP($B26,'6-2_算定表⑤(新・新制度)'!$B$8:$S$65536,16,FALSE))</f>
      </c>
      <c r="P26" s="443">
        <f>IF($B26="","",VLOOKUP($B26,'6-2_算定表⑤(新・新制度)'!$B$8:$S$65536,16,FALSE))</f>
      </c>
      <c r="Q26" s="443">
        <f>IF($B26="","",VLOOKUP($B26,'6-2_算定表⑤(新・新制度)'!$B$8:$S$65536,16,FALSE))</f>
      </c>
      <c r="R26" s="443">
        <f>IF($B26="","",VLOOKUP($B26,'6-2_算定表⑤(新・新制度)'!$B$8:$S$65536,16,FALSE))</f>
      </c>
      <c r="S26" s="443">
        <f>IF($B26="","",VLOOKUP($B26,'6-2_算定表⑤(新・新制度)'!$B$8:$S$65536,16,FALSE))</f>
      </c>
      <c r="T26" s="443">
        <f>IF($B26="","",VLOOKUP($B26,'6-2_算定表⑤(新・新制度)'!$B$8:$S$65536,16,FALSE))</f>
      </c>
      <c r="U26" s="443">
        <f>IF($B26="","",VLOOKUP($B26,'6-2_算定表⑤(新・新制度)'!$B$8:$S$65536,16,FALSE))</f>
      </c>
      <c r="V26" s="443">
        <f>IF($B26="","",VLOOKUP($B26,'6-2_算定表⑤(新・新制度)'!$B$8:$S$65536,16,FALSE))</f>
      </c>
      <c r="W26" s="444">
        <f t="shared" si="0"/>
      </c>
      <c r="X26" s="445">
        <f t="shared" si="1"/>
      </c>
      <c r="Y26" s="444">
        <f t="shared" si="2"/>
      </c>
      <c r="Z26" s="446">
        <f t="shared" si="3"/>
      </c>
      <c r="AA26" s="438">
        <f t="shared" si="4"/>
      </c>
      <c r="AB26" s="446">
        <f t="shared" si="5"/>
      </c>
      <c r="AC26" s="437">
        <f t="shared" si="6"/>
      </c>
      <c r="AD26" s="438">
        <f t="shared" si="7"/>
      </c>
      <c r="AE26" s="681">
        <f>IF(B26="","",ROUNDUP((G26/'6-2_算定表⑤(新・新制度)'!J25*W26)+(I26/'6-2_算定表⑤(新・新制度)'!J25*X26)+(G26/'6-2_算定表⑤(新・新制度)'!J25*Y26)+(I26/'6-2_算定表⑤(新・新制度)'!J25*Z26)+(G26/'6-2_算定表⑤(新・新制度)'!J25*AA26)+(I26/'6-2_算定表⑤(新・新制度)'!J25*AB26),0))</f>
      </c>
      <c r="AF26" s="605">
        <f t="shared" si="10"/>
      </c>
      <c r="AG26" s="677">
        <f>IF(B26="","",VLOOKUP($B26,'6-2_算定表⑤(新・新制度)'!$B$8:$AF$65536,31,FALSE))</f>
      </c>
      <c r="AH26" s="678"/>
      <c r="AI26" s="679"/>
      <c r="AK26" s="60">
        <f t="shared" si="11"/>
      </c>
      <c r="AL26" s="60">
        <f t="shared" si="8"/>
      </c>
    </row>
    <row r="27" spans="1:38" s="53" customFormat="1" ht="18.75" customHeight="1">
      <c r="A27" s="34">
        <f t="shared" si="9"/>
      </c>
      <c r="B27" s="683"/>
      <c r="C27" s="83">
        <f>IF(B27="","",VLOOKUP($B27,'6-2_算定表⑤(新・新制度)'!$B$8:$S$65536,2,FALSE))</f>
      </c>
      <c r="D27" s="687">
        <f>IF(B27="","",VLOOKUP($B27,'6-2_算定表⑤(新・新制度)'!$B$8:$S$65536,3,FALSE))</f>
      </c>
      <c r="E27" s="214">
        <f>IF(B27="","",VLOOKUP($B27,'6-2_算定表⑤(新・新制度)'!$B$8:$S$65536,6,FALSE))</f>
      </c>
      <c r="F27" s="684">
        <f>IF(B27="","",VLOOKUP($B27,'6-2_算定表⑤(新・新制度)'!$B$8:$S$65536,14,FALSE))</f>
      </c>
      <c r="G27" s="429">
        <f>IF(B27="","",VLOOKUP($B27,'6-2_算定表⑤(新・新制度)'!$B$8:$S$65536,15,FALSE))</f>
      </c>
      <c r="H27" s="428">
        <f>IF(B27="","",VLOOKUP($B27,'6-2_算定表⑤(新・新制度)'!$B$8:$S$65536,16,FALSE))</f>
      </c>
      <c r="I27" s="429">
        <f>IF(B27="","",VLOOKUP($B27,'6-2_算定表⑤(新・新制度)'!$B$8:$S$65536,17,FALSE))</f>
      </c>
      <c r="J27" s="430">
        <f>IF(B27="","",VLOOKUP($B27,'6-2_算定表⑤(新・新制度)'!$B$8:$S$65536,18,FALSE))</f>
      </c>
      <c r="K27" s="431">
        <f>IF($B27="","",VLOOKUP($B27,'6-2_算定表⑤(新・新制度)'!$B$8:$S$65536,14,FALSE))</f>
      </c>
      <c r="L27" s="432">
        <f>IF($B27="","",VLOOKUP($B27,'6-2_算定表⑤(新・新制度)'!$B$8:$S$65536,14,FALSE))</f>
      </c>
      <c r="M27" s="433">
        <f>IF($B27="","",VLOOKUP($B27,'6-2_算定表⑤(新・新制度)'!$B$8:$S$65536,14,FALSE))</f>
      </c>
      <c r="N27" s="431">
        <f>IF($B27="","",VLOOKUP($B27,'6-2_算定表⑤(新・新制度)'!$B$8:$S$65536,16,FALSE))</f>
      </c>
      <c r="O27" s="443">
        <f>IF($B27="","",VLOOKUP($B27,'6-2_算定表⑤(新・新制度)'!$B$8:$S$65536,16,FALSE))</f>
      </c>
      <c r="P27" s="443">
        <f>IF($B27="","",VLOOKUP($B27,'6-2_算定表⑤(新・新制度)'!$B$8:$S$65536,16,FALSE))</f>
      </c>
      <c r="Q27" s="443">
        <f>IF($B27="","",VLOOKUP($B27,'6-2_算定表⑤(新・新制度)'!$B$8:$S$65536,16,FALSE))</f>
      </c>
      <c r="R27" s="443">
        <f>IF($B27="","",VLOOKUP($B27,'6-2_算定表⑤(新・新制度)'!$B$8:$S$65536,16,FALSE))</f>
      </c>
      <c r="S27" s="443">
        <f>IF($B27="","",VLOOKUP($B27,'6-2_算定表⑤(新・新制度)'!$B$8:$S$65536,16,FALSE))</f>
      </c>
      <c r="T27" s="443">
        <f>IF($B27="","",VLOOKUP($B27,'6-2_算定表⑤(新・新制度)'!$B$8:$S$65536,16,FALSE))</f>
      </c>
      <c r="U27" s="443">
        <f>IF($B27="","",VLOOKUP($B27,'6-2_算定表⑤(新・新制度)'!$B$8:$S$65536,16,FALSE))</f>
      </c>
      <c r="V27" s="443">
        <f>IF($B27="","",VLOOKUP($B27,'6-2_算定表⑤(新・新制度)'!$B$8:$S$65536,16,FALSE))</f>
      </c>
      <c r="W27" s="444">
        <f t="shared" si="0"/>
      </c>
      <c r="X27" s="445">
        <f t="shared" si="1"/>
      </c>
      <c r="Y27" s="444">
        <f t="shared" si="2"/>
      </c>
      <c r="Z27" s="446">
        <f t="shared" si="3"/>
      </c>
      <c r="AA27" s="438">
        <f t="shared" si="4"/>
      </c>
      <c r="AB27" s="446">
        <f t="shared" si="5"/>
      </c>
      <c r="AC27" s="437">
        <f t="shared" si="6"/>
      </c>
      <c r="AD27" s="438">
        <f t="shared" si="7"/>
      </c>
      <c r="AE27" s="681">
        <f>IF(B27="","",ROUNDUP((G27/'6-2_算定表⑤(新・新制度)'!J26*W27)+(I27/'6-2_算定表⑤(新・新制度)'!J26*X27)+(G27/'6-2_算定表⑤(新・新制度)'!J26*Y27)+(I27/'6-2_算定表⑤(新・新制度)'!J26*Z27)+(G27/'6-2_算定表⑤(新・新制度)'!J26*AA27)+(I27/'6-2_算定表⑤(新・新制度)'!J26*AB27),0))</f>
      </c>
      <c r="AF27" s="605">
        <f t="shared" si="10"/>
      </c>
      <c r="AG27" s="677">
        <f>IF(B27="","",VLOOKUP($B27,'6-2_算定表⑤(新・新制度)'!$B$8:$AF$65536,31,FALSE))</f>
      </c>
      <c r="AH27" s="678"/>
      <c r="AI27" s="679"/>
      <c r="AK27" s="60">
        <f t="shared" si="11"/>
      </c>
      <c r="AL27" s="60">
        <f t="shared" si="8"/>
      </c>
    </row>
    <row r="28" spans="1:38" s="53" customFormat="1" ht="18.75" customHeight="1">
      <c r="A28" s="34">
        <f t="shared" si="9"/>
      </c>
      <c r="B28" s="683"/>
      <c r="C28" s="83">
        <f>IF(B28="","",VLOOKUP($B28,'6-2_算定表⑤(新・新制度)'!$B$8:$S$65536,2,FALSE))</f>
      </c>
      <c r="D28" s="687">
        <f>IF(B28="","",VLOOKUP($B28,'6-2_算定表⑤(新・新制度)'!$B$8:$S$65536,3,FALSE))</f>
      </c>
      <c r="E28" s="214">
        <f>IF(B28="","",VLOOKUP($B28,'6-2_算定表⑤(新・新制度)'!$B$8:$S$65536,6,FALSE))</f>
      </c>
      <c r="F28" s="684">
        <f>IF(B28="","",VLOOKUP($B28,'6-2_算定表⑤(新・新制度)'!$B$8:$S$65536,14,FALSE))</f>
      </c>
      <c r="G28" s="429">
        <f>IF(B28="","",VLOOKUP($B28,'6-2_算定表⑤(新・新制度)'!$B$8:$S$65536,15,FALSE))</f>
      </c>
      <c r="H28" s="428">
        <f>IF(B28="","",VLOOKUP($B28,'6-2_算定表⑤(新・新制度)'!$B$8:$S$65536,16,FALSE))</f>
      </c>
      <c r="I28" s="429">
        <f>IF(B28="","",VLOOKUP($B28,'6-2_算定表⑤(新・新制度)'!$B$8:$S$65536,17,FALSE))</f>
      </c>
      <c r="J28" s="430">
        <f>IF(B28="","",VLOOKUP($B28,'6-2_算定表⑤(新・新制度)'!$B$8:$S$65536,18,FALSE))</f>
      </c>
      <c r="K28" s="431">
        <f>IF($B28="","",VLOOKUP($B28,'6-2_算定表⑤(新・新制度)'!$B$8:$S$65536,14,FALSE))</f>
      </c>
      <c r="L28" s="432">
        <f>IF($B28="","",VLOOKUP($B28,'6-2_算定表⑤(新・新制度)'!$B$8:$S$65536,14,FALSE))</f>
      </c>
      <c r="M28" s="433">
        <f>IF($B28="","",VLOOKUP($B28,'6-2_算定表⑤(新・新制度)'!$B$8:$S$65536,14,FALSE))</f>
      </c>
      <c r="N28" s="431">
        <f>IF($B28="","",VLOOKUP($B28,'6-2_算定表⑤(新・新制度)'!$B$8:$S$65536,16,FALSE))</f>
      </c>
      <c r="O28" s="443">
        <f>IF($B28="","",VLOOKUP($B28,'6-2_算定表⑤(新・新制度)'!$B$8:$S$65536,16,FALSE))</f>
      </c>
      <c r="P28" s="443">
        <f>IF($B28="","",VLOOKUP($B28,'6-2_算定表⑤(新・新制度)'!$B$8:$S$65536,16,FALSE))</f>
      </c>
      <c r="Q28" s="443">
        <f>IF($B28="","",VLOOKUP($B28,'6-2_算定表⑤(新・新制度)'!$B$8:$S$65536,16,FALSE))</f>
      </c>
      <c r="R28" s="443">
        <f>IF($B28="","",VLOOKUP($B28,'6-2_算定表⑤(新・新制度)'!$B$8:$S$65536,16,FALSE))</f>
      </c>
      <c r="S28" s="443">
        <f>IF($B28="","",VLOOKUP($B28,'6-2_算定表⑤(新・新制度)'!$B$8:$S$65536,16,FALSE))</f>
      </c>
      <c r="T28" s="443">
        <f>IF($B28="","",VLOOKUP($B28,'6-2_算定表⑤(新・新制度)'!$B$8:$S$65536,16,FALSE))</f>
      </c>
      <c r="U28" s="443">
        <f>IF($B28="","",VLOOKUP($B28,'6-2_算定表⑤(新・新制度)'!$B$8:$S$65536,16,FALSE))</f>
      </c>
      <c r="V28" s="443">
        <f>IF($B28="","",VLOOKUP($B28,'6-2_算定表⑤(新・新制度)'!$B$8:$S$65536,16,FALSE))</f>
      </c>
      <c r="W28" s="444">
        <f t="shared" si="0"/>
      </c>
      <c r="X28" s="445">
        <f t="shared" si="1"/>
      </c>
      <c r="Y28" s="444">
        <f t="shared" si="2"/>
      </c>
      <c r="Z28" s="446">
        <f t="shared" si="3"/>
      </c>
      <c r="AA28" s="438">
        <f t="shared" si="4"/>
      </c>
      <c r="AB28" s="446">
        <f t="shared" si="5"/>
      </c>
      <c r="AC28" s="437">
        <f t="shared" si="6"/>
      </c>
      <c r="AD28" s="438">
        <f t="shared" si="7"/>
      </c>
      <c r="AE28" s="681">
        <f>IF(B28="","",ROUNDUP((G28/'6-2_算定表⑤(新・新制度)'!J27*W28)+(I28/'6-2_算定表⑤(新・新制度)'!J27*X28)+(G28/'6-2_算定表⑤(新・新制度)'!J27*Y28)+(I28/'6-2_算定表⑤(新・新制度)'!J27*Z28)+(G28/'6-2_算定表⑤(新・新制度)'!J27*AA28)+(I28/'6-2_算定表⑤(新・新制度)'!J27*AB28),0))</f>
      </c>
      <c r="AF28" s="605">
        <f t="shared" si="10"/>
      </c>
      <c r="AG28" s="677">
        <f>IF(B28="","",VLOOKUP($B28,'6-2_算定表⑤(新・新制度)'!$B$8:$AF$65536,31,FALSE))</f>
      </c>
      <c r="AH28" s="678"/>
      <c r="AI28" s="679"/>
      <c r="AK28" s="60">
        <f t="shared" si="11"/>
      </c>
      <c r="AL28" s="60">
        <f t="shared" si="8"/>
      </c>
    </row>
    <row r="29" spans="1:38" s="53" customFormat="1" ht="18.75" customHeight="1">
      <c r="A29" s="34">
        <f t="shared" si="9"/>
      </c>
      <c r="B29" s="683"/>
      <c r="C29" s="83">
        <f>IF(B29="","",VLOOKUP($B29,'6-2_算定表⑤(新・新制度)'!$B$8:$S$65536,2,FALSE))</f>
      </c>
      <c r="D29" s="687">
        <f>IF(B29="","",VLOOKUP($B29,'6-2_算定表⑤(新・新制度)'!$B$8:$S$65536,3,FALSE))</f>
      </c>
      <c r="E29" s="214">
        <f>IF(B29="","",VLOOKUP($B29,'6-2_算定表⑤(新・新制度)'!$B$8:$S$65536,6,FALSE))</f>
      </c>
      <c r="F29" s="684">
        <f>IF(B29="","",VLOOKUP($B29,'6-2_算定表⑤(新・新制度)'!$B$8:$S$65536,14,FALSE))</f>
      </c>
      <c r="G29" s="429">
        <f>IF(B29="","",VLOOKUP($B29,'6-2_算定表⑤(新・新制度)'!$B$8:$S$65536,15,FALSE))</f>
      </c>
      <c r="H29" s="428">
        <f>IF(B29="","",VLOOKUP($B29,'6-2_算定表⑤(新・新制度)'!$B$8:$S$65536,16,FALSE))</f>
      </c>
      <c r="I29" s="429">
        <f>IF(B29="","",VLOOKUP($B29,'6-2_算定表⑤(新・新制度)'!$B$8:$S$65536,17,FALSE))</f>
      </c>
      <c r="J29" s="430">
        <f>IF(B29="","",VLOOKUP($B29,'6-2_算定表⑤(新・新制度)'!$B$8:$S$65536,18,FALSE))</f>
      </c>
      <c r="K29" s="431">
        <f>IF($B29="","",VLOOKUP($B29,'6-2_算定表⑤(新・新制度)'!$B$8:$S$65536,14,FALSE))</f>
      </c>
      <c r="L29" s="432">
        <f>IF($B29="","",VLOOKUP($B29,'6-2_算定表⑤(新・新制度)'!$B$8:$S$65536,14,FALSE))</f>
      </c>
      <c r="M29" s="433">
        <f>IF($B29="","",VLOOKUP($B29,'6-2_算定表⑤(新・新制度)'!$B$8:$S$65536,14,FALSE))</f>
      </c>
      <c r="N29" s="431">
        <f>IF($B29="","",VLOOKUP($B29,'6-2_算定表⑤(新・新制度)'!$B$8:$S$65536,16,FALSE))</f>
      </c>
      <c r="O29" s="443">
        <f>IF($B29="","",VLOOKUP($B29,'6-2_算定表⑤(新・新制度)'!$B$8:$S$65536,16,FALSE))</f>
      </c>
      <c r="P29" s="443">
        <f>IF($B29="","",VLOOKUP($B29,'6-2_算定表⑤(新・新制度)'!$B$8:$S$65536,16,FALSE))</f>
      </c>
      <c r="Q29" s="443">
        <f>IF($B29="","",VLOOKUP($B29,'6-2_算定表⑤(新・新制度)'!$B$8:$S$65536,16,FALSE))</f>
      </c>
      <c r="R29" s="443">
        <f>IF($B29="","",VLOOKUP($B29,'6-2_算定表⑤(新・新制度)'!$B$8:$S$65536,16,FALSE))</f>
      </c>
      <c r="S29" s="443">
        <f>IF($B29="","",VLOOKUP($B29,'6-2_算定表⑤(新・新制度)'!$B$8:$S$65536,16,FALSE))</f>
      </c>
      <c r="T29" s="443">
        <f>IF($B29="","",VLOOKUP($B29,'6-2_算定表⑤(新・新制度)'!$B$8:$S$65536,16,FALSE))</f>
      </c>
      <c r="U29" s="443">
        <f>IF($B29="","",VLOOKUP($B29,'6-2_算定表⑤(新・新制度)'!$B$8:$S$65536,16,FALSE))</f>
      </c>
      <c r="V29" s="443">
        <f>IF($B29="","",VLOOKUP($B29,'6-2_算定表⑤(新・新制度)'!$B$8:$S$65536,16,FALSE))</f>
      </c>
      <c r="W29" s="444">
        <f t="shared" si="0"/>
      </c>
      <c r="X29" s="445">
        <f t="shared" si="1"/>
      </c>
      <c r="Y29" s="444">
        <f t="shared" si="2"/>
      </c>
      <c r="Z29" s="446">
        <f t="shared" si="3"/>
      </c>
      <c r="AA29" s="438">
        <f t="shared" si="4"/>
      </c>
      <c r="AB29" s="446">
        <f t="shared" si="5"/>
      </c>
      <c r="AC29" s="437">
        <f t="shared" si="6"/>
      </c>
      <c r="AD29" s="438">
        <f t="shared" si="7"/>
      </c>
      <c r="AE29" s="681">
        <f>IF(B29="","",ROUNDUP((G29/'6-2_算定表⑤(新・新制度)'!J28*W29)+(I29/'6-2_算定表⑤(新・新制度)'!J28*X29)+(G29/'6-2_算定表⑤(新・新制度)'!J28*Y29)+(I29/'6-2_算定表⑤(新・新制度)'!J28*Z29)+(G29/'6-2_算定表⑤(新・新制度)'!J28*AA29)+(I29/'6-2_算定表⑤(新・新制度)'!J28*AB29),0))</f>
      </c>
      <c r="AF29" s="605">
        <f t="shared" si="10"/>
      </c>
      <c r="AG29" s="677">
        <f>IF(B29="","",VLOOKUP($B29,'6-2_算定表⑤(新・新制度)'!$B$8:$AF$65536,31,FALSE))</f>
      </c>
      <c r="AH29" s="678"/>
      <c r="AI29" s="679"/>
      <c r="AK29" s="60">
        <f t="shared" si="11"/>
      </c>
      <c r="AL29" s="60">
        <f t="shared" si="8"/>
      </c>
    </row>
    <row r="30" spans="1:38" s="53" customFormat="1" ht="18.75" customHeight="1">
      <c r="A30" s="34">
        <f t="shared" si="9"/>
      </c>
      <c r="B30" s="683"/>
      <c r="C30" s="83">
        <f>IF(B30="","",VLOOKUP($B30,'6-2_算定表⑤(新・新制度)'!$B$8:$S$65536,2,FALSE))</f>
      </c>
      <c r="D30" s="687">
        <f>IF(B30="","",VLOOKUP($B30,'6-2_算定表⑤(新・新制度)'!$B$8:$S$65536,3,FALSE))</f>
      </c>
      <c r="E30" s="214">
        <f>IF(B30="","",VLOOKUP($B30,'6-2_算定表⑤(新・新制度)'!$B$8:$S$65536,6,FALSE))</f>
      </c>
      <c r="F30" s="684">
        <f>IF(B30="","",VLOOKUP($B30,'6-2_算定表⑤(新・新制度)'!$B$8:$S$65536,14,FALSE))</f>
      </c>
      <c r="G30" s="429">
        <f>IF(B30="","",VLOOKUP($B30,'6-2_算定表⑤(新・新制度)'!$B$8:$S$65536,15,FALSE))</f>
      </c>
      <c r="H30" s="428">
        <f>IF(B30="","",VLOOKUP($B30,'6-2_算定表⑤(新・新制度)'!$B$8:$S$65536,16,FALSE))</f>
      </c>
      <c r="I30" s="429">
        <f>IF(B30="","",VLOOKUP($B30,'6-2_算定表⑤(新・新制度)'!$B$8:$S$65536,17,FALSE))</f>
      </c>
      <c r="J30" s="430">
        <f>IF(B30="","",VLOOKUP($B30,'6-2_算定表⑤(新・新制度)'!$B$8:$S$65536,18,FALSE))</f>
      </c>
      <c r="K30" s="431">
        <f>IF($B30="","",VLOOKUP($B30,'6-2_算定表⑤(新・新制度)'!$B$8:$S$65536,14,FALSE))</f>
      </c>
      <c r="L30" s="432">
        <f>IF($B30="","",VLOOKUP($B30,'6-2_算定表⑤(新・新制度)'!$B$8:$S$65536,14,FALSE))</f>
      </c>
      <c r="M30" s="433">
        <f>IF($B30="","",VLOOKUP($B30,'6-2_算定表⑤(新・新制度)'!$B$8:$S$65536,14,FALSE))</f>
      </c>
      <c r="N30" s="431">
        <f>IF($B30="","",VLOOKUP($B30,'6-2_算定表⑤(新・新制度)'!$B$8:$S$65536,16,FALSE))</f>
      </c>
      <c r="O30" s="443">
        <f>IF($B30="","",VLOOKUP($B30,'6-2_算定表⑤(新・新制度)'!$B$8:$S$65536,16,FALSE))</f>
      </c>
      <c r="P30" s="443">
        <f>IF($B30="","",VLOOKUP($B30,'6-2_算定表⑤(新・新制度)'!$B$8:$S$65536,16,FALSE))</f>
      </c>
      <c r="Q30" s="443">
        <f>IF($B30="","",VLOOKUP($B30,'6-2_算定表⑤(新・新制度)'!$B$8:$S$65536,16,FALSE))</f>
      </c>
      <c r="R30" s="443">
        <f>IF($B30="","",VLOOKUP($B30,'6-2_算定表⑤(新・新制度)'!$B$8:$S$65536,16,FALSE))</f>
      </c>
      <c r="S30" s="443">
        <f>IF($B30="","",VLOOKUP($B30,'6-2_算定表⑤(新・新制度)'!$B$8:$S$65536,16,FALSE))</f>
      </c>
      <c r="T30" s="443">
        <f>IF($B30="","",VLOOKUP($B30,'6-2_算定表⑤(新・新制度)'!$B$8:$S$65536,16,FALSE))</f>
      </c>
      <c r="U30" s="443">
        <f>IF($B30="","",VLOOKUP($B30,'6-2_算定表⑤(新・新制度)'!$B$8:$S$65536,16,FALSE))</f>
      </c>
      <c r="V30" s="443">
        <f>IF($B30="","",VLOOKUP($B30,'6-2_算定表⑤(新・新制度)'!$B$8:$S$65536,16,FALSE))</f>
      </c>
      <c r="W30" s="444">
        <f t="shared" si="0"/>
      </c>
      <c r="X30" s="445">
        <f t="shared" si="1"/>
      </c>
      <c r="Y30" s="444">
        <f t="shared" si="2"/>
      </c>
      <c r="Z30" s="446">
        <f t="shared" si="3"/>
      </c>
      <c r="AA30" s="438">
        <f t="shared" si="4"/>
      </c>
      <c r="AB30" s="446">
        <f t="shared" si="5"/>
      </c>
      <c r="AC30" s="437">
        <f t="shared" si="6"/>
      </c>
      <c r="AD30" s="438">
        <f t="shared" si="7"/>
      </c>
      <c r="AE30" s="681">
        <f>IF(B30="","",ROUNDUP((G30/'6-2_算定表⑤(新・新制度)'!J29*W30)+(I30/'6-2_算定表⑤(新・新制度)'!J29*X30)+(G30/'6-2_算定表⑤(新・新制度)'!J29*Y30)+(I30/'6-2_算定表⑤(新・新制度)'!J29*Z30)+(G30/'6-2_算定表⑤(新・新制度)'!J29*AA30)+(I30/'6-2_算定表⑤(新・新制度)'!J29*AB30),0))</f>
      </c>
      <c r="AF30" s="605">
        <f t="shared" si="10"/>
      </c>
      <c r="AG30" s="677">
        <f>IF(B30="","",VLOOKUP($B30,'6-2_算定表⑤(新・新制度)'!$B$8:$AF$65536,31,FALSE))</f>
      </c>
      <c r="AH30" s="678"/>
      <c r="AI30" s="679"/>
      <c r="AK30" s="60">
        <f>IF(A30&gt;0,ASC(C30&amp;H30),"")</f>
      </c>
      <c r="AL30" s="60">
        <f t="shared" si="8"/>
      </c>
    </row>
    <row r="31" spans="1:38" s="53" customFormat="1" ht="18.75" customHeight="1">
      <c r="A31" s="34">
        <f t="shared" si="9"/>
      </c>
      <c r="B31" s="683"/>
      <c r="C31" s="83">
        <f>IF(B31="","",VLOOKUP($B31,'6-2_算定表⑤(新・新制度)'!$B$8:$S$65536,2,FALSE))</f>
      </c>
      <c r="D31" s="687">
        <f>IF(B31="","",VLOOKUP($B31,'6-2_算定表⑤(新・新制度)'!$B$8:$S$65536,3,FALSE))</f>
      </c>
      <c r="E31" s="214">
        <f>IF(B31="","",VLOOKUP($B31,'6-2_算定表⑤(新・新制度)'!$B$8:$S$65536,6,FALSE))</f>
      </c>
      <c r="F31" s="684">
        <f>IF(B31="","",VLOOKUP($B31,'6-2_算定表⑤(新・新制度)'!$B$8:$S$65536,14,FALSE))</f>
      </c>
      <c r="G31" s="429">
        <f>IF(B31="","",VLOOKUP($B31,'6-2_算定表⑤(新・新制度)'!$B$8:$S$65536,15,FALSE))</f>
      </c>
      <c r="H31" s="428">
        <f>IF(B31="","",VLOOKUP($B31,'6-2_算定表⑤(新・新制度)'!$B$8:$S$65536,16,FALSE))</f>
      </c>
      <c r="I31" s="429">
        <f>IF(B31="","",VLOOKUP($B31,'6-2_算定表⑤(新・新制度)'!$B$8:$S$65536,17,FALSE))</f>
      </c>
      <c r="J31" s="430">
        <f>IF(B31="","",VLOOKUP($B31,'6-2_算定表⑤(新・新制度)'!$B$8:$S$65536,18,FALSE))</f>
      </c>
      <c r="K31" s="431">
        <f>IF($B31="","",VLOOKUP($B31,'6-2_算定表⑤(新・新制度)'!$B$8:$S$65536,14,FALSE))</f>
      </c>
      <c r="L31" s="432">
        <f>IF($B31="","",VLOOKUP($B31,'6-2_算定表⑤(新・新制度)'!$B$8:$S$65536,14,FALSE))</f>
      </c>
      <c r="M31" s="433">
        <f>IF($B31="","",VLOOKUP($B31,'6-2_算定表⑤(新・新制度)'!$B$8:$S$65536,14,FALSE))</f>
      </c>
      <c r="N31" s="431">
        <f>IF($B31="","",VLOOKUP($B31,'6-2_算定表⑤(新・新制度)'!$B$8:$S$65536,16,FALSE))</f>
      </c>
      <c r="O31" s="443">
        <f>IF($B31="","",VLOOKUP($B31,'6-2_算定表⑤(新・新制度)'!$B$8:$S$65536,16,FALSE))</f>
      </c>
      <c r="P31" s="443">
        <f>IF($B31="","",VLOOKUP($B31,'6-2_算定表⑤(新・新制度)'!$B$8:$S$65536,16,FALSE))</f>
      </c>
      <c r="Q31" s="443">
        <f>IF($B31="","",VLOOKUP($B31,'6-2_算定表⑤(新・新制度)'!$B$8:$S$65536,16,FALSE))</f>
      </c>
      <c r="R31" s="443">
        <f>IF($B31="","",VLOOKUP($B31,'6-2_算定表⑤(新・新制度)'!$B$8:$S$65536,16,FALSE))</f>
      </c>
      <c r="S31" s="443">
        <f>IF($B31="","",VLOOKUP($B31,'6-2_算定表⑤(新・新制度)'!$B$8:$S$65536,16,FALSE))</f>
      </c>
      <c r="T31" s="443">
        <f>IF($B31="","",VLOOKUP($B31,'6-2_算定表⑤(新・新制度)'!$B$8:$S$65536,16,FALSE))</f>
      </c>
      <c r="U31" s="443">
        <f>IF($B31="","",VLOOKUP($B31,'6-2_算定表⑤(新・新制度)'!$B$8:$S$65536,16,FALSE))</f>
      </c>
      <c r="V31" s="443">
        <f>IF($B31="","",VLOOKUP($B31,'6-2_算定表⑤(新・新制度)'!$B$8:$S$65536,16,FALSE))</f>
      </c>
      <c r="W31" s="444">
        <f t="shared" si="0"/>
      </c>
      <c r="X31" s="445">
        <f t="shared" si="1"/>
      </c>
      <c r="Y31" s="444">
        <f t="shared" si="2"/>
      </c>
      <c r="Z31" s="446">
        <f t="shared" si="3"/>
      </c>
      <c r="AA31" s="438">
        <f t="shared" si="4"/>
      </c>
      <c r="AB31" s="446">
        <f t="shared" si="5"/>
      </c>
      <c r="AC31" s="437">
        <f t="shared" si="6"/>
      </c>
      <c r="AD31" s="438">
        <f t="shared" si="7"/>
      </c>
      <c r="AE31" s="681">
        <f>IF(B31="","",ROUNDUP((G31/'6-2_算定表⑤(新・新制度)'!J30*W31)+(I31/'6-2_算定表⑤(新・新制度)'!J30*X31)+(G31/'6-2_算定表⑤(新・新制度)'!J30*Y31)+(I31/'6-2_算定表⑤(新・新制度)'!J30*Z31)+(G31/'6-2_算定表⑤(新・新制度)'!J30*AA31)+(I31/'6-2_算定表⑤(新・新制度)'!J30*AB31),0))</f>
      </c>
      <c r="AF31" s="605">
        <f t="shared" si="10"/>
      </c>
      <c r="AG31" s="677">
        <f>IF(B31="","",VLOOKUP($B31,'6-2_算定表⑤(新・新制度)'!$B$8:$AF$65536,31,FALSE))</f>
      </c>
      <c r="AH31" s="678"/>
      <c r="AI31" s="679"/>
      <c r="AK31" s="60">
        <f>IF(A31&gt;0,ASC(C31&amp;H31),"")</f>
      </c>
      <c r="AL31" s="60">
        <f t="shared" si="8"/>
      </c>
    </row>
    <row r="32" spans="1:38" s="53" customFormat="1" ht="18.75" customHeight="1">
      <c r="A32" s="34">
        <f t="shared" si="9"/>
      </c>
      <c r="B32" s="683"/>
      <c r="C32" s="83">
        <f>IF(B32="","",VLOOKUP($B32,'6-2_算定表⑤(新・新制度)'!$B$8:$S$65536,2,FALSE))</f>
      </c>
      <c r="D32" s="687">
        <f>IF(B32="","",VLOOKUP($B32,'6-2_算定表⑤(新・新制度)'!$B$8:$S$65536,3,FALSE))</f>
      </c>
      <c r="E32" s="214">
        <f>IF(B32="","",VLOOKUP($B32,'6-2_算定表⑤(新・新制度)'!$B$8:$S$65536,6,FALSE))</f>
      </c>
      <c r="F32" s="684">
        <f>IF(B32="","",VLOOKUP($B32,'6-2_算定表⑤(新・新制度)'!$B$8:$S$65536,14,FALSE))</f>
      </c>
      <c r="G32" s="429">
        <f>IF(B32="","",VLOOKUP($B32,'6-2_算定表⑤(新・新制度)'!$B$8:$S$65536,15,FALSE))</f>
      </c>
      <c r="H32" s="428">
        <f>IF(B32="","",VLOOKUP($B32,'6-2_算定表⑤(新・新制度)'!$B$8:$S$65536,16,FALSE))</f>
      </c>
      <c r="I32" s="429">
        <f>IF(B32="","",VLOOKUP($B32,'6-2_算定表⑤(新・新制度)'!$B$8:$S$65536,17,FALSE))</f>
      </c>
      <c r="J32" s="430">
        <f>IF(B32="","",VLOOKUP($B32,'6-2_算定表⑤(新・新制度)'!$B$8:$S$65536,18,FALSE))</f>
      </c>
      <c r="K32" s="431">
        <f>IF($B32="","",VLOOKUP($B32,'6-2_算定表⑤(新・新制度)'!$B$8:$S$65536,14,FALSE))</f>
      </c>
      <c r="L32" s="432">
        <f>IF($B32="","",VLOOKUP($B32,'6-2_算定表⑤(新・新制度)'!$B$8:$S$65536,14,FALSE))</f>
      </c>
      <c r="M32" s="433">
        <f>IF($B32="","",VLOOKUP($B32,'6-2_算定表⑤(新・新制度)'!$B$8:$S$65536,14,FALSE))</f>
      </c>
      <c r="N32" s="431">
        <f>IF($B32="","",VLOOKUP($B32,'6-2_算定表⑤(新・新制度)'!$B$8:$S$65536,16,FALSE))</f>
      </c>
      <c r="O32" s="443">
        <f>IF($B32="","",VLOOKUP($B32,'6-2_算定表⑤(新・新制度)'!$B$8:$S$65536,16,FALSE))</f>
      </c>
      <c r="P32" s="443">
        <f>IF($B32="","",VLOOKUP($B32,'6-2_算定表⑤(新・新制度)'!$B$8:$S$65536,16,FALSE))</f>
      </c>
      <c r="Q32" s="443">
        <f>IF($B32="","",VLOOKUP($B32,'6-2_算定表⑤(新・新制度)'!$B$8:$S$65536,16,FALSE))</f>
      </c>
      <c r="R32" s="443">
        <f>IF($B32="","",VLOOKUP($B32,'6-2_算定表⑤(新・新制度)'!$B$8:$S$65536,16,FALSE))</f>
      </c>
      <c r="S32" s="443">
        <f>IF($B32="","",VLOOKUP($B32,'6-2_算定表⑤(新・新制度)'!$B$8:$S$65536,16,FALSE))</f>
      </c>
      <c r="T32" s="443">
        <f>IF($B32="","",VLOOKUP($B32,'6-2_算定表⑤(新・新制度)'!$B$8:$S$65536,16,FALSE))</f>
      </c>
      <c r="U32" s="443">
        <f>IF($B32="","",VLOOKUP($B32,'6-2_算定表⑤(新・新制度)'!$B$8:$S$65536,16,FALSE))</f>
      </c>
      <c r="V32" s="443">
        <f>IF($B32="","",VLOOKUP($B32,'6-2_算定表⑤(新・新制度)'!$B$8:$S$65536,16,FALSE))</f>
      </c>
      <c r="W32" s="444">
        <f t="shared" si="0"/>
      </c>
      <c r="X32" s="445">
        <f t="shared" si="1"/>
      </c>
      <c r="Y32" s="444">
        <f t="shared" si="2"/>
      </c>
      <c r="Z32" s="446">
        <f t="shared" si="3"/>
      </c>
      <c r="AA32" s="438">
        <f t="shared" si="4"/>
      </c>
      <c r="AB32" s="446">
        <f t="shared" si="5"/>
      </c>
      <c r="AC32" s="437">
        <f t="shared" si="6"/>
      </c>
      <c r="AD32" s="438">
        <f t="shared" si="7"/>
      </c>
      <c r="AE32" s="681">
        <f>IF(B32="","",ROUNDUP((G32/'6-2_算定表⑤(新・新制度)'!J31*W32)+(I32/'6-2_算定表⑤(新・新制度)'!J31*X32)+(G32/'6-2_算定表⑤(新・新制度)'!J31*Y32)+(I32/'6-2_算定表⑤(新・新制度)'!J31*Z32)+(G32/'6-2_算定表⑤(新・新制度)'!J31*AA32)+(I32/'6-2_算定表⑤(新・新制度)'!J31*AB32),0))</f>
      </c>
      <c r="AF32" s="605">
        <f t="shared" si="10"/>
      </c>
      <c r="AG32" s="677">
        <f>IF(B32="","",VLOOKUP($B32,'6-2_算定表⑤(新・新制度)'!$B$8:$AF$65536,31,FALSE))</f>
      </c>
      <c r="AH32" s="678"/>
      <c r="AI32" s="679"/>
      <c r="AK32" s="60">
        <f>IF(A32&gt;0,ASC(C32&amp;H32),"")</f>
      </c>
      <c r="AL32" s="60">
        <f t="shared" si="8"/>
      </c>
    </row>
    <row r="33" spans="1:38" s="53" customFormat="1" ht="18.75" customHeight="1">
      <c r="A33" s="34">
        <f t="shared" si="9"/>
      </c>
      <c r="B33" s="683"/>
      <c r="C33" s="83">
        <f>IF(B33="","",VLOOKUP($B33,'6-2_算定表⑤(新・新制度)'!$B$8:$S$65536,2,FALSE))</f>
      </c>
      <c r="D33" s="687">
        <f>IF(B33="","",VLOOKUP($B33,'6-2_算定表⑤(新・新制度)'!$B$8:$S$65536,3,FALSE))</f>
      </c>
      <c r="E33" s="214">
        <f>IF(B33="","",VLOOKUP($B33,'6-2_算定表⑤(新・新制度)'!$B$8:$S$65536,6,FALSE))</f>
      </c>
      <c r="F33" s="684">
        <f>IF(B33="","",VLOOKUP($B33,'6-2_算定表⑤(新・新制度)'!$B$8:$S$65536,14,FALSE))</f>
      </c>
      <c r="G33" s="429">
        <f>IF(B33="","",VLOOKUP($B33,'6-2_算定表⑤(新・新制度)'!$B$8:$S$65536,15,FALSE))</f>
      </c>
      <c r="H33" s="428">
        <f>IF(B33="","",VLOOKUP($B33,'6-2_算定表⑤(新・新制度)'!$B$8:$S$65536,16,FALSE))</f>
      </c>
      <c r="I33" s="429">
        <f>IF(B33="","",VLOOKUP($B33,'6-2_算定表⑤(新・新制度)'!$B$8:$S$65536,17,FALSE))</f>
      </c>
      <c r="J33" s="430">
        <f>IF(B33="","",VLOOKUP($B33,'6-2_算定表⑤(新・新制度)'!$B$8:$S$65536,18,FALSE))</f>
      </c>
      <c r="K33" s="431">
        <f>IF($B33="","",VLOOKUP($B33,'6-2_算定表⑤(新・新制度)'!$B$8:$S$65536,14,FALSE))</f>
      </c>
      <c r="L33" s="432">
        <f>IF($B33="","",VLOOKUP($B33,'6-2_算定表⑤(新・新制度)'!$B$8:$S$65536,14,FALSE))</f>
      </c>
      <c r="M33" s="433">
        <f>IF($B33="","",VLOOKUP($B33,'6-2_算定表⑤(新・新制度)'!$B$8:$S$65536,14,FALSE))</f>
      </c>
      <c r="N33" s="431">
        <f>IF($B33="","",VLOOKUP($B33,'6-2_算定表⑤(新・新制度)'!$B$8:$S$65536,16,FALSE))</f>
      </c>
      <c r="O33" s="443">
        <f>IF($B33="","",VLOOKUP($B33,'6-2_算定表⑤(新・新制度)'!$B$8:$S$65536,16,FALSE))</f>
      </c>
      <c r="P33" s="443">
        <f>IF($B33="","",VLOOKUP($B33,'6-2_算定表⑤(新・新制度)'!$B$8:$S$65536,16,FALSE))</f>
      </c>
      <c r="Q33" s="443">
        <f>IF($B33="","",VLOOKUP($B33,'6-2_算定表⑤(新・新制度)'!$B$8:$S$65536,16,FALSE))</f>
      </c>
      <c r="R33" s="443">
        <f>IF($B33="","",VLOOKUP($B33,'6-2_算定表⑤(新・新制度)'!$B$8:$S$65536,16,FALSE))</f>
      </c>
      <c r="S33" s="443">
        <f>IF($B33="","",VLOOKUP($B33,'6-2_算定表⑤(新・新制度)'!$B$8:$S$65536,16,FALSE))</f>
      </c>
      <c r="T33" s="443">
        <f>IF($B33="","",VLOOKUP($B33,'6-2_算定表⑤(新・新制度)'!$B$8:$S$65536,16,FALSE))</f>
      </c>
      <c r="U33" s="443">
        <f>IF($B33="","",VLOOKUP($B33,'6-2_算定表⑤(新・新制度)'!$B$8:$S$65536,16,FALSE))</f>
      </c>
      <c r="V33" s="443">
        <f>IF($B33="","",VLOOKUP($B33,'6-2_算定表⑤(新・新制度)'!$B$8:$S$65536,16,FALSE))</f>
      </c>
      <c r="W33" s="444">
        <f t="shared" si="0"/>
      </c>
      <c r="X33" s="445">
        <f t="shared" si="1"/>
      </c>
      <c r="Y33" s="444">
        <f t="shared" si="2"/>
      </c>
      <c r="Z33" s="446">
        <f t="shared" si="3"/>
      </c>
      <c r="AA33" s="438">
        <f t="shared" si="4"/>
      </c>
      <c r="AB33" s="446">
        <f t="shared" si="5"/>
      </c>
      <c r="AC33" s="437">
        <f t="shared" si="6"/>
      </c>
      <c r="AD33" s="438">
        <f t="shared" si="7"/>
      </c>
      <c r="AE33" s="681">
        <f>IF(B33="","",ROUNDUP((G33/'6-2_算定表⑤(新・新制度)'!J32*W33)+(I33/'6-2_算定表⑤(新・新制度)'!J32*X33)+(G33/'6-2_算定表⑤(新・新制度)'!J32*Y33)+(I33/'6-2_算定表⑤(新・新制度)'!J32*Z33)+(G33/'6-2_算定表⑤(新・新制度)'!J32*AA33)+(I33/'6-2_算定表⑤(新・新制度)'!J32*AB33),0))</f>
      </c>
      <c r="AF33" s="605">
        <f t="shared" si="10"/>
      </c>
      <c r="AG33" s="677">
        <f>IF(B33="","",VLOOKUP($B33,'6-2_算定表⑤(新・新制度)'!$B$8:$AF$65536,31,FALSE))</f>
      </c>
      <c r="AH33" s="678"/>
      <c r="AI33" s="679"/>
      <c r="AK33" s="60">
        <f t="shared" si="11"/>
      </c>
      <c r="AL33" s="60">
        <f t="shared" si="8"/>
      </c>
    </row>
    <row r="34" spans="1:38" s="53" customFormat="1" ht="18.75" customHeight="1">
      <c r="A34" s="34">
        <f t="shared" si="9"/>
      </c>
      <c r="B34" s="683"/>
      <c r="C34" s="83">
        <f>IF(B34="","",VLOOKUP($B34,'6-2_算定表⑤(新・新制度)'!$B$8:$S$65536,2,FALSE))</f>
      </c>
      <c r="D34" s="687">
        <f>IF(B34="","",VLOOKUP($B34,'6-2_算定表⑤(新・新制度)'!$B$8:$S$65536,3,FALSE))</f>
      </c>
      <c r="E34" s="214">
        <f>IF(B34="","",VLOOKUP($B34,'6-2_算定表⑤(新・新制度)'!$B$8:$S$65536,6,FALSE))</f>
      </c>
      <c r="F34" s="684">
        <f>IF(B34="","",VLOOKUP($B34,'6-2_算定表⑤(新・新制度)'!$B$8:$S$65536,14,FALSE))</f>
      </c>
      <c r="G34" s="429">
        <f>IF(B34="","",VLOOKUP($B34,'6-2_算定表⑤(新・新制度)'!$B$8:$S$65536,15,FALSE))</f>
      </c>
      <c r="H34" s="428">
        <f>IF(B34="","",VLOOKUP($B34,'6-2_算定表⑤(新・新制度)'!$B$8:$S$65536,16,FALSE))</f>
      </c>
      <c r="I34" s="429">
        <f>IF(B34="","",VLOOKUP($B34,'6-2_算定表⑤(新・新制度)'!$B$8:$S$65536,17,FALSE))</f>
      </c>
      <c r="J34" s="430">
        <f>IF(B34="","",VLOOKUP($B34,'6-2_算定表⑤(新・新制度)'!$B$8:$S$65536,18,FALSE))</f>
      </c>
      <c r="K34" s="431">
        <f>IF($B34="","",VLOOKUP($B34,'6-2_算定表⑤(新・新制度)'!$B$8:$S$65536,14,FALSE))</f>
      </c>
      <c r="L34" s="432">
        <f>IF($B34="","",VLOOKUP($B34,'6-2_算定表⑤(新・新制度)'!$B$8:$S$65536,14,FALSE))</f>
      </c>
      <c r="M34" s="433">
        <f>IF($B34="","",VLOOKUP($B34,'6-2_算定表⑤(新・新制度)'!$B$8:$S$65536,14,FALSE))</f>
      </c>
      <c r="N34" s="431">
        <f>IF($B34="","",VLOOKUP($B34,'6-2_算定表⑤(新・新制度)'!$B$8:$S$65536,16,FALSE))</f>
      </c>
      <c r="O34" s="443">
        <f>IF($B34="","",VLOOKUP($B34,'6-2_算定表⑤(新・新制度)'!$B$8:$S$65536,16,FALSE))</f>
      </c>
      <c r="P34" s="443">
        <f>IF($B34="","",VLOOKUP($B34,'6-2_算定表⑤(新・新制度)'!$B$8:$S$65536,16,FALSE))</f>
      </c>
      <c r="Q34" s="443">
        <f>IF($B34="","",VLOOKUP($B34,'6-2_算定表⑤(新・新制度)'!$B$8:$S$65536,16,FALSE))</f>
      </c>
      <c r="R34" s="443">
        <f>IF($B34="","",VLOOKUP($B34,'6-2_算定表⑤(新・新制度)'!$B$8:$S$65536,16,FALSE))</f>
      </c>
      <c r="S34" s="443">
        <f>IF($B34="","",VLOOKUP($B34,'6-2_算定表⑤(新・新制度)'!$B$8:$S$65536,16,FALSE))</f>
      </c>
      <c r="T34" s="443">
        <f>IF($B34="","",VLOOKUP($B34,'6-2_算定表⑤(新・新制度)'!$B$8:$S$65536,16,FALSE))</f>
      </c>
      <c r="U34" s="443">
        <f>IF($B34="","",VLOOKUP($B34,'6-2_算定表⑤(新・新制度)'!$B$8:$S$65536,16,FALSE))</f>
      </c>
      <c r="V34" s="443">
        <f>IF($B34="","",VLOOKUP($B34,'6-2_算定表⑤(新・新制度)'!$B$8:$S$65536,16,FALSE))</f>
      </c>
      <c r="W34" s="444">
        <f t="shared" si="0"/>
      </c>
      <c r="X34" s="445">
        <f t="shared" si="1"/>
      </c>
      <c r="Y34" s="444">
        <f t="shared" si="2"/>
      </c>
      <c r="Z34" s="446">
        <f t="shared" si="3"/>
      </c>
      <c r="AA34" s="438">
        <f t="shared" si="4"/>
      </c>
      <c r="AB34" s="446">
        <f t="shared" si="5"/>
      </c>
      <c r="AC34" s="437">
        <f t="shared" si="6"/>
      </c>
      <c r="AD34" s="438">
        <f t="shared" si="7"/>
      </c>
      <c r="AE34" s="681">
        <f>IF(B34="","",ROUNDUP((G34/'6-2_算定表⑤(新・新制度)'!J33*W34)+(I34/'6-2_算定表⑤(新・新制度)'!J33*X34)+(G34/'6-2_算定表⑤(新・新制度)'!J33*Y34)+(I34/'6-2_算定表⑤(新・新制度)'!J33*Z34)+(G34/'6-2_算定表⑤(新・新制度)'!J33*AA34)+(I34/'6-2_算定表⑤(新・新制度)'!J33*AB34),0))</f>
      </c>
      <c r="AF34" s="605">
        <f t="shared" si="10"/>
      </c>
      <c r="AG34" s="677">
        <f>IF(B34="","",VLOOKUP($B34,'6-2_算定表⑤(新・新制度)'!$B$8:$AF$65536,31,FALSE))</f>
      </c>
      <c r="AH34" s="678"/>
      <c r="AI34" s="679"/>
      <c r="AK34" s="60">
        <f t="shared" si="11"/>
      </c>
      <c r="AL34" s="60">
        <f t="shared" si="8"/>
      </c>
    </row>
    <row r="35" spans="1:38" s="53" customFormat="1" ht="18.75" customHeight="1">
      <c r="A35" s="34">
        <f t="shared" si="9"/>
      </c>
      <c r="B35" s="683"/>
      <c r="C35" s="83">
        <f>IF(B35="","",VLOOKUP($B35,'6-2_算定表⑤(新・新制度)'!$B$8:$S$65536,2,FALSE))</f>
      </c>
      <c r="D35" s="687">
        <f>IF(B35="","",VLOOKUP($B35,'6-2_算定表⑤(新・新制度)'!$B$8:$S$65536,3,FALSE))</f>
      </c>
      <c r="E35" s="214">
        <f>IF(B35="","",VLOOKUP($B35,'6-2_算定表⑤(新・新制度)'!$B$8:$S$65536,6,FALSE))</f>
      </c>
      <c r="F35" s="684">
        <f>IF(B35="","",VLOOKUP($B35,'6-2_算定表⑤(新・新制度)'!$B$8:$S$65536,14,FALSE))</f>
      </c>
      <c r="G35" s="429">
        <f>IF(B35="","",VLOOKUP($B35,'6-2_算定表⑤(新・新制度)'!$B$8:$S$65536,15,FALSE))</f>
      </c>
      <c r="H35" s="428">
        <f>IF(B35="","",VLOOKUP($B35,'6-2_算定表⑤(新・新制度)'!$B$8:$S$65536,16,FALSE))</f>
      </c>
      <c r="I35" s="429">
        <f>IF(B35="","",VLOOKUP($B35,'6-2_算定表⑤(新・新制度)'!$B$8:$S$65536,17,FALSE))</f>
      </c>
      <c r="J35" s="430">
        <f>IF(B35="","",VLOOKUP($B35,'6-2_算定表⑤(新・新制度)'!$B$8:$S$65536,18,FALSE))</f>
      </c>
      <c r="K35" s="431">
        <f>IF($B35="","",VLOOKUP($B35,'6-2_算定表⑤(新・新制度)'!$B$8:$S$65536,14,FALSE))</f>
      </c>
      <c r="L35" s="432">
        <f>IF($B35="","",VLOOKUP($B35,'6-2_算定表⑤(新・新制度)'!$B$8:$S$65536,14,FALSE))</f>
      </c>
      <c r="M35" s="433">
        <f>IF($B35="","",VLOOKUP($B35,'6-2_算定表⑤(新・新制度)'!$B$8:$S$65536,14,FALSE))</f>
      </c>
      <c r="N35" s="431">
        <f>IF($B35="","",VLOOKUP($B35,'6-2_算定表⑤(新・新制度)'!$B$8:$S$65536,16,FALSE))</f>
      </c>
      <c r="O35" s="443">
        <f>IF($B35="","",VLOOKUP($B35,'6-2_算定表⑤(新・新制度)'!$B$8:$S$65536,16,FALSE))</f>
      </c>
      <c r="P35" s="443">
        <f>IF($B35="","",VLOOKUP($B35,'6-2_算定表⑤(新・新制度)'!$B$8:$S$65536,16,FALSE))</f>
      </c>
      <c r="Q35" s="443">
        <f>IF($B35="","",VLOOKUP($B35,'6-2_算定表⑤(新・新制度)'!$B$8:$S$65536,16,FALSE))</f>
      </c>
      <c r="R35" s="443">
        <f>IF($B35="","",VLOOKUP($B35,'6-2_算定表⑤(新・新制度)'!$B$8:$S$65536,16,FALSE))</f>
      </c>
      <c r="S35" s="443">
        <f>IF($B35="","",VLOOKUP($B35,'6-2_算定表⑤(新・新制度)'!$B$8:$S$65536,16,FALSE))</f>
      </c>
      <c r="T35" s="443">
        <f>IF($B35="","",VLOOKUP($B35,'6-2_算定表⑤(新・新制度)'!$B$8:$S$65536,16,FALSE))</f>
      </c>
      <c r="U35" s="443">
        <f>IF($B35="","",VLOOKUP($B35,'6-2_算定表⑤(新・新制度)'!$B$8:$S$65536,16,FALSE))</f>
      </c>
      <c r="V35" s="443">
        <f>IF($B35="","",VLOOKUP($B35,'6-2_算定表⑤(新・新制度)'!$B$8:$S$65536,16,FALSE))</f>
      </c>
      <c r="W35" s="444">
        <f t="shared" si="0"/>
      </c>
      <c r="X35" s="445">
        <f t="shared" si="1"/>
      </c>
      <c r="Y35" s="444">
        <f t="shared" si="2"/>
      </c>
      <c r="Z35" s="446">
        <f t="shared" si="3"/>
      </c>
      <c r="AA35" s="438">
        <f t="shared" si="4"/>
      </c>
      <c r="AB35" s="446">
        <f t="shared" si="5"/>
      </c>
      <c r="AC35" s="437">
        <f t="shared" si="6"/>
      </c>
      <c r="AD35" s="438">
        <f t="shared" si="7"/>
      </c>
      <c r="AE35" s="681">
        <f>IF(B35="","",ROUNDUP((G35/'6-2_算定表⑤(新・新制度)'!J34*W35)+(I35/'6-2_算定表⑤(新・新制度)'!J34*X35)+(G35/'6-2_算定表⑤(新・新制度)'!J34*Y35)+(I35/'6-2_算定表⑤(新・新制度)'!J34*Z35)+(G35/'6-2_算定表⑤(新・新制度)'!J34*AA35)+(I35/'6-2_算定表⑤(新・新制度)'!J34*AB35),0))</f>
      </c>
      <c r="AF35" s="605">
        <f t="shared" si="10"/>
      </c>
      <c r="AG35" s="677">
        <f>IF(B35="","",VLOOKUP($B35,'6-2_算定表⑤(新・新制度)'!$B$8:$AF$65536,31,FALSE))</f>
      </c>
      <c r="AH35" s="678"/>
      <c r="AI35" s="679"/>
      <c r="AK35" s="60">
        <f t="shared" si="11"/>
      </c>
      <c r="AL35" s="60">
        <f t="shared" si="8"/>
      </c>
    </row>
    <row r="36" spans="1:38" s="53" customFormat="1" ht="18.75" customHeight="1">
      <c r="A36" s="34">
        <f t="shared" si="9"/>
      </c>
      <c r="B36" s="683"/>
      <c r="C36" s="83">
        <f>IF(B36="","",VLOOKUP($B36,'6-2_算定表⑤(新・新制度)'!$B$8:$S$65536,2,FALSE))</f>
      </c>
      <c r="D36" s="687">
        <f>IF(B36="","",VLOOKUP($B36,'6-2_算定表⑤(新・新制度)'!$B$8:$S$65536,3,FALSE))</f>
      </c>
      <c r="E36" s="214">
        <f>IF(B36="","",VLOOKUP($B36,'6-2_算定表⑤(新・新制度)'!$B$8:$S$65536,6,FALSE))</f>
      </c>
      <c r="F36" s="684">
        <f>IF(B36="","",VLOOKUP($B36,'6-2_算定表⑤(新・新制度)'!$B$8:$S$65536,14,FALSE))</f>
      </c>
      <c r="G36" s="429">
        <f>IF(B36="","",VLOOKUP($B36,'6-2_算定表⑤(新・新制度)'!$B$8:$S$65536,15,FALSE))</f>
      </c>
      <c r="H36" s="428">
        <f>IF(B36="","",VLOOKUP($B36,'6-2_算定表⑤(新・新制度)'!$B$8:$S$65536,16,FALSE))</f>
      </c>
      <c r="I36" s="429">
        <f>IF(B36="","",VLOOKUP($B36,'6-2_算定表⑤(新・新制度)'!$B$8:$S$65536,17,FALSE))</f>
      </c>
      <c r="J36" s="430">
        <f>IF(B36="","",VLOOKUP($B36,'6-2_算定表⑤(新・新制度)'!$B$8:$S$65536,18,FALSE))</f>
      </c>
      <c r="K36" s="431">
        <f>IF($B36="","",VLOOKUP($B36,'6-2_算定表⑤(新・新制度)'!$B$8:$S$65536,14,FALSE))</f>
      </c>
      <c r="L36" s="432">
        <f>IF($B36="","",VLOOKUP($B36,'6-2_算定表⑤(新・新制度)'!$B$8:$S$65536,14,FALSE))</f>
      </c>
      <c r="M36" s="433">
        <f>IF($B36="","",VLOOKUP($B36,'6-2_算定表⑤(新・新制度)'!$B$8:$S$65536,14,FALSE))</f>
      </c>
      <c r="N36" s="431">
        <f>IF($B36="","",VLOOKUP($B36,'6-2_算定表⑤(新・新制度)'!$B$8:$S$65536,16,FALSE))</f>
      </c>
      <c r="O36" s="443">
        <f>IF($B36="","",VLOOKUP($B36,'6-2_算定表⑤(新・新制度)'!$B$8:$S$65536,16,FALSE))</f>
      </c>
      <c r="P36" s="443">
        <f>IF($B36="","",VLOOKUP($B36,'6-2_算定表⑤(新・新制度)'!$B$8:$S$65536,16,FALSE))</f>
      </c>
      <c r="Q36" s="443">
        <f>IF($B36="","",VLOOKUP($B36,'6-2_算定表⑤(新・新制度)'!$B$8:$S$65536,16,FALSE))</f>
      </c>
      <c r="R36" s="443">
        <f>IF($B36="","",VLOOKUP($B36,'6-2_算定表⑤(新・新制度)'!$B$8:$S$65536,16,FALSE))</f>
      </c>
      <c r="S36" s="443">
        <f>IF($B36="","",VLOOKUP($B36,'6-2_算定表⑤(新・新制度)'!$B$8:$S$65536,16,FALSE))</f>
      </c>
      <c r="T36" s="443">
        <f>IF($B36="","",VLOOKUP($B36,'6-2_算定表⑤(新・新制度)'!$B$8:$S$65536,16,FALSE))</f>
      </c>
      <c r="U36" s="443">
        <f>IF($B36="","",VLOOKUP($B36,'6-2_算定表⑤(新・新制度)'!$B$8:$S$65536,16,FALSE))</f>
      </c>
      <c r="V36" s="443">
        <f>IF($B36="","",VLOOKUP($B36,'6-2_算定表⑤(新・新制度)'!$B$8:$S$65536,16,FALSE))</f>
      </c>
      <c r="W36" s="444">
        <f t="shared" si="0"/>
      </c>
      <c r="X36" s="445">
        <f t="shared" si="1"/>
      </c>
      <c r="Y36" s="444">
        <f t="shared" si="2"/>
      </c>
      <c r="Z36" s="446">
        <f t="shared" si="3"/>
      </c>
      <c r="AA36" s="438">
        <f t="shared" si="4"/>
      </c>
      <c r="AB36" s="446">
        <f t="shared" si="5"/>
      </c>
      <c r="AC36" s="437">
        <f t="shared" si="6"/>
      </c>
      <c r="AD36" s="438">
        <f t="shared" si="7"/>
      </c>
      <c r="AE36" s="681">
        <f>IF(B36="","",ROUNDUP((G36/'6-2_算定表⑤(新・新制度)'!J35*W36)+(I36/'6-2_算定表⑤(新・新制度)'!J35*X36)+(G36/'6-2_算定表⑤(新・新制度)'!J35*Y36)+(I36/'6-2_算定表⑤(新・新制度)'!J35*Z36)+(G36/'6-2_算定表⑤(新・新制度)'!J35*AA36)+(I36/'6-2_算定表⑤(新・新制度)'!J35*AB36),0))</f>
      </c>
      <c r="AF36" s="605">
        <f t="shared" si="10"/>
      </c>
      <c r="AG36" s="677">
        <f>IF(B36="","",VLOOKUP($B36,'6-2_算定表⑤(新・新制度)'!$B$8:$AF$65536,31,FALSE))</f>
      </c>
      <c r="AH36" s="678"/>
      <c r="AI36" s="679"/>
      <c r="AK36" s="60">
        <f t="shared" si="11"/>
      </c>
      <c r="AL36" s="60">
        <f t="shared" si="8"/>
      </c>
    </row>
    <row r="37" spans="1:38" s="53" customFormat="1" ht="18.75" customHeight="1">
      <c r="A37" s="34">
        <f t="shared" si="9"/>
      </c>
      <c r="B37" s="683"/>
      <c r="C37" s="83">
        <f>IF(B37="","",VLOOKUP($B37,'6-2_算定表⑤(新・新制度)'!$B$8:$S$65536,2,FALSE))</f>
      </c>
      <c r="D37" s="687">
        <f>IF(B37="","",VLOOKUP($B37,'6-2_算定表⑤(新・新制度)'!$B$8:$S$65536,3,FALSE))</f>
      </c>
      <c r="E37" s="214">
        <f>IF(B37="","",VLOOKUP($B37,'6-2_算定表⑤(新・新制度)'!$B$8:$S$65536,6,FALSE))</f>
      </c>
      <c r="F37" s="684">
        <f>IF(B37="","",VLOOKUP($B37,'6-2_算定表⑤(新・新制度)'!$B$8:$S$65536,14,FALSE))</f>
      </c>
      <c r="G37" s="429">
        <f>IF(B37="","",VLOOKUP($B37,'6-2_算定表⑤(新・新制度)'!$B$8:$S$65536,15,FALSE))</f>
      </c>
      <c r="H37" s="428">
        <f>IF(B37="","",VLOOKUP($B37,'6-2_算定表⑤(新・新制度)'!$B$8:$S$65536,16,FALSE))</f>
      </c>
      <c r="I37" s="429">
        <f>IF(B37="","",VLOOKUP($B37,'6-2_算定表⑤(新・新制度)'!$B$8:$S$65536,17,FALSE))</f>
      </c>
      <c r="J37" s="430">
        <f>IF(B37="","",VLOOKUP($B37,'6-2_算定表⑤(新・新制度)'!$B$8:$S$65536,18,FALSE))</f>
      </c>
      <c r="K37" s="431">
        <f>IF($B37="","",VLOOKUP($B37,'6-2_算定表⑤(新・新制度)'!$B$8:$S$65536,14,FALSE))</f>
      </c>
      <c r="L37" s="432">
        <f>IF($B37="","",VLOOKUP($B37,'6-2_算定表⑤(新・新制度)'!$B$8:$S$65536,14,FALSE))</f>
      </c>
      <c r="M37" s="433">
        <f>IF($B37="","",VLOOKUP($B37,'6-2_算定表⑤(新・新制度)'!$B$8:$S$65536,14,FALSE))</f>
      </c>
      <c r="N37" s="431">
        <f>IF($B37="","",VLOOKUP($B37,'6-2_算定表⑤(新・新制度)'!$B$8:$S$65536,16,FALSE))</f>
      </c>
      <c r="O37" s="443">
        <f>IF($B37="","",VLOOKUP($B37,'6-2_算定表⑤(新・新制度)'!$B$8:$S$65536,16,FALSE))</f>
      </c>
      <c r="P37" s="443">
        <f>IF($B37="","",VLOOKUP($B37,'6-2_算定表⑤(新・新制度)'!$B$8:$S$65536,16,FALSE))</f>
      </c>
      <c r="Q37" s="443">
        <f>IF($B37="","",VLOOKUP($B37,'6-2_算定表⑤(新・新制度)'!$B$8:$S$65536,16,FALSE))</f>
      </c>
      <c r="R37" s="443">
        <f>IF($B37="","",VLOOKUP($B37,'6-2_算定表⑤(新・新制度)'!$B$8:$S$65536,16,FALSE))</f>
      </c>
      <c r="S37" s="443">
        <f>IF($B37="","",VLOOKUP($B37,'6-2_算定表⑤(新・新制度)'!$B$8:$S$65536,16,FALSE))</f>
      </c>
      <c r="T37" s="443">
        <f>IF($B37="","",VLOOKUP($B37,'6-2_算定表⑤(新・新制度)'!$B$8:$S$65536,16,FALSE))</f>
      </c>
      <c r="U37" s="443">
        <f>IF($B37="","",VLOOKUP($B37,'6-2_算定表⑤(新・新制度)'!$B$8:$S$65536,16,FALSE))</f>
      </c>
      <c r="V37" s="443">
        <f>IF($B37="","",VLOOKUP($B37,'6-2_算定表⑤(新・新制度)'!$B$8:$S$65536,16,FALSE))</f>
      </c>
      <c r="W37" s="444">
        <f t="shared" si="0"/>
      </c>
      <c r="X37" s="445">
        <f t="shared" si="1"/>
      </c>
      <c r="Y37" s="444">
        <f t="shared" si="2"/>
      </c>
      <c r="Z37" s="446">
        <f t="shared" si="3"/>
      </c>
      <c r="AA37" s="438">
        <f t="shared" si="4"/>
      </c>
      <c r="AB37" s="446">
        <f t="shared" si="5"/>
      </c>
      <c r="AC37" s="437">
        <f t="shared" si="6"/>
      </c>
      <c r="AD37" s="438">
        <f t="shared" si="7"/>
      </c>
      <c r="AE37" s="681">
        <f>IF(B37="","",ROUNDUP((G37/'6-2_算定表⑤(新・新制度)'!J36*W37)+(I37/'6-2_算定表⑤(新・新制度)'!J36*X37)+(G37/'6-2_算定表⑤(新・新制度)'!J36*Y37)+(I37/'6-2_算定表⑤(新・新制度)'!J36*Z37)+(G37/'6-2_算定表⑤(新・新制度)'!J36*AA37)+(I37/'6-2_算定表⑤(新・新制度)'!J36*AB37),0))</f>
      </c>
      <c r="AF37" s="605">
        <f t="shared" si="10"/>
      </c>
      <c r="AG37" s="677">
        <f>IF(B37="","",VLOOKUP($B37,'6-2_算定表⑤(新・新制度)'!$B$8:$AF$65536,31,FALSE))</f>
      </c>
      <c r="AH37" s="678"/>
      <c r="AI37" s="679"/>
      <c r="AK37" s="60">
        <f t="shared" si="11"/>
      </c>
      <c r="AL37" s="60">
        <f t="shared" si="8"/>
      </c>
    </row>
    <row r="38" spans="1:38" s="53" customFormat="1" ht="18.75" customHeight="1" thickBot="1">
      <c r="A38" s="34">
        <f t="shared" si="9"/>
      </c>
      <c r="B38" s="683"/>
      <c r="C38" s="685">
        <f>IF(B38="","",VLOOKUP($B38,'6-2_算定表⑤(新・新制度)'!$B$8:$S$65536,2,FALSE))</f>
      </c>
      <c r="D38" s="688">
        <f>IF(B38="","",VLOOKUP($B38,'6-2_算定表⑤(新・新制度)'!$B$8:$S$65536,3,FALSE))</f>
      </c>
      <c r="E38" s="214">
        <f>IF(B38="","",VLOOKUP($B38,'6-2_算定表⑤(新・新制度)'!$B$8:$S$65536,6,FALSE))</f>
      </c>
      <c r="F38" s="684">
        <f>IF(B38="","",VLOOKUP($B38,'6-2_算定表⑤(新・新制度)'!$B$8:$S$65536,14,FALSE))</f>
      </c>
      <c r="G38" s="429">
        <f>IF(B38="","",VLOOKUP($B38,'6-2_算定表⑤(新・新制度)'!$B$8:$S$65536,15,FALSE))</f>
      </c>
      <c r="H38" s="428">
        <f>IF(B38="","",VLOOKUP($B38,'6-2_算定表⑤(新・新制度)'!$B$8:$S$65536,16,FALSE))</f>
      </c>
      <c r="I38" s="429">
        <f>IF(B38="","",VLOOKUP($B38,'6-2_算定表⑤(新・新制度)'!$B$8:$S$65536,17,FALSE))</f>
      </c>
      <c r="J38" s="430">
        <f>IF(B38="","",VLOOKUP($B38,'6-2_算定表⑤(新・新制度)'!$B$8:$S$65536,18,FALSE))</f>
      </c>
      <c r="K38" s="431">
        <f>IF($B38="","",VLOOKUP($B38,'6-2_算定表⑤(新・新制度)'!$B$8:$S$65536,14,FALSE))</f>
      </c>
      <c r="L38" s="432">
        <f>IF($B38="","",VLOOKUP($B38,'6-2_算定表⑤(新・新制度)'!$B$8:$S$65536,14,FALSE))</f>
      </c>
      <c r="M38" s="433">
        <f>IF($B38="","",VLOOKUP($B38,'6-2_算定表⑤(新・新制度)'!$B$8:$S$65536,14,FALSE))</f>
      </c>
      <c r="N38" s="431">
        <f>IF($B38="","",VLOOKUP($B38,'6-2_算定表⑤(新・新制度)'!$B$8:$S$65536,16,FALSE))</f>
      </c>
      <c r="O38" s="443">
        <f>IF($B38="","",VLOOKUP($B38,'6-2_算定表⑤(新・新制度)'!$B$8:$S$65536,16,FALSE))</f>
      </c>
      <c r="P38" s="443">
        <f>IF($B38="","",VLOOKUP($B38,'6-2_算定表⑤(新・新制度)'!$B$8:$S$65536,16,FALSE))</f>
      </c>
      <c r="Q38" s="443">
        <f>IF($B38="","",VLOOKUP($B38,'6-2_算定表⑤(新・新制度)'!$B$8:$S$65536,16,FALSE))</f>
      </c>
      <c r="R38" s="443">
        <f>IF($B38="","",VLOOKUP($B38,'6-2_算定表⑤(新・新制度)'!$B$8:$S$65536,16,FALSE))</f>
      </c>
      <c r="S38" s="443">
        <f>IF($B38="","",VLOOKUP($B38,'6-2_算定表⑤(新・新制度)'!$B$8:$S$65536,16,FALSE))</f>
      </c>
      <c r="T38" s="443">
        <f>IF($B38="","",VLOOKUP($B38,'6-2_算定表⑤(新・新制度)'!$B$8:$S$65536,16,FALSE))</f>
      </c>
      <c r="U38" s="443">
        <f>IF($B38="","",VLOOKUP($B38,'6-2_算定表⑤(新・新制度)'!$B$8:$S$65536,16,FALSE))</f>
      </c>
      <c r="V38" s="443">
        <f>IF($B38="","",VLOOKUP($B38,'6-2_算定表⑤(新・新制度)'!$B$8:$S$65536,16,FALSE))</f>
      </c>
      <c r="W38" s="444">
        <f t="shared" si="0"/>
      </c>
      <c r="X38" s="445">
        <f t="shared" si="1"/>
      </c>
      <c r="Y38" s="444">
        <f t="shared" si="2"/>
      </c>
      <c r="Z38" s="446">
        <f t="shared" si="3"/>
      </c>
      <c r="AA38" s="438">
        <f t="shared" si="4"/>
      </c>
      <c r="AB38" s="446">
        <f t="shared" si="5"/>
      </c>
      <c r="AC38" s="437">
        <f t="shared" si="6"/>
      </c>
      <c r="AD38" s="438">
        <f t="shared" si="7"/>
      </c>
      <c r="AE38" s="681">
        <f>IF(B38="","",ROUNDUP((G38/'6-2_算定表⑤(新・新制度)'!J37*W38)+(I38/'6-2_算定表⑤(新・新制度)'!J37*X38)+(G38/'6-2_算定表⑤(新・新制度)'!J37*Y38)+(I38/'6-2_算定表⑤(新・新制度)'!J37*Z38)+(G38/'6-2_算定表⑤(新・新制度)'!J37*AA38)+(I38/'6-2_算定表⑤(新・新制度)'!J37*AB38),0))</f>
      </c>
      <c r="AF38" s="605">
        <f t="shared" si="10"/>
      </c>
      <c r="AG38" s="677">
        <f>IF(B38="","",VLOOKUP($B38,'6-2_算定表⑤(新・新制度)'!$B$8:$AF$65536,31,FALSE))</f>
      </c>
      <c r="AH38" s="678"/>
      <c r="AI38" s="679"/>
      <c r="AK38" s="60">
        <f t="shared" si="11"/>
      </c>
      <c r="AL38" s="60">
        <f t="shared" si="8"/>
      </c>
    </row>
    <row r="39" spans="1:38" s="65" customFormat="1" ht="18.75" customHeight="1" thickBot="1">
      <c r="A39" s="852" t="s">
        <v>27</v>
      </c>
      <c r="B39" s="984"/>
      <c r="C39" s="985"/>
      <c r="D39" s="985"/>
      <c r="E39" s="985"/>
      <c r="F39" s="984"/>
      <c r="G39" s="984"/>
      <c r="H39" s="984"/>
      <c r="I39" s="984"/>
      <c r="J39" s="416">
        <f>SUM(J9:J38)</f>
        <v>0</v>
      </c>
      <c r="K39" s="455" t="s">
        <v>155</v>
      </c>
      <c r="L39" s="456" t="s">
        <v>155</v>
      </c>
      <c r="M39" s="457" t="s">
        <v>155</v>
      </c>
      <c r="N39" s="455" t="s">
        <v>155</v>
      </c>
      <c r="O39" s="456" t="s">
        <v>155</v>
      </c>
      <c r="P39" s="456" t="s">
        <v>155</v>
      </c>
      <c r="Q39" s="456" t="s">
        <v>155</v>
      </c>
      <c r="R39" s="456" t="s">
        <v>155</v>
      </c>
      <c r="S39" s="456" t="s">
        <v>155</v>
      </c>
      <c r="T39" s="456" t="s">
        <v>155</v>
      </c>
      <c r="U39" s="456" t="s">
        <v>155</v>
      </c>
      <c r="V39" s="457" t="s">
        <v>155</v>
      </c>
      <c r="W39" s="455" t="s">
        <v>155</v>
      </c>
      <c r="X39" s="458" t="s">
        <v>155</v>
      </c>
      <c r="Y39" s="455" t="s">
        <v>155</v>
      </c>
      <c r="Z39" s="459" t="s">
        <v>155</v>
      </c>
      <c r="AA39" s="460" t="s">
        <v>155</v>
      </c>
      <c r="AB39" s="461" t="s">
        <v>155</v>
      </c>
      <c r="AC39" s="462" t="s">
        <v>155</v>
      </c>
      <c r="AD39" s="457" t="s">
        <v>155</v>
      </c>
      <c r="AE39" s="519">
        <f>SUM(AE9:AE38)</f>
        <v>0</v>
      </c>
      <c r="AF39" s="416">
        <f>SUM(AF9:AF38)</f>
        <v>0</v>
      </c>
      <c r="AG39" s="855"/>
      <c r="AH39" s="856"/>
      <c r="AI39" s="857"/>
      <c r="AK39" s="66"/>
      <c r="AL39" s="66"/>
    </row>
    <row r="40" spans="1:38" s="67" customFormat="1" ht="16.5" customHeight="1">
      <c r="A40" s="67" t="s">
        <v>29</v>
      </c>
      <c r="B40" s="229"/>
      <c r="C40" s="248"/>
      <c r="AK40" s="68"/>
      <c r="AL40" s="68"/>
    </row>
    <row r="41" spans="1:29" s="168" customFormat="1" ht="14.25" customHeight="1">
      <c r="A41" s="243" t="s">
        <v>254</v>
      </c>
      <c r="B41" s="230"/>
      <c r="C41" s="249"/>
      <c r="Z41" s="169"/>
      <c r="AA41" s="169"/>
      <c r="AC41" s="169"/>
    </row>
    <row r="42" spans="1:38" s="168" customFormat="1" ht="11.25">
      <c r="A42" s="243" t="s">
        <v>71</v>
      </c>
      <c r="C42" s="249"/>
      <c r="AK42" s="169"/>
      <c r="AL42" s="169"/>
    </row>
    <row r="43" spans="1:38" s="168" customFormat="1" ht="10.5" customHeight="1">
      <c r="A43" s="243" t="s">
        <v>179</v>
      </c>
      <c r="B43" s="230"/>
      <c r="C43" s="249"/>
      <c r="AK43" s="169"/>
      <c r="AL43" s="169"/>
    </row>
    <row r="44" spans="2:38" s="67" customFormat="1" ht="10.5" customHeight="1">
      <c r="B44" s="229"/>
      <c r="C44" s="248"/>
      <c r="AK44" s="68"/>
      <c r="AL44" s="68"/>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51">
    <mergeCell ref="A39:I39"/>
    <mergeCell ref="AG39:AI39"/>
    <mergeCell ref="U7:U8"/>
    <mergeCell ref="V7:V8"/>
    <mergeCell ref="AK7:AK8"/>
    <mergeCell ref="AL7:AL8"/>
    <mergeCell ref="AG9:AI9"/>
    <mergeCell ref="AA6:AA8"/>
    <mergeCell ref="AB6:AB8"/>
    <mergeCell ref="AC6:AC8"/>
    <mergeCell ref="AD6:AD8"/>
    <mergeCell ref="K7:K8"/>
    <mergeCell ref="L7:L8"/>
    <mergeCell ref="M7:M8"/>
    <mergeCell ref="N7:N8"/>
    <mergeCell ref="O7:O8"/>
    <mergeCell ref="P7:P8"/>
    <mergeCell ref="K6:M6"/>
    <mergeCell ref="N6:V6"/>
    <mergeCell ref="W6:W8"/>
    <mergeCell ref="X6:X8"/>
    <mergeCell ref="Y6:Y8"/>
    <mergeCell ref="Z6:Z8"/>
    <mergeCell ref="Q7:Q8"/>
    <mergeCell ref="R7:R8"/>
    <mergeCell ref="S7:S8"/>
    <mergeCell ref="T7:T8"/>
    <mergeCell ref="K4:AD4"/>
    <mergeCell ref="AE4:AE7"/>
    <mergeCell ref="AF4:AF7"/>
    <mergeCell ref="AG4:AI8"/>
    <mergeCell ref="F5:J5"/>
    <mergeCell ref="K5:V5"/>
    <mergeCell ref="W5:AD5"/>
    <mergeCell ref="F6:F8"/>
    <mergeCell ref="G6:G7"/>
    <mergeCell ref="H6:H8"/>
    <mergeCell ref="A4:A8"/>
    <mergeCell ref="B4:B8"/>
    <mergeCell ref="C4:C8"/>
    <mergeCell ref="D4:D8"/>
    <mergeCell ref="E4:E8"/>
    <mergeCell ref="F4:J4"/>
    <mergeCell ref="I6:I7"/>
    <mergeCell ref="J6:J7"/>
    <mergeCell ref="W1:Y1"/>
    <mergeCell ref="Z1:AF1"/>
    <mergeCell ref="AH1:AI1"/>
    <mergeCell ref="W2:Y2"/>
    <mergeCell ref="Z2:AF2"/>
    <mergeCell ref="AH2:AI2"/>
  </mergeCells>
  <dataValidations count="1">
    <dataValidation type="list" allowBlank="1" showInputMessage="1" showErrorMessage="1" sqref="K9:V38">
      <formula1>"Ａ,Ｂ,Ｃ,Ｄ"</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50" r:id="rId3"/>
  <legacyDrawing r:id="rId2"/>
</worksheet>
</file>

<file path=xl/worksheets/sheet2.xml><?xml version="1.0" encoding="utf-8"?>
<worksheet xmlns="http://schemas.openxmlformats.org/spreadsheetml/2006/main" xmlns:r="http://schemas.openxmlformats.org/officeDocument/2006/relationships">
  <sheetPr codeName="Sheet1">
    <tabColor rgb="FF002060"/>
    <pageSetUpPr fitToPage="1"/>
  </sheetPr>
  <dimension ref="A1:AF38"/>
  <sheetViews>
    <sheetView view="pageBreakPreview" zoomScale="85" zoomScaleNormal="75" zoomScaleSheetLayoutView="85" zoomScalePageLayoutView="0" workbookViewId="0" topLeftCell="A1">
      <selection activeCell="V19" sqref="V19"/>
    </sheetView>
  </sheetViews>
  <sheetFormatPr defaultColWidth="9.625" defaultRowHeight="13.5"/>
  <cols>
    <col min="1" max="26" width="3.00390625" style="2" customWidth="1"/>
    <col min="27" max="28" width="3.125" style="2" customWidth="1"/>
    <col min="29" max="33" width="3.00390625" style="2" customWidth="1"/>
    <col min="34" max="51" width="3.125" style="2" customWidth="1"/>
    <col min="52" max="52" width="7.25390625" style="2" customWidth="1"/>
    <col min="53" max="53" width="12.125" style="2" customWidth="1"/>
    <col min="54" max="16384" width="9.625" style="2" customWidth="1"/>
  </cols>
  <sheetData>
    <row r="1" spans="1:2" ht="22.5" customHeight="1">
      <c r="A1" s="1" t="s">
        <v>243</v>
      </c>
      <c r="B1" s="1"/>
    </row>
    <row r="2" spans="1:2" ht="22.5" customHeight="1" thickBot="1">
      <c r="A2" s="1"/>
      <c r="B2" s="1"/>
    </row>
    <row r="3" spans="1:32" ht="24.75" customHeight="1">
      <c r="A3" s="784" t="s">
        <v>25</v>
      </c>
      <c r="B3" s="784"/>
      <c r="C3" s="784"/>
      <c r="D3" s="784"/>
      <c r="E3" s="772"/>
      <c r="F3" s="773"/>
      <c r="G3" s="773"/>
      <c r="H3" s="773"/>
      <c r="I3" s="773"/>
      <c r="J3" s="773"/>
      <c r="K3" s="773"/>
      <c r="L3" s="773"/>
      <c r="M3" s="773"/>
      <c r="N3" s="773"/>
      <c r="O3" s="773"/>
      <c r="P3" s="773"/>
      <c r="Q3" s="773"/>
      <c r="R3" s="773"/>
      <c r="S3" s="773"/>
      <c r="T3" s="773"/>
      <c r="U3" s="774"/>
      <c r="V3" s="770" t="s">
        <v>26</v>
      </c>
      <c r="W3" s="770"/>
      <c r="X3" s="770"/>
      <c r="Y3" s="770"/>
      <c r="Z3" s="785"/>
      <c r="AA3" s="786"/>
      <c r="AB3" s="786"/>
      <c r="AC3" s="786"/>
      <c r="AD3" s="786"/>
      <c r="AE3" s="786"/>
      <c r="AF3" s="787"/>
    </row>
    <row r="4" spans="1:32" ht="24.75" customHeight="1" thickBot="1">
      <c r="A4" s="781" t="s">
        <v>23</v>
      </c>
      <c r="B4" s="782"/>
      <c r="C4" s="782"/>
      <c r="D4" s="783"/>
      <c r="E4" s="775"/>
      <c r="F4" s="776"/>
      <c r="G4" s="776"/>
      <c r="H4" s="776"/>
      <c r="I4" s="776"/>
      <c r="J4" s="776"/>
      <c r="K4" s="776"/>
      <c r="L4" s="776"/>
      <c r="M4" s="776"/>
      <c r="N4" s="776"/>
      <c r="O4" s="776"/>
      <c r="P4" s="776"/>
      <c r="Q4" s="776"/>
      <c r="R4" s="776"/>
      <c r="S4" s="776"/>
      <c r="T4" s="776"/>
      <c r="U4" s="777"/>
      <c r="V4" s="771" t="s">
        <v>24</v>
      </c>
      <c r="W4" s="771"/>
      <c r="X4" s="771"/>
      <c r="Y4" s="771"/>
      <c r="Z4" s="788"/>
      <c r="AA4" s="789"/>
      <c r="AB4" s="789"/>
      <c r="AC4" s="789"/>
      <c r="AD4" s="790"/>
      <c r="AE4" s="789"/>
      <c r="AF4" s="791"/>
    </row>
    <row r="5" spans="1:32" s="33" customFormat="1" ht="22.5" customHeight="1" thickBot="1">
      <c r="A5" s="30"/>
      <c r="B5" s="30"/>
      <c r="C5" s="30"/>
      <c r="D5" s="30"/>
      <c r="E5" s="31"/>
      <c r="F5" s="31"/>
      <c r="G5" s="31"/>
      <c r="H5" s="31"/>
      <c r="I5" s="31"/>
      <c r="J5" s="31"/>
      <c r="K5" s="31"/>
      <c r="L5" s="31"/>
      <c r="M5" s="31"/>
      <c r="N5" s="31"/>
      <c r="O5" s="31"/>
      <c r="P5" s="31"/>
      <c r="Q5" s="31"/>
      <c r="R5" s="31"/>
      <c r="S5" s="31"/>
      <c r="T5" s="31"/>
      <c r="U5" s="31"/>
      <c r="V5" s="31"/>
      <c r="W5" s="31"/>
      <c r="X5" s="31"/>
      <c r="Y5" s="31"/>
      <c r="Z5" s="30"/>
      <c r="AA5" s="30"/>
      <c r="AB5" s="30"/>
      <c r="AC5" s="30"/>
      <c r="AD5" s="32"/>
      <c r="AE5" s="32"/>
      <c r="AF5" s="32"/>
    </row>
    <row r="6" spans="1:32" ht="22.5" customHeight="1">
      <c r="A6" s="12"/>
      <c r="B6" s="13"/>
      <c r="C6" s="13"/>
      <c r="D6" s="13"/>
      <c r="E6" s="13"/>
      <c r="F6" s="13"/>
      <c r="G6" s="13"/>
      <c r="H6" s="13"/>
      <c r="I6" s="13"/>
      <c r="J6" s="13"/>
      <c r="K6" s="13"/>
      <c r="L6" s="14"/>
      <c r="M6" s="3"/>
      <c r="N6" s="3"/>
      <c r="O6" s="3"/>
      <c r="P6" s="3"/>
      <c r="Q6" s="3"/>
      <c r="R6" s="3"/>
      <c r="S6" s="3"/>
      <c r="T6" s="3"/>
      <c r="U6" s="3"/>
      <c r="V6" s="3"/>
      <c r="W6" s="3"/>
      <c r="X6" s="3"/>
      <c r="Y6" s="3"/>
      <c r="Z6" s="3"/>
      <c r="AA6" s="3"/>
      <c r="AB6" s="3"/>
      <c r="AC6" s="3"/>
      <c r="AD6" s="3"/>
      <c r="AE6" s="3"/>
      <c r="AF6" s="4"/>
    </row>
    <row r="7" spans="1:32" ht="22.5" customHeight="1">
      <c r="A7" s="778" t="s">
        <v>33</v>
      </c>
      <c r="B7" s="779"/>
      <c r="C7" s="779"/>
      <c r="D7" s="779"/>
      <c r="E7" s="779"/>
      <c r="F7" s="779"/>
      <c r="G7" s="779"/>
      <c r="H7" s="779"/>
      <c r="I7" s="779"/>
      <c r="J7" s="779"/>
      <c r="K7" s="779"/>
      <c r="L7" s="780"/>
      <c r="M7" s="7"/>
      <c r="N7" s="7" t="s">
        <v>39</v>
      </c>
      <c r="O7" s="7"/>
      <c r="P7" s="7"/>
      <c r="Q7" s="7"/>
      <c r="R7" s="7"/>
      <c r="S7" s="7"/>
      <c r="T7" s="7"/>
      <c r="U7" s="7"/>
      <c r="V7" s="7"/>
      <c r="W7" s="7"/>
      <c r="X7" s="7"/>
      <c r="Y7" s="7"/>
      <c r="Z7" s="7"/>
      <c r="AA7" s="7"/>
      <c r="AB7" s="7"/>
      <c r="AC7" s="7"/>
      <c r="AD7" s="7"/>
      <c r="AE7" s="7"/>
      <c r="AF7" s="8"/>
    </row>
    <row r="8" spans="1:32" ht="22.5" customHeight="1" thickBot="1">
      <c r="A8" s="15"/>
      <c r="B8" s="16"/>
      <c r="C8" s="16"/>
      <c r="D8" s="16"/>
      <c r="E8" s="16"/>
      <c r="F8" s="16"/>
      <c r="G8" s="16"/>
      <c r="H8" s="16"/>
      <c r="I8" s="16"/>
      <c r="J8" s="16"/>
      <c r="K8" s="16"/>
      <c r="L8" s="17"/>
      <c r="M8" s="9"/>
      <c r="N8" s="9"/>
      <c r="O8" s="9"/>
      <c r="P8" s="9"/>
      <c r="Q8" s="9"/>
      <c r="R8" s="9"/>
      <c r="S8" s="9"/>
      <c r="T8" s="9"/>
      <c r="U8" s="9"/>
      <c r="V8" s="9"/>
      <c r="W8" s="9"/>
      <c r="X8" s="9"/>
      <c r="Y8" s="9"/>
      <c r="Z8" s="9"/>
      <c r="AA8" s="9"/>
      <c r="AB8" s="9"/>
      <c r="AC8" s="9"/>
      <c r="AD8" s="9"/>
      <c r="AE8" s="9"/>
      <c r="AF8" s="10"/>
    </row>
    <row r="9" spans="1:32" ht="22.5" customHeight="1">
      <c r="A9" s="21"/>
      <c r="B9" s="22"/>
      <c r="C9" s="22"/>
      <c r="D9" s="22"/>
      <c r="E9" s="22"/>
      <c r="F9" s="22"/>
      <c r="G9" s="22"/>
      <c r="H9" s="22"/>
      <c r="I9" s="22"/>
      <c r="J9" s="22"/>
      <c r="K9" s="22"/>
      <c r="L9" s="23"/>
      <c r="M9" s="3"/>
      <c r="N9" s="3"/>
      <c r="O9" s="3"/>
      <c r="P9" s="3"/>
      <c r="Q9" s="3"/>
      <c r="R9" s="3"/>
      <c r="S9" s="3"/>
      <c r="T9" s="3"/>
      <c r="U9" s="3"/>
      <c r="V9" s="3"/>
      <c r="W9" s="3"/>
      <c r="X9" s="3"/>
      <c r="Y9" s="3"/>
      <c r="Z9" s="3"/>
      <c r="AA9" s="3"/>
      <c r="AB9" s="3"/>
      <c r="AC9" s="3"/>
      <c r="AD9" s="3"/>
      <c r="AE9" s="3"/>
      <c r="AF9" s="4"/>
    </row>
    <row r="10" spans="1:32" ht="22.5" customHeight="1">
      <c r="A10" s="778" t="s">
        <v>34</v>
      </c>
      <c r="B10" s="779"/>
      <c r="C10" s="779"/>
      <c r="D10" s="779"/>
      <c r="E10" s="779"/>
      <c r="F10" s="779"/>
      <c r="G10" s="779"/>
      <c r="H10" s="779"/>
      <c r="I10" s="779"/>
      <c r="J10" s="779"/>
      <c r="K10" s="779"/>
      <c r="L10" s="780"/>
      <c r="M10" s="7"/>
      <c r="N10" s="7" t="s">
        <v>40</v>
      </c>
      <c r="O10" s="7"/>
      <c r="P10" s="7"/>
      <c r="Q10" s="7"/>
      <c r="R10" s="7"/>
      <c r="S10" s="7"/>
      <c r="T10" s="7"/>
      <c r="U10" s="7"/>
      <c r="V10" s="7"/>
      <c r="W10" s="7"/>
      <c r="X10" s="7"/>
      <c r="Y10" s="7"/>
      <c r="Z10" s="7"/>
      <c r="AA10" s="7"/>
      <c r="AB10" s="7"/>
      <c r="AC10" s="7"/>
      <c r="AD10" s="7"/>
      <c r="AE10" s="7"/>
      <c r="AF10" s="8"/>
    </row>
    <row r="11" spans="1:32" ht="22.5" customHeight="1" thickBot="1">
      <c r="A11" s="15"/>
      <c r="B11" s="16"/>
      <c r="C11" s="16"/>
      <c r="D11" s="16"/>
      <c r="E11" s="16"/>
      <c r="F11" s="16"/>
      <c r="G11" s="16"/>
      <c r="H11" s="16"/>
      <c r="I11" s="16"/>
      <c r="J11" s="16"/>
      <c r="K11" s="16"/>
      <c r="L11" s="17"/>
      <c r="M11" s="9"/>
      <c r="N11" s="9"/>
      <c r="O11" s="9"/>
      <c r="P11" s="9"/>
      <c r="Q11" s="9"/>
      <c r="R11" s="9"/>
      <c r="S11" s="9"/>
      <c r="T11" s="9"/>
      <c r="U11" s="9"/>
      <c r="V11" s="9"/>
      <c r="W11" s="9"/>
      <c r="X11" s="9"/>
      <c r="Y11" s="9"/>
      <c r="Z11" s="9"/>
      <c r="AA11" s="9"/>
      <c r="AB11" s="9"/>
      <c r="AC11" s="9"/>
      <c r="AD11" s="9"/>
      <c r="AE11" s="9"/>
      <c r="AF11" s="10"/>
    </row>
    <row r="12" spans="1:32" ht="22.5" customHeight="1">
      <c r="A12" s="12"/>
      <c r="B12" s="13"/>
      <c r="C12" s="13"/>
      <c r="D12" s="13"/>
      <c r="E12" s="13"/>
      <c r="F12" s="13"/>
      <c r="G12" s="13"/>
      <c r="H12" s="13"/>
      <c r="I12" s="13"/>
      <c r="J12" s="13"/>
      <c r="K12" s="13"/>
      <c r="L12" s="14"/>
      <c r="M12" s="3"/>
      <c r="N12" s="3"/>
      <c r="O12" s="3"/>
      <c r="P12" s="3"/>
      <c r="Q12" s="3"/>
      <c r="R12" s="3"/>
      <c r="S12" s="3"/>
      <c r="T12" s="3"/>
      <c r="U12" s="3"/>
      <c r="V12" s="3"/>
      <c r="W12" s="3"/>
      <c r="X12" s="3"/>
      <c r="Y12" s="3"/>
      <c r="Z12" s="3"/>
      <c r="AA12" s="3"/>
      <c r="AB12" s="3"/>
      <c r="AC12" s="3"/>
      <c r="AD12" s="3"/>
      <c r="AE12" s="3"/>
      <c r="AF12" s="4"/>
    </row>
    <row r="13" spans="1:32" ht="22.5" customHeight="1">
      <c r="A13" s="778" t="s">
        <v>35</v>
      </c>
      <c r="B13" s="779"/>
      <c r="C13" s="779"/>
      <c r="D13" s="779"/>
      <c r="E13" s="779"/>
      <c r="F13" s="779"/>
      <c r="G13" s="779"/>
      <c r="H13" s="779"/>
      <c r="I13" s="779"/>
      <c r="J13" s="779"/>
      <c r="K13" s="779"/>
      <c r="L13" s="780"/>
      <c r="M13" s="7"/>
      <c r="N13" s="7" t="s">
        <v>41</v>
      </c>
      <c r="O13" s="7"/>
      <c r="P13" s="7"/>
      <c r="Q13" s="7"/>
      <c r="R13" s="7"/>
      <c r="S13" s="7"/>
      <c r="T13" s="7"/>
      <c r="U13" s="7"/>
      <c r="V13" s="7"/>
      <c r="W13" s="7"/>
      <c r="X13" s="7"/>
      <c r="Y13" s="7"/>
      <c r="Z13" s="7"/>
      <c r="AA13" s="7"/>
      <c r="AB13" s="7"/>
      <c r="AC13" s="7"/>
      <c r="AD13" s="7"/>
      <c r="AE13" s="7"/>
      <c r="AF13" s="8"/>
    </row>
    <row r="14" spans="1:32" ht="22.5" customHeight="1" thickBot="1">
      <c r="A14" s="15"/>
      <c r="B14" s="16"/>
      <c r="C14" s="16"/>
      <c r="D14" s="16"/>
      <c r="E14" s="16"/>
      <c r="F14" s="16"/>
      <c r="G14" s="16"/>
      <c r="H14" s="16"/>
      <c r="I14" s="16"/>
      <c r="J14" s="16"/>
      <c r="K14" s="16"/>
      <c r="L14" s="17"/>
      <c r="M14" s="9"/>
      <c r="N14" s="9"/>
      <c r="O14" s="9"/>
      <c r="P14" s="9"/>
      <c r="Q14" s="9"/>
      <c r="R14" s="9"/>
      <c r="S14" s="9"/>
      <c r="T14" s="9"/>
      <c r="U14" s="9"/>
      <c r="V14" s="9"/>
      <c r="W14" s="9"/>
      <c r="X14" s="9"/>
      <c r="Y14" s="9"/>
      <c r="Z14" s="9"/>
      <c r="AA14" s="9"/>
      <c r="AB14" s="9"/>
      <c r="AC14" s="9"/>
      <c r="AD14" s="9"/>
      <c r="AE14" s="9"/>
      <c r="AF14" s="10"/>
    </row>
    <row r="15" spans="1:32" ht="22.5" customHeight="1">
      <c r="A15" s="12"/>
      <c r="B15" s="13"/>
      <c r="C15" s="13"/>
      <c r="D15" s="13"/>
      <c r="E15" s="13"/>
      <c r="F15" s="13"/>
      <c r="G15" s="13"/>
      <c r="H15" s="13"/>
      <c r="I15" s="13"/>
      <c r="J15" s="13"/>
      <c r="K15" s="13"/>
      <c r="L15" s="14"/>
      <c r="M15" s="3"/>
      <c r="N15" s="3"/>
      <c r="O15" s="3"/>
      <c r="P15" s="3"/>
      <c r="Q15" s="3"/>
      <c r="R15" s="3"/>
      <c r="S15" s="3"/>
      <c r="T15" s="3"/>
      <c r="U15" s="3"/>
      <c r="V15" s="3"/>
      <c r="W15" s="3"/>
      <c r="X15" s="3"/>
      <c r="Y15" s="3"/>
      <c r="Z15" s="3"/>
      <c r="AA15" s="3"/>
      <c r="AB15" s="3"/>
      <c r="AC15" s="3"/>
      <c r="AD15" s="3"/>
      <c r="AE15" s="3"/>
      <c r="AF15" s="4"/>
    </row>
    <row r="16" spans="1:32" ht="22.5" customHeight="1">
      <c r="A16" s="778" t="s">
        <v>36</v>
      </c>
      <c r="B16" s="779"/>
      <c r="C16" s="779"/>
      <c r="D16" s="779"/>
      <c r="E16" s="779"/>
      <c r="F16" s="779"/>
      <c r="G16" s="779"/>
      <c r="H16" s="779"/>
      <c r="I16" s="779"/>
      <c r="J16" s="779"/>
      <c r="K16" s="779"/>
      <c r="L16" s="780"/>
      <c r="M16" s="7"/>
      <c r="N16" s="793">
        <v>43555</v>
      </c>
      <c r="O16" s="793"/>
      <c r="P16" s="793"/>
      <c r="Q16" s="793"/>
      <c r="R16" s="793"/>
      <c r="S16" s="793"/>
      <c r="T16" s="793"/>
      <c r="U16" s="793"/>
      <c r="V16" s="793"/>
      <c r="W16" s="793"/>
      <c r="X16" s="793"/>
      <c r="Y16" s="793"/>
      <c r="Z16" s="793"/>
      <c r="AA16" s="793"/>
      <c r="AB16" s="793"/>
      <c r="AC16" s="793"/>
      <c r="AD16" s="7"/>
      <c r="AE16" s="7"/>
      <c r="AF16" s="8"/>
    </row>
    <row r="17" spans="1:32" ht="22.5" customHeight="1" thickBot="1">
      <c r="A17" s="15"/>
      <c r="B17" s="16"/>
      <c r="C17" s="16"/>
      <c r="D17" s="16"/>
      <c r="E17" s="16"/>
      <c r="F17" s="16"/>
      <c r="G17" s="16"/>
      <c r="H17" s="16"/>
      <c r="I17" s="16"/>
      <c r="J17" s="16"/>
      <c r="K17" s="16"/>
      <c r="L17" s="17"/>
      <c r="M17" s="9"/>
      <c r="N17" s="9"/>
      <c r="O17" s="9"/>
      <c r="P17" s="9"/>
      <c r="Q17" s="9"/>
      <c r="R17" s="9"/>
      <c r="S17" s="9"/>
      <c r="T17" s="9"/>
      <c r="U17" s="9"/>
      <c r="V17" s="9"/>
      <c r="W17" s="9"/>
      <c r="X17" s="9"/>
      <c r="Y17" s="9"/>
      <c r="Z17" s="9"/>
      <c r="AA17" s="9"/>
      <c r="AB17" s="9"/>
      <c r="AC17" s="9"/>
      <c r="AD17" s="9"/>
      <c r="AE17" s="9"/>
      <c r="AF17" s="10"/>
    </row>
    <row r="18" spans="1:32" ht="22.5" customHeight="1">
      <c r="A18" s="12"/>
      <c r="B18" s="13"/>
      <c r="C18" s="13"/>
      <c r="D18" s="13"/>
      <c r="E18" s="13"/>
      <c r="F18" s="13"/>
      <c r="G18" s="13"/>
      <c r="H18" s="13"/>
      <c r="I18" s="13"/>
      <c r="J18" s="13"/>
      <c r="K18" s="13"/>
      <c r="L18" s="14"/>
      <c r="M18" s="3"/>
      <c r="N18" s="3"/>
      <c r="O18" s="3"/>
      <c r="P18" s="3"/>
      <c r="Q18" s="3"/>
      <c r="R18" s="3"/>
      <c r="S18" s="3"/>
      <c r="T18" s="3"/>
      <c r="U18" s="3"/>
      <c r="V18" s="3"/>
      <c r="W18" s="3"/>
      <c r="X18" s="3"/>
      <c r="Y18" s="3"/>
      <c r="Z18" s="3"/>
      <c r="AA18" s="3"/>
      <c r="AB18" s="3"/>
      <c r="AC18" s="3"/>
      <c r="AD18" s="3"/>
      <c r="AE18" s="3"/>
      <c r="AF18" s="4"/>
    </row>
    <row r="19" spans="1:32" ht="22.5" customHeight="1">
      <c r="A19" s="778" t="s">
        <v>37</v>
      </c>
      <c r="B19" s="779"/>
      <c r="C19" s="779"/>
      <c r="D19" s="779"/>
      <c r="E19" s="779"/>
      <c r="F19" s="779"/>
      <c r="G19" s="779"/>
      <c r="H19" s="779"/>
      <c r="I19" s="779"/>
      <c r="J19" s="779"/>
      <c r="K19" s="779"/>
      <c r="L19" s="780"/>
      <c r="M19" s="7"/>
      <c r="N19" s="7" t="s">
        <v>42</v>
      </c>
      <c r="O19" s="7"/>
      <c r="P19" s="7"/>
      <c r="Q19" s="7"/>
      <c r="R19" s="7"/>
      <c r="S19" s="7"/>
      <c r="T19" s="7"/>
      <c r="U19" s="7"/>
      <c r="V19" s="7"/>
      <c r="W19" s="7"/>
      <c r="X19" s="7"/>
      <c r="Y19" s="7"/>
      <c r="Z19" s="7"/>
      <c r="AA19" s="7"/>
      <c r="AB19" s="7"/>
      <c r="AC19" s="7"/>
      <c r="AD19" s="7"/>
      <c r="AE19" s="7"/>
      <c r="AF19" s="8"/>
    </row>
    <row r="20" spans="1:32" ht="22.5" customHeight="1">
      <c r="A20" s="778"/>
      <c r="B20" s="779"/>
      <c r="C20" s="779"/>
      <c r="D20" s="779"/>
      <c r="E20" s="779"/>
      <c r="F20" s="779"/>
      <c r="G20" s="779"/>
      <c r="H20" s="779"/>
      <c r="I20" s="779"/>
      <c r="J20" s="779"/>
      <c r="K20" s="779"/>
      <c r="L20" s="780"/>
      <c r="M20" s="7"/>
      <c r="N20" s="7" t="s">
        <v>43</v>
      </c>
      <c r="O20" s="7"/>
      <c r="P20" s="7"/>
      <c r="Q20" s="7"/>
      <c r="R20" s="7"/>
      <c r="S20" s="7"/>
      <c r="T20" s="7"/>
      <c r="U20" s="7"/>
      <c r="V20" s="7"/>
      <c r="W20" s="7"/>
      <c r="X20" s="7"/>
      <c r="Y20" s="7"/>
      <c r="Z20" s="7"/>
      <c r="AA20" s="7"/>
      <c r="AB20" s="7"/>
      <c r="AC20" s="7"/>
      <c r="AD20" s="7"/>
      <c r="AE20" s="7"/>
      <c r="AF20" s="8"/>
    </row>
    <row r="21" spans="1:32" ht="22.5" customHeight="1" thickBot="1">
      <c r="A21" s="15"/>
      <c r="B21" s="16"/>
      <c r="C21" s="16"/>
      <c r="D21" s="16"/>
      <c r="E21" s="16"/>
      <c r="F21" s="16"/>
      <c r="G21" s="16"/>
      <c r="H21" s="16"/>
      <c r="I21" s="16"/>
      <c r="J21" s="16"/>
      <c r="K21" s="16"/>
      <c r="L21" s="17"/>
      <c r="M21" s="9"/>
      <c r="N21" s="9"/>
      <c r="O21" s="9"/>
      <c r="P21" s="9"/>
      <c r="Q21" s="9"/>
      <c r="R21" s="9"/>
      <c r="S21" s="9"/>
      <c r="T21" s="9"/>
      <c r="U21" s="9"/>
      <c r="V21" s="9"/>
      <c r="W21" s="9"/>
      <c r="X21" s="9"/>
      <c r="Y21" s="9"/>
      <c r="Z21" s="9"/>
      <c r="AA21" s="9"/>
      <c r="AB21" s="9"/>
      <c r="AC21" s="9"/>
      <c r="AD21" s="9"/>
      <c r="AE21" s="9"/>
      <c r="AF21" s="10"/>
    </row>
    <row r="22" spans="1:32" ht="22.5" customHeight="1" thickBot="1">
      <c r="A22" s="18"/>
      <c r="B22" s="19"/>
      <c r="C22" s="19"/>
      <c r="D22" s="19"/>
      <c r="E22" s="19"/>
      <c r="F22" s="19"/>
      <c r="G22" s="19"/>
      <c r="H22" s="19"/>
      <c r="I22" s="19"/>
      <c r="J22" s="19"/>
      <c r="K22" s="19"/>
      <c r="L22" s="20"/>
      <c r="M22" s="7"/>
      <c r="N22" s="7"/>
      <c r="O22" s="7"/>
      <c r="P22" s="7"/>
      <c r="Q22" s="7"/>
      <c r="R22" s="7"/>
      <c r="S22" s="7"/>
      <c r="T22" s="7"/>
      <c r="U22" s="7"/>
      <c r="V22" s="7"/>
      <c r="W22" s="7"/>
      <c r="X22" s="7"/>
      <c r="Y22" s="7"/>
      <c r="Z22" s="7"/>
      <c r="AA22" s="7"/>
      <c r="AB22" s="7"/>
      <c r="AC22" s="7"/>
      <c r="AD22" s="7"/>
      <c r="AE22" s="7"/>
      <c r="AF22" s="8"/>
    </row>
    <row r="23" spans="1:32" ht="22.5" customHeight="1" thickBot="1">
      <c r="A23" s="18"/>
      <c r="B23" s="19"/>
      <c r="C23" s="19"/>
      <c r="D23" s="19"/>
      <c r="E23" s="19"/>
      <c r="F23" s="19"/>
      <c r="G23" s="19"/>
      <c r="H23" s="19"/>
      <c r="I23" s="19"/>
      <c r="J23" s="19"/>
      <c r="K23" s="19"/>
      <c r="L23" s="20"/>
      <c r="M23" s="7"/>
      <c r="N23" s="29"/>
      <c r="O23" s="7" t="s">
        <v>44</v>
      </c>
      <c r="Q23" s="7"/>
      <c r="R23" s="7"/>
      <c r="S23" s="7"/>
      <c r="T23" s="7"/>
      <c r="U23" s="7"/>
      <c r="V23" s="7"/>
      <c r="W23" s="7"/>
      <c r="X23" s="7"/>
      <c r="Y23" s="7"/>
      <c r="Z23" s="7"/>
      <c r="AA23" s="7"/>
      <c r="AB23" s="7"/>
      <c r="AC23" s="7"/>
      <c r="AD23" s="7"/>
      <c r="AE23" s="7"/>
      <c r="AF23" s="8"/>
    </row>
    <row r="24" spans="1:32" ht="22.5" customHeight="1">
      <c r="A24" s="5"/>
      <c r="B24" s="6"/>
      <c r="C24" s="6"/>
      <c r="D24" s="6"/>
      <c r="E24" s="6"/>
      <c r="F24" s="6"/>
      <c r="G24" s="6"/>
      <c r="H24" s="6"/>
      <c r="I24" s="6"/>
      <c r="J24" s="6"/>
      <c r="K24" s="6"/>
      <c r="L24" s="11"/>
      <c r="M24" s="7"/>
      <c r="N24" s="7"/>
      <c r="O24" s="7"/>
      <c r="P24" s="7"/>
      <c r="Q24" s="7"/>
      <c r="R24" s="7"/>
      <c r="S24" s="7"/>
      <c r="T24" s="7"/>
      <c r="U24" s="7"/>
      <c r="V24" s="7"/>
      <c r="W24" s="7"/>
      <c r="X24" s="7"/>
      <c r="Y24" s="7"/>
      <c r="Z24" s="7"/>
      <c r="AA24" s="7"/>
      <c r="AB24" s="7"/>
      <c r="AC24" s="7"/>
      <c r="AD24" s="7"/>
      <c r="AE24" s="7"/>
      <c r="AF24" s="8"/>
    </row>
    <row r="25" spans="1:32" ht="22.5" customHeight="1">
      <c r="A25" s="5"/>
      <c r="B25" s="6"/>
      <c r="C25" s="6"/>
      <c r="D25" s="6"/>
      <c r="E25" s="6"/>
      <c r="F25" s="6"/>
      <c r="G25" s="6"/>
      <c r="H25" s="6"/>
      <c r="I25" s="6"/>
      <c r="J25" s="6"/>
      <c r="K25" s="6"/>
      <c r="L25" s="11"/>
      <c r="M25" s="7"/>
      <c r="N25" s="7"/>
      <c r="O25" s="19" t="s">
        <v>45</v>
      </c>
      <c r="P25" s="24"/>
      <c r="Q25" s="24"/>
      <c r="S25" s="24"/>
      <c r="T25" s="24"/>
      <c r="U25" s="24"/>
      <c r="V25" s="24"/>
      <c r="W25" s="24"/>
      <c r="X25" s="24"/>
      <c r="Y25" s="24"/>
      <c r="Z25" s="24"/>
      <c r="AA25" s="24"/>
      <c r="AB25" s="24"/>
      <c r="AC25" s="24"/>
      <c r="AD25" s="24"/>
      <c r="AE25" s="24"/>
      <c r="AF25" s="8"/>
    </row>
    <row r="26" spans="1:32" ht="22.5" customHeight="1">
      <c r="A26" s="5"/>
      <c r="B26" s="6"/>
      <c r="C26" s="6"/>
      <c r="D26" s="6"/>
      <c r="E26" s="6"/>
      <c r="F26" s="6"/>
      <c r="G26" s="6"/>
      <c r="H26" s="6"/>
      <c r="I26" s="6"/>
      <c r="J26" s="6"/>
      <c r="K26" s="6"/>
      <c r="L26" s="11"/>
      <c r="M26" s="7"/>
      <c r="N26" s="7"/>
      <c r="O26" s="794"/>
      <c r="P26" s="795"/>
      <c r="Q26" s="795"/>
      <c r="R26" s="795"/>
      <c r="S26" s="795"/>
      <c r="T26" s="795"/>
      <c r="U26" s="795"/>
      <c r="V26" s="795"/>
      <c r="W26" s="795"/>
      <c r="X26" s="795"/>
      <c r="Y26" s="795"/>
      <c r="Z26" s="795"/>
      <c r="AA26" s="795"/>
      <c r="AB26" s="795"/>
      <c r="AC26" s="795"/>
      <c r="AD26" s="795"/>
      <c r="AE26" s="796"/>
      <c r="AF26" s="8"/>
    </row>
    <row r="27" spans="1:32" ht="22.5" customHeight="1">
      <c r="A27" s="5"/>
      <c r="B27" s="6"/>
      <c r="C27" s="6"/>
      <c r="D27" s="6"/>
      <c r="E27" s="6"/>
      <c r="F27" s="6"/>
      <c r="G27" s="6"/>
      <c r="H27" s="6"/>
      <c r="I27" s="6"/>
      <c r="J27" s="6"/>
      <c r="K27" s="6"/>
      <c r="L27" s="11"/>
      <c r="M27" s="7"/>
      <c r="N27" s="7"/>
      <c r="O27" s="797"/>
      <c r="P27" s="798"/>
      <c r="Q27" s="798"/>
      <c r="R27" s="798"/>
      <c r="S27" s="798"/>
      <c r="T27" s="798"/>
      <c r="U27" s="798"/>
      <c r="V27" s="798"/>
      <c r="W27" s="798"/>
      <c r="X27" s="798"/>
      <c r="Y27" s="798"/>
      <c r="Z27" s="798"/>
      <c r="AA27" s="798"/>
      <c r="AB27" s="798"/>
      <c r="AC27" s="798"/>
      <c r="AD27" s="798"/>
      <c r="AE27" s="799"/>
      <c r="AF27" s="8"/>
    </row>
    <row r="28" spans="1:32" ht="22.5" customHeight="1">
      <c r="A28" s="778" t="s">
        <v>38</v>
      </c>
      <c r="B28" s="779"/>
      <c r="C28" s="779"/>
      <c r="D28" s="779"/>
      <c r="E28" s="779"/>
      <c r="F28" s="779"/>
      <c r="G28" s="779"/>
      <c r="H28" s="779"/>
      <c r="I28" s="779"/>
      <c r="J28" s="779"/>
      <c r="K28" s="779"/>
      <c r="L28" s="780"/>
      <c r="M28" s="7"/>
      <c r="N28" s="7"/>
      <c r="O28" s="797"/>
      <c r="P28" s="798"/>
      <c r="Q28" s="798"/>
      <c r="R28" s="798"/>
      <c r="S28" s="798"/>
      <c r="T28" s="798"/>
      <c r="U28" s="798"/>
      <c r="V28" s="798"/>
      <c r="W28" s="798"/>
      <c r="X28" s="798"/>
      <c r="Y28" s="798"/>
      <c r="Z28" s="798"/>
      <c r="AA28" s="798"/>
      <c r="AB28" s="798"/>
      <c r="AC28" s="798"/>
      <c r="AD28" s="798"/>
      <c r="AE28" s="799"/>
      <c r="AF28" s="8"/>
    </row>
    <row r="29" spans="1:32" ht="22.5" customHeight="1">
      <c r="A29" s="5"/>
      <c r="B29" s="6"/>
      <c r="C29" s="6"/>
      <c r="D29" s="6"/>
      <c r="E29" s="6"/>
      <c r="F29" s="6"/>
      <c r="G29" s="6"/>
      <c r="H29" s="6"/>
      <c r="I29" s="6"/>
      <c r="J29" s="6"/>
      <c r="K29" s="6"/>
      <c r="L29" s="11"/>
      <c r="M29" s="7"/>
      <c r="N29" s="7"/>
      <c r="O29" s="800"/>
      <c r="P29" s="801"/>
      <c r="Q29" s="801"/>
      <c r="R29" s="801"/>
      <c r="S29" s="801"/>
      <c r="T29" s="801"/>
      <c r="U29" s="801"/>
      <c r="V29" s="801"/>
      <c r="W29" s="801"/>
      <c r="X29" s="801"/>
      <c r="Y29" s="801"/>
      <c r="Z29" s="801"/>
      <c r="AA29" s="801"/>
      <c r="AB29" s="801"/>
      <c r="AC29" s="801"/>
      <c r="AD29" s="801"/>
      <c r="AE29" s="802"/>
      <c r="AF29" s="8"/>
    </row>
    <row r="30" spans="1:32" ht="22.5" customHeight="1" thickBot="1">
      <c r="A30" s="5"/>
      <c r="B30" s="6"/>
      <c r="C30" s="6"/>
      <c r="D30" s="6"/>
      <c r="E30" s="6"/>
      <c r="F30" s="6"/>
      <c r="G30" s="6"/>
      <c r="H30" s="6"/>
      <c r="I30" s="6"/>
      <c r="J30" s="6"/>
      <c r="K30" s="6"/>
      <c r="L30" s="11"/>
      <c r="M30" s="7"/>
      <c r="N30" s="7"/>
      <c r="O30" s="7"/>
      <c r="P30" s="7"/>
      <c r="Q30" s="7"/>
      <c r="R30" s="25"/>
      <c r="S30" s="25"/>
      <c r="T30" s="25"/>
      <c r="U30" s="25"/>
      <c r="V30" s="25"/>
      <c r="W30" s="25"/>
      <c r="X30" s="25"/>
      <c r="Y30" s="25"/>
      <c r="Z30" s="25"/>
      <c r="AA30" s="25"/>
      <c r="AB30" s="25"/>
      <c r="AC30" s="25"/>
      <c r="AD30" s="25"/>
      <c r="AE30" s="25"/>
      <c r="AF30" s="8"/>
    </row>
    <row r="31" spans="1:32" ht="22.5" customHeight="1" thickBot="1">
      <c r="A31" s="5"/>
      <c r="B31" s="6"/>
      <c r="C31" s="6"/>
      <c r="D31" s="6"/>
      <c r="E31" s="6"/>
      <c r="F31" s="6"/>
      <c r="G31" s="6"/>
      <c r="H31" s="6"/>
      <c r="I31" s="6"/>
      <c r="J31" s="6"/>
      <c r="K31" s="6"/>
      <c r="L31" s="11"/>
      <c r="M31" s="7"/>
      <c r="N31" s="29"/>
      <c r="O31" s="7" t="s">
        <v>46</v>
      </c>
      <c r="Q31" s="7"/>
      <c r="R31" s="25"/>
      <c r="S31" s="25"/>
      <c r="T31" s="25"/>
      <c r="U31" s="25"/>
      <c r="V31" s="25"/>
      <c r="W31" s="25"/>
      <c r="X31" s="25"/>
      <c r="Y31" s="25"/>
      <c r="Z31" s="25"/>
      <c r="AA31" s="25"/>
      <c r="AB31" s="25"/>
      <c r="AC31" s="25"/>
      <c r="AD31" s="25"/>
      <c r="AE31" s="25"/>
      <c r="AF31" s="8"/>
    </row>
    <row r="32" spans="1:32" ht="22.5" customHeight="1">
      <c r="A32" s="5"/>
      <c r="B32" s="6"/>
      <c r="C32" s="6"/>
      <c r="D32" s="6"/>
      <c r="E32" s="6"/>
      <c r="F32" s="6"/>
      <c r="G32" s="6"/>
      <c r="H32" s="6"/>
      <c r="I32" s="6"/>
      <c r="J32" s="6"/>
      <c r="K32" s="6"/>
      <c r="L32" s="11"/>
      <c r="M32" s="7"/>
      <c r="N32" s="7"/>
      <c r="O32" s="7"/>
      <c r="P32" s="7"/>
      <c r="Q32" s="7"/>
      <c r="R32" s="25"/>
      <c r="S32" s="25"/>
      <c r="T32" s="25"/>
      <c r="U32" s="25"/>
      <c r="V32" s="25"/>
      <c r="W32" s="25"/>
      <c r="X32" s="25"/>
      <c r="Y32" s="25"/>
      <c r="Z32" s="25"/>
      <c r="AA32" s="25"/>
      <c r="AB32" s="25"/>
      <c r="AC32" s="25"/>
      <c r="AD32" s="25"/>
      <c r="AE32" s="25"/>
      <c r="AF32" s="8"/>
    </row>
    <row r="33" spans="1:32" ht="22.5" customHeight="1">
      <c r="A33" s="5"/>
      <c r="B33" s="6"/>
      <c r="C33" s="6"/>
      <c r="D33" s="6"/>
      <c r="E33" s="6"/>
      <c r="F33" s="6"/>
      <c r="G33" s="6"/>
      <c r="H33" s="6"/>
      <c r="I33" s="6"/>
      <c r="J33" s="6"/>
      <c r="K33" s="6"/>
      <c r="L33" s="11"/>
      <c r="M33" s="7"/>
      <c r="N33" s="7"/>
      <c r="O33" s="792"/>
      <c r="P33" s="792"/>
      <c r="Q33" s="792"/>
      <c r="R33" s="792"/>
      <c r="S33" s="792"/>
      <c r="T33" s="792"/>
      <c r="U33" s="19" t="s">
        <v>47</v>
      </c>
      <c r="V33" s="25"/>
      <c r="W33" s="25"/>
      <c r="X33" s="25"/>
      <c r="Y33" s="25"/>
      <c r="Z33" s="25"/>
      <c r="AA33" s="25"/>
      <c r="AB33" s="25"/>
      <c r="AC33" s="25"/>
      <c r="AD33" s="25"/>
      <c r="AE33" s="25"/>
      <c r="AF33" s="8"/>
    </row>
    <row r="34" spans="1:32" ht="22.5" customHeight="1">
      <c r="A34" s="5"/>
      <c r="B34" s="6"/>
      <c r="C34" s="6"/>
      <c r="D34" s="6"/>
      <c r="E34" s="6"/>
      <c r="F34" s="6"/>
      <c r="G34" s="6"/>
      <c r="H34" s="6"/>
      <c r="I34" s="6"/>
      <c r="J34" s="6"/>
      <c r="K34" s="6"/>
      <c r="L34" s="11"/>
      <c r="M34" s="7"/>
      <c r="N34" s="7"/>
      <c r="O34" s="7"/>
      <c r="P34" s="7"/>
      <c r="Q34" s="7"/>
      <c r="R34" s="25"/>
      <c r="S34" s="25"/>
      <c r="T34" s="25"/>
      <c r="U34" s="25"/>
      <c r="V34" s="25"/>
      <c r="W34" s="25"/>
      <c r="X34" s="25"/>
      <c r="Y34" s="25"/>
      <c r="Z34" s="25"/>
      <c r="AA34" s="25"/>
      <c r="AB34" s="25"/>
      <c r="AC34" s="25"/>
      <c r="AD34" s="25"/>
      <c r="AE34" s="25"/>
      <c r="AF34" s="8"/>
    </row>
    <row r="35" spans="1:32" ht="22.5" customHeight="1">
      <c r="A35" s="18"/>
      <c r="B35" s="19"/>
      <c r="C35" s="19"/>
      <c r="D35" s="19"/>
      <c r="E35" s="302"/>
      <c r="F35" s="302"/>
      <c r="G35" s="302"/>
      <c r="H35" s="302"/>
      <c r="I35" s="302"/>
      <c r="J35" s="19"/>
      <c r="K35" s="19"/>
      <c r="L35" s="20"/>
      <c r="M35" s="7"/>
      <c r="N35" s="7"/>
      <c r="O35" s="792"/>
      <c r="P35" s="792"/>
      <c r="Q35" s="792"/>
      <c r="R35" s="792"/>
      <c r="S35" s="792"/>
      <c r="T35" s="792"/>
      <c r="U35" s="7" t="s">
        <v>48</v>
      </c>
      <c r="V35" s="7"/>
      <c r="W35" s="7"/>
      <c r="X35" s="7"/>
      <c r="Y35" s="7"/>
      <c r="Z35" s="7"/>
      <c r="AA35" s="7"/>
      <c r="AB35" s="7"/>
      <c r="AC35" s="7"/>
      <c r="AD35" s="7"/>
      <c r="AE35" s="7"/>
      <c r="AF35" s="8"/>
    </row>
    <row r="36" spans="1:32" ht="22.5" customHeight="1" thickBot="1">
      <c r="A36" s="15"/>
      <c r="B36" s="16"/>
      <c r="C36" s="16"/>
      <c r="D36" s="16"/>
      <c r="E36" s="16"/>
      <c r="F36" s="16"/>
      <c r="G36" s="16"/>
      <c r="H36" s="16"/>
      <c r="I36" s="16"/>
      <c r="J36" s="16"/>
      <c r="K36" s="16"/>
      <c r="L36" s="17"/>
      <c r="M36" s="9"/>
      <c r="N36" s="9"/>
      <c r="O36" s="9"/>
      <c r="P36" s="9"/>
      <c r="Q36" s="9"/>
      <c r="R36" s="9"/>
      <c r="S36" s="9"/>
      <c r="T36" s="9"/>
      <c r="U36" s="9"/>
      <c r="V36" s="9"/>
      <c r="W36" s="9"/>
      <c r="X36" s="9"/>
      <c r="Y36" s="9"/>
      <c r="Z36" s="9"/>
      <c r="AA36" s="9"/>
      <c r="AB36" s="9"/>
      <c r="AC36" s="9"/>
      <c r="AD36" s="9"/>
      <c r="AE36" s="9"/>
      <c r="AF36" s="10"/>
    </row>
    <row r="37" spans="1:2" s="28" customFormat="1" ht="12.75" customHeight="1">
      <c r="A37" s="279" t="s">
        <v>29</v>
      </c>
      <c r="B37" s="170"/>
    </row>
    <row r="38" s="170" customFormat="1" ht="12.75" customHeight="1">
      <c r="A38" s="279" t="s">
        <v>219</v>
      </c>
    </row>
    <row r="39" s="28" customFormat="1" ht="14.2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sheetProtection/>
  <mergeCells count="18">
    <mergeCell ref="Z3:AF3"/>
    <mergeCell ref="Z4:AF4"/>
    <mergeCell ref="O35:T35"/>
    <mergeCell ref="A28:L28"/>
    <mergeCell ref="A13:L13"/>
    <mergeCell ref="A16:L16"/>
    <mergeCell ref="N16:AC16"/>
    <mergeCell ref="A19:L20"/>
    <mergeCell ref="O26:AE29"/>
    <mergeCell ref="O33:T33"/>
    <mergeCell ref="V3:Y3"/>
    <mergeCell ref="V4:Y4"/>
    <mergeCell ref="E3:U3"/>
    <mergeCell ref="E4:U4"/>
    <mergeCell ref="A7:L7"/>
    <mergeCell ref="A10:L10"/>
    <mergeCell ref="A4:D4"/>
    <mergeCell ref="A3:D3"/>
  </mergeCells>
  <dataValidations count="1">
    <dataValidation type="list" allowBlank="1" showInputMessage="1" showErrorMessage="1" sqref="N23 N31">
      <formula1>"○, "</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FF00"/>
  </sheetPr>
  <dimension ref="A1:W37"/>
  <sheetViews>
    <sheetView view="pageBreakPreview" zoomScaleNormal="75" zoomScaleSheetLayoutView="100" zoomScalePageLayoutView="0" workbookViewId="0" topLeftCell="A1">
      <pane xSplit="1" ySplit="8" topLeftCell="B12" activePane="bottomRight" state="frozen"/>
      <selection pane="topLeft" activeCell="M24" sqref="M24"/>
      <selection pane="topRight" activeCell="M24" sqref="M24"/>
      <selection pane="bottomLeft" activeCell="M24" sqref="M24"/>
      <selection pane="bottomRight" activeCell="I8" sqref="I8"/>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294" customWidth="1"/>
    <col min="15" max="15" width="8.25390625" style="294" customWidth="1"/>
    <col min="16" max="16" width="14.875" style="294" customWidth="1"/>
    <col min="17" max="17" width="8.25390625" style="294" customWidth="1"/>
    <col min="18" max="18" width="14.875" style="294" customWidth="1"/>
    <col min="19" max="19" width="3.125" style="40" customWidth="1"/>
    <col min="20" max="21" width="5.625" style="40" customWidth="1"/>
    <col min="22" max="22" width="8.25390625" style="40" customWidth="1"/>
    <col min="23" max="16384" width="9.625" style="40" customWidth="1"/>
  </cols>
  <sheetData>
    <row r="1" ht="18.75" customHeight="1" thickBot="1">
      <c r="A1" s="38" t="s">
        <v>244</v>
      </c>
    </row>
    <row r="2" spans="9:18" ht="24.75" customHeight="1" thickBot="1">
      <c r="I2" s="111"/>
      <c r="J2" s="345"/>
      <c r="K2" s="345"/>
      <c r="L2" s="842" t="s">
        <v>25</v>
      </c>
      <c r="M2" s="843"/>
      <c r="N2" s="846">
        <f>'5_総括表'!E3</f>
        <v>0</v>
      </c>
      <c r="O2" s="847"/>
      <c r="P2" s="842" t="s">
        <v>26</v>
      </c>
      <c r="Q2" s="843"/>
      <c r="R2" s="161">
        <f>'5_総括表'!Z3</f>
        <v>0</v>
      </c>
    </row>
    <row r="3" spans="1:18" ht="24.75" customHeight="1" thickBot="1">
      <c r="A3" s="38"/>
      <c r="F3" s="111"/>
      <c r="G3" s="111"/>
      <c r="I3" s="111"/>
      <c r="J3" s="345"/>
      <c r="K3" s="345"/>
      <c r="L3" s="844" t="s">
        <v>23</v>
      </c>
      <c r="M3" s="845"/>
      <c r="N3" s="846">
        <f>'5_総括表'!E4</f>
        <v>0</v>
      </c>
      <c r="O3" s="847"/>
      <c r="P3" s="844" t="s">
        <v>24</v>
      </c>
      <c r="Q3" s="845"/>
      <c r="R3" s="346">
        <f>'5_総括表'!Z4</f>
        <v>0</v>
      </c>
    </row>
    <row r="4" spans="1:9" ht="18.75" customHeight="1" thickBot="1">
      <c r="A4" s="280" t="s">
        <v>220</v>
      </c>
      <c r="F4" s="112"/>
      <c r="G4" s="112"/>
      <c r="H4" s="112"/>
      <c r="I4" s="112"/>
    </row>
    <row r="5" spans="1:18" s="44" customFormat="1" ht="19.5" customHeight="1" thickBot="1">
      <c r="A5" s="113" t="s">
        <v>17</v>
      </c>
      <c r="B5" s="808" t="s">
        <v>125</v>
      </c>
      <c r="C5" s="284"/>
      <c r="D5" s="285"/>
      <c r="E5" s="809" t="s">
        <v>160</v>
      </c>
      <c r="F5" s="155"/>
      <c r="G5" s="156"/>
      <c r="H5" s="811" t="s">
        <v>147</v>
      </c>
      <c r="I5" s="813" t="s">
        <v>148</v>
      </c>
      <c r="J5" s="813" t="s">
        <v>149</v>
      </c>
      <c r="K5" s="803" t="s">
        <v>245</v>
      </c>
      <c r="L5" s="804"/>
      <c r="M5" s="804"/>
      <c r="N5" s="805"/>
      <c r="O5" s="806" t="s">
        <v>246</v>
      </c>
      <c r="P5" s="807"/>
      <c r="Q5" s="806" t="s">
        <v>247</v>
      </c>
      <c r="R5" s="807"/>
    </row>
    <row r="6" spans="1:20" s="44" customFormat="1" ht="38.25" customHeight="1" thickBot="1">
      <c r="A6" s="815" t="s">
        <v>119</v>
      </c>
      <c r="B6" s="809"/>
      <c r="C6" s="286" t="s">
        <v>211</v>
      </c>
      <c r="D6" s="286" t="s">
        <v>67</v>
      </c>
      <c r="E6" s="810"/>
      <c r="F6" s="114" t="s">
        <v>141</v>
      </c>
      <c r="G6" s="116" t="s">
        <v>124</v>
      </c>
      <c r="H6" s="812"/>
      <c r="I6" s="809"/>
      <c r="J6" s="814"/>
      <c r="K6" s="257" t="s">
        <v>21</v>
      </c>
      <c r="L6" s="334" t="s">
        <v>50</v>
      </c>
      <c r="M6" s="335" t="s">
        <v>49</v>
      </c>
      <c r="N6" s="333" t="s">
        <v>68</v>
      </c>
      <c r="O6" s="332" t="s">
        <v>49</v>
      </c>
      <c r="P6" s="382" t="s">
        <v>68</v>
      </c>
      <c r="Q6" s="336" t="s">
        <v>49</v>
      </c>
      <c r="R6" s="337" t="s">
        <v>68</v>
      </c>
      <c r="T6" s="118" t="s">
        <v>70</v>
      </c>
    </row>
    <row r="7" spans="1:20" s="44" customFormat="1" ht="20.25" customHeight="1" thickBot="1">
      <c r="A7" s="816"/>
      <c r="B7" s="48" t="s">
        <v>126</v>
      </c>
      <c r="C7" s="48" t="s">
        <v>127</v>
      </c>
      <c r="D7" s="48" t="s">
        <v>128</v>
      </c>
      <c r="E7" s="48" t="s">
        <v>144</v>
      </c>
      <c r="F7" s="119" t="s">
        <v>129</v>
      </c>
      <c r="G7" s="121" t="s">
        <v>130</v>
      </c>
      <c r="H7" s="151" t="s">
        <v>131</v>
      </c>
      <c r="I7" s="48" t="s">
        <v>132</v>
      </c>
      <c r="J7" s="47" t="s">
        <v>133</v>
      </c>
      <c r="K7" s="119"/>
      <c r="L7" s="120"/>
      <c r="M7" s="121"/>
      <c r="N7" s="328"/>
      <c r="O7" s="329"/>
      <c r="P7" s="383"/>
      <c r="Q7" s="338"/>
      <c r="R7" s="339"/>
      <c r="T7" s="123"/>
    </row>
    <row r="8" spans="1:18" s="130" customFormat="1" ht="20.25" customHeight="1" thickBot="1">
      <c r="A8" s="124"/>
      <c r="B8" s="125" t="s">
        <v>19</v>
      </c>
      <c r="C8" s="125" t="s">
        <v>19</v>
      </c>
      <c r="D8" s="125" t="s">
        <v>19</v>
      </c>
      <c r="E8" s="125" t="s">
        <v>145</v>
      </c>
      <c r="F8" s="126" t="s">
        <v>142</v>
      </c>
      <c r="G8" s="128" t="s">
        <v>143</v>
      </c>
      <c r="H8" s="152" t="s">
        <v>22</v>
      </c>
      <c r="I8" s="125" t="s">
        <v>22</v>
      </c>
      <c r="J8" s="125" t="s">
        <v>22</v>
      </c>
      <c r="K8" s="126"/>
      <c r="L8" s="127" t="s">
        <v>20</v>
      </c>
      <c r="M8" s="128" t="s">
        <v>19</v>
      </c>
      <c r="N8" s="330" t="s">
        <v>20</v>
      </c>
      <c r="O8" s="331" t="s">
        <v>19</v>
      </c>
      <c r="P8" s="384" t="s">
        <v>20</v>
      </c>
      <c r="Q8" s="340" t="s">
        <v>19</v>
      </c>
      <c r="R8" s="341" t="s">
        <v>20</v>
      </c>
    </row>
    <row r="9" spans="1:20" s="44" customFormat="1" ht="18" customHeight="1" thickBot="1">
      <c r="A9" s="817">
        <v>1</v>
      </c>
      <c r="B9" s="818"/>
      <c r="C9" s="818"/>
      <c r="D9" s="818"/>
      <c r="E9" s="820"/>
      <c r="F9" s="157"/>
      <c r="G9" s="158"/>
      <c r="H9" s="153">
        <f>IF(F9="","",IF(ISERROR(F9+ROUNDDOWN(G9*3/74,0)),"",F9+ROUNDDOWN(G9*3/74,0)))</f>
      </c>
      <c r="I9" s="132">
        <f>IF(H9="","",IF(H9&gt;10032,10032,H9))</f>
      </c>
      <c r="J9" s="131">
        <f>IF(H9="","",MIN(H9,I9))</f>
      </c>
      <c r="K9" s="133" t="s">
        <v>84</v>
      </c>
      <c r="L9" s="70">
        <v>408</v>
      </c>
      <c r="M9" s="376"/>
      <c r="N9" s="377"/>
      <c r="O9" s="357">
        <f>SUMIF('6-2_算定表①(旧々・旧制度)'!$AL:$AL,$T9,'6-2_算定表①(旧々・旧制度)'!$AM:$AM)</f>
        <v>0</v>
      </c>
      <c r="P9" s="385">
        <f>SUMIF('6-2_算定表①(旧々・旧制度)'!$AL:$AL,$T9,'6-2_算定表①(旧々・旧制度)'!$AG:$AG)</f>
        <v>0</v>
      </c>
      <c r="Q9" s="359">
        <f>O9-M9</f>
        <v>0</v>
      </c>
      <c r="R9" s="360">
        <f>P9-N9</f>
        <v>0</v>
      </c>
      <c r="T9" s="135" t="str">
        <f>ASC($A$9&amp;$K9)</f>
        <v>1A</v>
      </c>
    </row>
    <row r="10" spans="1:22" s="44" customFormat="1" ht="18" customHeight="1" thickBot="1">
      <c r="A10" s="817"/>
      <c r="B10" s="819"/>
      <c r="C10" s="819"/>
      <c r="D10" s="819"/>
      <c r="E10" s="821"/>
      <c r="F10" s="157"/>
      <c r="G10" s="158"/>
      <c r="H10" s="153">
        <f>IF(F10="","",IF(ISERROR(F10+ROUNDDOWN(G10*3/74,0)),"",F10+ROUNDDOWN(G10*3/74,0)))</f>
      </c>
      <c r="I10" s="132">
        <f aca="true" t="shared" si="0" ref="I10:I24">IF(H10="","",IF(H10&gt;10032,10032,H10))</f>
      </c>
      <c r="J10" s="131">
        <f>IF(H10="","",MIN(H10,I10))</f>
      </c>
      <c r="K10" s="136" t="s">
        <v>90</v>
      </c>
      <c r="L10" s="137">
        <v>2814</v>
      </c>
      <c r="M10" s="378"/>
      <c r="N10" s="379"/>
      <c r="O10" s="361">
        <f>SUMIF('6-2_算定表①(旧々・旧制度)'!$AL:$AL,$T10,'6-2_算定表①(旧々・旧制度)'!$AM:$AM)</f>
        <v>0</v>
      </c>
      <c r="P10" s="386">
        <f>SUMIF('6-2_算定表①(旧々・旧制度)'!$AL:$AL,$T10,'6-2_算定表①(旧々・旧制度)'!$AG:$AG)</f>
        <v>0</v>
      </c>
      <c r="Q10" s="359">
        <f aca="true" t="shared" si="1" ref="Q10:Q27">O10-M10</f>
        <v>0</v>
      </c>
      <c r="R10" s="360">
        <f aca="true" t="shared" si="2" ref="R10:R27">P10-N10</f>
        <v>0</v>
      </c>
      <c r="T10" s="139" t="str">
        <f>ASC($A$9&amp;$K10)</f>
        <v>1B</v>
      </c>
      <c r="V10" s="55" t="s">
        <v>8</v>
      </c>
    </row>
    <row r="11" spans="1:20" s="44" customFormat="1" ht="18" customHeight="1" thickBot="1">
      <c r="A11" s="817"/>
      <c r="B11" s="819"/>
      <c r="C11" s="819"/>
      <c r="D11" s="819"/>
      <c r="E11" s="821"/>
      <c r="F11" s="157"/>
      <c r="G11" s="158"/>
      <c r="H11" s="153">
        <f aca="true" t="shared" si="3" ref="H11:H24">IF(F11="","",IF(ISERROR(F11+ROUNDDOWN(G11*3/74,0)),"",F11+ROUNDDOWN(G11*3/74,0)))</f>
      </c>
      <c r="I11" s="132">
        <f t="shared" si="0"/>
      </c>
      <c r="J11" s="131">
        <f>IF(H11="","",MIN(H11,I11))</f>
      </c>
      <c r="K11" s="136" t="s">
        <v>181</v>
      </c>
      <c r="L11" s="173" t="s">
        <v>155</v>
      </c>
      <c r="M11" s="378"/>
      <c r="N11" s="379"/>
      <c r="O11" s="361">
        <f>SUMIF('6-2_算定表①(旧々・旧制度)'!$AL:$AL,$T11,'6-2_算定表①(旧々・旧制度)'!$AM:$AM)</f>
        <v>0</v>
      </c>
      <c r="P11" s="386">
        <f>SUMIF('6-2_算定表①(旧々・旧制度)'!$AL:$AL,$T11,'6-2_算定表①(旧々・旧制度)'!$AG:$AG)</f>
        <v>0</v>
      </c>
      <c r="Q11" s="363">
        <f t="shared" si="1"/>
        <v>0</v>
      </c>
      <c r="R11" s="364">
        <f t="shared" si="2"/>
        <v>0</v>
      </c>
      <c r="T11" s="139" t="str">
        <f>ASC($A$9&amp;$K11)</f>
        <v>1D</v>
      </c>
    </row>
    <row r="12" spans="1:23" s="44" customFormat="1" ht="18" customHeight="1" thickBot="1" thickTop="1">
      <c r="A12" s="817"/>
      <c r="B12" s="819"/>
      <c r="C12" s="819"/>
      <c r="D12" s="819"/>
      <c r="E12" s="822"/>
      <c r="F12" s="159"/>
      <c r="G12" s="160"/>
      <c r="H12" s="154">
        <f t="shared" si="3"/>
      </c>
      <c r="I12" s="141">
        <f t="shared" si="0"/>
      </c>
      <c r="J12" s="140">
        <f>IF(H12="","",MIN(H12,I12))</f>
      </c>
      <c r="K12" s="823" t="s">
        <v>120</v>
      </c>
      <c r="L12" s="824"/>
      <c r="M12" s="365">
        <f aca="true" t="shared" si="4" ref="M12:R12">SUM(M9:M11)</f>
        <v>0</v>
      </c>
      <c r="N12" s="366">
        <f t="shared" si="4"/>
        <v>0</v>
      </c>
      <c r="O12" s="367">
        <f t="shared" si="4"/>
        <v>0</v>
      </c>
      <c r="P12" s="387">
        <f t="shared" si="4"/>
        <v>0</v>
      </c>
      <c r="Q12" s="368">
        <f t="shared" si="4"/>
        <v>0</v>
      </c>
      <c r="R12" s="369">
        <f t="shared" si="4"/>
        <v>0</v>
      </c>
      <c r="V12" s="143" t="s">
        <v>9</v>
      </c>
      <c r="W12" s="61" t="str">
        <f>IF(D9&gt;=O12,"OK","ERR")</f>
        <v>OK</v>
      </c>
    </row>
    <row r="13" spans="1:23" s="44" customFormat="1" ht="18" customHeight="1" thickBot="1" thickTop="1">
      <c r="A13" s="825">
        <v>2</v>
      </c>
      <c r="B13" s="819"/>
      <c r="C13" s="819"/>
      <c r="D13" s="819"/>
      <c r="E13" s="827"/>
      <c r="F13" s="157"/>
      <c r="G13" s="158"/>
      <c r="H13" s="153">
        <f t="shared" si="3"/>
      </c>
      <c r="I13" s="132">
        <f t="shared" si="0"/>
      </c>
      <c r="J13" s="131">
        <f>IF(H13="","",MIN(H13,I13))</f>
      </c>
      <c r="K13" s="144" t="s">
        <v>84</v>
      </c>
      <c r="L13" s="145">
        <v>408</v>
      </c>
      <c r="M13" s="376"/>
      <c r="N13" s="377"/>
      <c r="O13" s="357">
        <f>SUMIF('6-2_算定表①(旧々・旧制度)'!$AL:$AL,$T13,'6-2_算定表①(旧々・旧制度)'!$AM:$AM)</f>
        <v>0</v>
      </c>
      <c r="P13" s="385">
        <f>SUMIF('6-2_算定表①(旧々・旧制度)'!$AL:$AL,$T13,'6-2_算定表①(旧々・旧制度)'!$AG:$AG)</f>
        <v>0</v>
      </c>
      <c r="Q13" s="370">
        <f t="shared" si="1"/>
        <v>0</v>
      </c>
      <c r="R13" s="371">
        <f t="shared" si="2"/>
        <v>0</v>
      </c>
      <c r="T13" s="135" t="str">
        <f>ASC($A$13&amp;$K13)</f>
        <v>2A</v>
      </c>
      <c r="V13" s="143" t="s">
        <v>10</v>
      </c>
      <c r="W13" s="61" t="str">
        <f>IF(D13&gt;=O16,"OK","ERR")</f>
        <v>OK</v>
      </c>
    </row>
    <row r="14" spans="1:23" s="44" customFormat="1" ht="18" customHeight="1" thickBot="1" thickTop="1">
      <c r="A14" s="817"/>
      <c r="B14" s="819"/>
      <c r="C14" s="819"/>
      <c r="D14" s="819"/>
      <c r="E14" s="821"/>
      <c r="F14" s="157"/>
      <c r="G14" s="158"/>
      <c r="H14" s="153">
        <f t="shared" si="3"/>
      </c>
      <c r="I14" s="132">
        <f t="shared" si="0"/>
      </c>
      <c r="J14" s="131">
        <f aca="true" t="shared" si="5" ref="J14:J20">IF(H14="","",MIN(H14,I14))</f>
      </c>
      <c r="K14" s="146" t="s">
        <v>90</v>
      </c>
      <c r="L14" s="147">
        <v>2814</v>
      </c>
      <c r="M14" s="378"/>
      <c r="N14" s="379"/>
      <c r="O14" s="361">
        <f>SUMIF('6-2_算定表①(旧々・旧制度)'!$AL:$AL,$T14,'6-2_算定表①(旧々・旧制度)'!$AM:$AM)</f>
        <v>0</v>
      </c>
      <c r="P14" s="386">
        <f>SUMIF('6-2_算定表①(旧々・旧制度)'!$AL:$AL,$T14,'6-2_算定表①(旧々・旧制度)'!$AG:$AG)</f>
        <v>0</v>
      </c>
      <c r="Q14" s="359">
        <f t="shared" si="1"/>
        <v>0</v>
      </c>
      <c r="R14" s="360">
        <f t="shared" si="2"/>
        <v>0</v>
      </c>
      <c r="T14" s="139" t="str">
        <f>ASC($A$13&amp;$K14)</f>
        <v>2B</v>
      </c>
      <c r="V14" s="143" t="s">
        <v>11</v>
      </c>
      <c r="W14" s="61" t="str">
        <f>IF(D17&gt;=O20,"OK","ERR")</f>
        <v>OK</v>
      </c>
    </row>
    <row r="15" spans="1:23" s="44" customFormat="1" ht="18" customHeight="1" thickBot="1" thickTop="1">
      <c r="A15" s="817"/>
      <c r="B15" s="819"/>
      <c r="C15" s="819"/>
      <c r="D15" s="819"/>
      <c r="E15" s="821"/>
      <c r="F15" s="157"/>
      <c r="G15" s="158"/>
      <c r="H15" s="153">
        <f t="shared" si="3"/>
      </c>
      <c r="I15" s="132">
        <f t="shared" si="0"/>
      </c>
      <c r="J15" s="131">
        <f t="shared" si="5"/>
      </c>
      <c r="K15" s="146" t="s">
        <v>182</v>
      </c>
      <c r="L15" s="174" t="s">
        <v>155</v>
      </c>
      <c r="M15" s="378"/>
      <c r="N15" s="379"/>
      <c r="O15" s="361">
        <f>SUMIF('6-2_算定表①(旧々・旧制度)'!$AL:$AL,$T15,'6-2_算定表①(旧々・旧制度)'!$AM:$AM)</f>
        <v>0</v>
      </c>
      <c r="P15" s="386">
        <f>SUMIF('6-2_算定表①(旧々・旧制度)'!$AL:$AL,$T15,'6-2_算定表①(旧々・旧制度)'!$AG:$AG)</f>
        <v>0</v>
      </c>
      <c r="Q15" s="363">
        <f t="shared" si="1"/>
        <v>0</v>
      </c>
      <c r="R15" s="364">
        <f t="shared" si="2"/>
        <v>0</v>
      </c>
      <c r="T15" s="139" t="str">
        <f>ASC($A$13&amp;$K15)</f>
        <v>2D</v>
      </c>
      <c r="V15" s="143" t="s">
        <v>175</v>
      </c>
      <c r="W15" s="61" t="str">
        <f>IF(D21&gt;=O24,"OK","ERR")</f>
        <v>OK</v>
      </c>
    </row>
    <row r="16" spans="1:22" s="44" customFormat="1" ht="18" customHeight="1" thickBot="1">
      <c r="A16" s="826"/>
      <c r="B16" s="819"/>
      <c r="C16" s="819"/>
      <c r="D16" s="819"/>
      <c r="E16" s="822"/>
      <c r="F16" s="159"/>
      <c r="G16" s="160"/>
      <c r="H16" s="154">
        <f t="shared" si="3"/>
      </c>
      <c r="I16" s="141">
        <f t="shared" si="0"/>
      </c>
      <c r="J16" s="140">
        <f t="shared" si="5"/>
      </c>
      <c r="K16" s="823" t="s">
        <v>121</v>
      </c>
      <c r="L16" s="824"/>
      <c r="M16" s="365">
        <f aca="true" t="shared" si="6" ref="M16:R16">SUM(M13:M15)</f>
        <v>0</v>
      </c>
      <c r="N16" s="366">
        <f t="shared" si="6"/>
        <v>0</v>
      </c>
      <c r="O16" s="367">
        <f t="shared" si="6"/>
        <v>0</v>
      </c>
      <c r="P16" s="387">
        <f t="shared" si="6"/>
        <v>0</v>
      </c>
      <c r="Q16" s="368">
        <f t="shared" si="6"/>
        <v>0</v>
      </c>
      <c r="R16" s="369">
        <f t="shared" si="6"/>
        <v>0</v>
      </c>
      <c r="V16" s="55" t="s">
        <v>13</v>
      </c>
    </row>
    <row r="17" spans="1:23" s="44" customFormat="1" ht="18" customHeight="1" thickBot="1" thickTop="1">
      <c r="A17" s="817">
        <v>3</v>
      </c>
      <c r="B17" s="819"/>
      <c r="C17" s="819"/>
      <c r="D17" s="819"/>
      <c r="E17" s="827"/>
      <c r="F17" s="157"/>
      <c r="G17" s="158"/>
      <c r="H17" s="153">
        <f t="shared" si="3"/>
      </c>
      <c r="I17" s="132">
        <f t="shared" si="0"/>
      </c>
      <c r="J17" s="131">
        <f t="shared" si="5"/>
      </c>
      <c r="K17" s="148" t="s">
        <v>84</v>
      </c>
      <c r="L17" s="149">
        <v>408</v>
      </c>
      <c r="M17" s="380"/>
      <c r="N17" s="381"/>
      <c r="O17" s="372">
        <f>SUMIF('6-2_算定表①(旧々・旧制度)'!$AL:$AL,$T17,'6-2_算定表①(旧々・旧制度)'!$AM:$AM)</f>
        <v>0</v>
      </c>
      <c r="P17" s="388">
        <f>SUMIF('6-2_算定表①(旧々・旧制度)'!$AL:$AL,$T17,'6-2_算定表①(旧々・旧制度)'!$AG:$AG)</f>
        <v>0</v>
      </c>
      <c r="Q17" s="370">
        <f t="shared" si="1"/>
        <v>0</v>
      </c>
      <c r="R17" s="371">
        <f t="shared" si="2"/>
        <v>0</v>
      </c>
      <c r="T17" s="135" t="str">
        <f>ASC($A$17&amp;$K17)</f>
        <v>3A</v>
      </c>
      <c r="V17" s="55" t="s">
        <v>49</v>
      </c>
      <c r="W17" s="61" t="str">
        <f>IF(O28=SUM('6-2_算定表①(旧々・旧制度)'!AM:AM),"OK","ERR")</f>
        <v>OK</v>
      </c>
    </row>
    <row r="18" spans="1:23" s="44" customFormat="1" ht="18" customHeight="1" thickBot="1" thickTop="1">
      <c r="A18" s="817"/>
      <c r="B18" s="819"/>
      <c r="C18" s="819"/>
      <c r="D18" s="819"/>
      <c r="E18" s="821"/>
      <c r="F18" s="157"/>
      <c r="G18" s="158"/>
      <c r="H18" s="153">
        <f t="shared" si="3"/>
      </c>
      <c r="I18" s="132">
        <f t="shared" si="0"/>
      </c>
      <c r="J18" s="131">
        <f t="shared" si="5"/>
      </c>
      <c r="K18" s="146" t="s">
        <v>90</v>
      </c>
      <c r="L18" s="147">
        <v>2814</v>
      </c>
      <c r="M18" s="378"/>
      <c r="N18" s="379"/>
      <c r="O18" s="361">
        <f>SUMIF('6-2_算定表①(旧々・旧制度)'!$AL:$AL,$T18,'6-2_算定表①(旧々・旧制度)'!$AM:$AM)</f>
        <v>0</v>
      </c>
      <c r="P18" s="386">
        <f>SUMIF('6-2_算定表①(旧々・旧制度)'!$AL:$AL,$T18,'6-2_算定表①(旧々・旧制度)'!$AG:$AG)</f>
        <v>0</v>
      </c>
      <c r="Q18" s="359">
        <f t="shared" si="1"/>
        <v>0</v>
      </c>
      <c r="R18" s="360">
        <f t="shared" si="2"/>
        <v>0</v>
      </c>
      <c r="T18" s="139" t="str">
        <f>ASC($A$17&amp;$K18)</f>
        <v>3B</v>
      </c>
      <c r="V18" s="55" t="s">
        <v>12</v>
      </c>
      <c r="W18" s="61" t="str">
        <f>IF(P28='6-2_算定表①(旧々・旧制度)'!AG45,"OK","ERR")</f>
        <v>OK</v>
      </c>
    </row>
    <row r="19" spans="1:20" s="44" customFormat="1" ht="18" customHeight="1" thickBot="1">
      <c r="A19" s="817"/>
      <c r="B19" s="819"/>
      <c r="C19" s="819"/>
      <c r="D19" s="819"/>
      <c r="E19" s="821"/>
      <c r="F19" s="157"/>
      <c r="G19" s="158"/>
      <c r="H19" s="153">
        <f t="shared" si="3"/>
      </c>
      <c r="I19" s="132">
        <f t="shared" si="0"/>
      </c>
      <c r="J19" s="131">
        <f t="shared" si="5"/>
      </c>
      <c r="K19" s="146" t="s">
        <v>182</v>
      </c>
      <c r="L19" s="174" t="s">
        <v>155</v>
      </c>
      <c r="M19" s="378"/>
      <c r="N19" s="379"/>
      <c r="O19" s="361">
        <f>SUMIF('6-2_算定表①(旧々・旧制度)'!$AL:$AL,$T19,'6-2_算定表①(旧々・旧制度)'!$AM:$AM)</f>
        <v>0</v>
      </c>
      <c r="P19" s="386">
        <f>SUMIF('6-2_算定表①(旧々・旧制度)'!$AL:$AL,$T19,'6-2_算定表①(旧々・旧制度)'!$AG:$AG)</f>
        <v>0</v>
      </c>
      <c r="Q19" s="363">
        <f t="shared" si="1"/>
        <v>0</v>
      </c>
      <c r="R19" s="364">
        <f t="shared" si="2"/>
        <v>0</v>
      </c>
      <c r="T19" s="139" t="str">
        <f>ASC($A$17&amp;$K19)</f>
        <v>3D</v>
      </c>
    </row>
    <row r="20" spans="1:18" s="44" customFormat="1" ht="18" customHeight="1" thickBot="1">
      <c r="A20" s="817"/>
      <c r="B20" s="819"/>
      <c r="C20" s="819"/>
      <c r="D20" s="819"/>
      <c r="E20" s="822"/>
      <c r="F20" s="159"/>
      <c r="G20" s="160"/>
      <c r="H20" s="154">
        <f t="shared" si="3"/>
      </c>
      <c r="I20" s="141">
        <f t="shared" si="0"/>
      </c>
      <c r="J20" s="140">
        <f t="shared" si="5"/>
      </c>
      <c r="K20" s="823" t="s">
        <v>122</v>
      </c>
      <c r="L20" s="824"/>
      <c r="M20" s="365">
        <f aca="true" t="shared" si="7" ref="M20:R20">SUM(M17:M19)</f>
        <v>0</v>
      </c>
      <c r="N20" s="366">
        <f t="shared" si="7"/>
        <v>0</v>
      </c>
      <c r="O20" s="367">
        <f t="shared" si="7"/>
        <v>0</v>
      </c>
      <c r="P20" s="387">
        <f t="shared" si="7"/>
        <v>0</v>
      </c>
      <c r="Q20" s="368">
        <f t="shared" si="7"/>
        <v>0</v>
      </c>
      <c r="R20" s="369">
        <f t="shared" si="7"/>
        <v>0</v>
      </c>
    </row>
    <row r="21" spans="1:23" s="44" customFormat="1" ht="18" customHeight="1" thickBot="1">
      <c r="A21" s="829">
        <v>4</v>
      </c>
      <c r="B21" s="819"/>
      <c r="C21" s="819"/>
      <c r="D21" s="819"/>
      <c r="E21" s="827"/>
      <c r="F21" s="157"/>
      <c r="G21" s="158"/>
      <c r="H21" s="153">
        <f t="shared" si="3"/>
      </c>
      <c r="I21" s="132">
        <f t="shared" si="0"/>
      </c>
      <c r="J21" s="131">
        <f>IF(H21="","",MIN(H21,I21))</f>
      </c>
      <c r="K21" s="148" t="s">
        <v>84</v>
      </c>
      <c r="L21" s="149">
        <v>408</v>
      </c>
      <c r="M21" s="380"/>
      <c r="N21" s="381"/>
      <c r="O21" s="372">
        <f>SUMIF('6-2_算定表①(旧々・旧制度)'!$AL:$AL,$T21,'6-2_算定表①(旧々・旧制度)'!$AM:$AM)</f>
        <v>0</v>
      </c>
      <c r="P21" s="388">
        <f>SUMIF('6-2_算定表①(旧々・旧制度)'!$AL:$AL,$T21,'6-2_算定表①(旧々・旧制度)'!$AG:$AG)</f>
        <v>0</v>
      </c>
      <c r="Q21" s="370">
        <f t="shared" si="1"/>
        <v>0</v>
      </c>
      <c r="R21" s="371">
        <f t="shared" si="2"/>
        <v>0</v>
      </c>
      <c r="T21" s="135" t="str">
        <f>ASC($A$21&amp;$K21)</f>
        <v>4A</v>
      </c>
      <c r="V21" s="55"/>
      <c r="W21" s="242"/>
    </row>
    <row r="22" spans="1:23" s="44" customFormat="1" ht="18" customHeight="1" thickBot="1">
      <c r="A22" s="830"/>
      <c r="B22" s="819"/>
      <c r="C22" s="819"/>
      <c r="D22" s="819"/>
      <c r="E22" s="821"/>
      <c r="F22" s="157"/>
      <c r="G22" s="158"/>
      <c r="H22" s="153">
        <f t="shared" si="3"/>
      </c>
      <c r="I22" s="132">
        <f t="shared" si="0"/>
      </c>
      <c r="J22" s="131">
        <f>IF(H22="","",MIN(H22,I22))</f>
      </c>
      <c r="K22" s="146" t="s">
        <v>90</v>
      </c>
      <c r="L22" s="147">
        <v>2814</v>
      </c>
      <c r="M22" s="378"/>
      <c r="N22" s="379"/>
      <c r="O22" s="361">
        <f>SUMIF('6-2_算定表①(旧々・旧制度)'!$AL:$AL,$T22,'6-2_算定表①(旧々・旧制度)'!$AM:$AM)</f>
        <v>0</v>
      </c>
      <c r="P22" s="386">
        <f>SUMIF('6-2_算定表①(旧々・旧制度)'!$AL:$AL,$T22,'6-2_算定表①(旧々・旧制度)'!$AG:$AG)</f>
        <v>0</v>
      </c>
      <c r="Q22" s="359">
        <f t="shared" si="1"/>
        <v>0</v>
      </c>
      <c r="R22" s="360">
        <f t="shared" si="2"/>
        <v>0</v>
      </c>
      <c r="T22" s="139" t="str">
        <f>ASC($A$21&amp;$K22)</f>
        <v>4B</v>
      </c>
      <c r="V22" s="55"/>
      <c r="W22" s="242"/>
    </row>
    <row r="23" spans="1:20" s="44" customFormat="1" ht="18" customHeight="1" thickBot="1">
      <c r="A23" s="830"/>
      <c r="B23" s="819"/>
      <c r="C23" s="819"/>
      <c r="D23" s="819"/>
      <c r="E23" s="821"/>
      <c r="F23" s="157"/>
      <c r="G23" s="158"/>
      <c r="H23" s="153">
        <f t="shared" si="3"/>
      </c>
      <c r="I23" s="132">
        <f t="shared" si="0"/>
      </c>
      <c r="J23" s="131">
        <f>IF(H23="","",MIN(H23,I23))</f>
      </c>
      <c r="K23" s="146" t="s">
        <v>182</v>
      </c>
      <c r="L23" s="174" t="s">
        <v>155</v>
      </c>
      <c r="M23" s="378"/>
      <c r="N23" s="379"/>
      <c r="O23" s="361">
        <f>SUMIF('6-2_算定表①(旧々・旧制度)'!$AL:$AL,$T23,'6-2_算定表①(旧々・旧制度)'!$AM:$AM)</f>
        <v>0</v>
      </c>
      <c r="P23" s="386">
        <f>SUMIF('6-2_算定表①(旧々・旧制度)'!$AL:$AL,$T23,'6-2_算定表①(旧々・旧制度)'!$AG:$AG)</f>
        <v>0</v>
      </c>
      <c r="Q23" s="363">
        <f t="shared" si="1"/>
        <v>0</v>
      </c>
      <c r="R23" s="364">
        <f t="shared" si="2"/>
        <v>0</v>
      </c>
      <c r="T23" s="139" t="str">
        <f>ASC($A$21&amp;$K23)</f>
        <v>4D</v>
      </c>
    </row>
    <row r="24" spans="1:18" s="44" customFormat="1" ht="18" customHeight="1" thickBot="1">
      <c r="A24" s="831"/>
      <c r="B24" s="819"/>
      <c r="C24" s="819"/>
      <c r="D24" s="819"/>
      <c r="E24" s="822"/>
      <c r="F24" s="159"/>
      <c r="G24" s="160"/>
      <c r="H24" s="154">
        <f t="shared" si="3"/>
      </c>
      <c r="I24" s="141">
        <f t="shared" si="0"/>
      </c>
      <c r="J24" s="140">
        <f>IF(H24="","",MIN(H24,I24))</f>
      </c>
      <c r="K24" s="823" t="s">
        <v>123</v>
      </c>
      <c r="L24" s="824"/>
      <c r="M24" s="365">
        <f aca="true" t="shared" si="8" ref="M24:R24">SUM(M21:M23)</f>
        <v>0</v>
      </c>
      <c r="N24" s="366">
        <f t="shared" si="8"/>
        <v>0</v>
      </c>
      <c r="O24" s="367">
        <f t="shared" si="8"/>
        <v>0</v>
      </c>
      <c r="P24" s="387">
        <f t="shared" si="8"/>
        <v>0</v>
      </c>
      <c r="Q24" s="368">
        <f t="shared" si="8"/>
        <v>0</v>
      </c>
      <c r="R24" s="369">
        <f t="shared" si="8"/>
        <v>0</v>
      </c>
    </row>
    <row r="25" spans="1:18" s="44" customFormat="1" ht="18" customHeight="1" thickBot="1">
      <c r="A25" s="835" t="s">
        <v>27</v>
      </c>
      <c r="B25" s="838">
        <f>SUM(B9,B13,B17)</f>
        <v>0</v>
      </c>
      <c r="C25" s="838">
        <f>SUM(C9,C13,C17)</f>
        <v>0</v>
      </c>
      <c r="D25" s="838">
        <f>SUM(D9,D13,D17)</f>
        <v>0</v>
      </c>
      <c r="E25" s="839">
        <f>SUM(E9:E24)</f>
        <v>0</v>
      </c>
      <c r="F25" s="828"/>
      <c r="G25" s="832"/>
      <c r="H25" s="833"/>
      <c r="I25" s="834"/>
      <c r="J25" s="834"/>
      <c r="K25" s="144" t="s">
        <v>84</v>
      </c>
      <c r="L25" s="145">
        <v>408</v>
      </c>
      <c r="M25" s="373">
        <f aca="true" t="shared" si="9" ref="M25:N27">SUM(M9,M13,M17,M21)</f>
        <v>0</v>
      </c>
      <c r="N25" s="358">
        <f t="shared" si="9"/>
        <v>0</v>
      </c>
      <c r="O25" s="357">
        <f aca="true" t="shared" si="10" ref="O25:P27">SUM(O9,O13,O17,O21)</f>
        <v>0</v>
      </c>
      <c r="P25" s="385">
        <f t="shared" si="10"/>
        <v>0</v>
      </c>
      <c r="Q25" s="370">
        <f t="shared" si="1"/>
        <v>0</v>
      </c>
      <c r="R25" s="371">
        <f t="shared" si="2"/>
        <v>0</v>
      </c>
    </row>
    <row r="26" spans="1:22" s="44" customFormat="1" ht="18" customHeight="1" thickBot="1">
      <c r="A26" s="836"/>
      <c r="B26" s="838"/>
      <c r="C26" s="838"/>
      <c r="D26" s="838"/>
      <c r="E26" s="840"/>
      <c r="F26" s="828"/>
      <c r="G26" s="832"/>
      <c r="H26" s="833"/>
      <c r="I26" s="834"/>
      <c r="J26" s="834"/>
      <c r="K26" s="146" t="s">
        <v>90</v>
      </c>
      <c r="L26" s="147">
        <v>2814</v>
      </c>
      <c r="M26" s="374">
        <f t="shared" si="9"/>
        <v>0</v>
      </c>
      <c r="N26" s="362">
        <f t="shared" si="9"/>
        <v>0</v>
      </c>
      <c r="O26" s="361">
        <f t="shared" si="10"/>
        <v>0</v>
      </c>
      <c r="P26" s="386">
        <f t="shared" si="10"/>
        <v>0</v>
      </c>
      <c r="Q26" s="359">
        <f t="shared" si="1"/>
        <v>0</v>
      </c>
      <c r="R26" s="360">
        <f t="shared" si="2"/>
        <v>0</v>
      </c>
      <c r="V26" s="55"/>
    </row>
    <row r="27" spans="1:18" s="44" customFormat="1" ht="18" customHeight="1" thickBot="1">
      <c r="A27" s="836"/>
      <c r="B27" s="838"/>
      <c r="C27" s="838"/>
      <c r="D27" s="838"/>
      <c r="E27" s="840"/>
      <c r="F27" s="828"/>
      <c r="G27" s="832"/>
      <c r="H27" s="833"/>
      <c r="I27" s="834"/>
      <c r="J27" s="834"/>
      <c r="K27" s="146" t="s">
        <v>189</v>
      </c>
      <c r="L27" s="174" t="s">
        <v>155</v>
      </c>
      <c r="M27" s="374">
        <f t="shared" si="9"/>
        <v>0</v>
      </c>
      <c r="N27" s="362">
        <f t="shared" si="9"/>
        <v>0</v>
      </c>
      <c r="O27" s="361">
        <f t="shared" si="10"/>
        <v>0</v>
      </c>
      <c r="P27" s="386">
        <f t="shared" si="10"/>
        <v>0</v>
      </c>
      <c r="Q27" s="363">
        <f t="shared" si="1"/>
        <v>0</v>
      </c>
      <c r="R27" s="364">
        <f t="shared" si="2"/>
        <v>0</v>
      </c>
    </row>
    <row r="28" spans="1:19" s="44" customFormat="1" ht="18" customHeight="1" thickBot="1">
      <c r="A28" s="837"/>
      <c r="B28" s="838"/>
      <c r="C28" s="838"/>
      <c r="D28" s="838"/>
      <c r="E28" s="841"/>
      <c r="F28" s="828"/>
      <c r="G28" s="832"/>
      <c r="H28" s="833"/>
      <c r="I28" s="834"/>
      <c r="J28" s="834"/>
      <c r="K28" s="823" t="s">
        <v>156</v>
      </c>
      <c r="L28" s="824"/>
      <c r="M28" s="365">
        <f aca="true" t="shared" si="11" ref="M28:R28">SUM(M25:M27)</f>
        <v>0</v>
      </c>
      <c r="N28" s="365">
        <f t="shared" si="11"/>
        <v>0</v>
      </c>
      <c r="O28" s="365">
        <f t="shared" si="11"/>
        <v>0</v>
      </c>
      <c r="P28" s="480">
        <f t="shared" si="11"/>
        <v>0</v>
      </c>
      <c r="Q28" s="365">
        <f t="shared" si="11"/>
        <v>0</v>
      </c>
      <c r="R28" s="365">
        <f t="shared" si="11"/>
        <v>0</v>
      </c>
      <c r="S28" s="150"/>
    </row>
    <row r="29" spans="1:18" s="292" customFormat="1" ht="11.25" customHeight="1">
      <c r="A29" s="287" t="s">
        <v>29</v>
      </c>
      <c r="B29" s="288"/>
      <c r="C29" s="288"/>
      <c r="D29" s="288"/>
      <c r="E29" s="288"/>
      <c r="F29" s="289"/>
      <c r="G29" s="289"/>
      <c r="H29" s="289"/>
      <c r="I29" s="289"/>
      <c r="J29" s="289"/>
      <c r="K29" s="290"/>
      <c r="L29" s="290"/>
      <c r="M29" s="288"/>
      <c r="N29" s="291"/>
      <c r="O29" s="288"/>
      <c r="P29" s="291"/>
      <c r="Q29" s="291"/>
      <c r="R29" s="291"/>
    </row>
    <row r="30" s="292" customFormat="1" ht="11.25" customHeight="1">
      <c r="A30" s="293" t="s">
        <v>150</v>
      </c>
    </row>
    <row r="31" s="294" customFormat="1" ht="11.25" customHeight="1">
      <c r="A31" s="293" t="s">
        <v>227</v>
      </c>
    </row>
    <row r="32" s="292" customFormat="1" ht="11.25" customHeight="1">
      <c r="A32" s="293" t="s">
        <v>228</v>
      </c>
    </row>
    <row r="33" s="294" customFormat="1" ht="11.25" customHeight="1">
      <c r="A33" s="293" t="s">
        <v>5</v>
      </c>
    </row>
    <row r="34" s="294" customFormat="1" ht="11.25" customHeight="1">
      <c r="A34" s="287" t="s">
        <v>151</v>
      </c>
    </row>
    <row r="35" spans="1:9" s="294" customFormat="1" ht="11.25" customHeight="1">
      <c r="A35" s="287" t="s">
        <v>152</v>
      </c>
      <c r="E35" s="298"/>
      <c r="F35" s="298"/>
      <c r="G35" s="298"/>
      <c r="H35" s="298"/>
      <c r="I35" s="298"/>
    </row>
    <row r="36" s="294" customFormat="1" ht="11.25" customHeight="1">
      <c r="A36" s="293" t="s">
        <v>6</v>
      </c>
    </row>
    <row r="37" s="294" customFormat="1" ht="11.25" customHeight="1">
      <c r="A37" s="287" t="s">
        <v>210</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50">
    <mergeCell ref="L2:M2"/>
    <mergeCell ref="L3:M3"/>
    <mergeCell ref="P2:Q2"/>
    <mergeCell ref="P3:Q3"/>
    <mergeCell ref="N2:O2"/>
    <mergeCell ref="N3:O3"/>
    <mergeCell ref="G25:G28"/>
    <mergeCell ref="H25:H28"/>
    <mergeCell ref="I25:I28"/>
    <mergeCell ref="J25:J28"/>
    <mergeCell ref="K28:L28"/>
    <mergeCell ref="A25:A28"/>
    <mergeCell ref="B25:B28"/>
    <mergeCell ref="C25:C28"/>
    <mergeCell ref="D25:D28"/>
    <mergeCell ref="E25:E28"/>
    <mergeCell ref="F25:F28"/>
    <mergeCell ref="A21:A24"/>
    <mergeCell ref="B21:B24"/>
    <mergeCell ref="C21:C24"/>
    <mergeCell ref="D21:D24"/>
    <mergeCell ref="E21:E24"/>
    <mergeCell ref="K24:L24"/>
    <mergeCell ref="A17:A20"/>
    <mergeCell ref="B17:B20"/>
    <mergeCell ref="C17:C20"/>
    <mergeCell ref="D17:D20"/>
    <mergeCell ref="E17:E20"/>
    <mergeCell ref="K20:L20"/>
    <mergeCell ref="K12:L12"/>
    <mergeCell ref="A13:A16"/>
    <mergeCell ref="B13:B16"/>
    <mergeCell ref="C13:C16"/>
    <mergeCell ref="D13:D16"/>
    <mergeCell ref="E13:E16"/>
    <mergeCell ref="K16:L16"/>
    <mergeCell ref="A6:A7"/>
    <mergeCell ref="A9:A12"/>
    <mergeCell ref="B9:B12"/>
    <mergeCell ref="C9:C12"/>
    <mergeCell ref="D9:D12"/>
    <mergeCell ref="E9:E12"/>
    <mergeCell ref="K5:N5"/>
    <mergeCell ref="O5:P5"/>
    <mergeCell ref="Q5:R5"/>
    <mergeCell ref="B5:B6"/>
    <mergeCell ref="E5:E6"/>
    <mergeCell ref="H5:H6"/>
    <mergeCell ref="I5:I6"/>
    <mergeCell ref="J5:J6"/>
  </mergeCells>
  <dataValidations count="1">
    <dataValidation type="whole" allowBlank="1" showInputMessage="1" showErrorMessage="1" sqref="B9:D24 E21 E17 E13 E9">
      <formula1>0</formula1>
      <formula2>999999</formula2>
    </dataValidation>
  </dataValidations>
  <printOptions/>
  <pageMargins left="0.7480314960629921" right="0.7480314960629921" top="0.984251968503937" bottom="0.984251968503937" header="0.5118110236220472" footer="0.5118110236220472"/>
  <pageSetup cellComments="asDisplayed" fitToHeight="0" fitToWidth="0" horizontalDpi="600" verticalDpi="600" orientation="landscape" paperSize="9" scale="63"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P59"/>
  <sheetViews>
    <sheetView view="pageBreakPreview" zoomScale="75" zoomScaleNormal="75" zoomScaleSheetLayoutView="75" zoomScalePageLayoutView="0" workbookViewId="0" topLeftCell="A1">
      <selection activeCell="G11" sqref="A11:G13"/>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6" width="10.375" style="40" customWidth="1"/>
    <col min="7" max="7" width="12.25390625" style="40" customWidth="1"/>
    <col min="8" max="8" width="12.375" style="40" customWidth="1"/>
    <col min="9" max="9" width="12.25390625" style="40" bestFit="1" customWidth="1"/>
    <col min="10" max="10" width="5.50390625" style="40" bestFit="1" customWidth="1"/>
    <col min="11" max="12" width="10.625" style="40" customWidth="1"/>
    <col min="13" max="13" width="14.125" style="40" bestFit="1" customWidth="1"/>
    <col min="14" max="14" width="13.125" style="40" bestFit="1" customWidth="1"/>
    <col min="15" max="15" width="6.875" style="246" customWidth="1"/>
    <col min="16" max="16" width="12.125" style="40" hidden="1" customWidth="1"/>
    <col min="17" max="17" width="9.875" style="40" customWidth="1"/>
    <col min="18" max="18" width="6.875" style="246" customWidth="1"/>
    <col min="19" max="19" width="10.00390625" style="40" hidden="1" customWidth="1"/>
    <col min="20" max="20" width="9.875" style="40" customWidth="1"/>
    <col min="21" max="21" width="10.75390625" style="40" customWidth="1"/>
    <col min="22" max="22" width="10.625" style="40" customWidth="1"/>
    <col min="23" max="23" width="10.875" style="40" customWidth="1"/>
    <col min="24" max="24" width="12.50390625" style="40" customWidth="1"/>
    <col min="25" max="25" width="13.25390625" style="40" customWidth="1"/>
    <col min="26" max="26" width="11.25390625" style="40" customWidth="1"/>
    <col min="27" max="30" width="11.625" style="40" customWidth="1"/>
    <col min="31" max="32" width="11.25390625" style="40" customWidth="1"/>
    <col min="33" max="33" width="13.00390625" style="40" customWidth="1"/>
    <col min="34" max="34" width="1.37890625" style="40" customWidth="1"/>
    <col min="35" max="35" width="9.125" style="40" customWidth="1"/>
    <col min="36" max="36" width="16.375" style="40" customWidth="1"/>
    <col min="37" max="37" width="3.125" style="40" customWidth="1"/>
    <col min="38" max="38" width="5.625" style="41" customWidth="1"/>
    <col min="39" max="39" width="3.125" style="41" customWidth="1"/>
    <col min="40" max="40" width="3.125" style="40" customWidth="1"/>
    <col min="41" max="41" width="8.25390625" style="40" customWidth="1"/>
    <col min="42" max="16384" width="9.625" style="40" customWidth="1"/>
  </cols>
  <sheetData>
    <row r="1" spans="1:36" ht="24.75" customHeight="1">
      <c r="A1" s="189" t="s">
        <v>248</v>
      </c>
      <c r="B1" s="39"/>
      <c r="AA1" s="164" t="s">
        <v>25</v>
      </c>
      <c r="AB1" s="616"/>
      <c r="AC1" s="616"/>
      <c r="AD1" s="616"/>
      <c r="AE1" s="897">
        <f>'5_総括表'!E3</f>
        <v>0</v>
      </c>
      <c r="AF1" s="898"/>
      <c r="AG1" s="898"/>
      <c r="AH1" s="899"/>
      <c r="AI1" s="164" t="s">
        <v>26</v>
      </c>
      <c r="AJ1" s="166">
        <f>'5_総括表'!Z3</f>
        <v>0</v>
      </c>
    </row>
    <row r="2" spans="1:36" ht="24.75" customHeight="1" thickBot="1">
      <c r="A2" s="42"/>
      <c r="AA2" s="165" t="s">
        <v>23</v>
      </c>
      <c r="AB2" s="617"/>
      <c r="AC2" s="617"/>
      <c r="AD2" s="617"/>
      <c r="AE2" s="900">
        <f>'5_総括表'!E4</f>
        <v>0</v>
      </c>
      <c r="AF2" s="901"/>
      <c r="AG2" s="901"/>
      <c r="AH2" s="902"/>
      <c r="AI2" s="165" t="s">
        <v>24</v>
      </c>
      <c r="AJ2" s="167">
        <f>'5_総括表'!Z4</f>
        <v>0</v>
      </c>
    </row>
    <row r="3" spans="1:36" ht="31.5" customHeight="1" thickBot="1">
      <c r="A3" s="283" t="s">
        <v>226</v>
      </c>
      <c r="B3" s="282"/>
      <c r="AI3" s="43"/>
      <c r="AJ3" s="43" t="s">
        <v>28</v>
      </c>
    </row>
    <row r="4" spans="1:39" s="44" customFormat="1" ht="22.5" customHeight="1" thickBot="1">
      <c r="A4" s="814" t="s">
        <v>32</v>
      </c>
      <c r="B4" s="809" t="s">
        <v>171</v>
      </c>
      <c r="C4" s="906" t="s">
        <v>119</v>
      </c>
      <c r="D4" s="914" t="s">
        <v>117</v>
      </c>
      <c r="E4" s="909" t="s">
        <v>100</v>
      </c>
      <c r="F4" s="910"/>
      <c r="G4" s="911"/>
      <c r="H4" s="912" t="s">
        <v>109</v>
      </c>
      <c r="I4" s="913"/>
      <c r="J4" s="913"/>
      <c r="K4" s="913"/>
      <c r="L4" s="913"/>
      <c r="M4" s="913"/>
      <c r="N4" s="911"/>
      <c r="O4" s="823" t="s">
        <v>113</v>
      </c>
      <c r="P4" s="824"/>
      <c r="Q4" s="824"/>
      <c r="R4" s="891"/>
      <c r="S4" s="891"/>
      <c r="T4" s="891"/>
      <c r="U4" s="891"/>
      <c r="V4" s="891"/>
      <c r="W4" s="892"/>
      <c r="X4" s="809" t="s">
        <v>4</v>
      </c>
      <c r="Y4" s="809" t="s">
        <v>115</v>
      </c>
      <c r="Z4" s="809" t="s">
        <v>116</v>
      </c>
      <c r="AA4" s="809" t="s">
        <v>69</v>
      </c>
      <c r="AB4" s="498"/>
      <c r="AC4" s="498"/>
      <c r="AD4" s="498"/>
      <c r="AE4" s="809" t="s">
        <v>31</v>
      </c>
      <c r="AF4" s="809" t="s">
        <v>99</v>
      </c>
      <c r="AG4" s="893" t="s">
        <v>188</v>
      </c>
      <c r="AH4" s="858" t="s">
        <v>7</v>
      </c>
      <c r="AI4" s="859"/>
      <c r="AJ4" s="860"/>
      <c r="AL4" s="867" t="s">
        <v>30</v>
      </c>
      <c r="AM4" s="867" t="s">
        <v>78</v>
      </c>
    </row>
    <row r="5" spans="1:39" s="44" customFormat="1" ht="35.25" customHeight="1" thickBot="1">
      <c r="A5" s="903"/>
      <c r="B5" s="873"/>
      <c r="C5" s="907"/>
      <c r="D5" s="915"/>
      <c r="E5" s="916" t="s">
        <v>146</v>
      </c>
      <c r="F5" s="630" t="s">
        <v>258</v>
      </c>
      <c r="G5" s="884" t="s">
        <v>76</v>
      </c>
      <c r="H5" s="889" t="s">
        <v>3</v>
      </c>
      <c r="I5" s="895" t="s">
        <v>77</v>
      </c>
      <c r="J5" s="876" t="s">
        <v>158</v>
      </c>
      <c r="K5" s="573" t="s">
        <v>258</v>
      </c>
      <c r="L5" s="736" t="s">
        <v>258</v>
      </c>
      <c r="M5" s="889" t="s">
        <v>157</v>
      </c>
      <c r="N5" s="884" t="s">
        <v>2</v>
      </c>
      <c r="O5" s="886" t="s">
        <v>232</v>
      </c>
      <c r="P5" s="887"/>
      <c r="Q5" s="887"/>
      <c r="R5" s="886" t="s">
        <v>233</v>
      </c>
      <c r="S5" s="887"/>
      <c r="T5" s="888"/>
      <c r="U5" s="878" t="s">
        <v>110</v>
      </c>
      <c r="V5" s="880" t="s">
        <v>112</v>
      </c>
      <c r="W5" s="874" t="s">
        <v>111</v>
      </c>
      <c r="X5" s="873"/>
      <c r="Y5" s="873"/>
      <c r="Z5" s="873"/>
      <c r="AA5" s="873"/>
      <c r="AB5" s="574" t="s">
        <v>258</v>
      </c>
      <c r="AC5" s="574" t="s">
        <v>258</v>
      </c>
      <c r="AD5" s="574" t="s">
        <v>258</v>
      </c>
      <c r="AE5" s="873"/>
      <c r="AF5" s="873"/>
      <c r="AG5" s="894"/>
      <c r="AH5" s="861"/>
      <c r="AI5" s="862"/>
      <c r="AJ5" s="863"/>
      <c r="AL5" s="868"/>
      <c r="AM5" s="868"/>
    </row>
    <row r="6" spans="1:39" s="44" customFormat="1" ht="50.25" customHeight="1">
      <c r="A6" s="903"/>
      <c r="B6" s="873"/>
      <c r="C6" s="907"/>
      <c r="D6" s="915"/>
      <c r="E6" s="917"/>
      <c r="F6" s="46" t="s">
        <v>257</v>
      </c>
      <c r="G6" s="885"/>
      <c r="H6" s="890"/>
      <c r="I6" s="896"/>
      <c r="J6" s="877"/>
      <c r="K6" s="500" t="s">
        <v>260</v>
      </c>
      <c r="L6" s="499" t="s">
        <v>261</v>
      </c>
      <c r="M6" s="890"/>
      <c r="N6" s="885"/>
      <c r="O6" s="882" t="s">
        <v>18</v>
      </c>
      <c r="P6" s="305"/>
      <c r="Q6" s="309" t="s">
        <v>169</v>
      </c>
      <c r="R6" s="882" t="s">
        <v>18</v>
      </c>
      <c r="S6" s="307"/>
      <c r="T6" s="309" t="s">
        <v>169</v>
      </c>
      <c r="U6" s="879"/>
      <c r="V6" s="881"/>
      <c r="W6" s="875"/>
      <c r="X6" s="873"/>
      <c r="Y6" s="873"/>
      <c r="Z6" s="873"/>
      <c r="AA6" s="873"/>
      <c r="AB6" s="488" t="s">
        <v>262</v>
      </c>
      <c r="AC6" s="488" t="s">
        <v>264</v>
      </c>
      <c r="AD6" s="488" t="s">
        <v>269</v>
      </c>
      <c r="AE6" s="873"/>
      <c r="AF6" s="873"/>
      <c r="AG6" s="894"/>
      <c r="AH6" s="861"/>
      <c r="AI6" s="862"/>
      <c r="AJ6" s="863"/>
      <c r="AL6" s="869"/>
      <c r="AM6" s="869"/>
    </row>
    <row r="7" spans="1:39" s="44" customFormat="1" ht="17.25" customHeight="1" thickBot="1">
      <c r="A7" s="904"/>
      <c r="B7" s="905"/>
      <c r="C7" s="908"/>
      <c r="D7" s="107" t="s">
        <v>104</v>
      </c>
      <c r="E7" s="497" t="s">
        <v>0</v>
      </c>
      <c r="F7" s="733"/>
      <c r="G7" s="487" t="s">
        <v>1</v>
      </c>
      <c r="H7" s="108" t="s">
        <v>88</v>
      </c>
      <c r="I7" s="49" t="s">
        <v>79</v>
      </c>
      <c r="J7" s="104" t="s">
        <v>89</v>
      </c>
      <c r="K7" s="49"/>
      <c r="L7" s="737"/>
      <c r="M7" s="105" t="s">
        <v>102</v>
      </c>
      <c r="N7" s="106" t="s">
        <v>103</v>
      </c>
      <c r="O7" s="883"/>
      <c r="P7" s="306"/>
      <c r="Q7" s="262" t="s">
        <v>212</v>
      </c>
      <c r="R7" s="883"/>
      <c r="S7" s="308"/>
      <c r="T7" s="263" t="s">
        <v>213</v>
      </c>
      <c r="U7" s="647" t="s">
        <v>82</v>
      </c>
      <c r="V7" s="101" t="s">
        <v>83</v>
      </c>
      <c r="W7" s="50" t="s">
        <v>92</v>
      </c>
      <c r="X7" s="47" t="s">
        <v>93</v>
      </c>
      <c r="Y7" s="47" t="s">
        <v>94</v>
      </c>
      <c r="Z7" s="47" t="s">
        <v>95</v>
      </c>
      <c r="AA7" s="490" t="s">
        <v>96</v>
      </c>
      <c r="AB7" s="47"/>
      <c r="AC7" s="490"/>
      <c r="AD7" s="490"/>
      <c r="AE7" s="47" t="s">
        <v>97</v>
      </c>
      <c r="AF7" s="490" t="s">
        <v>98</v>
      </c>
      <c r="AG7" s="493" t="s">
        <v>114</v>
      </c>
      <c r="AH7" s="864"/>
      <c r="AI7" s="865"/>
      <c r="AJ7" s="866"/>
      <c r="AL7" s="870"/>
      <c r="AM7" s="870"/>
    </row>
    <row r="8" spans="1:42" s="130" customFormat="1" ht="18.75" customHeight="1" thickBot="1">
      <c r="A8" s="26">
        <f>IF(B8="","",ROW($A8)-ROW($A$7))</f>
      </c>
      <c r="B8" s="232"/>
      <c r="C8" s="204"/>
      <c r="D8" s="51"/>
      <c r="E8" s="52"/>
      <c r="F8" s="734"/>
      <c r="G8" s="586">
        <f>IF(A8="","",IF(F8&gt;30,30,F8))</f>
      </c>
      <c r="H8" s="649">
        <f>IF(A8="","",(D8*G8))</f>
      </c>
      <c r="I8" s="196"/>
      <c r="J8" s="197"/>
      <c r="K8" s="613"/>
      <c r="L8" s="738"/>
      <c r="M8" s="198">
        <f>IF(A8="","",ROUNDDOWN((I8*J8/12+H8),0))</f>
      </c>
      <c r="N8" s="211">
        <f>IF(A8="","",ROUNDDOWN(10032*G8*(K8/J8),0))</f>
      </c>
      <c r="O8" s="253"/>
      <c r="P8" s="205"/>
      <c r="Q8" s="206">
        <f>IF($H8="","",IF($O8="Ａ",LOOKUP($D8,{8000,8500,9000,10000,12000},{0,1532,1032,408,408}),IF($O8="Ｂ",LOOKUP($D8,{8000,8500,9000,10000,12000},{782,2814,2814,2814,2814}),0)))</f>
      </c>
      <c r="R8" s="253"/>
      <c r="S8" s="250">
        <v>0</v>
      </c>
      <c r="T8" s="645">
        <f>IF($H8="","",IF($R8="Ａ",LOOKUP($D8,{8000,8500,9000,10000,12000},{0,1532,1032,408,408}),IF($R8="Ｂ",LOOKUP($D8,{8000,8500,9000,10000,12000},{782,2814,2814,2814,2814}),0)))</f>
      </c>
      <c r="U8" s="318">
        <f>IF(L8&gt;=7,T8,IF(AND(J8+L8&lt;=7,L8&gt;=4),Q8,(IF(ISERROR(ROUNDUP(Q8*3/12+T8*9/12,0)),"",ROUNDUP(Q8*3/12+T8*9/12,0)))))</f>
      </c>
      <c r="V8" s="665">
        <f>IF(B8="","",SUMIF('6-3_調整額内訳①(旧々・旧制度)'!B:B,$B8,'6-3_調整額内訳①(旧々・旧制度)'!AD:AD))</f>
      </c>
      <c r="W8" s="199">
        <f>IF(B8="","",SUM(U8:V8))</f>
      </c>
      <c r="X8" s="318">
        <f>IF(B8="","",ROUNDDOWN(W8*G8,0))</f>
      </c>
      <c r="Y8" s="200">
        <f>IF(M8&gt;=N8,N8,M8)</f>
      </c>
      <c r="Z8" s="52"/>
      <c r="AA8" s="318">
        <f>IF(A8="","",IF((M8-Y8)&lt;Z8,Y8-(M8-Z8),0))</f>
      </c>
      <c r="AB8" s="627"/>
      <c r="AC8" s="75" t="str">
        <f>_xlfn.IFERROR(D8*(E8-F8)*(K8/J8),"0")</f>
        <v>0</v>
      </c>
      <c r="AD8" s="318">
        <f>_xlfn.IFERROR(IF(AC8-AB8&gt;0,0,AC8-AB8),"0")</f>
        <v>0</v>
      </c>
      <c r="AE8" s="623"/>
      <c r="AF8" s="318">
        <f>IF(B8="","",MAX(0,Y8-Z8-AE8))</f>
      </c>
      <c r="AG8" s="620">
        <f>IF(B8="","",IF(MIN(X8,AF8)+AD8&gt;0,MIN(X8,AF8)+AD8,0))</f>
      </c>
      <c r="AH8" s="871"/>
      <c r="AI8" s="871"/>
      <c r="AJ8" s="872"/>
      <c r="AL8" s="54">
        <f aca="true" t="shared" si="0" ref="AL8:AL44">IF(A8&gt;0,ASC(C8&amp;R8),"")</f>
      </c>
      <c r="AM8" s="54">
        <f aca="true" t="shared" si="1" ref="AM8:AM44">IF(B8="","",IF(AG8&gt;0,1,0))</f>
      </c>
      <c r="AP8" s="201" t="s">
        <v>15</v>
      </c>
    </row>
    <row r="9" spans="1:42" s="53" customFormat="1" ht="18.75" customHeight="1" thickBot="1" thickTop="1">
      <c r="A9" s="37">
        <f aca="true" t="shared" si="2" ref="A9:A44">IF(B9="","",ROW($A9)-ROW($A$7))</f>
      </c>
      <c r="B9" s="237"/>
      <c r="C9" s="207"/>
      <c r="D9" s="57"/>
      <c r="E9" s="58"/>
      <c r="F9" s="202"/>
      <c r="G9" s="191">
        <f aca="true" t="shared" si="3" ref="G9:G44">IF(A9="","",IF(F9&gt;30,30,F9))</f>
      </c>
      <c r="H9" s="650">
        <f aca="true" t="shared" si="4" ref="H9:H44">IF(A9="","",(D9*G9))</f>
      </c>
      <c r="I9" s="208"/>
      <c r="J9" s="209"/>
      <c r="K9" s="614"/>
      <c r="L9" s="739"/>
      <c r="M9" s="210">
        <f aca="true" t="shared" si="5" ref="M9:M44">IF(A9="","",ROUNDDOWN((I9*J9/12+H9),0))</f>
      </c>
      <c r="N9" s="211">
        <f aca="true" t="shared" si="6" ref="N9:N44">IF(A9="","",ROUNDDOWN(10032*G9*(K9/J9),0))</f>
      </c>
      <c r="O9" s="254"/>
      <c r="P9" s="194"/>
      <c r="Q9" s="212">
        <f>IF($H9="","",IF($O9="Ａ",LOOKUP($D9,{8000,8500,9000,10000,12000},{0,1532,1032,408,408}),IF($O9="Ｂ",LOOKUP($D9,{8000,8500,9000,10000,12000},{782,2814,2814,2814,2814}),0)))</f>
      </c>
      <c r="R9" s="254"/>
      <c r="S9" s="251">
        <v>0</v>
      </c>
      <c r="T9" s="626">
        <f>IF($H9="","",IF($R9="Ａ",LOOKUP($D9,{8000,8500,9000,10000,12000},{0,1532,1032,408,408}),IF($R9="Ｂ",LOOKUP($D9,{8000,8500,9000,10000,12000},{782,2814,2814,2814,2814}),0)))</f>
      </c>
      <c r="U9" s="214">
        <f aca="true" t="shared" si="7" ref="U9:U44">IF(L9&gt;=7,T9,IF(AND(J9+L9&lt;=7,L9&gt;=4),Q9,(IF(ISERROR(ROUNDUP(Q9*3/12+T9*9/12,0)),"",ROUNDUP(Q9*3/12+T9*9/12,0)))))</f>
      </c>
      <c r="V9" s="666">
        <f>IF(B9="","",SUMIF('6-3_調整額内訳①(旧々・旧制度)'!B:B,$B9,'6-3_調整額内訳①(旧々・旧制度)'!AD:AD))</f>
      </c>
      <c r="W9" s="213">
        <f aca="true" t="shared" si="8" ref="W9:W44">IF(B9="","",SUM(U9:V9))</f>
      </c>
      <c r="X9" s="214">
        <f aca="true" t="shared" si="9" ref="X9:X44">IF(B9="","",ROUNDDOWN(W9*G9,0))</f>
      </c>
      <c r="Y9" s="214">
        <f aca="true" t="shared" si="10" ref="Y9:Y44">IF(M9&gt;=N9,N9,M9)</f>
      </c>
      <c r="Z9" s="58"/>
      <c r="AA9" s="214">
        <f aca="true" t="shared" si="11" ref="AA9:AA44">IF(A9="","",IF((M9-Y9)&lt;Z9,Y9-(M9-Z9),0))</f>
      </c>
      <c r="AB9" s="628"/>
      <c r="AC9" s="84" t="str">
        <f aca="true" t="shared" si="12" ref="AC9:AC43">_xlfn.IFERROR(D9*(E9-F9)*(K9/J9),"0")</f>
        <v>0</v>
      </c>
      <c r="AD9" s="214">
        <f aca="true" t="shared" si="13" ref="AD9:AD44">_xlfn.IFERROR(IF(AC9-AB9&gt;0,0,AC9-AB9),"0")</f>
        <v>0</v>
      </c>
      <c r="AE9" s="624"/>
      <c r="AF9" s="214">
        <f aca="true" t="shared" si="14" ref="AF9:AF44">IF(B9="","",MAX(0,Y9-Z9-AE9))</f>
      </c>
      <c r="AG9" s="621">
        <f aca="true" t="shared" si="15" ref="AG9:AG44">IF(B9="","",IF(MIN(X9,AF9)+AD9&gt;0,MIN(X9,AF9)+AD9,0))</f>
      </c>
      <c r="AH9" s="850"/>
      <c r="AI9" s="850"/>
      <c r="AJ9" s="851"/>
      <c r="AL9" s="60">
        <f t="shared" si="0"/>
      </c>
      <c r="AM9" s="60">
        <f t="shared" si="1"/>
      </c>
      <c r="AO9" s="55" t="s">
        <v>14</v>
      </c>
      <c r="AP9" s="61" t="str">
        <f>IF(V45='6-3_調整額内訳①(旧々・旧制度)'!AD39,"OK","ERR")</f>
        <v>OK</v>
      </c>
    </row>
    <row r="10" spans="1:42" s="53" customFormat="1" ht="18.75" customHeight="1" thickTop="1">
      <c r="A10" s="181">
        <f t="shared" si="2"/>
      </c>
      <c r="B10" s="237"/>
      <c r="C10" s="207"/>
      <c r="D10" s="57"/>
      <c r="E10" s="58"/>
      <c r="F10" s="202"/>
      <c r="G10" s="191">
        <f t="shared" si="3"/>
      </c>
      <c r="H10" s="650">
        <f t="shared" si="4"/>
      </c>
      <c r="I10" s="208"/>
      <c r="J10" s="209"/>
      <c r="K10" s="614"/>
      <c r="L10" s="739"/>
      <c r="M10" s="210">
        <f t="shared" si="5"/>
      </c>
      <c r="N10" s="211">
        <f t="shared" si="6"/>
      </c>
      <c r="O10" s="254"/>
      <c r="P10" s="194"/>
      <c r="Q10" s="212">
        <f>IF($H10="","",IF($O10="Ａ",LOOKUP($D10,{8000,8500,9000,10000,12000},{0,1532,1032,408,408}),IF($O10="Ｂ",LOOKUP($D10,{8000,8500,9000,10000,12000},{782,2814,2814,2814,2814}),0)))</f>
      </c>
      <c r="R10" s="254"/>
      <c r="S10" s="251">
        <v>0</v>
      </c>
      <c r="T10" s="626">
        <f>IF($H10="","",IF($R10="Ａ",LOOKUP($D10,{8000,8500,9000,10000,12000},{0,1532,1032,408,408}),IF($R10="Ｂ",LOOKUP($D10,{8000,8500,9000,10000,12000},{782,2814,2814,2814,2814}),0)))</f>
      </c>
      <c r="U10" s="214">
        <f t="shared" si="7"/>
      </c>
      <c r="V10" s="666">
        <f>IF(B10="","",SUMIF('6-3_調整額内訳①(旧々・旧制度)'!B:B,$B10,'6-3_調整額内訳①(旧々・旧制度)'!AD:AD))</f>
      </c>
      <c r="W10" s="213">
        <f t="shared" si="8"/>
      </c>
      <c r="X10" s="214">
        <f t="shared" si="9"/>
      </c>
      <c r="Y10" s="214">
        <f t="shared" si="10"/>
      </c>
      <c r="Z10" s="58"/>
      <c r="AA10" s="214">
        <f t="shared" si="11"/>
      </c>
      <c r="AB10" s="628"/>
      <c r="AC10" s="84" t="str">
        <f t="shared" si="12"/>
        <v>0</v>
      </c>
      <c r="AD10" s="214">
        <f t="shared" si="13"/>
        <v>0</v>
      </c>
      <c r="AE10" s="624"/>
      <c r="AF10" s="214">
        <f t="shared" si="14"/>
      </c>
      <c r="AG10" s="621">
        <f t="shared" si="15"/>
      </c>
      <c r="AH10" s="850"/>
      <c r="AI10" s="850"/>
      <c r="AJ10" s="851"/>
      <c r="AL10" s="60">
        <f t="shared" si="0"/>
      </c>
      <c r="AM10" s="60">
        <f t="shared" si="1"/>
      </c>
      <c r="AO10" s="55"/>
      <c r="AP10" s="62"/>
    </row>
    <row r="11" spans="1:39" s="53" customFormat="1" ht="18.75" customHeight="1">
      <c r="A11" s="181">
        <f t="shared" si="2"/>
      </c>
      <c r="B11" s="237"/>
      <c r="C11" s="207"/>
      <c r="D11" s="57"/>
      <c r="E11" s="58"/>
      <c r="F11" s="202"/>
      <c r="G11" s="191">
        <f t="shared" si="3"/>
      </c>
      <c r="H11" s="650">
        <f t="shared" si="4"/>
      </c>
      <c r="I11" s="208"/>
      <c r="J11" s="209"/>
      <c r="K11" s="614"/>
      <c r="L11" s="739"/>
      <c r="M11" s="210">
        <f t="shared" si="5"/>
      </c>
      <c r="N11" s="211">
        <f t="shared" si="6"/>
      </c>
      <c r="O11" s="254"/>
      <c r="P11" s="194"/>
      <c r="Q11" s="212">
        <f>IF($H11="","",IF($O11="Ａ",LOOKUP($D11,{8000,8500,9000,10000,12000},{0,1532,1032,408,408}),IF($O11="Ｂ",LOOKUP($D11,{8000,8500,9000,10000,12000},{782,2814,2814,2814,2814}),0)))</f>
      </c>
      <c r="R11" s="254"/>
      <c r="S11" s="251">
        <v>0</v>
      </c>
      <c r="T11" s="626">
        <f>IF($H11="","",IF($R11="Ａ",LOOKUP($D11,{8000,8500,9000,10000,12000},{0,1532,1032,408,408}),IF($R11="Ｂ",LOOKUP($D11,{8000,8500,9000,10000,12000},{782,2814,2814,2814,2814}),0)))</f>
      </c>
      <c r="U11" s="214">
        <f t="shared" si="7"/>
      </c>
      <c r="V11" s="666">
        <f>IF(B11="","",SUMIF('6-3_調整額内訳①(旧々・旧制度)'!B:B,$B11,'6-3_調整額内訳①(旧々・旧制度)'!AD:AD))</f>
      </c>
      <c r="W11" s="213">
        <f t="shared" si="8"/>
      </c>
      <c r="X11" s="214">
        <f t="shared" si="9"/>
      </c>
      <c r="Y11" s="214">
        <f t="shared" si="10"/>
      </c>
      <c r="Z11" s="58"/>
      <c r="AA11" s="214">
        <f t="shared" si="11"/>
      </c>
      <c r="AB11" s="628"/>
      <c r="AC11" s="84" t="str">
        <f t="shared" si="12"/>
        <v>0</v>
      </c>
      <c r="AD11" s="214">
        <f t="shared" si="13"/>
        <v>0</v>
      </c>
      <c r="AE11" s="624"/>
      <c r="AF11" s="214">
        <f t="shared" si="14"/>
      </c>
      <c r="AG11" s="621">
        <f t="shared" si="15"/>
      </c>
      <c r="AH11" s="850"/>
      <c r="AI11" s="850"/>
      <c r="AJ11" s="851"/>
      <c r="AL11" s="60">
        <f t="shared" si="0"/>
      </c>
      <c r="AM11" s="60">
        <f t="shared" si="1"/>
      </c>
    </row>
    <row r="12" spans="1:39" s="53" customFormat="1" ht="18.75" customHeight="1">
      <c r="A12" s="181">
        <f t="shared" si="2"/>
      </c>
      <c r="B12" s="237"/>
      <c r="C12" s="207"/>
      <c r="D12" s="57"/>
      <c r="E12" s="58"/>
      <c r="F12" s="202"/>
      <c r="G12" s="191">
        <f t="shared" si="3"/>
      </c>
      <c r="H12" s="650">
        <f t="shared" si="4"/>
      </c>
      <c r="I12" s="208"/>
      <c r="J12" s="209"/>
      <c r="K12" s="614"/>
      <c r="L12" s="739"/>
      <c r="M12" s="210">
        <f t="shared" si="5"/>
      </c>
      <c r="N12" s="211">
        <f t="shared" si="6"/>
      </c>
      <c r="O12" s="254"/>
      <c r="P12" s="194"/>
      <c r="Q12" s="212">
        <f>IF($H12="","",IF($O12="Ａ",LOOKUP($D12,{8000,8500,9000,10000,12000},{0,1532,1032,408,408}),IF($O12="Ｂ",LOOKUP($D12,{8000,8500,9000,10000,12000},{782,2814,2814,2814,2814}),0)))</f>
      </c>
      <c r="R12" s="254"/>
      <c r="S12" s="251">
        <v>0</v>
      </c>
      <c r="T12" s="626">
        <f>IF($H12="","",IF($R12="Ａ",LOOKUP($D12,{8000,8500,9000,10000,12000},{0,1532,1032,408,408}),IF($R12="Ｂ",LOOKUP($D12,{8000,8500,9000,10000,12000},{782,2814,2814,2814,2814}),0)))</f>
      </c>
      <c r="U12" s="214">
        <f t="shared" si="7"/>
      </c>
      <c r="V12" s="666">
        <f>IF(B12="","",SUMIF('6-3_調整額内訳①(旧々・旧制度)'!B:B,$B12,'6-3_調整額内訳①(旧々・旧制度)'!AD:AD))</f>
      </c>
      <c r="W12" s="213">
        <f t="shared" si="8"/>
      </c>
      <c r="X12" s="214">
        <f t="shared" si="9"/>
      </c>
      <c r="Y12" s="214">
        <f t="shared" si="10"/>
      </c>
      <c r="Z12" s="58"/>
      <c r="AA12" s="214">
        <f t="shared" si="11"/>
      </c>
      <c r="AB12" s="628"/>
      <c r="AC12" s="84" t="str">
        <f t="shared" si="12"/>
        <v>0</v>
      </c>
      <c r="AD12" s="214">
        <f t="shared" si="13"/>
        <v>0</v>
      </c>
      <c r="AE12" s="624"/>
      <c r="AF12" s="214">
        <f t="shared" si="14"/>
      </c>
      <c r="AG12" s="621">
        <f t="shared" si="15"/>
      </c>
      <c r="AH12" s="850"/>
      <c r="AI12" s="850"/>
      <c r="AJ12" s="851"/>
      <c r="AL12" s="60">
        <f t="shared" si="0"/>
      </c>
      <c r="AM12" s="60">
        <f t="shared" si="1"/>
      </c>
    </row>
    <row r="13" spans="1:39" s="53" customFormat="1" ht="18.75" customHeight="1">
      <c r="A13" s="181">
        <f t="shared" si="2"/>
      </c>
      <c r="B13" s="237"/>
      <c r="C13" s="207"/>
      <c r="D13" s="57"/>
      <c r="E13" s="58"/>
      <c r="F13" s="202"/>
      <c r="G13" s="191">
        <f t="shared" si="3"/>
      </c>
      <c r="H13" s="650">
        <f t="shared" si="4"/>
      </c>
      <c r="I13" s="208"/>
      <c r="J13" s="209"/>
      <c r="K13" s="614"/>
      <c r="L13" s="739"/>
      <c r="M13" s="210">
        <f t="shared" si="5"/>
      </c>
      <c r="N13" s="211">
        <f t="shared" si="6"/>
      </c>
      <c r="O13" s="254"/>
      <c r="P13" s="194"/>
      <c r="Q13" s="212">
        <f>IF($H13="","",IF($O13="Ａ",LOOKUP($D13,{8000,8500,9000,10000,12000},{0,1532,1032,408,408}),IF($O13="Ｂ",LOOKUP($D13,{8000,8500,9000,10000,12000},{782,2814,2814,2814,2814}),0)))</f>
      </c>
      <c r="R13" s="254"/>
      <c r="S13" s="251">
        <v>0</v>
      </c>
      <c r="T13" s="626">
        <f>IF($H13="","",IF($R13="Ａ",LOOKUP($D13,{8000,8500,9000,10000,12000},{0,1532,1032,408,408}),IF($R13="Ｂ",LOOKUP($D13,{8000,8500,9000,10000,12000},{782,2814,2814,2814,2814}),0)))</f>
      </c>
      <c r="U13" s="214">
        <f t="shared" si="7"/>
      </c>
      <c r="V13" s="666">
        <f>IF(B13="","",SUMIF('6-3_調整額内訳①(旧々・旧制度)'!B:B,$B13,'6-3_調整額内訳①(旧々・旧制度)'!AD:AD))</f>
      </c>
      <c r="W13" s="213">
        <f t="shared" si="8"/>
      </c>
      <c r="X13" s="214">
        <f t="shared" si="9"/>
      </c>
      <c r="Y13" s="214">
        <f t="shared" si="10"/>
      </c>
      <c r="Z13" s="58"/>
      <c r="AA13" s="214">
        <f t="shared" si="11"/>
      </c>
      <c r="AB13" s="628"/>
      <c r="AC13" s="84" t="str">
        <f t="shared" si="12"/>
        <v>0</v>
      </c>
      <c r="AD13" s="214">
        <f t="shared" si="13"/>
        <v>0</v>
      </c>
      <c r="AE13" s="624"/>
      <c r="AF13" s="214">
        <f t="shared" si="14"/>
      </c>
      <c r="AG13" s="621">
        <f t="shared" si="15"/>
      </c>
      <c r="AH13" s="850"/>
      <c r="AI13" s="850"/>
      <c r="AJ13" s="851"/>
      <c r="AL13" s="60">
        <f t="shared" si="0"/>
      </c>
      <c r="AM13" s="60">
        <f t="shared" si="1"/>
      </c>
    </row>
    <row r="14" spans="1:39" s="53" customFormat="1" ht="18.75" customHeight="1">
      <c r="A14" s="181">
        <f t="shared" si="2"/>
      </c>
      <c r="B14" s="237"/>
      <c r="C14" s="207"/>
      <c r="D14" s="57"/>
      <c r="E14" s="58"/>
      <c r="F14" s="202"/>
      <c r="G14" s="191">
        <f t="shared" si="3"/>
      </c>
      <c r="H14" s="650">
        <f t="shared" si="4"/>
      </c>
      <c r="I14" s="208"/>
      <c r="J14" s="209"/>
      <c r="K14" s="614"/>
      <c r="L14" s="739"/>
      <c r="M14" s="210">
        <f t="shared" si="5"/>
      </c>
      <c r="N14" s="211">
        <f t="shared" si="6"/>
      </c>
      <c r="O14" s="254"/>
      <c r="P14" s="194"/>
      <c r="Q14" s="212">
        <f>IF($H14="","",IF($O14="Ａ",LOOKUP($D14,{8000,8500,9000,10000,12000},{0,1532,1032,408,408}),IF($O14="Ｂ",LOOKUP($D14,{8000,8500,9000,10000,12000},{782,2814,2814,2814,2814}),0)))</f>
      </c>
      <c r="R14" s="254"/>
      <c r="S14" s="251">
        <v>0</v>
      </c>
      <c r="T14" s="626">
        <f>IF($H14="","",IF($R14="Ａ",LOOKUP($D14,{8000,8500,9000,10000,12000},{0,1532,1032,408,408}),IF($R14="Ｂ",LOOKUP($D14,{8000,8500,9000,10000,12000},{782,2814,2814,2814,2814}),0)))</f>
      </c>
      <c r="U14" s="214">
        <f t="shared" si="7"/>
      </c>
      <c r="V14" s="666">
        <f>IF(B14="","",SUMIF('6-3_調整額内訳①(旧々・旧制度)'!B:B,$B14,'6-3_調整額内訳①(旧々・旧制度)'!AD:AD))</f>
      </c>
      <c r="W14" s="213">
        <f t="shared" si="8"/>
      </c>
      <c r="X14" s="214">
        <f t="shared" si="9"/>
      </c>
      <c r="Y14" s="214">
        <f t="shared" si="10"/>
      </c>
      <c r="Z14" s="58"/>
      <c r="AA14" s="214">
        <f t="shared" si="11"/>
      </c>
      <c r="AB14" s="628"/>
      <c r="AC14" s="84" t="str">
        <f t="shared" si="12"/>
        <v>0</v>
      </c>
      <c r="AD14" s="214">
        <f t="shared" si="13"/>
        <v>0</v>
      </c>
      <c r="AE14" s="624"/>
      <c r="AF14" s="214">
        <f t="shared" si="14"/>
      </c>
      <c r="AG14" s="621">
        <f t="shared" si="15"/>
      </c>
      <c r="AH14" s="850"/>
      <c r="AI14" s="850"/>
      <c r="AJ14" s="851"/>
      <c r="AL14" s="60">
        <f t="shared" si="0"/>
      </c>
      <c r="AM14" s="60">
        <f t="shared" si="1"/>
      </c>
    </row>
    <row r="15" spans="1:39" s="53" customFormat="1" ht="18.75" customHeight="1">
      <c r="A15" s="181">
        <f t="shared" si="2"/>
      </c>
      <c r="B15" s="237"/>
      <c r="C15" s="207"/>
      <c r="D15" s="57"/>
      <c r="E15" s="58"/>
      <c r="F15" s="202"/>
      <c r="G15" s="191">
        <f t="shared" si="3"/>
      </c>
      <c r="H15" s="650">
        <f t="shared" si="4"/>
      </c>
      <c r="I15" s="208"/>
      <c r="J15" s="209"/>
      <c r="K15" s="614"/>
      <c r="L15" s="739"/>
      <c r="M15" s="210">
        <f t="shared" si="5"/>
      </c>
      <c r="N15" s="211">
        <f t="shared" si="6"/>
      </c>
      <c r="O15" s="254"/>
      <c r="P15" s="194"/>
      <c r="Q15" s="212">
        <f>IF($H15="","",IF($O15="Ａ",LOOKUP($D15,{8000,8500,9000,10000,12000},{0,1532,1032,408,408}),IF($O15="Ｂ",LOOKUP($D15,{8000,8500,9000,10000,12000},{782,2814,2814,2814,2814}),0)))</f>
      </c>
      <c r="R15" s="254"/>
      <c r="S15" s="251">
        <v>0</v>
      </c>
      <c r="T15" s="626">
        <f>IF($H15="","",IF($R15="Ａ",LOOKUP($D15,{8000,8500,9000,10000,12000},{0,1532,1032,408,408}),IF($R15="Ｂ",LOOKUP($D15,{8000,8500,9000,10000,12000},{782,2814,2814,2814,2814}),0)))</f>
      </c>
      <c r="U15" s="214">
        <f t="shared" si="7"/>
      </c>
      <c r="V15" s="666">
        <f>IF(B15="","",SUMIF('6-3_調整額内訳①(旧々・旧制度)'!B:B,$B15,'6-3_調整額内訳①(旧々・旧制度)'!AD:AD))</f>
      </c>
      <c r="W15" s="213">
        <f t="shared" si="8"/>
      </c>
      <c r="X15" s="214">
        <f t="shared" si="9"/>
      </c>
      <c r="Y15" s="214">
        <f t="shared" si="10"/>
      </c>
      <c r="Z15" s="58"/>
      <c r="AA15" s="214">
        <f t="shared" si="11"/>
      </c>
      <c r="AB15" s="628"/>
      <c r="AC15" s="84" t="str">
        <f t="shared" si="12"/>
        <v>0</v>
      </c>
      <c r="AD15" s="214">
        <f t="shared" si="13"/>
        <v>0</v>
      </c>
      <c r="AE15" s="624"/>
      <c r="AF15" s="214">
        <f t="shared" si="14"/>
      </c>
      <c r="AG15" s="621">
        <f t="shared" si="15"/>
      </c>
      <c r="AH15" s="850"/>
      <c r="AI15" s="850"/>
      <c r="AJ15" s="851"/>
      <c r="AL15" s="60">
        <f t="shared" si="0"/>
      </c>
      <c r="AM15" s="60">
        <f t="shared" si="1"/>
      </c>
    </row>
    <row r="16" spans="1:39" s="53" customFormat="1" ht="18.75" customHeight="1">
      <c r="A16" s="181">
        <f t="shared" si="2"/>
      </c>
      <c r="B16" s="237"/>
      <c r="C16" s="207"/>
      <c r="D16" s="57"/>
      <c r="E16" s="58"/>
      <c r="F16" s="202"/>
      <c r="G16" s="191">
        <f t="shared" si="3"/>
      </c>
      <c r="H16" s="650">
        <f t="shared" si="4"/>
      </c>
      <c r="I16" s="208"/>
      <c r="J16" s="209"/>
      <c r="K16" s="614"/>
      <c r="L16" s="739"/>
      <c r="M16" s="210">
        <f t="shared" si="5"/>
      </c>
      <c r="N16" s="211">
        <f t="shared" si="6"/>
      </c>
      <c r="O16" s="254"/>
      <c r="P16" s="194"/>
      <c r="Q16" s="212">
        <f>IF($H16="","",IF($O16="Ａ",LOOKUP($D16,{8000,8500,9000,10000,12000},{0,1532,1032,408,408}),IF($O16="Ｂ",LOOKUP($D16,{8000,8500,9000,10000,12000},{782,2814,2814,2814,2814}),0)))</f>
      </c>
      <c r="R16" s="254"/>
      <c r="S16" s="251">
        <v>0</v>
      </c>
      <c r="T16" s="626">
        <f>IF($H16="","",IF($R16="Ａ",LOOKUP($D16,{8000,8500,9000,10000,12000},{0,1532,1032,408,408}),IF($R16="Ｂ",LOOKUP($D16,{8000,8500,9000,10000,12000},{782,2814,2814,2814,2814}),0)))</f>
      </c>
      <c r="U16" s="214">
        <f t="shared" si="7"/>
      </c>
      <c r="V16" s="666">
        <f>IF(B16="","",SUMIF('6-3_調整額内訳①(旧々・旧制度)'!B:B,$B16,'6-3_調整額内訳①(旧々・旧制度)'!AD:AD))</f>
      </c>
      <c r="W16" s="213">
        <f t="shared" si="8"/>
      </c>
      <c r="X16" s="214">
        <f t="shared" si="9"/>
      </c>
      <c r="Y16" s="214">
        <f t="shared" si="10"/>
      </c>
      <c r="Z16" s="58"/>
      <c r="AA16" s="214">
        <f t="shared" si="11"/>
      </c>
      <c r="AB16" s="628"/>
      <c r="AC16" s="84" t="str">
        <f t="shared" si="12"/>
        <v>0</v>
      </c>
      <c r="AD16" s="214">
        <f t="shared" si="13"/>
        <v>0</v>
      </c>
      <c r="AE16" s="624"/>
      <c r="AF16" s="214">
        <f t="shared" si="14"/>
      </c>
      <c r="AG16" s="621">
        <f t="shared" si="15"/>
      </c>
      <c r="AH16" s="850"/>
      <c r="AI16" s="850"/>
      <c r="AJ16" s="851"/>
      <c r="AL16" s="60">
        <f t="shared" si="0"/>
      </c>
      <c r="AM16" s="60">
        <f t="shared" si="1"/>
      </c>
    </row>
    <row r="17" spans="1:39" s="53" customFormat="1" ht="18.75" customHeight="1">
      <c r="A17" s="181">
        <f t="shared" si="2"/>
      </c>
      <c r="B17" s="237"/>
      <c r="C17" s="207"/>
      <c r="D17" s="57"/>
      <c r="E17" s="58"/>
      <c r="F17" s="202"/>
      <c r="G17" s="191">
        <f t="shared" si="3"/>
      </c>
      <c r="H17" s="650">
        <f t="shared" si="4"/>
      </c>
      <c r="I17" s="208"/>
      <c r="J17" s="209"/>
      <c r="K17" s="614"/>
      <c r="L17" s="739"/>
      <c r="M17" s="210">
        <f t="shared" si="5"/>
      </c>
      <c r="N17" s="211">
        <f t="shared" si="6"/>
      </c>
      <c r="O17" s="254"/>
      <c r="P17" s="194"/>
      <c r="Q17" s="212">
        <f>IF($H17="","",IF($O17="Ａ",LOOKUP($D17,{8000,8500,9000,10000,12000},{0,1532,1032,408,408}),IF($O17="Ｂ",LOOKUP($D17,{8000,8500,9000,10000,12000},{782,2814,2814,2814,2814}),0)))</f>
      </c>
      <c r="R17" s="254"/>
      <c r="S17" s="251">
        <v>0</v>
      </c>
      <c r="T17" s="626">
        <f>IF($H17="","",IF($R17="Ａ",LOOKUP($D17,{8000,8500,9000,10000,12000},{0,1532,1032,408,408}),IF($R17="Ｂ",LOOKUP($D17,{8000,8500,9000,10000,12000},{782,2814,2814,2814,2814}),0)))</f>
      </c>
      <c r="U17" s="214">
        <f t="shared" si="7"/>
      </c>
      <c r="V17" s="666">
        <f>IF(B17="","",SUMIF('6-3_調整額内訳①(旧々・旧制度)'!B:B,$B17,'6-3_調整額内訳①(旧々・旧制度)'!AD:AD))</f>
      </c>
      <c r="W17" s="213">
        <f t="shared" si="8"/>
      </c>
      <c r="X17" s="214">
        <f t="shared" si="9"/>
      </c>
      <c r="Y17" s="214">
        <f t="shared" si="10"/>
      </c>
      <c r="Z17" s="58"/>
      <c r="AA17" s="214">
        <f t="shared" si="11"/>
      </c>
      <c r="AB17" s="628"/>
      <c r="AC17" s="84" t="str">
        <f t="shared" si="12"/>
        <v>0</v>
      </c>
      <c r="AD17" s="214">
        <f t="shared" si="13"/>
        <v>0</v>
      </c>
      <c r="AE17" s="624"/>
      <c r="AF17" s="214">
        <f t="shared" si="14"/>
      </c>
      <c r="AG17" s="621">
        <f t="shared" si="15"/>
      </c>
      <c r="AH17" s="850"/>
      <c r="AI17" s="850"/>
      <c r="AJ17" s="851"/>
      <c r="AL17" s="60">
        <f t="shared" si="0"/>
      </c>
      <c r="AM17" s="60">
        <f t="shared" si="1"/>
      </c>
    </row>
    <row r="18" spans="1:39" s="53" customFormat="1" ht="18.75" customHeight="1">
      <c r="A18" s="181">
        <f t="shared" si="2"/>
      </c>
      <c r="B18" s="237"/>
      <c r="C18" s="207"/>
      <c r="D18" s="57"/>
      <c r="E18" s="58"/>
      <c r="F18" s="202"/>
      <c r="G18" s="191">
        <f t="shared" si="3"/>
      </c>
      <c r="H18" s="650">
        <f t="shared" si="4"/>
      </c>
      <c r="I18" s="208"/>
      <c r="J18" s="209"/>
      <c r="K18" s="614"/>
      <c r="L18" s="739"/>
      <c r="M18" s="210">
        <f t="shared" si="5"/>
      </c>
      <c r="N18" s="211">
        <f t="shared" si="6"/>
      </c>
      <c r="O18" s="254"/>
      <c r="P18" s="194"/>
      <c r="Q18" s="212">
        <f>IF($H18="","",IF($O18="Ａ",LOOKUP($D18,{8000,8500,9000,10000,12000},{0,1532,1032,408,408}),IF($O18="Ｂ",LOOKUP($D18,{8000,8500,9000,10000,12000},{782,2814,2814,2814,2814}),0)))</f>
      </c>
      <c r="R18" s="254"/>
      <c r="S18" s="251">
        <v>0</v>
      </c>
      <c r="T18" s="626">
        <f>IF($H18="","",IF($R18="Ａ",LOOKUP($D18,{8000,8500,9000,10000,12000},{0,1532,1032,408,408}),IF($R18="Ｂ",LOOKUP($D18,{8000,8500,9000,10000,12000},{782,2814,2814,2814,2814}),0)))</f>
      </c>
      <c r="U18" s="214">
        <f t="shared" si="7"/>
      </c>
      <c r="V18" s="666">
        <f>IF(B18="","",SUMIF('6-3_調整額内訳①(旧々・旧制度)'!B:B,$B18,'6-3_調整額内訳①(旧々・旧制度)'!AD:AD))</f>
      </c>
      <c r="W18" s="213">
        <f t="shared" si="8"/>
      </c>
      <c r="X18" s="214">
        <f t="shared" si="9"/>
      </c>
      <c r="Y18" s="214">
        <f t="shared" si="10"/>
      </c>
      <c r="Z18" s="58"/>
      <c r="AA18" s="214">
        <f t="shared" si="11"/>
      </c>
      <c r="AB18" s="628"/>
      <c r="AC18" s="84" t="str">
        <f t="shared" si="12"/>
        <v>0</v>
      </c>
      <c r="AD18" s="214">
        <f t="shared" si="13"/>
        <v>0</v>
      </c>
      <c r="AE18" s="624"/>
      <c r="AF18" s="214">
        <f t="shared" si="14"/>
      </c>
      <c r="AG18" s="621">
        <f t="shared" si="15"/>
      </c>
      <c r="AH18" s="850"/>
      <c r="AI18" s="850"/>
      <c r="AJ18" s="851"/>
      <c r="AL18" s="60">
        <f t="shared" si="0"/>
      </c>
      <c r="AM18" s="60">
        <f t="shared" si="1"/>
      </c>
    </row>
    <row r="19" spans="1:39" s="53" customFormat="1" ht="18.75" customHeight="1">
      <c r="A19" s="181">
        <f t="shared" si="2"/>
      </c>
      <c r="B19" s="237"/>
      <c r="C19" s="207"/>
      <c r="D19" s="57"/>
      <c r="E19" s="58"/>
      <c r="F19" s="202"/>
      <c r="G19" s="191">
        <f t="shared" si="3"/>
      </c>
      <c r="H19" s="650">
        <f t="shared" si="4"/>
      </c>
      <c r="I19" s="208"/>
      <c r="J19" s="209"/>
      <c r="K19" s="614"/>
      <c r="L19" s="739"/>
      <c r="M19" s="210">
        <f t="shared" si="5"/>
      </c>
      <c r="N19" s="211">
        <f t="shared" si="6"/>
      </c>
      <c r="O19" s="254"/>
      <c r="P19" s="194"/>
      <c r="Q19" s="212">
        <f>IF($H19="","",IF($O19="Ａ",LOOKUP($D19,{8000,8500,9000,10000,12000},{0,1532,1032,408,408}),IF($O19="Ｂ",LOOKUP($D19,{8000,8500,9000,10000,12000},{782,2814,2814,2814,2814}),0)))</f>
      </c>
      <c r="R19" s="254"/>
      <c r="S19" s="251">
        <v>0</v>
      </c>
      <c r="T19" s="626">
        <f>IF($H19="","",IF($R19="Ａ",LOOKUP($D19,{8000,8500,9000,10000,12000},{0,1532,1032,408,408}),IF($R19="Ｂ",LOOKUP($D19,{8000,8500,9000,10000,12000},{782,2814,2814,2814,2814}),0)))</f>
      </c>
      <c r="U19" s="214">
        <f t="shared" si="7"/>
      </c>
      <c r="V19" s="666">
        <f>IF(B19="","",SUMIF('6-3_調整額内訳①(旧々・旧制度)'!B:B,$B19,'6-3_調整額内訳①(旧々・旧制度)'!AD:AD))</f>
      </c>
      <c r="W19" s="213">
        <f t="shared" si="8"/>
      </c>
      <c r="X19" s="214">
        <f t="shared" si="9"/>
      </c>
      <c r="Y19" s="214">
        <f t="shared" si="10"/>
      </c>
      <c r="Z19" s="58"/>
      <c r="AA19" s="214">
        <f t="shared" si="11"/>
      </c>
      <c r="AB19" s="628"/>
      <c r="AC19" s="84" t="str">
        <f t="shared" si="12"/>
        <v>0</v>
      </c>
      <c r="AD19" s="214">
        <f t="shared" si="13"/>
        <v>0</v>
      </c>
      <c r="AE19" s="624"/>
      <c r="AF19" s="214">
        <f t="shared" si="14"/>
      </c>
      <c r="AG19" s="621">
        <f t="shared" si="15"/>
      </c>
      <c r="AH19" s="850"/>
      <c r="AI19" s="850"/>
      <c r="AJ19" s="851"/>
      <c r="AL19" s="60">
        <f t="shared" si="0"/>
      </c>
      <c r="AM19" s="60">
        <f t="shared" si="1"/>
      </c>
    </row>
    <row r="20" spans="1:39" s="53" customFormat="1" ht="18.75" customHeight="1">
      <c r="A20" s="181">
        <f t="shared" si="2"/>
      </c>
      <c r="B20" s="237"/>
      <c r="C20" s="207"/>
      <c r="D20" s="57"/>
      <c r="E20" s="58"/>
      <c r="F20" s="202"/>
      <c r="G20" s="191">
        <f t="shared" si="3"/>
      </c>
      <c r="H20" s="650">
        <f t="shared" si="4"/>
      </c>
      <c r="I20" s="208"/>
      <c r="J20" s="209"/>
      <c r="K20" s="614"/>
      <c r="L20" s="739"/>
      <c r="M20" s="210">
        <f t="shared" si="5"/>
      </c>
      <c r="N20" s="211">
        <f t="shared" si="6"/>
      </c>
      <c r="O20" s="254"/>
      <c r="P20" s="194"/>
      <c r="Q20" s="212">
        <f>IF($H20="","",IF($O20="Ａ",LOOKUP($D20,{8000,8500,9000,10000,12000},{0,1532,1032,408,408}),IF($O20="Ｂ",LOOKUP($D20,{8000,8500,9000,10000,12000},{782,2814,2814,2814,2814}),0)))</f>
      </c>
      <c r="R20" s="254"/>
      <c r="S20" s="251">
        <v>0</v>
      </c>
      <c r="T20" s="626">
        <f>IF($H20="","",IF($R20="Ａ",LOOKUP($D20,{8000,8500,9000,10000,12000},{0,1532,1032,408,408}),IF($R20="Ｂ",LOOKUP($D20,{8000,8500,9000,10000,12000},{782,2814,2814,2814,2814}),0)))</f>
      </c>
      <c r="U20" s="214">
        <f t="shared" si="7"/>
      </c>
      <c r="V20" s="666">
        <f>IF(B20="","",SUMIF('6-3_調整額内訳①(旧々・旧制度)'!B:B,$B20,'6-3_調整額内訳①(旧々・旧制度)'!AD:AD))</f>
      </c>
      <c r="W20" s="213">
        <f t="shared" si="8"/>
      </c>
      <c r="X20" s="214">
        <f t="shared" si="9"/>
      </c>
      <c r="Y20" s="214">
        <f t="shared" si="10"/>
      </c>
      <c r="Z20" s="58"/>
      <c r="AA20" s="214">
        <f t="shared" si="11"/>
      </c>
      <c r="AB20" s="628"/>
      <c r="AC20" s="84" t="str">
        <f t="shared" si="12"/>
        <v>0</v>
      </c>
      <c r="AD20" s="214">
        <f t="shared" si="13"/>
        <v>0</v>
      </c>
      <c r="AE20" s="624"/>
      <c r="AF20" s="214">
        <f t="shared" si="14"/>
      </c>
      <c r="AG20" s="621">
        <f t="shared" si="15"/>
      </c>
      <c r="AH20" s="850"/>
      <c r="AI20" s="850"/>
      <c r="AJ20" s="851"/>
      <c r="AL20" s="60">
        <f t="shared" si="0"/>
      </c>
      <c r="AM20" s="60">
        <f t="shared" si="1"/>
      </c>
    </row>
    <row r="21" spans="1:39" s="53" customFormat="1" ht="18.75" customHeight="1">
      <c r="A21" s="181">
        <f t="shared" si="2"/>
      </c>
      <c r="B21" s="237"/>
      <c r="C21" s="207"/>
      <c r="D21" s="57"/>
      <c r="E21" s="58"/>
      <c r="F21" s="202"/>
      <c r="G21" s="191">
        <f t="shared" si="3"/>
      </c>
      <c r="H21" s="650">
        <f t="shared" si="4"/>
      </c>
      <c r="I21" s="208"/>
      <c r="J21" s="209"/>
      <c r="K21" s="614"/>
      <c r="L21" s="739"/>
      <c r="M21" s="210">
        <f t="shared" si="5"/>
      </c>
      <c r="N21" s="211">
        <f t="shared" si="6"/>
      </c>
      <c r="O21" s="254"/>
      <c r="P21" s="194"/>
      <c r="Q21" s="212">
        <f>IF($H21="","",IF($O21="Ａ",LOOKUP($D21,{8000,8500,9000,10000,12000},{0,1532,1032,408,408}),IF($O21="Ｂ",LOOKUP($D21,{8000,8500,9000,10000,12000},{782,2814,2814,2814,2814}),0)))</f>
      </c>
      <c r="R21" s="254"/>
      <c r="S21" s="251">
        <v>0</v>
      </c>
      <c r="T21" s="626">
        <f>IF($H21="","",IF($R21="Ａ",LOOKUP($D21,{8000,8500,9000,10000,12000},{0,1532,1032,408,408}),IF($R21="Ｂ",LOOKUP($D21,{8000,8500,9000,10000,12000},{782,2814,2814,2814,2814}),0)))</f>
      </c>
      <c r="U21" s="214">
        <f t="shared" si="7"/>
      </c>
      <c r="V21" s="666">
        <f>IF(B21="","",SUMIF('6-3_調整額内訳①(旧々・旧制度)'!B:B,$B21,'6-3_調整額内訳①(旧々・旧制度)'!AD:AD))</f>
      </c>
      <c r="W21" s="213">
        <f t="shared" si="8"/>
      </c>
      <c r="X21" s="214">
        <f t="shared" si="9"/>
      </c>
      <c r="Y21" s="214">
        <f t="shared" si="10"/>
      </c>
      <c r="Z21" s="58"/>
      <c r="AA21" s="214">
        <f t="shared" si="11"/>
      </c>
      <c r="AB21" s="628"/>
      <c r="AC21" s="84" t="str">
        <f t="shared" si="12"/>
        <v>0</v>
      </c>
      <c r="AD21" s="214">
        <f t="shared" si="13"/>
        <v>0</v>
      </c>
      <c r="AE21" s="624"/>
      <c r="AF21" s="214">
        <f t="shared" si="14"/>
      </c>
      <c r="AG21" s="621">
        <f t="shared" si="15"/>
      </c>
      <c r="AH21" s="850"/>
      <c r="AI21" s="850"/>
      <c r="AJ21" s="851"/>
      <c r="AL21" s="60">
        <f t="shared" si="0"/>
      </c>
      <c r="AM21" s="60">
        <f t="shared" si="1"/>
      </c>
    </row>
    <row r="22" spans="1:39" s="53" customFormat="1" ht="18.75" customHeight="1">
      <c r="A22" s="181">
        <f t="shared" si="2"/>
      </c>
      <c r="B22" s="237"/>
      <c r="C22" s="207"/>
      <c r="D22" s="57"/>
      <c r="E22" s="58"/>
      <c r="F22" s="202"/>
      <c r="G22" s="191">
        <f t="shared" si="3"/>
      </c>
      <c r="H22" s="650">
        <f t="shared" si="4"/>
      </c>
      <c r="I22" s="208"/>
      <c r="J22" s="209"/>
      <c r="K22" s="614"/>
      <c r="L22" s="739"/>
      <c r="M22" s="210">
        <f t="shared" si="5"/>
      </c>
      <c r="N22" s="211">
        <f t="shared" si="6"/>
      </c>
      <c r="O22" s="254"/>
      <c r="P22" s="194"/>
      <c r="Q22" s="212">
        <f>IF($H22="","",IF($O22="Ａ",LOOKUP($D22,{8000,8500,9000,10000,12000},{0,1532,1032,408,408}),IF($O22="Ｂ",LOOKUP($D22,{8000,8500,9000,10000,12000},{782,2814,2814,2814,2814}),0)))</f>
      </c>
      <c r="R22" s="254"/>
      <c r="S22" s="251">
        <v>0</v>
      </c>
      <c r="T22" s="626">
        <f>IF($H22="","",IF($R22="Ａ",LOOKUP($D22,{8000,8500,9000,10000,12000},{0,1532,1032,408,408}),IF($R22="Ｂ",LOOKUP($D22,{8000,8500,9000,10000,12000},{782,2814,2814,2814,2814}),0)))</f>
      </c>
      <c r="U22" s="214">
        <f t="shared" si="7"/>
      </c>
      <c r="V22" s="666">
        <f>IF(B22="","",SUMIF('6-3_調整額内訳①(旧々・旧制度)'!B:B,$B22,'6-3_調整額内訳①(旧々・旧制度)'!AD:AD))</f>
      </c>
      <c r="W22" s="213">
        <f t="shared" si="8"/>
      </c>
      <c r="X22" s="214">
        <f t="shared" si="9"/>
      </c>
      <c r="Y22" s="214">
        <f t="shared" si="10"/>
      </c>
      <c r="Z22" s="58"/>
      <c r="AA22" s="214">
        <f t="shared" si="11"/>
      </c>
      <c r="AB22" s="628"/>
      <c r="AC22" s="84" t="str">
        <f t="shared" si="12"/>
        <v>0</v>
      </c>
      <c r="AD22" s="214">
        <f t="shared" si="13"/>
        <v>0</v>
      </c>
      <c r="AE22" s="624"/>
      <c r="AF22" s="214">
        <f t="shared" si="14"/>
      </c>
      <c r="AG22" s="621">
        <f t="shared" si="15"/>
      </c>
      <c r="AH22" s="850"/>
      <c r="AI22" s="850"/>
      <c r="AJ22" s="851"/>
      <c r="AL22" s="60">
        <f t="shared" si="0"/>
      </c>
      <c r="AM22" s="60">
        <f t="shared" si="1"/>
      </c>
    </row>
    <row r="23" spans="1:39" s="53" customFormat="1" ht="18.75" customHeight="1">
      <c r="A23" s="181">
        <f t="shared" si="2"/>
      </c>
      <c r="B23" s="237"/>
      <c r="C23" s="207"/>
      <c r="D23" s="57"/>
      <c r="E23" s="58"/>
      <c r="F23" s="202"/>
      <c r="G23" s="191">
        <f t="shared" si="3"/>
      </c>
      <c r="H23" s="650">
        <f t="shared" si="4"/>
      </c>
      <c r="I23" s="208"/>
      <c r="J23" s="209"/>
      <c r="K23" s="614"/>
      <c r="L23" s="739"/>
      <c r="M23" s="210">
        <f t="shared" si="5"/>
      </c>
      <c r="N23" s="211">
        <f t="shared" si="6"/>
      </c>
      <c r="O23" s="254"/>
      <c r="P23" s="194"/>
      <c r="Q23" s="212">
        <f>IF($H23="","",IF($O23="Ａ",LOOKUP($D23,{8000,8500,9000,10000,12000},{0,1532,1032,408,408}),IF($O23="Ｂ",LOOKUP($D23,{8000,8500,9000,10000,12000},{782,2814,2814,2814,2814}),0)))</f>
      </c>
      <c r="R23" s="254"/>
      <c r="S23" s="251">
        <v>0</v>
      </c>
      <c r="T23" s="626">
        <f>IF($H23="","",IF($R23="Ａ",LOOKUP($D23,{8000,8500,9000,10000,12000},{0,1532,1032,408,408}),IF($R23="Ｂ",LOOKUP($D23,{8000,8500,9000,10000,12000},{782,2814,2814,2814,2814}),0)))</f>
      </c>
      <c r="U23" s="214">
        <f t="shared" si="7"/>
      </c>
      <c r="V23" s="666">
        <f>IF(B23="","",SUMIF('6-3_調整額内訳①(旧々・旧制度)'!B:B,$B23,'6-3_調整額内訳①(旧々・旧制度)'!AD:AD))</f>
      </c>
      <c r="W23" s="213">
        <f t="shared" si="8"/>
      </c>
      <c r="X23" s="214">
        <f t="shared" si="9"/>
      </c>
      <c r="Y23" s="214">
        <f t="shared" si="10"/>
      </c>
      <c r="Z23" s="58"/>
      <c r="AA23" s="214">
        <f t="shared" si="11"/>
      </c>
      <c r="AB23" s="628"/>
      <c r="AC23" s="84" t="str">
        <f t="shared" si="12"/>
        <v>0</v>
      </c>
      <c r="AD23" s="214">
        <f t="shared" si="13"/>
        <v>0</v>
      </c>
      <c r="AE23" s="624"/>
      <c r="AF23" s="214">
        <f t="shared" si="14"/>
      </c>
      <c r="AG23" s="621">
        <f t="shared" si="15"/>
      </c>
      <c r="AH23" s="850"/>
      <c r="AI23" s="850"/>
      <c r="AJ23" s="851"/>
      <c r="AL23" s="60">
        <f t="shared" si="0"/>
      </c>
      <c r="AM23" s="60">
        <f t="shared" si="1"/>
      </c>
    </row>
    <row r="24" spans="1:39" s="53" customFormat="1" ht="18.75" customHeight="1">
      <c r="A24" s="181">
        <f t="shared" si="2"/>
      </c>
      <c r="B24" s="237"/>
      <c r="C24" s="207"/>
      <c r="D24" s="57"/>
      <c r="E24" s="58"/>
      <c r="F24" s="202"/>
      <c r="G24" s="191">
        <f t="shared" si="3"/>
      </c>
      <c r="H24" s="650">
        <f t="shared" si="4"/>
      </c>
      <c r="I24" s="208"/>
      <c r="J24" s="209"/>
      <c r="K24" s="614"/>
      <c r="L24" s="739"/>
      <c r="M24" s="210">
        <f t="shared" si="5"/>
      </c>
      <c r="N24" s="211">
        <f t="shared" si="6"/>
      </c>
      <c r="O24" s="254"/>
      <c r="P24" s="194"/>
      <c r="Q24" s="212">
        <f>IF($H24="","",IF($O24="Ａ",LOOKUP($D24,{8000,8500,9000,10000,12000},{0,1532,1032,408,408}),IF($O24="Ｂ",LOOKUP($D24,{8000,8500,9000,10000,12000},{782,2814,2814,2814,2814}),0)))</f>
      </c>
      <c r="R24" s="254"/>
      <c r="S24" s="251">
        <v>0</v>
      </c>
      <c r="T24" s="626">
        <f>IF($H24="","",IF($R24="Ａ",LOOKUP($D24,{8000,8500,9000,10000,12000},{0,1532,1032,408,408}),IF($R24="Ｂ",LOOKUP($D24,{8000,8500,9000,10000,12000},{782,2814,2814,2814,2814}),0)))</f>
      </c>
      <c r="U24" s="214">
        <f t="shared" si="7"/>
      </c>
      <c r="V24" s="666">
        <f>IF(B24="","",SUMIF('6-3_調整額内訳①(旧々・旧制度)'!B:B,$B24,'6-3_調整額内訳①(旧々・旧制度)'!AD:AD))</f>
      </c>
      <c r="W24" s="213">
        <f t="shared" si="8"/>
      </c>
      <c r="X24" s="214">
        <f t="shared" si="9"/>
      </c>
      <c r="Y24" s="214">
        <f t="shared" si="10"/>
      </c>
      <c r="Z24" s="58"/>
      <c r="AA24" s="214">
        <f t="shared" si="11"/>
      </c>
      <c r="AB24" s="628"/>
      <c r="AC24" s="84" t="str">
        <f t="shared" si="12"/>
        <v>0</v>
      </c>
      <c r="AD24" s="214">
        <f t="shared" si="13"/>
        <v>0</v>
      </c>
      <c r="AE24" s="624"/>
      <c r="AF24" s="214">
        <f t="shared" si="14"/>
      </c>
      <c r="AG24" s="621">
        <f t="shared" si="15"/>
      </c>
      <c r="AH24" s="850"/>
      <c r="AI24" s="850"/>
      <c r="AJ24" s="851"/>
      <c r="AL24" s="60">
        <f t="shared" si="0"/>
      </c>
      <c r="AM24" s="60">
        <f t="shared" si="1"/>
      </c>
    </row>
    <row r="25" spans="1:39" s="53" customFormat="1" ht="18.75" customHeight="1">
      <c r="A25" s="181">
        <f t="shared" si="2"/>
      </c>
      <c r="B25" s="237"/>
      <c r="C25" s="207"/>
      <c r="D25" s="57"/>
      <c r="E25" s="58"/>
      <c r="F25" s="202"/>
      <c r="G25" s="191">
        <f t="shared" si="3"/>
      </c>
      <c r="H25" s="650">
        <f t="shared" si="4"/>
      </c>
      <c r="I25" s="208"/>
      <c r="J25" s="209"/>
      <c r="K25" s="614"/>
      <c r="L25" s="739"/>
      <c r="M25" s="210">
        <f t="shared" si="5"/>
      </c>
      <c r="N25" s="211">
        <f t="shared" si="6"/>
      </c>
      <c r="O25" s="254"/>
      <c r="P25" s="194"/>
      <c r="Q25" s="212">
        <f>IF($H25="","",IF($O25="Ａ",LOOKUP($D25,{8000,8500,9000,10000,12000},{0,1532,1032,408,408}),IF($O25="Ｂ",LOOKUP($D25,{8000,8500,9000,10000,12000},{782,2814,2814,2814,2814}),0)))</f>
      </c>
      <c r="R25" s="254"/>
      <c r="S25" s="251">
        <v>0</v>
      </c>
      <c r="T25" s="626">
        <f>IF($H25="","",IF($R25="Ａ",LOOKUP($D25,{8000,8500,9000,10000,12000},{0,1532,1032,408,408}),IF($R25="Ｂ",LOOKUP($D25,{8000,8500,9000,10000,12000},{782,2814,2814,2814,2814}),0)))</f>
      </c>
      <c r="U25" s="214">
        <f t="shared" si="7"/>
      </c>
      <c r="V25" s="666">
        <f>IF(B25="","",SUMIF('6-3_調整額内訳①(旧々・旧制度)'!B:B,$B25,'6-3_調整額内訳①(旧々・旧制度)'!AD:AD))</f>
      </c>
      <c r="W25" s="213">
        <f t="shared" si="8"/>
      </c>
      <c r="X25" s="214">
        <f t="shared" si="9"/>
      </c>
      <c r="Y25" s="214">
        <f t="shared" si="10"/>
      </c>
      <c r="Z25" s="58"/>
      <c r="AA25" s="214">
        <f t="shared" si="11"/>
      </c>
      <c r="AB25" s="628"/>
      <c r="AC25" s="84" t="str">
        <f t="shared" si="12"/>
        <v>0</v>
      </c>
      <c r="AD25" s="214">
        <f t="shared" si="13"/>
        <v>0</v>
      </c>
      <c r="AE25" s="624"/>
      <c r="AF25" s="214">
        <f t="shared" si="14"/>
      </c>
      <c r="AG25" s="621">
        <f t="shared" si="15"/>
      </c>
      <c r="AH25" s="850"/>
      <c r="AI25" s="850"/>
      <c r="AJ25" s="851"/>
      <c r="AL25" s="60">
        <f t="shared" si="0"/>
      </c>
      <c r="AM25" s="60">
        <f t="shared" si="1"/>
      </c>
    </row>
    <row r="26" spans="1:39" s="53" customFormat="1" ht="18.75" customHeight="1">
      <c r="A26" s="181">
        <f t="shared" si="2"/>
      </c>
      <c r="B26" s="237"/>
      <c r="C26" s="207"/>
      <c r="D26" s="57"/>
      <c r="E26" s="58"/>
      <c r="F26" s="202"/>
      <c r="G26" s="191">
        <f t="shared" si="3"/>
      </c>
      <c r="H26" s="650">
        <f t="shared" si="4"/>
      </c>
      <c r="I26" s="208"/>
      <c r="J26" s="209"/>
      <c r="K26" s="614"/>
      <c r="L26" s="739"/>
      <c r="M26" s="210">
        <f t="shared" si="5"/>
      </c>
      <c r="N26" s="211">
        <f t="shared" si="6"/>
      </c>
      <c r="O26" s="254"/>
      <c r="P26" s="194"/>
      <c r="Q26" s="212">
        <f>IF($H26="","",IF($O26="Ａ",LOOKUP($D26,{8000,8500,9000,10000,12000},{0,1532,1032,408,408}),IF($O26="Ｂ",LOOKUP($D26,{8000,8500,9000,10000,12000},{782,2814,2814,2814,2814}),0)))</f>
      </c>
      <c r="R26" s="254"/>
      <c r="S26" s="251">
        <v>0</v>
      </c>
      <c r="T26" s="626">
        <f>IF($H26="","",IF($R26="Ａ",LOOKUP($D26,{8000,8500,9000,10000,12000},{0,1532,1032,408,408}),IF($R26="Ｂ",LOOKUP($D26,{8000,8500,9000,10000,12000},{782,2814,2814,2814,2814}),0)))</f>
      </c>
      <c r="U26" s="214">
        <f t="shared" si="7"/>
      </c>
      <c r="V26" s="666">
        <f>IF(B26="","",SUMIF('6-3_調整額内訳①(旧々・旧制度)'!B:B,$B26,'6-3_調整額内訳①(旧々・旧制度)'!AD:AD))</f>
      </c>
      <c r="W26" s="213">
        <f t="shared" si="8"/>
      </c>
      <c r="X26" s="214">
        <f t="shared" si="9"/>
      </c>
      <c r="Y26" s="214">
        <f t="shared" si="10"/>
      </c>
      <c r="Z26" s="58"/>
      <c r="AA26" s="214">
        <f t="shared" si="11"/>
      </c>
      <c r="AB26" s="628"/>
      <c r="AC26" s="84" t="str">
        <f t="shared" si="12"/>
        <v>0</v>
      </c>
      <c r="AD26" s="214">
        <f t="shared" si="13"/>
        <v>0</v>
      </c>
      <c r="AE26" s="624"/>
      <c r="AF26" s="214">
        <f t="shared" si="14"/>
      </c>
      <c r="AG26" s="621">
        <f t="shared" si="15"/>
      </c>
      <c r="AH26" s="850"/>
      <c r="AI26" s="850"/>
      <c r="AJ26" s="851"/>
      <c r="AL26" s="60">
        <f t="shared" si="0"/>
      </c>
      <c r="AM26" s="60">
        <f t="shared" si="1"/>
      </c>
    </row>
    <row r="27" spans="1:39" s="53" customFormat="1" ht="18.75" customHeight="1">
      <c r="A27" s="181">
        <f t="shared" si="2"/>
      </c>
      <c r="B27" s="237"/>
      <c r="C27" s="207"/>
      <c r="D27" s="57"/>
      <c r="E27" s="58"/>
      <c r="F27" s="202"/>
      <c r="G27" s="191">
        <f t="shared" si="3"/>
      </c>
      <c r="H27" s="650">
        <f t="shared" si="4"/>
      </c>
      <c r="I27" s="208"/>
      <c r="J27" s="209"/>
      <c r="K27" s="614"/>
      <c r="L27" s="739"/>
      <c r="M27" s="210">
        <f t="shared" si="5"/>
      </c>
      <c r="N27" s="211">
        <f t="shared" si="6"/>
      </c>
      <c r="O27" s="254"/>
      <c r="P27" s="194"/>
      <c r="Q27" s="212">
        <f>IF($H27="","",IF($O27="Ａ",LOOKUP($D27,{8000,8500,9000,10000,12000},{0,1532,1032,408,408}),IF($O27="Ｂ",LOOKUP($D27,{8000,8500,9000,10000,12000},{782,2814,2814,2814,2814}),0)))</f>
      </c>
      <c r="R27" s="254"/>
      <c r="S27" s="251">
        <v>0</v>
      </c>
      <c r="T27" s="626">
        <f>IF($H27="","",IF($R27="Ａ",LOOKUP($D27,{8000,8500,9000,10000,12000},{0,1532,1032,408,408}),IF($R27="Ｂ",LOOKUP($D27,{8000,8500,9000,10000,12000},{782,2814,2814,2814,2814}),0)))</f>
      </c>
      <c r="U27" s="214">
        <f t="shared" si="7"/>
      </c>
      <c r="V27" s="666">
        <f>IF(B27="","",SUMIF('6-3_調整額内訳①(旧々・旧制度)'!B:B,$B27,'6-3_調整額内訳①(旧々・旧制度)'!AD:AD))</f>
      </c>
      <c r="W27" s="213">
        <f t="shared" si="8"/>
      </c>
      <c r="X27" s="214">
        <f t="shared" si="9"/>
      </c>
      <c r="Y27" s="214">
        <f t="shared" si="10"/>
      </c>
      <c r="Z27" s="58"/>
      <c r="AA27" s="214">
        <f t="shared" si="11"/>
      </c>
      <c r="AB27" s="628"/>
      <c r="AC27" s="84" t="str">
        <f t="shared" si="12"/>
        <v>0</v>
      </c>
      <c r="AD27" s="214">
        <f t="shared" si="13"/>
        <v>0</v>
      </c>
      <c r="AE27" s="624"/>
      <c r="AF27" s="214">
        <f t="shared" si="14"/>
      </c>
      <c r="AG27" s="621">
        <f t="shared" si="15"/>
      </c>
      <c r="AH27" s="850"/>
      <c r="AI27" s="850"/>
      <c r="AJ27" s="851"/>
      <c r="AL27" s="60">
        <f t="shared" si="0"/>
      </c>
      <c r="AM27" s="60">
        <f t="shared" si="1"/>
      </c>
    </row>
    <row r="28" spans="1:39" s="53" customFormat="1" ht="18.75" customHeight="1">
      <c r="A28" s="181">
        <f t="shared" si="2"/>
      </c>
      <c r="B28" s="237"/>
      <c r="C28" s="207"/>
      <c r="D28" s="57"/>
      <c r="E28" s="58"/>
      <c r="F28" s="202"/>
      <c r="G28" s="191">
        <f t="shared" si="3"/>
      </c>
      <c r="H28" s="650">
        <f t="shared" si="4"/>
      </c>
      <c r="I28" s="208"/>
      <c r="J28" s="209"/>
      <c r="K28" s="614"/>
      <c r="L28" s="739"/>
      <c r="M28" s="210">
        <f t="shared" si="5"/>
      </c>
      <c r="N28" s="211">
        <f t="shared" si="6"/>
      </c>
      <c r="O28" s="254"/>
      <c r="P28" s="194"/>
      <c r="Q28" s="212">
        <f>IF($H28="","",IF($O28="Ａ",LOOKUP($D28,{8000,8500,9000,10000,12000},{0,1532,1032,408,408}),IF($O28="Ｂ",LOOKUP($D28,{8000,8500,9000,10000,12000},{782,2814,2814,2814,2814}),0)))</f>
      </c>
      <c r="R28" s="254"/>
      <c r="S28" s="251">
        <v>0</v>
      </c>
      <c r="T28" s="626">
        <f>IF($H28="","",IF($R28="Ａ",LOOKUP($D28,{8000,8500,9000,10000,12000},{0,1532,1032,408,408}),IF($R28="Ｂ",LOOKUP($D28,{8000,8500,9000,10000,12000},{782,2814,2814,2814,2814}),0)))</f>
      </c>
      <c r="U28" s="214">
        <f t="shared" si="7"/>
      </c>
      <c r="V28" s="666">
        <f>IF(B28="","",SUMIF('6-3_調整額内訳①(旧々・旧制度)'!B:B,$B28,'6-3_調整額内訳①(旧々・旧制度)'!AD:AD))</f>
      </c>
      <c r="W28" s="213">
        <f t="shared" si="8"/>
      </c>
      <c r="X28" s="214">
        <f t="shared" si="9"/>
      </c>
      <c r="Y28" s="214">
        <f t="shared" si="10"/>
      </c>
      <c r="Z28" s="58"/>
      <c r="AA28" s="214">
        <f t="shared" si="11"/>
      </c>
      <c r="AB28" s="628"/>
      <c r="AC28" s="84" t="str">
        <f t="shared" si="12"/>
        <v>0</v>
      </c>
      <c r="AD28" s="214">
        <f t="shared" si="13"/>
        <v>0</v>
      </c>
      <c r="AE28" s="624"/>
      <c r="AF28" s="214">
        <f t="shared" si="14"/>
      </c>
      <c r="AG28" s="621">
        <f t="shared" si="15"/>
      </c>
      <c r="AH28" s="850"/>
      <c r="AI28" s="850"/>
      <c r="AJ28" s="851"/>
      <c r="AL28" s="60">
        <f t="shared" si="0"/>
      </c>
      <c r="AM28" s="60">
        <f t="shared" si="1"/>
      </c>
    </row>
    <row r="29" spans="1:39" s="53" customFormat="1" ht="18.75" customHeight="1">
      <c r="A29" s="181">
        <f t="shared" si="2"/>
      </c>
      <c r="B29" s="237"/>
      <c r="C29" s="207"/>
      <c r="D29" s="57"/>
      <c r="E29" s="58"/>
      <c r="F29" s="202"/>
      <c r="G29" s="191">
        <f t="shared" si="3"/>
      </c>
      <c r="H29" s="650">
        <f t="shared" si="4"/>
      </c>
      <c r="I29" s="208"/>
      <c r="J29" s="209"/>
      <c r="K29" s="614"/>
      <c r="L29" s="739"/>
      <c r="M29" s="210">
        <f t="shared" si="5"/>
      </c>
      <c r="N29" s="211">
        <f t="shared" si="6"/>
      </c>
      <c r="O29" s="254"/>
      <c r="P29" s="194"/>
      <c r="Q29" s="212">
        <f>IF($H29="","",IF($O29="Ａ",LOOKUP($D29,{8000,8500,9000,10000,12000},{0,1532,1032,408,408}),IF($O29="Ｂ",LOOKUP($D29,{8000,8500,9000,10000,12000},{782,2814,2814,2814,2814}),0)))</f>
      </c>
      <c r="R29" s="254"/>
      <c r="S29" s="251">
        <v>0</v>
      </c>
      <c r="T29" s="626">
        <f>IF($H29="","",IF($R29="Ａ",LOOKUP($D29,{8000,8500,9000,10000,12000},{0,1532,1032,408,408}),IF($R29="Ｂ",LOOKUP($D29,{8000,8500,9000,10000,12000},{782,2814,2814,2814,2814}),0)))</f>
      </c>
      <c r="U29" s="214">
        <f t="shared" si="7"/>
      </c>
      <c r="V29" s="666">
        <f>IF(B29="","",SUMIF('6-3_調整額内訳①(旧々・旧制度)'!B:B,$B29,'6-3_調整額内訳①(旧々・旧制度)'!AD:AD))</f>
      </c>
      <c r="W29" s="213">
        <f t="shared" si="8"/>
      </c>
      <c r="X29" s="214">
        <f t="shared" si="9"/>
      </c>
      <c r="Y29" s="214">
        <f t="shared" si="10"/>
      </c>
      <c r="Z29" s="58"/>
      <c r="AA29" s="214">
        <f t="shared" si="11"/>
      </c>
      <c r="AB29" s="628"/>
      <c r="AC29" s="84" t="str">
        <f t="shared" si="12"/>
        <v>0</v>
      </c>
      <c r="AD29" s="214">
        <f t="shared" si="13"/>
        <v>0</v>
      </c>
      <c r="AE29" s="624"/>
      <c r="AF29" s="214">
        <f t="shared" si="14"/>
      </c>
      <c r="AG29" s="621">
        <f t="shared" si="15"/>
      </c>
      <c r="AH29" s="850"/>
      <c r="AI29" s="850"/>
      <c r="AJ29" s="851"/>
      <c r="AL29" s="60">
        <f t="shared" si="0"/>
      </c>
      <c r="AM29" s="60">
        <f t="shared" si="1"/>
      </c>
    </row>
    <row r="30" spans="1:39" s="53" customFormat="1" ht="18.75" customHeight="1">
      <c r="A30" s="181">
        <f t="shared" si="2"/>
      </c>
      <c r="B30" s="237"/>
      <c r="C30" s="207"/>
      <c r="D30" s="57"/>
      <c r="E30" s="58"/>
      <c r="F30" s="202"/>
      <c r="G30" s="191">
        <f t="shared" si="3"/>
      </c>
      <c r="H30" s="650">
        <f t="shared" si="4"/>
      </c>
      <c r="I30" s="208"/>
      <c r="J30" s="209"/>
      <c r="K30" s="614"/>
      <c r="L30" s="739"/>
      <c r="M30" s="210">
        <f t="shared" si="5"/>
      </c>
      <c r="N30" s="211">
        <f t="shared" si="6"/>
      </c>
      <c r="O30" s="254"/>
      <c r="P30" s="194"/>
      <c r="Q30" s="212">
        <f>IF($H30="","",IF($O30="Ａ",LOOKUP($D30,{8000,8500,9000,10000,12000},{0,1532,1032,408,408}),IF($O30="Ｂ",LOOKUP($D30,{8000,8500,9000,10000,12000},{782,2814,2814,2814,2814}),0)))</f>
      </c>
      <c r="R30" s="254"/>
      <c r="S30" s="251">
        <v>0</v>
      </c>
      <c r="T30" s="626">
        <f>IF($H30="","",IF($R30="Ａ",LOOKUP($D30,{8000,8500,9000,10000,12000},{0,1532,1032,408,408}),IF($R30="Ｂ",LOOKUP($D30,{8000,8500,9000,10000,12000},{782,2814,2814,2814,2814}),0)))</f>
      </c>
      <c r="U30" s="214">
        <f t="shared" si="7"/>
      </c>
      <c r="V30" s="666">
        <f>IF(B30="","",SUMIF('6-3_調整額内訳①(旧々・旧制度)'!B:B,$B30,'6-3_調整額内訳①(旧々・旧制度)'!AD:AD))</f>
      </c>
      <c r="W30" s="213">
        <f t="shared" si="8"/>
      </c>
      <c r="X30" s="214">
        <f t="shared" si="9"/>
      </c>
      <c r="Y30" s="214">
        <f t="shared" si="10"/>
      </c>
      <c r="Z30" s="58"/>
      <c r="AA30" s="214">
        <f t="shared" si="11"/>
      </c>
      <c r="AB30" s="628"/>
      <c r="AC30" s="84" t="str">
        <f t="shared" si="12"/>
        <v>0</v>
      </c>
      <c r="AD30" s="214">
        <f t="shared" si="13"/>
        <v>0</v>
      </c>
      <c r="AE30" s="624"/>
      <c r="AF30" s="214">
        <f t="shared" si="14"/>
      </c>
      <c r="AG30" s="621">
        <f t="shared" si="15"/>
      </c>
      <c r="AH30" s="850"/>
      <c r="AI30" s="850"/>
      <c r="AJ30" s="851"/>
      <c r="AL30" s="60">
        <f t="shared" si="0"/>
      </c>
      <c r="AM30" s="60">
        <f t="shared" si="1"/>
      </c>
    </row>
    <row r="31" spans="1:39" s="53" customFormat="1" ht="18.75" customHeight="1">
      <c r="A31" s="181">
        <f t="shared" si="2"/>
      </c>
      <c r="B31" s="237"/>
      <c r="C31" s="207"/>
      <c r="D31" s="57"/>
      <c r="E31" s="58"/>
      <c r="F31" s="202"/>
      <c r="G31" s="191">
        <f t="shared" si="3"/>
      </c>
      <c r="H31" s="650">
        <f t="shared" si="4"/>
      </c>
      <c r="I31" s="208"/>
      <c r="J31" s="209"/>
      <c r="K31" s="614"/>
      <c r="L31" s="739"/>
      <c r="M31" s="210">
        <f t="shared" si="5"/>
      </c>
      <c r="N31" s="211">
        <f t="shared" si="6"/>
      </c>
      <c r="O31" s="254"/>
      <c r="P31" s="194"/>
      <c r="Q31" s="212">
        <f>IF($H31="","",IF($O31="Ａ",LOOKUP($D31,{8000,8500,9000,10000,12000},{0,1532,1032,408,408}),IF($O31="Ｂ",LOOKUP($D31,{8000,8500,9000,10000,12000},{782,2814,2814,2814,2814}),0)))</f>
      </c>
      <c r="R31" s="254"/>
      <c r="S31" s="251">
        <v>0</v>
      </c>
      <c r="T31" s="626">
        <f>IF($H31="","",IF($R31="Ａ",LOOKUP($D31,{8000,8500,9000,10000,12000},{0,1532,1032,408,408}),IF($R31="Ｂ",LOOKUP($D31,{8000,8500,9000,10000,12000},{782,2814,2814,2814,2814}),0)))</f>
      </c>
      <c r="U31" s="214">
        <f t="shared" si="7"/>
      </c>
      <c r="V31" s="666">
        <f>IF(B31="","",SUMIF('6-3_調整額内訳①(旧々・旧制度)'!B:B,$B31,'6-3_調整額内訳①(旧々・旧制度)'!AD:AD))</f>
      </c>
      <c r="W31" s="213">
        <f t="shared" si="8"/>
      </c>
      <c r="X31" s="214">
        <f t="shared" si="9"/>
      </c>
      <c r="Y31" s="214">
        <f t="shared" si="10"/>
      </c>
      <c r="Z31" s="58"/>
      <c r="AA31" s="214">
        <f t="shared" si="11"/>
      </c>
      <c r="AB31" s="628"/>
      <c r="AC31" s="84" t="str">
        <f t="shared" si="12"/>
        <v>0</v>
      </c>
      <c r="AD31" s="214">
        <f t="shared" si="13"/>
        <v>0</v>
      </c>
      <c r="AE31" s="624"/>
      <c r="AF31" s="214">
        <f t="shared" si="14"/>
      </c>
      <c r="AG31" s="621">
        <f t="shared" si="15"/>
      </c>
      <c r="AH31" s="850"/>
      <c r="AI31" s="850"/>
      <c r="AJ31" s="851"/>
      <c r="AL31" s="60">
        <f t="shared" si="0"/>
      </c>
      <c r="AM31" s="60">
        <f t="shared" si="1"/>
      </c>
    </row>
    <row r="32" spans="1:39" s="53" customFormat="1" ht="18.75" customHeight="1">
      <c r="A32" s="181">
        <f t="shared" si="2"/>
      </c>
      <c r="B32" s="237"/>
      <c r="C32" s="207"/>
      <c r="D32" s="57"/>
      <c r="E32" s="58"/>
      <c r="F32" s="202"/>
      <c r="G32" s="191">
        <f t="shared" si="3"/>
      </c>
      <c r="H32" s="650">
        <f t="shared" si="4"/>
      </c>
      <c r="I32" s="208"/>
      <c r="J32" s="209"/>
      <c r="K32" s="614"/>
      <c r="L32" s="739"/>
      <c r="M32" s="210">
        <f t="shared" si="5"/>
      </c>
      <c r="N32" s="211">
        <f t="shared" si="6"/>
      </c>
      <c r="O32" s="254"/>
      <c r="P32" s="194"/>
      <c r="Q32" s="212">
        <f>IF($H32="","",IF($O32="Ａ",LOOKUP($D32,{8000,8500,9000,10000,12000},{0,1532,1032,408,408}),IF($O32="Ｂ",LOOKUP($D32,{8000,8500,9000,10000,12000},{782,2814,2814,2814,2814}),0)))</f>
      </c>
      <c r="R32" s="254"/>
      <c r="S32" s="251">
        <v>0</v>
      </c>
      <c r="T32" s="626">
        <f>IF($H32="","",IF($R32="Ａ",LOOKUP($D32,{8000,8500,9000,10000,12000},{0,1532,1032,408,408}),IF($R32="Ｂ",LOOKUP($D32,{8000,8500,9000,10000,12000},{782,2814,2814,2814,2814}),0)))</f>
      </c>
      <c r="U32" s="214">
        <f t="shared" si="7"/>
      </c>
      <c r="V32" s="666">
        <f>IF(B32="","",SUMIF('6-3_調整額内訳①(旧々・旧制度)'!B:B,$B32,'6-3_調整額内訳①(旧々・旧制度)'!AD:AD))</f>
      </c>
      <c r="W32" s="213">
        <f t="shared" si="8"/>
      </c>
      <c r="X32" s="214">
        <f t="shared" si="9"/>
      </c>
      <c r="Y32" s="214">
        <f t="shared" si="10"/>
      </c>
      <c r="Z32" s="58"/>
      <c r="AA32" s="214">
        <f t="shared" si="11"/>
      </c>
      <c r="AB32" s="628"/>
      <c r="AC32" s="84" t="str">
        <f t="shared" si="12"/>
        <v>0</v>
      </c>
      <c r="AD32" s="214">
        <f t="shared" si="13"/>
        <v>0</v>
      </c>
      <c r="AE32" s="624"/>
      <c r="AF32" s="214">
        <f t="shared" si="14"/>
      </c>
      <c r="AG32" s="621">
        <f t="shared" si="15"/>
      </c>
      <c r="AH32" s="850"/>
      <c r="AI32" s="850"/>
      <c r="AJ32" s="851"/>
      <c r="AL32" s="60">
        <f t="shared" si="0"/>
      </c>
      <c r="AM32" s="60">
        <f t="shared" si="1"/>
      </c>
    </row>
    <row r="33" spans="1:39" s="53" customFormat="1" ht="18.75" customHeight="1">
      <c r="A33" s="27">
        <f t="shared" si="2"/>
      </c>
      <c r="B33" s="237"/>
      <c r="C33" s="207"/>
      <c r="D33" s="57"/>
      <c r="E33" s="58"/>
      <c r="F33" s="202"/>
      <c r="G33" s="191">
        <f t="shared" si="3"/>
      </c>
      <c r="H33" s="650">
        <f t="shared" si="4"/>
      </c>
      <c r="I33" s="208"/>
      <c r="J33" s="209"/>
      <c r="K33" s="614"/>
      <c r="L33" s="739"/>
      <c r="M33" s="210">
        <f t="shared" si="5"/>
      </c>
      <c r="N33" s="211">
        <f t="shared" si="6"/>
      </c>
      <c r="O33" s="254"/>
      <c r="P33" s="194"/>
      <c r="Q33" s="212">
        <f>IF($H33="","",IF($O33="Ａ",LOOKUP($D33,{8000,8500,9000,10000,12000},{0,1532,1032,408,408}),IF($O33="Ｂ",LOOKUP($D33,{8000,8500,9000,10000,12000},{782,2814,2814,2814,2814}),0)))</f>
      </c>
      <c r="R33" s="254"/>
      <c r="S33" s="251">
        <v>0</v>
      </c>
      <c r="T33" s="626">
        <f>IF($H33="","",IF($R33="Ａ",LOOKUP($D33,{8000,8500,9000,10000,12000},{0,1532,1032,408,408}),IF($R33="Ｂ",LOOKUP($D33,{8000,8500,9000,10000,12000},{782,2814,2814,2814,2814}),0)))</f>
      </c>
      <c r="U33" s="214">
        <f t="shared" si="7"/>
      </c>
      <c r="V33" s="666">
        <f>IF(B33="","",SUMIF('6-3_調整額内訳①(旧々・旧制度)'!B:B,$B33,'6-3_調整額内訳①(旧々・旧制度)'!AD:AD))</f>
      </c>
      <c r="W33" s="213">
        <f t="shared" si="8"/>
      </c>
      <c r="X33" s="214">
        <f t="shared" si="9"/>
      </c>
      <c r="Y33" s="214">
        <f t="shared" si="10"/>
      </c>
      <c r="Z33" s="58"/>
      <c r="AA33" s="214">
        <f t="shared" si="11"/>
      </c>
      <c r="AB33" s="628"/>
      <c r="AC33" s="84" t="str">
        <f t="shared" si="12"/>
        <v>0</v>
      </c>
      <c r="AD33" s="214">
        <f t="shared" si="13"/>
        <v>0</v>
      </c>
      <c r="AE33" s="624"/>
      <c r="AF33" s="214">
        <f t="shared" si="14"/>
      </c>
      <c r="AG33" s="621">
        <f t="shared" si="15"/>
      </c>
      <c r="AH33" s="850"/>
      <c r="AI33" s="850"/>
      <c r="AJ33" s="851"/>
      <c r="AL33" s="60">
        <f t="shared" si="0"/>
      </c>
      <c r="AM33" s="60">
        <f t="shared" si="1"/>
      </c>
    </row>
    <row r="34" spans="1:39" s="53" customFormat="1" ht="18.75" customHeight="1">
      <c r="A34" s="27">
        <f t="shared" si="2"/>
      </c>
      <c r="B34" s="237"/>
      <c r="C34" s="207"/>
      <c r="D34" s="57"/>
      <c r="E34" s="58"/>
      <c r="F34" s="202"/>
      <c r="G34" s="191">
        <f t="shared" si="3"/>
      </c>
      <c r="H34" s="650">
        <f t="shared" si="4"/>
      </c>
      <c r="I34" s="208"/>
      <c r="J34" s="209"/>
      <c r="K34" s="614"/>
      <c r="L34" s="739"/>
      <c r="M34" s="210">
        <f t="shared" si="5"/>
      </c>
      <c r="N34" s="211">
        <f t="shared" si="6"/>
      </c>
      <c r="O34" s="254"/>
      <c r="P34" s="194"/>
      <c r="Q34" s="212">
        <f>IF($H34="","",IF($O34="Ａ",LOOKUP($D34,{8000,8500,9000,10000,12000},{0,1532,1032,408,408}),IF($O34="Ｂ",LOOKUP($D34,{8000,8500,9000,10000,12000},{782,2814,2814,2814,2814}),0)))</f>
      </c>
      <c r="R34" s="254"/>
      <c r="S34" s="251">
        <v>0</v>
      </c>
      <c r="T34" s="626">
        <f>IF($H34="","",IF($R34="Ａ",LOOKUP($D34,{8000,8500,9000,10000,12000},{0,1532,1032,408,408}),IF($R34="Ｂ",LOOKUP($D34,{8000,8500,9000,10000,12000},{782,2814,2814,2814,2814}),0)))</f>
      </c>
      <c r="U34" s="214">
        <f t="shared" si="7"/>
      </c>
      <c r="V34" s="666">
        <f>IF(B34="","",SUMIF('6-3_調整額内訳①(旧々・旧制度)'!B:B,$B34,'6-3_調整額内訳①(旧々・旧制度)'!AD:AD))</f>
      </c>
      <c r="W34" s="213">
        <f t="shared" si="8"/>
      </c>
      <c r="X34" s="214">
        <f t="shared" si="9"/>
      </c>
      <c r="Y34" s="214">
        <f t="shared" si="10"/>
      </c>
      <c r="Z34" s="58"/>
      <c r="AA34" s="214">
        <f t="shared" si="11"/>
      </c>
      <c r="AB34" s="628"/>
      <c r="AC34" s="84" t="str">
        <f t="shared" si="12"/>
        <v>0</v>
      </c>
      <c r="AD34" s="214">
        <f t="shared" si="13"/>
        <v>0</v>
      </c>
      <c r="AE34" s="624"/>
      <c r="AF34" s="214">
        <f t="shared" si="14"/>
      </c>
      <c r="AG34" s="621">
        <f t="shared" si="15"/>
      </c>
      <c r="AH34" s="850"/>
      <c r="AI34" s="850"/>
      <c r="AJ34" s="851"/>
      <c r="AL34" s="60">
        <f t="shared" si="0"/>
      </c>
      <c r="AM34" s="60">
        <f t="shared" si="1"/>
      </c>
    </row>
    <row r="35" spans="1:39" s="53" customFormat="1" ht="18.75" customHeight="1">
      <c r="A35" s="37">
        <f t="shared" si="2"/>
      </c>
      <c r="B35" s="237"/>
      <c r="C35" s="207"/>
      <c r="D35" s="57"/>
      <c r="E35" s="58"/>
      <c r="F35" s="202"/>
      <c r="G35" s="191">
        <f t="shared" si="3"/>
      </c>
      <c r="H35" s="650">
        <f t="shared" si="4"/>
      </c>
      <c r="I35" s="208"/>
      <c r="J35" s="209"/>
      <c r="K35" s="614"/>
      <c r="L35" s="739"/>
      <c r="M35" s="210">
        <f t="shared" si="5"/>
      </c>
      <c r="N35" s="211">
        <f t="shared" si="6"/>
      </c>
      <c r="O35" s="254"/>
      <c r="P35" s="194"/>
      <c r="Q35" s="212">
        <f>IF($H35="","",IF($O35="Ａ",LOOKUP($D35,{8000,8500,9000,10000,12000},{0,1532,1032,408,408}),IF($O35="Ｂ",LOOKUP($D35,{8000,8500,9000,10000,12000},{782,2814,2814,2814,2814}),0)))</f>
      </c>
      <c r="R35" s="254"/>
      <c r="S35" s="251">
        <v>0</v>
      </c>
      <c r="T35" s="626">
        <f>IF($H35="","",IF($R35="Ａ",LOOKUP($D35,{8000,8500,9000,10000,12000},{0,1532,1032,408,408}),IF($R35="Ｂ",LOOKUP($D35,{8000,8500,9000,10000,12000},{782,2814,2814,2814,2814}),0)))</f>
      </c>
      <c r="U35" s="214">
        <f t="shared" si="7"/>
      </c>
      <c r="V35" s="666">
        <f>IF(B35="","",SUMIF('6-3_調整額内訳①(旧々・旧制度)'!B:B,$B35,'6-3_調整額内訳①(旧々・旧制度)'!AD:AD))</f>
      </c>
      <c r="W35" s="213">
        <f t="shared" si="8"/>
      </c>
      <c r="X35" s="214">
        <f t="shared" si="9"/>
      </c>
      <c r="Y35" s="214">
        <f t="shared" si="10"/>
      </c>
      <c r="Z35" s="58"/>
      <c r="AA35" s="214">
        <f t="shared" si="11"/>
      </c>
      <c r="AB35" s="628"/>
      <c r="AC35" s="84" t="str">
        <f t="shared" si="12"/>
        <v>0</v>
      </c>
      <c r="AD35" s="214">
        <f t="shared" si="13"/>
        <v>0</v>
      </c>
      <c r="AE35" s="624"/>
      <c r="AF35" s="214">
        <f t="shared" si="14"/>
      </c>
      <c r="AG35" s="621">
        <f t="shared" si="15"/>
      </c>
      <c r="AH35" s="850"/>
      <c r="AI35" s="850"/>
      <c r="AJ35" s="851"/>
      <c r="AL35" s="60">
        <f t="shared" si="0"/>
      </c>
      <c r="AM35" s="60">
        <f t="shared" si="1"/>
      </c>
    </row>
    <row r="36" spans="1:39" s="53" customFormat="1" ht="18.75" customHeight="1">
      <c r="A36" s="181">
        <f t="shared" si="2"/>
      </c>
      <c r="B36" s="237"/>
      <c r="C36" s="207"/>
      <c r="D36" s="57"/>
      <c r="E36" s="299"/>
      <c r="F36" s="608"/>
      <c r="G36" s="191">
        <f t="shared" si="3"/>
      </c>
      <c r="H36" s="651">
        <f t="shared" si="4"/>
      </c>
      <c r="I36" s="300"/>
      <c r="J36" s="301"/>
      <c r="K36" s="300"/>
      <c r="L36" s="740"/>
      <c r="M36" s="210">
        <f t="shared" si="5"/>
      </c>
      <c r="N36" s="211">
        <f t="shared" si="6"/>
      </c>
      <c r="O36" s="254"/>
      <c r="P36" s="194"/>
      <c r="Q36" s="212">
        <f>IF($H36="","",IF($O36="Ａ",LOOKUP($D36,{8000,8500,9000,10000,12000},{0,1532,1032,408,408}),IF($O36="Ｂ",LOOKUP($D36,{8000,8500,9000,10000,12000},{782,2814,2814,2814,2814}),0)))</f>
      </c>
      <c r="R36" s="254"/>
      <c r="S36" s="251">
        <v>0</v>
      </c>
      <c r="T36" s="626">
        <f>IF($H36="","",IF($R36="Ａ",LOOKUP($D36,{8000,8500,9000,10000,12000},{0,1532,1032,408,408}),IF($R36="Ｂ",LOOKUP($D36,{8000,8500,9000,10000,12000},{782,2814,2814,2814,2814}),0)))</f>
      </c>
      <c r="U36" s="214">
        <f t="shared" si="7"/>
      </c>
      <c r="V36" s="666">
        <f>IF(B36="","",SUMIF('6-3_調整額内訳①(旧々・旧制度)'!B:B,$B36,'6-3_調整額内訳①(旧々・旧制度)'!AD:AD))</f>
      </c>
      <c r="W36" s="213">
        <f t="shared" si="8"/>
      </c>
      <c r="X36" s="214">
        <f t="shared" si="9"/>
      </c>
      <c r="Y36" s="214">
        <f t="shared" si="10"/>
      </c>
      <c r="Z36" s="58"/>
      <c r="AA36" s="214">
        <f t="shared" si="11"/>
      </c>
      <c r="AB36" s="628"/>
      <c r="AC36" s="84" t="str">
        <f t="shared" si="12"/>
        <v>0</v>
      </c>
      <c r="AD36" s="214">
        <f t="shared" si="13"/>
        <v>0</v>
      </c>
      <c r="AE36" s="624"/>
      <c r="AF36" s="214">
        <f t="shared" si="14"/>
      </c>
      <c r="AG36" s="621">
        <f t="shared" si="15"/>
      </c>
      <c r="AH36" s="850"/>
      <c r="AI36" s="850"/>
      <c r="AJ36" s="851"/>
      <c r="AL36" s="60">
        <f t="shared" si="0"/>
      </c>
      <c r="AM36" s="60">
        <f t="shared" si="1"/>
      </c>
    </row>
    <row r="37" spans="1:39" s="53" customFormat="1" ht="18.75" customHeight="1">
      <c r="A37" s="27">
        <f t="shared" si="2"/>
      </c>
      <c r="B37" s="237"/>
      <c r="C37" s="207"/>
      <c r="D37" s="57"/>
      <c r="E37" s="58"/>
      <c r="F37" s="202"/>
      <c r="G37" s="191">
        <f t="shared" si="3"/>
      </c>
      <c r="H37" s="650">
        <f t="shared" si="4"/>
      </c>
      <c r="I37" s="208"/>
      <c r="J37" s="209"/>
      <c r="K37" s="614"/>
      <c r="L37" s="739"/>
      <c r="M37" s="210">
        <f t="shared" si="5"/>
      </c>
      <c r="N37" s="211">
        <f t="shared" si="6"/>
      </c>
      <c r="O37" s="254"/>
      <c r="P37" s="194"/>
      <c r="Q37" s="212">
        <f>IF($H37="","",IF($O37="Ａ",LOOKUP($D37,{8000,8500,9000,10000,12000},{0,1532,1032,408,408}),IF($O37="Ｂ",LOOKUP($D37,{8000,8500,9000,10000,12000},{782,2814,2814,2814,2814}),0)))</f>
      </c>
      <c r="R37" s="254"/>
      <c r="S37" s="251">
        <v>0</v>
      </c>
      <c r="T37" s="626">
        <f>IF($H37="","",IF($R37="Ａ",LOOKUP($D37,{8000,8500,9000,10000,12000},{0,1532,1032,408,408}),IF($R37="Ｂ",LOOKUP($D37,{8000,8500,9000,10000,12000},{782,2814,2814,2814,2814}),0)))</f>
      </c>
      <c r="U37" s="214">
        <f t="shared" si="7"/>
      </c>
      <c r="V37" s="666">
        <f>IF(B37="","",SUMIF('6-3_調整額内訳①(旧々・旧制度)'!B:B,$B37,'6-3_調整額内訳①(旧々・旧制度)'!AD:AD))</f>
      </c>
      <c r="W37" s="213">
        <f t="shared" si="8"/>
      </c>
      <c r="X37" s="214">
        <f t="shared" si="9"/>
      </c>
      <c r="Y37" s="214">
        <f t="shared" si="10"/>
      </c>
      <c r="Z37" s="58"/>
      <c r="AA37" s="214">
        <f t="shared" si="11"/>
      </c>
      <c r="AB37" s="628"/>
      <c r="AC37" s="84" t="str">
        <f t="shared" si="12"/>
        <v>0</v>
      </c>
      <c r="AD37" s="214">
        <f t="shared" si="13"/>
        <v>0</v>
      </c>
      <c r="AE37" s="624"/>
      <c r="AF37" s="214">
        <f t="shared" si="14"/>
      </c>
      <c r="AG37" s="621">
        <f t="shared" si="15"/>
      </c>
      <c r="AH37" s="850"/>
      <c r="AI37" s="850"/>
      <c r="AJ37" s="851"/>
      <c r="AL37" s="60">
        <f t="shared" si="0"/>
      </c>
      <c r="AM37" s="60">
        <f t="shared" si="1"/>
      </c>
    </row>
    <row r="38" spans="1:39" s="53" customFormat="1" ht="18.75" customHeight="1">
      <c r="A38" s="27">
        <f t="shared" si="2"/>
      </c>
      <c r="B38" s="237"/>
      <c r="C38" s="207"/>
      <c r="D38" s="57"/>
      <c r="E38" s="58"/>
      <c r="F38" s="202"/>
      <c r="G38" s="191">
        <f t="shared" si="3"/>
      </c>
      <c r="H38" s="650">
        <f t="shared" si="4"/>
      </c>
      <c r="I38" s="208"/>
      <c r="J38" s="209"/>
      <c r="K38" s="614"/>
      <c r="L38" s="739"/>
      <c r="M38" s="210">
        <f t="shared" si="5"/>
      </c>
      <c r="N38" s="211">
        <f t="shared" si="6"/>
      </c>
      <c r="O38" s="254"/>
      <c r="P38" s="194"/>
      <c r="Q38" s="212">
        <f>IF($H38="","",IF($O38="Ａ",LOOKUP($D38,{8000,8500,9000,10000,12000},{0,1532,1032,408,408}),IF($O38="Ｂ",LOOKUP($D38,{8000,8500,9000,10000,12000},{782,2814,2814,2814,2814}),0)))</f>
      </c>
      <c r="R38" s="254"/>
      <c r="S38" s="251">
        <v>0</v>
      </c>
      <c r="T38" s="626">
        <f>IF($H38="","",IF($R38="Ａ",LOOKUP($D38,{8000,8500,9000,10000,12000},{0,1532,1032,408,408}),IF($R38="Ｂ",LOOKUP($D38,{8000,8500,9000,10000,12000},{782,2814,2814,2814,2814}),0)))</f>
      </c>
      <c r="U38" s="214">
        <f t="shared" si="7"/>
      </c>
      <c r="V38" s="666">
        <f>IF(B38="","",SUMIF('6-3_調整額内訳①(旧々・旧制度)'!B:B,$B38,'6-3_調整額内訳①(旧々・旧制度)'!AD:AD))</f>
      </c>
      <c r="W38" s="213">
        <f t="shared" si="8"/>
      </c>
      <c r="X38" s="214">
        <f t="shared" si="9"/>
      </c>
      <c r="Y38" s="214">
        <f t="shared" si="10"/>
      </c>
      <c r="Z38" s="58"/>
      <c r="AA38" s="214">
        <f t="shared" si="11"/>
      </c>
      <c r="AB38" s="628"/>
      <c r="AC38" s="84" t="str">
        <f t="shared" si="12"/>
        <v>0</v>
      </c>
      <c r="AD38" s="214">
        <f t="shared" si="13"/>
        <v>0</v>
      </c>
      <c r="AE38" s="624"/>
      <c r="AF38" s="214">
        <f t="shared" si="14"/>
      </c>
      <c r="AG38" s="621">
        <f t="shared" si="15"/>
      </c>
      <c r="AH38" s="850"/>
      <c r="AI38" s="850"/>
      <c r="AJ38" s="851"/>
      <c r="AL38" s="60">
        <f t="shared" si="0"/>
      </c>
      <c r="AM38" s="60">
        <f t="shared" si="1"/>
      </c>
    </row>
    <row r="39" spans="1:39" s="53" customFormat="1" ht="18.75" customHeight="1">
      <c r="A39" s="27">
        <f t="shared" si="2"/>
      </c>
      <c r="B39" s="237"/>
      <c r="C39" s="207"/>
      <c r="D39" s="57"/>
      <c r="E39" s="58"/>
      <c r="F39" s="202"/>
      <c r="G39" s="191">
        <f t="shared" si="3"/>
      </c>
      <c r="H39" s="650">
        <f t="shared" si="4"/>
      </c>
      <c r="I39" s="208"/>
      <c r="J39" s="209"/>
      <c r="K39" s="614"/>
      <c r="L39" s="739"/>
      <c r="M39" s="210">
        <f t="shared" si="5"/>
      </c>
      <c r="N39" s="211">
        <f t="shared" si="6"/>
      </c>
      <c r="O39" s="254"/>
      <c r="P39" s="194"/>
      <c r="Q39" s="212">
        <f>IF($H39="","",IF($O39="Ａ",LOOKUP($D39,{8000,8500,9000,10000,12000},{0,1532,1032,408,408}),IF($O39="Ｂ",LOOKUP($D39,{8000,8500,9000,10000,12000},{782,2814,2814,2814,2814}),0)))</f>
      </c>
      <c r="R39" s="254"/>
      <c r="S39" s="251">
        <v>0</v>
      </c>
      <c r="T39" s="626">
        <f>IF($H39="","",IF($R39="Ａ",LOOKUP($D39,{8000,8500,9000,10000,12000},{0,1532,1032,408,408}),IF($R39="Ｂ",LOOKUP($D39,{8000,8500,9000,10000,12000},{782,2814,2814,2814,2814}),0)))</f>
      </c>
      <c r="U39" s="214">
        <f t="shared" si="7"/>
      </c>
      <c r="V39" s="666">
        <f>IF(B39="","",SUMIF('6-3_調整額内訳①(旧々・旧制度)'!B:B,$B39,'6-3_調整額内訳①(旧々・旧制度)'!AD:AD))</f>
      </c>
      <c r="W39" s="213">
        <f t="shared" si="8"/>
      </c>
      <c r="X39" s="214">
        <f t="shared" si="9"/>
      </c>
      <c r="Y39" s="214">
        <f t="shared" si="10"/>
      </c>
      <c r="Z39" s="58"/>
      <c r="AA39" s="214">
        <f t="shared" si="11"/>
      </c>
      <c r="AB39" s="628"/>
      <c r="AC39" s="84" t="str">
        <f t="shared" si="12"/>
        <v>0</v>
      </c>
      <c r="AD39" s="214">
        <f t="shared" si="13"/>
        <v>0</v>
      </c>
      <c r="AE39" s="624"/>
      <c r="AF39" s="214">
        <f t="shared" si="14"/>
      </c>
      <c r="AG39" s="621">
        <f t="shared" si="15"/>
      </c>
      <c r="AH39" s="850"/>
      <c r="AI39" s="850"/>
      <c r="AJ39" s="851"/>
      <c r="AL39" s="60">
        <f t="shared" si="0"/>
      </c>
      <c r="AM39" s="60">
        <f t="shared" si="1"/>
      </c>
    </row>
    <row r="40" spans="1:39" s="53" customFormat="1" ht="18.75" customHeight="1">
      <c r="A40" s="37">
        <f t="shared" si="2"/>
      </c>
      <c r="B40" s="237"/>
      <c r="C40" s="207"/>
      <c r="D40" s="57"/>
      <c r="E40" s="58"/>
      <c r="F40" s="202"/>
      <c r="G40" s="191">
        <f t="shared" si="3"/>
      </c>
      <c r="H40" s="650">
        <f t="shared" si="4"/>
      </c>
      <c r="I40" s="208"/>
      <c r="J40" s="209"/>
      <c r="K40" s="614"/>
      <c r="L40" s="739"/>
      <c r="M40" s="210">
        <f t="shared" si="5"/>
      </c>
      <c r="N40" s="211">
        <f t="shared" si="6"/>
      </c>
      <c r="O40" s="254"/>
      <c r="P40" s="194"/>
      <c r="Q40" s="212">
        <f>IF($H40="","",IF($O40="Ａ",LOOKUP($D40,{8000,8500,9000,10000,12000},{0,1532,1032,408,408}),IF($O40="Ｂ",LOOKUP($D40,{8000,8500,9000,10000,12000},{782,2814,2814,2814,2814}),0)))</f>
      </c>
      <c r="R40" s="254"/>
      <c r="S40" s="251">
        <v>0</v>
      </c>
      <c r="T40" s="626">
        <f>IF($H40="","",IF($R40="Ａ",LOOKUP($D40,{8000,8500,9000,10000,12000},{0,1532,1032,408,408}),IF($R40="Ｂ",LOOKUP($D40,{8000,8500,9000,10000,12000},{782,2814,2814,2814,2814}),0)))</f>
      </c>
      <c r="U40" s="214">
        <f t="shared" si="7"/>
      </c>
      <c r="V40" s="666">
        <f>IF(B40="","",SUMIF('6-3_調整額内訳①(旧々・旧制度)'!B:B,$B40,'6-3_調整額内訳①(旧々・旧制度)'!AD:AD))</f>
      </c>
      <c r="W40" s="213">
        <f t="shared" si="8"/>
      </c>
      <c r="X40" s="214">
        <f t="shared" si="9"/>
      </c>
      <c r="Y40" s="214">
        <f t="shared" si="10"/>
      </c>
      <c r="Z40" s="58"/>
      <c r="AA40" s="214">
        <f t="shared" si="11"/>
      </c>
      <c r="AB40" s="628"/>
      <c r="AC40" s="84" t="str">
        <f t="shared" si="12"/>
        <v>0</v>
      </c>
      <c r="AD40" s="214">
        <f t="shared" si="13"/>
        <v>0</v>
      </c>
      <c r="AE40" s="624"/>
      <c r="AF40" s="214">
        <f t="shared" si="14"/>
      </c>
      <c r="AG40" s="621">
        <f t="shared" si="15"/>
      </c>
      <c r="AH40" s="850"/>
      <c r="AI40" s="850"/>
      <c r="AJ40" s="851"/>
      <c r="AL40" s="60">
        <f t="shared" si="0"/>
      </c>
      <c r="AM40" s="60">
        <f t="shared" si="1"/>
      </c>
    </row>
    <row r="41" spans="1:39" s="53" customFormat="1" ht="18.75" customHeight="1">
      <c r="A41" s="181">
        <f t="shared" si="2"/>
      </c>
      <c r="B41" s="237"/>
      <c r="C41" s="207"/>
      <c r="D41" s="57"/>
      <c r="E41" s="58"/>
      <c r="F41" s="202"/>
      <c r="G41" s="191">
        <f t="shared" si="3"/>
      </c>
      <c r="H41" s="650">
        <f t="shared" si="4"/>
      </c>
      <c r="I41" s="208"/>
      <c r="J41" s="209"/>
      <c r="K41" s="614"/>
      <c r="L41" s="739"/>
      <c r="M41" s="210">
        <f t="shared" si="5"/>
      </c>
      <c r="N41" s="211">
        <f t="shared" si="6"/>
      </c>
      <c r="O41" s="254"/>
      <c r="P41" s="194"/>
      <c r="Q41" s="212">
        <f>IF($H41="","",IF($O41="Ａ",LOOKUP($D41,{8000,8500,9000,10000,12000},{0,1532,1032,408,408}),IF($O41="Ｂ",LOOKUP($D41,{8000,8500,9000,10000,12000},{782,2814,2814,2814,2814}),0)))</f>
      </c>
      <c r="R41" s="254"/>
      <c r="S41" s="251">
        <v>0</v>
      </c>
      <c r="T41" s="626">
        <f>IF($H41="","",IF($R41="Ａ",LOOKUP($D41,{8000,8500,9000,10000,12000},{0,1532,1032,408,408}),IF($R41="Ｂ",LOOKUP($D41,{8000,8500,9000,10000,12000},{782,2814,2814,2814,2814}),0)))</f>
      </c>
      <c r="U41" s="214">
        <f t="shared" si="7"/>
      </c>
      <c r="V41" s="666">
        <f>IF(B41="","",SUMIF('6-3_調整額内訳①(旧々・旧制度)'!B:B,$B41,'6-3_調整額内訳①(旧々・旧制度)'!AD:AD))</f>
      </c>
      <c r="W41" s="213">
        <f t="shared" si="8"/>
      </c>
      <c r="X41" s="214">
        <f t="shared" si="9"/>
      </c>
      <c r="Y41" s="214">
        <f t="shared" si="10"/>
      </c>
      <c r="Z41" s="58"/>
      <c r="AA41" s="214">
        <f t="shared" si="11"/>
      </c>
      <c r="AB41" s="628"/>
      <c r="AC41" s="84" t="str">
        <f t="shared" si="12"/>
        <v>0</v>
      </c>
      <c r="AD41" s="214">
        <f t="shared" si="13"/>
        <v>0</v>
      </c>
      <c r="AE41" s="624"/>
      <c r="AF41" s="214">
        <f t="shared" si="14"/>
      </c>
      <c r="AG41" s="621">
        <f t="shared" si="15"/>
      </c>
      <c r="AH41" s="850"/>
      <c r="AI41" s="850"/>
      <c r="AJ41" s="851"/>
      <c r="AL41" s="60">
        <f t="shared" si="0"/>
      </c>
      <c r="AM41" s="60">
        <f t="shared" si="1"/>
      </c>
    </row>
    <row r="42" spans="1:39" s="53" customFormat="1" ht="18.75" customHeight="1">
      <c r="A42" s="27">
        <f t="shared" si="2"/>
      </c>
      <c r="B42" s="237"/>
      <c r="C42" s="207"/>
      <c r="D42" s="57"/>
      <c r="E42" s="58"/>
      <c r="F42" s="202"/>
      <c r="G42" s="191">
        <f t="shared" si="3"/>
      </c>
      <c r="H42" s="650">
        <f t="shared" si="4"/>
      </c>
      <c r="I42" s="208"/>
      <c r="J42" s="209"/>
      <c r="K42" s="614"/>
      <c r="L42" s="739"/>
      <c r="M42" s="210">
        <f t="shared" si="5"/>
      </c>
      <c r="N42" s="211">
        <f t="shared" si="6"/>
      </c>
      <c r="O42" s="254"/>
      <c r="P42" s="194"/>
      <c r="Q42" s="212">
        <f>IF($H42="","",IF($O42="Ａ",LOOKUP($D42,{8000,8500,9000,10000,12000},{0,1532,1032,408,408}),IF($O42="Ｂ",LOOKUP($D42,{8000,8500,9000,10000,12000},{782,2814,2814,2814,2814}),0)))</f>
      </c>
      <c r="R42" s="254"/>
      <c r="S42" s="251">
        <v>0</v>
      </c>
      <c r="T42" s="626">
        <f>IF($H42="","",IF($R42="Ａ",LOOKUP($D42,{8000,8500,9000,10000,12000},{0,1532,1032,408,408}),IF($R42="Ｂ",LOOKUP($D42,{8000,8500,9000,10000,12000},{782,2814,2814,2814,2814}),0)))</f>
      </c>
      <c r="U42" s="214">
        <f t="shared" si="7"/>
      </c>
      <c r="V42" s="666">
        <f>IF(B42="","",SUMIF('6-3_調整額内訳①(旧々・旧制度)'!B:B,$B42,'6-3_調整額内訳①(旧々・旧制度)'!AD:AD))</f>
      </c>
      <c r="W42" s="213">
        <f t="shared" si="8"/>
      </c>
      <c r="X42" s="214">
        <f t="shared" si="9"/>
      </c>
      <c r="Y42" s="214">
        <f t="shared" si="10"/>
      </c>
      <c r="Z42" s="58"/>
      <c r="AA42" s="214">
        <f t="shared" si="11"/>
      </c>
      <c r="AB42" s="628"/>
      <c r="AC42" s="84" t="str">
        <f t="shared" si="12"/>
        <v>0</v>
      </c>
      <c r="AD42" s="214">
        <f t="shared" si="13"/>
        <v>0</v>
      </c>
      <c r="AE42" s="624"/>
      <c r="AF42" s="214">
        <f t="shared" si="14"/>
      </c>
      <c r="AG42" s="621">
        <f t="shared" si="15"/>
      </c>
      <c r="AH42" s="850"/>
      <c r="AI42" s="850"/>
      <c r="AJ42" s="851"/>
      <c r="AL42" s="60">
        <f t="shared" si="0"/>
      </c>
      <c r="AM42" s="60">
        <f t="shared" si="1"/>
      </c>
    </row>
    <row r="43" spans="1:39" s="53" customFormat="1" ht="18.75" customHeight="1">
      <c r="A43" s="27">
        <f t="shared" si="2"/>
      </c>
      <c r="B43" s="237"/>
      <c r="C43" s="207"/>
      <c r="D43" s="57"/>
      <c r="E43" s="58"/>
      <c r="F43" s="202"/>
      <c r="G43" s="191">
        <f t="shared" si="3"/>
      </c>
      <c r="H43" s="650">
        <f t="shared" si="4"/>
      </c>
      <c r="I43" s="208"/>
      <c r="J43" s="209"/>
      <c r="K43" s="614"/>
      <c r="L43" s="739"/>
      <c r="M43" s="210">
        <f t="shared" si="5"/>
      </c>
      <c r="N43" s="211">
        <f t="shared" si="6"/>
      </c>
      <c r="O43" s="254"/>
      <c r="P43" s="194"/>
      <c r="Q43" s="212">
        <f>IF($H43="","",IF($O43="Ａ",LOOKUP($D43,{8000,8500,9000,10000,12000},{0,1532,1032,408,408}),IF($O43="Ｂ",LOOKUP($D43,{8000,8500,9000,10000,12000},{782,2814,2814,2814,2814}),0)))</f>
      </c>
      <c r="R43" s="254"/>
      <c r="S43" s="251">
        <v>0</v>
      </c>
      <c r="T43" s="626">
        <f>IF($H43="","",IF($R43="Ａ",LOOKUP($D43,{8000,8500,9000,10000,12000},{0,1532,1032,408,408}),IF($R43="Ｂ",LOOKUP($D43,{8000,8500,9000,10000,12000},{782,2814,2814,2814,2814}),0)))</f>
      </c>
      <c r="U43" s="214">
        <f t="shared" si="7"/>
      </c>
      <c r="V43" s="666">
        <f>IF(B43="","",SUMIF('6-3_調整額内訳①(旧々・旧制度)'!B:B,$B43,'6-3_調整額内訳①(旧々・旧制度)'!AD:AD))</f>
      </c>
      <c r="W43" s="213">
        <f t="shared" si="8"/>
      </c>
      <c r="X43" s="214">
        <f t="shared" si="9"/>
      </c>
      <c r="Y43" s="214">
        <f t="shared" si="10"/>
      </c>
      <c r="Z43" s="58"/>
      <c r="AA43" s="214">
        <f t="shared" si="11"/>
      </c>
      <c r="AB43" s="628"/>
      <c r="AC43" s="84" t="str">
        <f t="shared" si="12"/>
        <v>0</v>
      </c>
      <c r="AD43" s="214">
        <f t="shared" si="13"/>
        <v>0</v>
      </c>
      <c r="AE43" s="624"/>
      <c r="AF43" s="214">
        <f t="shared" si="14"/>
      </c>
      <c r="AG43" s="621">
        <f t="shared" si="15"/>
      </c>
      <c r="AH43" s="850"/>
      <c r="AI43" s="850"/>
      <c r="AJ43" s="851"/>
      <c r="AL43" s="60">
        <f t="shared" si="0"/>
      </c>
      <c r="AM43" s="60">
        <f t="shared" si="1"/>
      </c>
    </row>
    <row r="44" spans="1:39" s="53" customFormat="1" ht="18.75" customHeight="1" thickBot="1">
      <c r="A44" s="27">
        <f t="shared" si="2"/>
      </c>
      <c r="B44" s="239"/>
      <c r="C44" s="215"/>
      <c r="D44" s="216"/>
      <c r="E44" s="217"/>
      <c r="F44" s="203"/>
      <c r="G44" s="192">
        <f t="shared" si="3"/>
      </c>
      <c r="H44" s="652">
        <f t="shared" si="4"/>
      </c>
      <c r="I44" s="218"/>
      <c r="J44" s="219"/>
      <c r="K44" s="615"/>
      <c r="L44" s="741"/>
      <c r="M44" s="220">
        <f t="shared" si="5"/>
      </c>
      <c r="N44" s="211">
        <f t="shared" si="6"/>
      </c>
      <c r="O44" s="255"/>
      <c r="P44" s="195"/>
      <c r="Q44" s="221">
        <f>IF($H44="","",IF($O44="Ａ",LOOKUP($D44,{8000,8500,9000,10000,12000},{0,1532,1032,408,408}),IF($O44="Ｂ",LOOKUP($D44,{8000,8500,9000,10000,12000},{782,2814,2814,2814,2814}),0)))</f>
      </c>
      <c r="R44" s="255"/>
      <c r="S44" s="252">
        <v>0</v>
      </c>
      <c r="T44" s="646">
        <f>IF($H44="","",IF($R44="Ａ",LOOKUP($D44,{8000,8500,9000,10000,12000},{0,1532,1032,408,408}),IF($R44="Ｂ",LOOKUP($D44,{8000,8500,9000,10000,12000},{782,2814,2814,2814,2814}),0)))</f>
      </c>
      <c r="U44" s="224">
        <f t="shared" si="7"/>
      </c>
      <c r="V44" s="667">
        <f>IF(B44="","",SUMIF('6-3_調整額内訳①(旧々・旧制度)'!B:B,$B44,'6-3_調整額内訳①(旧々・旧制度)'!AD:AD))</f>
      </c>
      <c r="W44" s="223">
        <f t="shared" si="8"/>
      </c>
      <c r="X44" s="224">
        <f t="shared" si="9"/>
      </c>
      <c r="Y44" s="224">
        <f t="shared" si="10"/>
      </c>
      <c r="Z44" s="217"/>
      <c r="AA44" s="224">
        <f t="shared" si="11"/>
      </c>
      <c r="AB44" s="629"/>
      <c r="AC44" s="222" t="str">
        <f>_xlfn.IFERROR(D44*(E44-F44)*(K44/J44),"0")</f>
        <v>0</v>
      </c>
      <c r="AD44" s="224">
        <f t="shared" si="13"/>
        <v>0</v>
      </c>
      <c r="AE44" s="625"/>
      <c r="AF44" s="224">
        <f t="shared" si="14"/>
      </c>
      <c r="AG44" s="622">
        <f t="shared" si="15"/>
      </c>
      <c r="AH44" s="848"/>
      <c r="AI44" s="848"/>
      <c r="AJ44" s="849"/>
      <c r="AL44" s="60">
        <f t="shared" si="0"/>
      </c>
      <c r="AM44" s="60">
        <f t="shared" si="1"/>
      </c>
    </row>
    <row r="45" spans="1:39" s="65" customFormat="1" ht="25.5" customHeight="1" thickBot="1">
      <c r="A45" s="852" t="s">
        <v>161</v>
      </c>
      <c r="B45" s="853"/>
      <c r="C45" s="853"/>
      <c r="D45" s="854"/>
      <c r="E45" s="507">
        <f>SUM(E8:E44)</f>
        <v>0</v>
      </c>
      <c r="F45" s="735"/>
      <c r="G45" s="509">
        <f>SUM(G8:G44)</f>
        <v>0</v>
      </c>
      <c r="H45" s="103" t="s">
        <v>155</v>
      </c>
      <c r="I45" s="185" t="s">
        <v>155</v>
      </c>
      <c r="J45" s="183" t="s">
        <v>155</v>
      </c>
      <c r="K45" s="103"/>
      <c r="L45" s="742"/>
      <c r="M45" s="186">
        <f>SUM(M8:M44)</f>
        <v>0</v>
      </c>
      <c r="N45" s="187" t="s">
        <v>155</v>
      </c>
      <c r="O45" s="310" t="s">
        <v>155</v>
      </c>
      <c r="P45" s="103"/>
      <c r="Q45" s="183"/>
      <c r="R45" s="103" t="s">
        <v>155</v>
      </c>
      <c r="S45" s="103"/>
      <c r="T45" s="183"/>
      <c r="U45" s="648">
        <f aca="true" t="shared" si="16" ref="U45:AG45">SUM(U8:U44)</f>
        <v>0</v>
      </c>
      <c r="V45" s="102">
        <f t="shared" si="16"/>
        <v>0</v>
      </c>
      <c r="W45" s="100">
        <f t="shared" si="16"/>
        <v>0</v>
      </c>
      <c r="X45" s="63">
        <f t="shared" si="16"/>
        <v>0</v>
      </c>
      <c r="Y45" s="63">
        <f>SUM(Y8:Y44)</f>
        <v>0</v>
      </c>
      <c r="Z45" s="63">
        <f t="shared" si="16"/>
        <v>0</v>
      </c>
      <c r="AA45" s="618">
        <f t="shared" si="16"/>
        <v>0</v>
      </c>
      <c r="AB45" s="63"/>
      <c r="AC45" s="618"/>
      <c r="AD45" s="618"/>
      <c r="AE45" s="63">
        <f t="shared" si="16"/>
        <v>0</v>
      </c>
      <c r="AF45" s="618">
        <f t="shared" si="16"/>
        <v>0</v>
      </c>
      <c r="AG45" s="619">
        <f t="shared" si="16"/>
        <v>0</v>
      </c>
      <c r="AH45" s="855"/>
      <c r="AI45" s="856"/>
      <c r="AJ45" s="857"/>
      <c r="AL45" s="66"/>
      <c r="AM45" s="66"/>
    </row>
    <row r="46" spans="1:39" s="295" customFormat="1" ht="15.75" customHeight="1">
      <c r="A46" s="295" t="s">
        <v>29</v>
      </c>
      <c r="O46" s="296"/>
      <c r="R46" s="296"/>
      <c r="AL46" s="297"/>
      <c r="AM46" s="297"/>
    </row>
    <row r="47" spans="1:39" s="295" customFormat="1" ht="15.75" customHeight="1">
      <c r="A47" s="295" t="s">
        <v>153</v>
      </c>
      <c r="O47" s="296"/>
      <c r="R47" s="296"/>
      <c r="AL47" s="297"/>
      <c r="AM47" s="297"/>
    </row>
    <row r="48" spans="1:39" s="295" customFormat="1" ht="15.75" customHeight="1">
      <c r="A48" s="295" t="s">
        <v>168</v>
      </c>
      <c r="O48" s="296"/>
      <c r="R48" s="296"/>
      <c r="AL48" s="297"/>
      <c r="AM48" s="297"/>
    </row>
    <row r="49" spans="1:39" s="295" customFormat="1" ht="15.75" customHeight="1">
      <c r="A49" s="295" t="s">
        <v>159</v>
      </c>
      <c r="O49" s="296"/>
      <c r="R49" s="296"/>
      <c r="AL49" s="297"/>
      <c r="AM49" s="297"/>
    </row>
    <row r="50" spans="1:39" s="295" customFormat="1" ht="15.75" customHeight="1">
      <c r="A50" s="295" t="s">
        <v>249</v>
      </c>
      <c r="O50" s="296"/>
      <c r="R50" s="296"/>
      <c r="AL50" s="297"/>
      <c r="AM50" s="297"/>
    </row>
    <row r="51" spans="1:39" s="295" customFormat="1" ht="15.75" customHeight="1">
      <c r="A51" s="295" t="s">
        <v>255</v>
      </c>
      <c r="O51" s="296"/>
      <c r="R51" s="296"/>
      <c r="AL51" s="297"/>
      <c r="AM51" s="297"/>
    </row>
    <row r="52" spans="1:39" s="295" customFormat="1" ht="15.75" customHeight="1">
      <c r="A52" s="295" t="s">
        <v>176</v>
      </c>
      <c r="O52" s="296"/>
      <c r="R52" s="296"/>
      <c r="AL52" s="297"/>
      <c r="AM52" s="297"/>
    </row>
    <row r="53" spans="1:39" s="295" customFormat="1" ht="15.75" customHeight="1">
      <c r="A53" s="295" t="s">
        <v>177</v>
      </c>
      <c r="O53" s="296"/>
      <c r="R53" s="296"/>
      <c r="AL53" s="297"/>
      <c r="AM53" s="297"/>
    </row>
    <row r="54" spans="1:39" s="295" customFormat="1" ht="15.75" customHeight="1">
      <c r="A54" s="295" t="s">
        <v>250</v>
      </c>
      <c r="O54" s="296"/>
      <c r="R54" s="296"/>
      <c r="AL54" s="297"/>
      <c r="AM54" s="297"/>
    </row>
    <row r="55" spans="1:39" s="295" customFormat="1" ht="15.75" customHeight="1">
      <c r="A55" s="295" t="s">
        <v>229</v>
      </c>
      <c r="O55" s="296"/>
      <c r="R55" s="296"/>
      <c r="AL55" s="297"/>
      <c r="AM55" s="297"/>
    </row>
    <row r="56" spans="1:38" s="295" customFormat="1" ht="15.75" customHeight="1">
      <c r="A56" s="295" t="s">
        <v>230</v>
      </c>
      <c r="O56" s="296"/>
      <c r="R56" s="296"/>
      <c r="AK56" s="297"/>
      <c r="AL56" s="297"/>
    </row>
    <row r="57" spans="1:39" s="295" customFormat="1" ht="15.75" customHeight="1">
      <c r="A57" s="295" t="s">
        <v>163</v>
      </c>
      <c r="O57" s="296"/>
      <c r="R57" s="296"/>
      <c r="AL57" s="297"/>
      <c r="AM57" s="297"/>
    </row>
    <row r="58" spans="1:39" s="295" customFormat="1" ht="15.75" customHeight="1">
      <c r="A58" s="295" t="s">
        <v>164</v>
      </c>
      <c r="O58" s="296"/>
      <c r="R58" s="296"/>
      <c r="AL58" s="297"/>
      <c r="AM58" s="297"/>
    </row>
    <row r="59" spans="1:39" s="295" customFormat="1" ht="15.75" customHeight="1">
      <c r="A59" s="295" t="s">
        <v>165</v>
      </c>
      <c r="O59" s="296"/>
      <c r="R59" s="296"/>
      <c r="AL59" s="297"/>
      <c r="AM59" s="297"/>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2">
    <mergeCell ref="AE1:AH1"/>
    <mergeCell ref="AE2:AH2"/>
    <mergeCell ref="X4:X6"/>
    <mergeCell ref="A4:A7"/>
    <mergeCell ref="B4:B7"/>
    <mergeCell ref="C4:C7"/>
    <mergeCell ref="E4:G4"/>
    <mergeCell ref="H4:N4"/>
    <mergeCell ref="D4:D6"/>
    <mergeCell ref="E5:E6"/>
    <mergeCell ref="G5:G6"/>
    <mergeCell ref="H5:H6"/>
    <mergeCell ref="AH13:AJ13"/>
    <mergeCell ref="AH14:AJ14"/>
    <mergeCell ref="AE4:AE6"/>
    <mergeCell ref="O4:W4"/>
    <mergeCell ref="AG4:AG6"/>
    <mergeCell ref="O6:O7"/>
    <mergeCell ref="AA4:AA6"/>
    <mergeCell ref="I5:I6"/>
    <mergeCell ref="J5:J6"/>
    <mergeCell ref="U5:U6"/>
    <mergeCell ref="V5:V6"/>
    <mergeCell ref="Y4:Y6"/>
    <mergeCell ref="R6:R7"/>
    <mergeCell ref="N5:N6"/>
    <mergeCell ref="O5:Q5"/>
    <mergeCell ref="R5:T5"/>
    <mergeCell ref="M5:M6"/>
    <mergeCell ref="AM4:AM7"/>
    <mergeCell ref="AH8:AJ8"/>
    <mergeCell ref="AH9:AJ9"/>
    <mergeCell ref="AF4:AF6"/>
    <mergeCell ref="W5:W6"/>
    <mergeCell ref="Z4:Z6"/>
    <mergeCell ref="AH10:AJ10"/>
    <mergeCell ref="AH4:AJ7"/>
    <mergeCell ref="AH11:AJ11"/>
    <mergeCell ref="AL4:AL7"/>
    <mergeCell ref="AH15:AJ15"/>
    <mergeCell ref="AH16:AJ16"/>
    <mergeCell ref="AH12:AJ12"/>
    <mergeCell ref="AH19:AJ19"/>
    <mergeCell ref="AH20:AJ20"/>
    <mergeCell ref="AH21:AJ21"/>
    <mergeCell ref="AH22:AJ22"/>
    <mergeCell ref="AH17:AJ17"/>
    <mergeCell ref="AH18:AJ18"/>
    <mergeCell ref="AH25:AJ25"/>
    <mergeCell ref="AH26:AJ26"/>
    <mergeCell ref="AH23:AJ23"/>
    <mergeCell ref="AH24:AJ24"/>
    <mergeCell ref="AH27:AJ27"/>
    <mergeCell ref="AH28:AJ28"/>
    <mergeCell ref="AH43:AJ43"/>
    <mergeCell ref="AH31:AJ31"/>
    <mergeCell ref="AH32:AJ32"/>
    <mergeCell ref="AH29:AJ29"/>
    <mergeCell ref="AH30:AJ30"/>
    <mergeCell ref="AH33:AJ33"/>
    <mergeCell ref="AH34:AJ34"/>
    <mergeCell ref="AH37:AJ37"/>
    <mergeCell ref="AH44:AJ44"/>
    <mergeCell ref="AH35:AJ35"/>
    <mergeCell ref="AH36:AJ36"/>
    <mergeCell ref="A45:D45"/>
    <mergeCell ref="AH45:AJ45"/>
    <mergeCell ref="AH38:AJ38"/>
    <mergeCell ref="AH39:AJ39"/>
    <mergeCell ref="AH40:AJ40"/>
    <mergeCell ref="AH41:AJ41"/>
    <mergeCell ref="AH42:AJ42"/>
  </mergeCells>
  <dataValidations count="4">
    <dataValidation type="whole" allowBlank="1" showInputMessage="1" showErrorMessage="1" sqref="C8:C44">
      <formula1>1</formula1>
      <formula2>4</formula2>
    </dataValidation>
    <dataValidation type="whole" allowBlank="1" showInputMessage="1" showErrorMessage="1" sqref="Z8:Z44 H8:I44 AB8:AB44">
      <formula1>0</formula1>
      <formula2>9999999</formula2>
    </dataValidation>
    <dataValidation type="list" allowBlank="1" showInputMessage="1" showErrorMessage="1" sqref="O8:O44 R8:R44">
      <formula1>"Ａ,Ｂ,Ｄ"</formula1>
    </dataValidation>
    <dataValidation allowBlank="1" showInputMessage="1" sqref="N8:N44"/>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35" r:id="rId3"/>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M43"/>
  <sheetViews>
    <sheetView view="pageBreakPreview" zoomScale="115" zoomScaleNormal="75" zoomScaleSheetLayoutView="115" zoomScalePageLayoutView="0" workbookViewId="0" topLeftCell="A1">
      <selection activeCell="H9" sqref="H9"/>
    </sheetView>
  </sheetViews>
  <sheetFormatPr defaultColWidth="9.625" defaultRowHeight="13.5"/>
  <cols>
    <col min="1" max="1" width="6.25390625" style="40" customWidth="1"/>
    <col min="2" max="2" width="17.50390625" style="40" customWidth="1"/>
    <col min="3" max="3" width="6.00390625" style="40" bestFit="1" customWidth="1"/>
    <col min="4" max="5" width="11.25390625" style="40" customWidth="1"/>
    <col min="6" max="6" width="4.00390625" style="40" bestFit="1" customWidth="1"/>
    <col min="7" max="7" width="10.25390625" style="40" bestFit="1" customWidth="1"/>
    <col min="8" max="8" width="4.00390625" style="40" bestFit="1" customWidth="1"/>
    <col min="9" max="9" width="10.75390625" style="40" customWidth="1"/>
    <col min="10" max="10" width="12.25390625" style="40" bestFit="1" customWidth="1"/>
    <col min="11" max="17" width="4.25390625" style="40" customWidth="1"/>
    <col min="18" max="18" width="4.75390625" style="40" customWidth="1"/>
    <col min="19" max="22" width="4.25390625" style="40" customWidth="1"/>
    <col min="23" max="28" width="4.375" style="40" customWidth="1"/>
    <col min="29" max="30" width="10.25390625" style="40" bestFit="1" customWidth="1"/>
    <col min="31" max="31" width="9.75390625" style="40" customWidth="1"/>
    <col min="32" max="32" width="6.50390625" style="40" customWidth="1"/>
    <col min="33" max="33" width="8.25390625" style="40" customWidth="1"/>
    <col min="34" max="34" width="3.125" style="40" customWidth="1"/>
    <col min="35" max="35" width="8.625" style="41" bestFit="1" customWidth="1"/>
    <col min="36" max="36" width="5.25390625" style="41" bestFit="1" customWidth="1"/>
    <col min="37" max="16384" width="9.625" style="40" customWidth="1"/>
  </cols>
  <sheetData>
    <row r="1" spans="1:36" ht="24.75" customHeight="1">
      <c r="A1" s="39" t="s">
        <v>251</v>
      </c>
      <c r="B1" s="39"/>
      <c r="W1" s="918" t="s">
        <v>25</v>
      </c>
      <c r="X1" s="918"/>
      <c r="Y1" s="918"/>
      <c r="Z1" s="897">
        <f>'5_総括表'!E3</f>
        <v>0</v>
      </c>
      <c r="AA1" s="919"/>
      <c r="AB1" s="919"/>
      <c r="AC1" s="919"/>
      <c r="AD1" s="920"/>
      <c r="AE1" s="164" t="s">
        <v>26</v>
      </c>
      <c r="AF1" s="921">
        <f>'5_総括表'!Z3</f>
        <v>0</v>
      </c>
      <c r="AG1" s="922"/>
      <c r="AI1" s="46"/>
      <c r="AJ1" s="46"/>
    </row>
    <row r="2" spans="1:36" ht="24.75" customHeight="1" thickBot="1">
      <c r="A2" s="42"/>
      <c r="W2" s="923" t="s">
        <v>23</v>
      </c>
      <c r="X2" s="923"/>
      <c r="Y2" s="923"/>
      <c r="Z2" s="900">
        <f>'5_総括表'!E4</f>
        <v>0</v>
      </c>
      <c r="AA2" s="924"/>
      <c r="AB2" s="924"/>
      <c r="AC2" s="924"/>
      <c r="AD2" s="925"/>
      <c r="AE2" s="165" t="s">
        <v>24</v>
      </c>
      <c r="AF2" s="926">
        <f>'5_総括表'!Z4</f>
        <v>0</v>
      </c>
      <c r="AG2" s="927"/>
      <c r="AI2" s="69"/>
      <c r="AJ2" s="70"/>
    </row>
    <row r="3" spans="1:36" ht="21" thickBot="1">
      <c r="A3" s="281" t="s">
        <v>221</v>
      </c>
      <c r="B3" s="38"/>
      <c r="AF3" s="43"/>
      <c r="AG3" s="43" t="s">
        <v>28</v>
      </c>
      <c r="AI3" s="69"/>
      <c r="AJ3" s="70"/>
    </row>
    <row r="4" spans="1:36" s="44" customFormat="1" ht="18.75" customHeight="1" thickBot="1">
      <c r="A4" s="814" t="s">
        <v>32</v>
      </c>
      <c r="B4" s="809" t="s">
        <v>170</v>
      </c>
      <c r="C4" s="906" t="s">
        <v>16</v>
      </c>
      <c r="D4" s="809" t="s">
        <v>75</v>
      </c>
      <c r="E4" s="809" t="s">
        <v>106</v>
      </c>
      <c r="F4" s="803" t="s">
        <v>252</v>
      </c>
      <c r="G4" s="804"/>
      <c r="H4" s="804"/>
      <c r="I4" s="804"/>
      <c r="J4" s="805"/>
      <c r="K4" s="932" t="s">
        <v>65</v>
      </c>
      <c r="L4" s="933"/>
      <c r="M4" s="933"/>
      <c r="N4" s="933"/>
      <c r="O4" s="933"/>
      <c r="P4" s="933"/>
      <c r="Q4" s="933"/>
      <c r="R4" s="933"/>
      <c r="S4" s="933"/>
      <c r="T4" s="933"/>
      <c r="U4" s="933"/>
      <c r="V4" s="933"/>
      <c r="W4" s="933"/>
      <c r="X4" s="933"/>
      <c r="Y4" s="933"/>
      <c r="Z4" s="933"/>
      <c r="AA4" s="933"/>
      <c r="AB4" s="933"/>
      <c r="AC4" s="809" t="s">
        <v>63</v>
      </c>
      <c r="AD4" s="934" t="s">
        <v>64</v>
      </c>
      <c r="AE4" s="937" t="s">
        <v>66</v>
      </c>
      <c r="AF4" s="938"/>
      <c r="AG4" s="939"/>
      <c r="AI4" s="69"/>
      <c r="AJ4" s="70"/>
    </row>
    <row r="5" spans="1:36" s="44" customFormat="1" ht="18.75" customHeight="1" thickBot="1">
      <c r="A5" s="903"/>
      <c r="B5" s="873"/>
      <c r="C5" s="907"/>
      <c r="D5" s="873"/>
      <c r="E5" s="873"/>
      <c r="F5" s="932" t="s">
        <v>107</v>
      </c>
      <c r="G5" s="945"/>
      <c r="H5" s="946"/>
      <c r="I5" s="946"/>
      <c r="J5" s="947"/>
      <c r="K5" s="948" t="s">
        <v>62</v>
      </c>
      <c r="L5" s="949"/>
      <c r="M5" s="949"/>
      <c r="N5" s="949"/>
      <c r="O5" s="949"/>
      <c r="P5" s="949"/>
      <c r="Q5" s="949"/>
      <c r="R5" s="949"/>
      <c r="S5" s="949"/>
      <c r="T5" s="949"/>
      <c r="U5" s="949"/>
      <c r="V5" s="950"/>
      <c r="W5" s="803" t="s">
        <v>118</v>
      </c>
      <c r="X5" s="804"/>
      <c r="Y5" s="804"/>
      <c r="Z5" s="804"/>
      <c r="AA5" s="804"/>
      <c r="AB5" s="804"/>
      <c r="AC5" s="873"/>
      <c r="AD5" s="935"/>
      <c r="AE5" s="940"/>
      <c r="AF5" s="941"/>
      <c r="AG5" s="942"/>
      <c r="AI5" s="69"/>
      <c r="AJ5" s="70"/>
    </row>
    <row r="6" spans="1:36" s="44" customFormat="1" ht="21.75" customHeight="1" thickBot="1">
      <c r="A6" s="903"/>
      <c r="B6" s="903"/>
      <c r="C6" s="907"/>
      <c r="D6" s="873"/>
      <c r="E6" s="873"/>
      <c r="F6" s="951" t="s">
        <v>18</v>
      </c>
      <c r="G6" s="928" t="s">
        <v>50</v>
      </c>
      <c r="H6" s="951" t="s">
        <v>18</v>
      </c>
      <c r="I6" s="928" t="s">
        <v>50</v>
      </c>
      <c r="J6" s="930" t="s">
        <v>108</v>
      </c>
      <c r="K6" s="803" t="s">
        <v>60</v>
      </c>
      <c r="L6" s="804"/>
      <c r="M6" s="805"/>
      <c r="N6" s="953" t="s">
        <v>61</v>
      </c>
      <c r="O6" s="954"/>
      <c r="P6" s="954"/>
      <c r="Q6" s="954"/>
      <c r="R6" s="954"/>
      <c r="S6" s="954"/>
      <c r="T6" s="954"/>
      <c r="U6" s="954"/>
      <c r="V6" s="955"/>
      <c r="W6" s="932" t="s">
        <v>84</v>
      </c>
      <c r="X6" s="957" t="s">
        <v>84</v>
      </c>
      <c r="Y6" s="932" t="s">
        <v>90</v>
      </c>
      <c r="Z6" s="960" t="s">
        <v>90</v>
      </c>
      <c r="AA6" s="975" t="s">
        <v>178</v>
      </c>
      <c r="AB6" s="978" t="s">
        <v>178</v>
      </c>
      <c r="AC6" s="873"/>
      <c r="AD6" s="936"/>
      <c r="AE6" s="943"/>
      <c r="AF6" s="944"/>
      <c r="AG6" s="942"/>
      <c r="AI6" s="69"/>
      <c r="AJ6" s="71"/>
    </row>
    <row r="7" spans="1:39" s="44" customFormat="1" ht="20.25" customHeight="1">
      <c r="A7" s="903"/>
      <c r="B7" s="903"/>
      <c r="C7" s="907"/>
      <c r="D7" s="873"/>
      <c r="E7" s="873"/>
      <c r="F7" s="952"/>
      <c r="G7" s="929"/>
      <c r="H7" s="952"/>
      <c r="I7" s="929"/>
      <c r="J7" s="931"/>
      <c r="K7" s="965" t="s">
        <v>54</v>
      </c>
      <c r="L7" s="963" t="s">
        <v>55</v>
      </c>
      <c r="M7" s="960" t="s">
        <v>56</v>
      </c>
      <c r="N7" s="965" t="s">
        <v>51</v>
      </c>
      <c r="O7" s="963" t="s">
        <v>85</v>
      </c>
      <c r="P7" s="963" t="s">
        <v>86</v>
      </c>
      <c r="Q7" s="963" t="s">
        <v>87</v>
      </c>
      <c r="R7" s="963" t="s">
        <v>52</v>
      </c>
      <c r="S7" s="963" t="s">
        <v>53</v>
      </c>
      <c r="T7" s="963" t="s">
        <v>57</v>
      </c>
      <c r="U7" s="963" t="s">
        <v>58</v>
      </c>
      <c r="V7" s="960" t="s">
        <v>59</v>
      </c>
      <c r="W7" s="943"/>
      <c r="X7" s="958"/>
      <c r="Y7" s="943"/>
      <c r="Z7" s="961"/>
      <c r="AA7" s="976"/>
      <c r="AB7" s="979"/>
      <c r="AC7" s="873"/>
      <c r="AD7" s="936"/>
      <c r="AE7" s="943"/>
      <c r="AF7" s="944"/>
      <c r="AG7" s="942"/>
      <c r="AI7" s="967" t="s">
        <v>30</v>
      </c>
      <c r="AJ7" s="967" t="s">
        <v>78</v>
      </c>
      <c r="AK7" s="72"/>
      <c r="AL7" s="72"/>
      <c r="AM7" s="72"/>
    </row>
    <row r="8" spans="1:36" s="44" customFormat="1" ht="18.75" customHeight="1" thickBot="1">
      <c r="A8" s="904"/>
      <c r="B8" s="904"/>
      <c r="C8" s="908"/>
      <c r="D8" s="905"/>
      <c r="E8" s="873"/>
      <c r="F8" s="952"/>
      <c r="G8" s="676" t="s">
        <v>80</v>
      </c>
      <c r="H8" s="952"/>
      <c r="I8" s="676" t="s">
        <v>81</v>
      </c>
      <c r="J8" s="47" t="s">
        <v>88</v>
      </c>
      <c r="K8" s="966"/>
      <c r="L8" s="964"/>
      <c r="M8" s="961"/>
      <c r="N8" s="966"/>
      <c r="O8" s="964"/>
      <c r="P8" s="964"/>
      <c r="Q8" s="964"/>
      <c r="R8" s="964"/>
      <c r="S8" s="964"/>
      <c r="T8" s="964"/>
      <c r="U8" s="964"/>
      <c r="V8" s="961"/>
      <c r="W8" s="956"/>
      <c r="X8" s="959"/>
      <c r="Y8" s="956"/>
      <c r="Z8" s="962"/>
      <c r="AA8" s="977"/>
      <c r="AB8" s="980"/>
      <c r="AC8" s="490" t="s">
        <v>89</v>
      </c>
      <c r="AD8" s="74" t="s">
        <v>79</v>
      </c>
      <c r="AE8" s="943"/>
      <c r="AF8" s="944"/>
      <c r="AG8" s="942"/>
      <c r="AI8" s="968"/>
      <c r="AJ8" s="968"/>
    </row>
    <row r="9" spans="1:36" s="53" customFormat="1" ht="18.75" customHeight="1">
      <c r="A9" s="26">
        <f>IF(B9="","",ROW($A9)-ROW($A$8))</f>
      </c>
      <c r="B9" s="232"/>
      <c r="C9" s="241">
        <f>IF($B9="","",VLOOKUP($B9,'6-2_算定表①(旧々・旧制度)'!$B$8:$U$65536,2,FALSE))</f>
      </c>
      <c r="D9" s="75">
        <f>IF($B9="","",VLOOKUP($B9,'6-2_算定表①(旧々・旧制度)'!$B$8:$U$65536,3,FALSE))</f>
      </c>
      <c r="E9" s="75">
        <f>IF($B9="","",VLOOKUP($B9,'6-2_算定表①(旧々・旧制度)'!$B$8:$U$65536,6,FALSE))</f>
      </c>
      <c r="F9" s="76">
        <f>IF(B9="","",VLOOKUP($B9,'6-2_算定表①(旧々・旧制度)'!$B$8:$U$65536,14,FALSE))</f>
      </c>
      <c r="G9" s="710">
        <f>IF(B9="","",VLOOKUP($B9,'6-2_算定表①(旧々・旧制度)'!$B$8:$U$65536,16,FALSE))</f>
      </c>
      <c r="H9" s="76">
        <f>IF(B9="","",VLOOKUP($B9,'6-2_算定表①(旧々・旧制度)'!$B$8:$U$65536,17,FALSE))</f>
      </c>
      <c r="I9" s="77">
        <f>IF(B9="","",VLOOKUP($B9,'6-2_算定表①(旧々・旧制度)'!$B$8:$U$65536,19,FALSE))</f>
      </c>
      <c r="J9" s="720">
        <f>IF(B9="","",VLOOKUP($B9,'6-2_算定表①(旧々・旧制度)'!$B$8:$U$65536,20,FALSE))</f>
      </c>
      <c r="K9" s="714"/>
      <c r="L9" s="78"/>
      <c r="M9" s="723"/>
      <c r="N9" s="714"/>
      <c r="O9" s="78"/>
      <c r="P9" s="78"/>
      <c r="Q9" s="78"/>
      <c r="R9" s="78"/>
      <c r="S9" s="78"/>
      <c r="T9" s="78"/>
      <c r="U9" s="78"/>
      <c r="V9" s="715"/>
      <c r="W9" s="91">
        <f aca="true" t="shared" si="0" ref="W9:W38">IF($B9="","",COUNTIF($K9:$M9,W$6))</f>
      </c>
      <c r="X9" s="88">
        <f aca="true" t="shared" si="1" ref="X9:X38">IF($B9="","",COUNTIF($N9:$V9,X$6))</f>
      </c>
      <c r="Y9" s="79">
        <f aca="true" t="shared" si="2" ref="Y9:Y38">IF($B9="","",COUNTIF($K9:$M9,Y$6))</f>
      </c>
      <c r="Z9" s="97">
        <f aca="true" t="shared" si="3" ref="Z9:Z38">IF($B9="","",COUNTIF($N9:$V9,Z$6))</f>
      </c>
      <c r="AA9" s="94">
        <f aca="true" t="shared" si="4" ref="AA9:AA38">IF($B9="","",COUNTIF($K9:$M9,AA$6))</f>
      </c>
      <c r="AB9" s="91">
        <f aca="true" t="shared" si="5" ref="AB9:AB38">IF($B9="","",COUNTIF($N9:$V9,AB$6))</f>
      </c>
      <c r="AC9" s="77">
        <f>IF(B9="","",ROUNDUP((G9/'6-2_算定表①(旧々・旧制度)'!J8*W9)+(I9/'6-2_算定表①(旧々・旧制度)'!J8*X9)+(G9/'6-2_算定表①(旧々・旧制度)'!J8*Y9)+(I9/'6-2_算定表①(旧々・旧制度)'!J8*Z9),0))</f>
      </c>
      <c r="AD9" s="609">
        <f aca="true" t="shared" si="6" ref="AD9:AD38">IF(B9="","",AC9-J9)</f>
      </c>
      <c r="AE9" s="969">
        <f>IF(B9="","",VLOOKUP($B9,'6-2_算定表①(旧々・旧制度)'!$B$8:$AH$65536,33,FALSE))</f>
      </c>
      <c r="AF9" s="970">
        <f>IF(AD9="","",VLOOKUP($B9,'6-2_算定表③(旧・旧制度)'!$B$8:$U$65536,3,FALSE))</f>
      </c>
      <c r="AG9" s="971">
        <f>IF(AE9="","",VLOOKUP($B9,'6-2_算定表③(旧・旧制度)'!$B$8:$U$65536,3,FALSE))</f>
      </c>
      <c r="AI9" s="60">
        <f>IF(A9&gt;0,ASC(C9&amp;H9),"")</f>
      </c>
      <c r="AJ9" s="60">
        <f aca="true" t="shared" si="7" ref="AJ9:AJ38">IF(B9="","",IF(AD9=0,0,1))</f>
      </c>
    </row>
    <row r="10" spans="1:36" s="53" customFormat="1" ht="18.75" customHeight="1">
      <c r="A10" s="34">
        <f aca="true" t="shared" si="8" ref="A10:A38">IF(B10="","",ROW($A10)-ROW($A$8))</f>
      </c>
      <c r="B10" s="237"/>
      <c r="C10" s="80">
        <f>IF($B10="","",VLOOKUP($B10,'6-2_算定表①(旧々・旧制度)'!$B$8:$U$65536,2,FALSE))</f>
      </c>
      <c r="D10" s="81">
        <f>IF($B10="","",VLOOKUP($B10,'6-2_算定表①(旧々・旧制度)'!$B$8:$U$65536,3,FALSE))</f>
      </c>
      <c r="E10" s="84">
        <f>IF($B10="","",VLOOKUP($B10,'6-2_算定表①(旧々・旧制度)'!$B$8:$U$65536,6,FALSE))</f>
      </c>
      <c r="F10" s="85">
        <f>IF(B10="","",VLOOKUP($B10,'6-2_算定表①(旧々・旧制度)'!$B$8:$U$65536,14,FALSE))</f>
      </c>
      <c r="G10" s="711">
        <f>IF(B10="","",VLOOKUP($B10,'6-2_算定表①(旧々・旧制度)'!$B$8:$U$65536,16,FALSE))</f>
      </c>
      <c r="H10" s="85">
        <f>IF(B10="","",VLOOKUP($B10,'6-2_算定表①(旧々・旧制度)'!$B$8:$U$65536,17,FALSE))</f>
      </c>
      <c r="I10" s="59">
        <f>IF(B10="","",VLOOKUP($B10,'6-2_算定表①(旧々・旧制度)'!$B$8:$U$65536,19,FALSE))</f>
      </c>
      <c r="J10" s="721">
        <f>IF(B10="","",VLOOKUP($B10,'6-2_算定表①(旧々・旧制度)'!$B$8:$U$65536,17,FALSE))</f>
      </c>
      <c r="K10" s="716">
        <f>IF($B10="","",VLOOKUP($B10,'6-2_算定表①(旧々・旧制度)'!$B$8:$U$65536,14,FALSE))</f>
      </c>
      <c r="L10" s="86">
        <f>IF($B10="","",VLOOKUP($B10,'6-2_算定表①(旧々・旧制度)'!$B$8:$U$65536,14,FALSE))</f>
      </c>
      <c r="M10" s="724">
        <f>IF($B10="","",VLOOKUP($B10,'6-2_算定表①(旧々・旧制度)'!$B$8:$U$65536,14,FALSE))</f>
      </c>
      <c r="N10" s="716">
        <f>IF($B10="","",VLOOKUP($B10,'6-2_算定表①(旧々・旧制度)'!$B$8:$U$65536,17,FALSE))</f>
      </c>
      <c r="O10" s="86">
        <f>IF($B10="","",VLOOKUP($B10,'6-2_算定表①(旧々・旧制度)'!$B$8:$U$65536,17,FALSE))</f>
      </c>
      <c r="P10" s="86">
        <f>IF($B10="","",VLOOKUP($B10,'6-2_算定表①(旧々・旧制度)'!$B$8:$U$65536,17,FALSE))</f>
      </c>
      <c r="Q10" s="86">
        <f>IF($B10="","",VLOOKUP($B10,'6-2_算定表①(旧々・旧制度)'!$B$8:$U$65536,17,FALSE))</f>
      </c>
      <c r="R10" s="86">
        <f>IF($B10="","",VLOOKUP($B10,'6-2_算定表①(旧々・旧制度)'!$B$8:$U$65536,17,FALSE))</f>
      </c>
      <c r="S10" s="86">
        <f>IF($B10="","",VLOOKUP($B10,'6-2_算定表①(旧々・旧制度)'!$B$8:$U$65536,17,FALSE))</f>
      </c>
      <c r="T10" s="86">
        <f>IF($B10="","",VLOOKUP($B10,'6-2_算定表①(旧々・旧制度)'!$B$8:$U$65536,17,FALSE))</f>
      </c>
      <c r="U10" s="86">
        <f>IF($B10="","",VLOOKUP($B10,'6-2_算定表①(旧々・旧制度)'!$B$8:$U$65536,17,FALSE))</f>
      </c>
      <c r="V10" s="717">
        <f>IF($B10="","",VLOOKUP($B10,'6-2_算定表①(旧々・旧制度)'!$B$8:$U$65536,17,FALSE))</f>
      </c>
      <c r="W10" s="92">
        <f t="shared" si="0"/>
      </c>
      <c r="X10" s="89">
        <f t="shared" si="1"/>
      </c>
      <c r="Y10" s="82">
        <f t="shared" si="2"/>
      </c>
      <c r="Z10" s="98">
        <f t="shared" si="3"/>
      </c>
      <c r="AA10" s="95">
        <f t="shared" si="4"/>
      </c>
      <c r="AB10" s="92">
        <f t="shared" si="5"/>
      </c>
      <c r="AC10" s="59">
        <f>IF(B10="","",ROUNDUP((G10/'6-2_算定表①(旧々・旧制度)'!J9*W10)+(I10/'6-2_算定表①(旧々・旧制度)'!J9*X10)+(G10/'6-2_算定表①(旧々・旧制度)'!J9*Y10)+(I10/'6-2_算定表①(旧々・旧制度)'!J9*Z10),0))</f>
      </c>
      <c r="AD10" s="610">
        <f t="shared" si="6"/>
      </c>
      <c r="AE10" s="972">
        <f>IF(B10="","",VLOOKUP($B10,'6-2_算定表①(旧々・旧制度)'!$B$8:$AH$65536,33,FALSE))</f>
      </c>
      <c r="AF10" s="973">
        <f>IF(AD10="","",VLOOKUP($B10,'6-2_算定表③(旧・旧制度)'!$B$8:$U$65536,3,FALSE))</f>
      </c>
      <c r="AG10" s="974">
        <f>IF(AE10="","",VLOOKUP($B10,'6-2_算定表③(旧・旧制度)'!$B$8:$U$65536,3,FALSE))</f>
      </c>
      <c r="AI10" s="54">
        <f>IF(A10&gt;0,ASC(C10&amp;H10),"")</f>
      </c>
      <c r="AJ10" s="54">
        <f t="shared" si="7"/>
      </c>
    </row>
    <row r="11" spans="1:36" s="53" customFormat="1" ht="18.75" customHeight="1">
      <c r="A11" s="27">
        <f t="shared" si="8"/>
      </c>
      <c r="B11" s="237"/>
      <c r="C11" s="83">
        <f>IF($B11="","",VLOOKUP($B11,'6-2_算定表①(旧々・旧制度)'!$B$8:$U$65536,2,FALSE))</f>
      </c>
      <c r="D11" s="84">
        <f>IF($B11="","",VLOOKUP($B11,'6-2_算定表①(旧々・旧制度)'!$B$8:$U$65536,3,FALSE))</f>
      </c>
      <c r="E11" s="84">
        <f>IF($B11="","",VLOOKUP($B11,'6-2_算定表①(旧々・旧制度)'!$B$8:$U$65536,6,FALSE))</f>
      </c>
      <c r="F11" s="85">
        <f>IF(B11="","",VLOOKUP($B11,'6-2_算定表①(旧々・旧制度)'!$B$8:$U$65536,14,FALSE))</f>
      </c>
      <c r="G11" s="711">
        <f>IF(B11="","",VLOOKUP($B11,'6-2_算定表①(旧々・旧制度)'!$B$8:$U$65536,16,FALSE))</f>
      </c>
      <c r="H11" s="85">
        <f>IF(B11="","",VLOOKUP($B11,'6-2_算定表①(旧々・旧制度)'!$B$8:$U$65536,17,FALSE))</f>
      </c>
      <c r="I11" s="59">
        <f>IF(B11="","",VLOOKUP($B11,'6-2_算定表①(旧々・旧制度)'!$B$8:$U$65536,19,FALSE))</f>
      </c>
      <c r="J11" s="722">
        <f>IF(B11="","",VLOOKUP($B11,'6-2_算定表①(旧々・旧制度)'!$B$8:$U$65536,17,FALSE))</f>
      </c>
      <c r="K11" s="716">
        <f>IF($B11="","",VLOOKUP($B11,'6-2_算定表①(旧々・旧制度)'!$B$8:$U$65536,14,FALSE))</f>
      </c>
      <c r="L11" s="86">
        <f>IF($B11="","",VLOOKUP($B11,'6-2_算定表①(旧々・旧制度)'!$B$8:$U$65536,14,FALSE))</f>
      </c>
      <c r="M11" s="724">
        <f>IF($B11="","",VLOOKUP($B11,'6-2_算定表①(旧々・旧制度)'!$B$8:$U$65536,14,FALSE))</f>
      </c>
      <c r="N11" s="716">
        <f>IF($B11="","",VLOOKUP($B11,'6-2_算定表①(旧々・旧制度)'!$B$8:$U$65536,17,FALSE))</f>
      </c>
      <c r="O11" s="86">
        <f>IF($B11="","",VLOOKUP($B11,'6-2_算定表①(旧々・旧制度)'!$B$8:$U$65536,17,FALSE))</f>
      </c>
      <c r="P11" s="86">
        <f>IF($B11="","",VLOOKUP($B11,'6-2_算定表①(旧々・旧制度)'!$B$8:$U$65536,17,FALSE))</f>
      </c>
      <c r="Q11" s="86">
        <f>IF($B11="","",VLOOKUP($B11,'6-2_算定表①(旧々・旧制度)'!$B$8:$U$65536,17,FALSE))</f>
      </c>
      <c r="R11" s="86">
        <f>IF($B11="","",VLOOKUP($B11,'6-2_算定表①(旧々・旧制度)'!$B$8:$U$65536,17,FALSE))</f>
      </c>
      <c r="S11" s="86">
        <f>IF($B11="","",VLOOKUP($B11,'6-2_算定表①(旧々・旧制度)'!$B$8:$U$65536,17,FALSE))</f>
      </c>
      <c r="T11" s="86">
        <f>IF($B11="","",VLOOKUP($B11,'6-2_算定表①(旧々・旧制度)'!$B$8:$U$65536,17,FALSE))</f>
      </c>
      <c r="U11" s="86">
        <f>IF($B11="","",VLOOKUP($B11,'6-2_算定表①(旧々・旧制度)'!$B$8:$U$65536,17,FALSE))</f>
      </c>
      <c r="V11" s="717">
        <f>IF($B11="","",VLOOKUP($B11,'6-2_算定表①(旧々・旧制度)'!$B$8:$U$65536,17,FALSE))</f>
      </c>
      <c r="W11" s="92">
        <f t="shared" si="0"/>
      </c>
      <c r="X11" s="89">
        <f t="shared" si="1"/>
      </c>
      <c r="Y11" s="82">
        <f t="shared" si="2"/>
      </c>
      <c r="Z11" s="98">
        <f t="shared" si="3"/>
      </c>
      <c r="AA11" s="95">
        <f t="shared" si="4"/>
      </c>
      <c r="AB11" s="92">
        <f t="shared" si="5"/>
      </c>
      <c r="AC11" s="59">
        <f>IF(B11="","",ROUNDUP((G11/'6-2_算定表①(旧々・旧制度)'!J10*W11)+(I11/'6-2_算定表①(旧々・旧制度)'!J10*X11)+(G11/'6-2_算定表①(旧々・旧制度)'!J10*Y11)+(I11/'6-2_算定表①(旧々・旧制度)'!J10*Z11),0))</f>
      </c>
      <c r="AD11" s="611">
        <f t="shared" si="6"/>
      </c>
      <c r="AE11" s="972">
        <f>IF(B11="","",VLOOKUP($B11,'6-2_算定表①(旧々・旧制度)'!$B$8:$AH$65536,33,FALSE))</f>
      </c>
      <c r="AF11" s="973">
        <f>IF(AD11="","",VLOOKUP($B11,'6-2_算定表③(旧・旧制度)'!$B$8:$U$65536,3,FALSE))</f>
      </c>
      <c r="AG11" s="974">
        <f>IF(AE11="","",VLOOKUP($B11,'6-2_算定表③(旧・旧制度)'!$B$8:$U$65536,3,FALSE))</f>
      </c>
      <c r="AI11" s="60">
        <f aca="true" t="shared" si="9" ref="AI11:AI38">IF(A11&gt;0,ASC(C11&amp;H11),"")</f>
      </c>
      <c r="AJ11" s="60">
        <f t="shared" si="7"/>
      </c>
    </row>
    <row r="12" spans="1:36" s="53" customFormat="1" ht="18.75" customHeight="1">
      <c r="A12" s="27">
        <f t="shared" si="8"/>
      </c>
      <c r="B12" s="237"/>
      <c r="C12" s="83">
        <f>IF($B12="","",VLOOKUP($B12,'6-2_算定表①(旧々・旧制度)'!$B$8:$U$65536,2,FALSE))</f>
      </c>
      <c r="D12" s="84">
        <f>IF($B12="","",VLOOKUP($B12,'6-2_算定表①(旧々・旧制度)'!$B$8:$U$65536,3,FALSE))</f>
      </c>
      <c r="E12" s="84">
        <f>IF($B12="","",VLOOKUP($B12,'6-2_算定表①(旧々・旧制度)'!$B$8:$U$65536,6,FALSE))</f>
      </c>
      <c r="F12" s="85">
        <f>IF(B12="","",VLOOKUP($B12,'6-2_算定表①(旧々・旧制度)'!$B$8:$U$65536,14,FALSE))</f>
      </c>
      <c r="G12" s="711">
        <f>IF(B12="","",VLOOKUP($B12,'6-2_算定表①(旧々・旧制度)'!$B$8:$U$65536,16,FALSE))</f>
      </c>
      <c r="H12" s="85">
        <f>IF(B12="","",VLOOKUP($B12,'6-2_算定表①(旧々・旧制度)'!$B$8:$U$65536,17,FALSE))</f>
      </c>
      <c r="I12" s="59">
        <f>IF(B12="","",VLOOKUP($B12,'6-2_算定表①(旧々・旧制度)'!$B$8:$U$65536,19,FALSE))</f>
      </c>
      <c r="J12" s="722">
        <f>IF(B12="","",VLOOKUP($B12,'6-2_算定表①(旧々・旧制度)'!$B$8:$U$65536,17,FALSE))</f>
      </c>
      <c r="K12" s="716">
        <f>IF($B12="","",VLOOKUP($B12,'6-2_算定表①(旧々・旧制度)'!$B$8:$U$65536,14,FALSE))</f>
      </c>
      <c r="L12" s="86">
        <f>IF($B12="","",VLOOKUP($B12,'6-2_算定表①(旧々・旧制度)'!$B$8:$U$65536,14,FALSE))</f>
      </c>
      <c r="M12" s="724">
        <f>IF($B12="","",VLOOKUP($B12,'6-2_算定表①(旧々・旧制度)'!$B$8:$U$65536,14,FALSE))</f>
      </c>
      <c r="N12" s="716">
        <f>IF($B12="","",VLOOKUP($B12,'6-2_算定表①(旧々・旧制度)'!$B$8:$U$65536,17,FALSE))</f>
      </c>
      <c r="O12" s="86">
        <f>IF($B12="","",VLOOKUP($B12,'6-2_算定表①(旧々・旧制度)'!$B$8:$U$65536,17,FALSE))</f>
      </c>
      <c r="P12" s="86">
        <f>IF($B12="","",VLOOKUP($B12,'6-2_算定表①(旧々・旧制度)'!$B$8:$U$65536,17,FALSE))</f>
      </c>
      <c r="Q12" s="86">
        <f>IF($B12="","",VLOOKUP($B12,'6-2_算定表①(旧々・旧制度)'!$B$8:$U$65536,17,FALSE))</f>
      </c>
      <c r="R12" s="86">
        <f>IF($B12="","",VLOOKUP($B12,'6-2_算定表①(旧々・旧制度)'!$B$8:$U$65536,17,FALSE))</f>
      </c>
      <c r="S12" s="86">
        <f>IF($B12="","",VLOOKUP($B12,'6-2_算定表①(旧々・旧制度)'!$B$8:$U$65536,17,FALSE))</f>
      </c>
      <c r="T12" s="86">
        <f>IF($B12="","",VLOOKUP($B12,'6-2_算定表①(旧々・旧制度)'!$B$8:$U$65536,17,FALSE))</f>
      </c>
      <c r="U12" s="86">
        <f>IF($B12="","",VLOOKUP($B12,'6-2_算定表①(旧々・旧制度)'!$B$8:$U$65536,17,FALSE))</f>
      </c>
      <c r="V12" s="717">
        <f>IF($B12="","",VLOOKUP($B12,'6-2_算定表①(旧々・旧制度)'!$B$8:$U$65536,17,FALSE))</f>
      </c>
      <c r="W12" s="93">
        <f t="shared" si="0"/>
      </c>
      <c r="X12" s="90">
        <f t="shared" si="1"/>
      </c>
      <c r="Y12" s="87">
        <f t="shared" si="2"/>
      </c>
      <c r="Z12" s="99">
        <f t="shared" si="3"/>
      </c>
      <c r="AA12" s="96">
        <f t="shared" si="4"/>
      </c>
      <c r="AB12" s="93">
        <f t="shared" si="5"/>
      </c>
      <c r="AC12" s="59">
        <f>IF(B12="","",ROUNDUP((G12/'6-2_算定表①(旧々・旧制度)'!J11*W12)+(I12/'6-2_算定表①(旧々・旧制度)'!J11*X12)+(G12/'6-2_算定表①(旧々・旧制度)'!J11*Y12)+(I12/'6-2_算定表①(旧々・旧制度)'!J11*Z12),0))</f>
      </c>
      <c r="AD12" s="611">
        <f t="shared" si="6"/>
      </c>
      <c r="AE12" s="972">
        <f>IF(B12="","",VLOOKUP($B12,'6-2_算定表①(旧々・旧制度)'!$B$8:$AH$65536,33,FALSE))</f>
      </c>
      <c r="AF12" s="973">
        <f>IF(AD12="","",VLOOKUP($B12,'6-2_算定表③(旧・旧制度)'!$B$8:$U$65536,3,FALSE))</f>
      </c>
      <c r="AG12" s="974">
        <f>IF(AE12="","",VLOOKUP($B12,'6-2_算定表③(旧・旧制度)'!$B$8:$U$65536,3,FALSE))</f>
      </c>
      <c r="AI12" s="60">
        <f t="shared" si="9"/>
      </c>
      <c r="AJ12" s="60">
        <f t="shared" si="7"/>
      </c>
    </row>
    <row r="13" spans="1:36" s="53" customFormat="1" ht="18.75" customHeight="1">
      <c r="A13" s="27">
        <f t="shared" si="8"/>
      </c>
      <c r="B13" s="237"/>
      <c r="C13" s="83">
        <f>IF($B13="","",VLOOKUP($B13,'6-2_算定表①(旧々・旧制度)'!$B$8:$U$65536,2,FALSE))</f>
      </c>
      <c r="D13" s="84">
        <f>IF($B13="","",VLOOKUP($B13,'6-2_算定表①(旧々・旧制度)'!$B$8:$U$65536,3,FALSE))</f>
      </c>
      <c r="E13" s="84">
        <f>IF($B13="","",VLOOKUP($B13,'6-2_算定表①(旧々・旧制度)'!$B$8:$U$65536,6,FALSE))</f>
      </c>
      <c r="F13" s="85">
        <f>IF(B13="","",VLOOKUP($B13,'6-2_算定表①(旧々・旧制度)'!$B$8:$U$65536,14,FALSE))</f>
      </c>
      <c r="G13" s="711">
        <f>IF(B13="","",VLOOKUP($B13,'6-2_算定表①(旧々・旧制度)'!$B$8:$U$65536,16,FALSE))</f>
      </c>
      <c r="H13" s="85">
        <f>IF(B13="","",VLOOKUP($B13,'6-2_算定表①(旧々・旧制度)'!$B$8:$U$65536,17,FALSE))</f>
      </c>
      <c r="I13" s="59">
        <f>IF(B13="","",VLOOKUP($B13,'6-2_算定表①(旧々・旧制度)'!$B$8:$U$65536,19,FALSE))</f>
      </c>
      <c r="J13" s="722">
        <f>IF(B13="","",VLOOKUP($B13,'6-2_算定表①(旧々・旧制度)'!$B$8:$U$65536,17,FALSE))</f>
      </c>
      <c r="K13" s="716">
        <f>IF($B13="","",VLOOKUP($B13,'6-2_算定表①(旧々・旧制度)'!$B$8:$U$65536,14,FALSE))</f>
      </c>
      <c r="L13" s="86">
        <f>IF($B13="","",VLOOKUP($B13,'6-2_算定表①(旧々・旧制度)'!$B$8:$U$65536,14,FALSE))</f>
      </c>
      <c r="M13" s="724">
        <f>IF($B13="","",VLOOKUP($B13,'6-2_算定表①(旧々・旧制度)'!$B$8:$U$65536,14,FALSE))</f>
      </c>
      <c r="N13" s="716">
        <f>IF($B13="","",VLOOKUP($B13,'6-2_算定表①(旧々・旧制度)'!$B$8:$U$65536,17,FALSE))</f>
      </c>
      <c r="O13" s="86">
        <f>IF($B13="","",VLOOKUP($B13,'6-2_算定表①(旧々・旧制度)'!$B$8:$U$65536,17,FALSE))</f>
      </c>
      <c r="P13" s="86">
        <f>IF($B13="","",VLOOKUP($B13,'6-2_算定表①(旧々・旧制度)'!$B$8:$U$65536,17,FALSE))</f>
      </c>
      <c r="Q13" s="86">
        <f>IF($B13="","",VLOOKUP($B13,'6-2_算定表①(旧々・旧制度)'!$B$8:$U$65536,17,FALSE))</f>
      </c>
      <c r="R13" s="86">
        <f>IF($B13="","",VLOOKUP($B13,'6-2_算定表①(旧々・旧制度)'!$B$8:$U$65536,17,FALSE))</f>
      </c>
      <c r="S13" s="86">
        <f>IF($B13="","",VLOOKUP($B13,'6-2_算定表①(旧々・旧制度)'!$B$8:$U$65536,17,FALSE))</f>
      </c>
      <c r="T13" s="86">
        <f>IF($B13="","",VLOOKUP($B13,'6-2_算定表①(旧々・旧制度)'!$B$8:$U$65536,17,FALSE))</f>
      </c>
      <c r="U13" s="86">
        <f>IF($B13="","",VLOOKUP($B13,'6-2_算定表①(旧々・旧制度)'!$B$8:$U$65536,17,FALSE))</f>
      </c>
      <c r="V13" s="717">
        <f>IF($B13="","",VLOOKUP($B13,'6-2_算定表①(旧々・旧制度)'!$B$8:$U$65536,17,FALSE))</f>
      </c>
      <c r="W13" s="93">
        <f t="shared" si="0"/>
      </c>
      <c r="X13" s="90">
        <f t="shared" si="1"/>
      </c>
      <c r="Y13" s="87">
        <f t="shared" si="2"/>
      </c>
      <c r="Z13" s="99">
        <f t="shared" si="3"/>
      </c>
      <c r="AA13" s="96">
        <f t="shared" si="4"/>
      </c>
      <c r="AB13" s="93">
        <f t="shared" si="5"/>
      </c>
      <c r="AC13" s="59">
        <f>IF(B13="","",ROUNDUP((G13/'6-2_算定表①(旧々・旧制度)'!J12*W13)+(I13/'6-2_算定表①(旧々・旧制度)'!J12*X13)+(G13/'6-2_算定表①(旧々・旧制度)'!J12*Y13)+(I13/'6-2_算定表①(旧々・旧制度)'!J12*Z13),0))</f>
      </c>
      <c r="AD13" s="611">
        <f t="shared" si="6"/>
      </c>
      <c r="AE13" s="972">
        <f>IF(B13="","",VLOOKUP($B13,'6-2_算定表①(旧々・旧制度)'!$B$8:$AH$65536,33,FALSE))</f>
      </c>
      <c r="AF13" s="973">
        <f>IF(AD13="","",VLOOKUP($B13,'6-2_算定表③(旧・旧制度)'!$B$8:$U$65536,3,FALSE))</f>
      </c>
      <c r="AG13" s="974">
        <f>IF(AE13="","",VLOOKUP($B13,'6-2_算定表③(旧・旧制度)'!$B$8:$U$65536,3,FALSE))</f>
      </c>
      <c r="AI13" s="60">
        <f t="shared" si="9"/>
      </c>
      <c r="AJ13" s="60">
        <f t="shared" si="7"/>
      </c>
    </row>
    <row r="14" spans="1:36" s="53" customFormat="1" ht="18.75" customHeight="1">
      <c r="A14" s="27">
        <f t="shared" si="8"/>
      </c>
      <c r="B14" s="240"/>
      <c r="C14" s="83">
        <f>IF($B14="","",VLOOKUP($B14,'6-2_算定表①(旧々・旧制度)'!$B$8:$U$65536,2,FALSE))</f>
      </c>
      <c r="D14" s="84">
        <f>IF($B14="","",VLOOKUP($B14,'6-2_算定表①(旧々・旧制度)'!$B$8:$U$65536,3,FALSE))</f>
      </c>
      <c r="E14" s="84">
        <f>IF($B14="","",VLOOKUP($B14,'6-2_算定表①(旧々・旧制度)'!$B$8:$U$65536,6,FALSE))</f>
      </c>
      <c r="F14" s="85">
        <f>IF(B14="","",VLOOKUP($B14,'6-2_算定表①(旧々・旧制度)'!$B$8:$U$65536,14,FALSE))</f>
      </c>
      <c r="G14" s="711">
        <f>IF(B14="","",VLOOKUP($B14,'6-2_算定表①(旧々・旧制度)'!$B$8:$U$65536,16,FALSE))</f>
      </c>
      <c r="H14" s="85">
        <f>IF(B14="","",VLOOKUP($B14,'6-2_算定表①(旧々・旧制度)'!$B$8:$U$65536,17,FALSE))</f>
      </c>
      <c r="I14" s="59">
        <f>IF(B14="","",VLOOKUP($B14,'6-2_算定表①(旧々・旧制度)'!$B$8:$U$65536,19,FALSE))</f>
      </c>
      <c r="J14" s="722">
        <f>IF(B14="","",VLOOKUP($B14,'6-2_算定表①(旧々・旧制度)'!$B$8:$U$65536,17,FALSE))</f>
      </c>
      <c r="K14" s="716">
        <f>IF($B14="","",VLOOKUP($B14,'6-2_算定表①(旧々・旧制度)'!$B$8:$U$65536,14,FALSE))</f>
      </c>
      <c r="L14" s="86">
        <f>IF($B14="","",VLOOKUP($B14,'6-2_算定表①(旧々・旧制度)'!$B$8:$U$65536,14,FALSE))</f>
      </c>
      <c r="M14" s="724">
        <f>IF($B14="","",VLOOKUP($B14,'6-2_算定表①(旧々・旧制度)'!$B$8:$U$65536,14,FALSE))</f>
      </c>
      <c r="N14" s="716">
        <f>IF($B14="","",VLOOKUP($B14,'6-2_算定表①(旧々・旧制度)'!$B$8:$U$65536,17,FALSE))</f>
      </c>
      <c r="O14" s="86">
        <f>IF($B14="","",VLOOKUP($B14,'6-2_算定表①(旧々・旧制度)'!$B$8:$U$65536,17,FALSE))</f>
      </c>
      <c r="P14" s="86">
        <f>IF($B14="","",VLOOKUP($B14,'6-2_算定表①(旧々・旧制度)'!$B$8:$U$65536,17,FALSE))</f>
      </c>
      <c r="Q14" s="86">
        <f>IF($B14="","",VLOOKUP($B14,'6-2_算定表①(旧々・旧制度)'!$B$8:$U$65536,17,FALSE))</f>
      </c>
      <c r="R14" s="86">
        <f>IF($B14="","",VLOOKUP($B14,'6-2_算定表①(旧々・旧制度)'!$B$8:$U$65536,17,FALSE))</f>
      </c>
      <c r="S14" s="86">
        <f>IF($B14="","",VLOOKUP($B14,'6-2_算定表①(旧々・旧制度)'!$B$8:$U$65536,17,FALSE))</f>
      </c>
      <c r="T14" s="86">
        <f>IF($B14="","",VLOOKUP($B14,'6-2_算定表①(旧々・旧制度)'!$B$8:$U$65536,17,FALSE))</f>
      </c>
      <c r="U14" s="86">
        <f>IF($B14="","",VLOOKUP($B14,'6-2_算定表①(旧々・旧制度)'!$B$8:$U$65536,17,FALSE))</f>
      </c>
      <c r="V14" s="717">
        <f>IF($B14="","",VLOOKUP($B14,'6-2_算定表①(旧々・旧制度)'!$B$8:$U$65536,17,FALSE))</f>
      </c>
      <c r="W14" s="93">
        <f t="shared" si="0"/>
      </c>
      <c r="X14" s="90">
        <f t="shared" si="1"/>
      </c>
      <c r="Y14" s="87">
        <f t="shared" si="2"/>
      </c>
      <c r="Z14" s="99">
        <f t="shared" si="3"/>
      </c>
      <c r="AA14" s="96">
        <f t="shared" si="4"/>
      </c>
      <c r="AB14" s="93">
        <f t="shared" si="5"/>
      </c>
      <c r="AC14" s="59">
        <f>IF(B14="","",ROUNDUP((G14/'6-2_算定表①(旧々・旧制度)'!J13*W14)+(I14/'6-2_算定表①(旧々・旧制度)'!J13*X14)+(G14/'6-2_算定表①(旧々・旧制度)'!J13*Y14)+(I14/'6-2_算定表①(旧々・旧制度)'!J13*Z14),0))</f>
      </c>
      <c r="AD14" s="611">
        <f t="shared" si="6"/>
      </c>
      <c r="AE14" s="972">
        <f>IF(B14="","",VLOOKUP($B14,'6-2_算定表①(旧々・旧制度)'!$B$8:$AH$65536,33,FALSE))</f>
      </c>
      <c r="AF14" s="973">
        <f>IF(AD14="","",VLOOKUP($B14,'6-2_算定表③(旧・旧制度)'!$B$8:$U$65536,3,FALSE))</f>
      </c>
      <c r="AG14" s="974">
        <f>IF(AE14="","",VLOOKUP($B14,'6-2_算定表③(旧・旧制度)'!$B$8:$U$65536,3,FALSE))</f>
      </c>
      <c r="AI14" s="60">
        <f t="shared" si="9"/>
      </c>
      <c r="AJ14" s="60">
        <f t="shared" si="7"/>
      </c>
    </row>
    <row r="15" spans="1:36" s="53" customFormat="1" ht="18.75" customHeight="1">
      <c r="A15" s="27">
        <f t="shared" si="8"/>
      </c>
      <c r="B15" s="240"/>
      <c r="C15" s="83">
        <f>IF($B15="","",VLOOKUP($B15,'6-2_算定表①(旧々・旧制度)'!$B$8:$U$65536,2,FALSE))</f>
      </c>
      <c r="D15" s="84">
        <f>IF($B15="","",VLOOKUP($B15,'6-2_算定表①(旧々・旧制度)'!$B$8:$U$65536,3,FALSE))</f>
      </c>
      <c r="E15" s="84">
        <f>IF($B15="","",VLOOKUP($B15,'6-2_算定表①(旧々・旧制度)'!$B$8:$U$65536,6,FALSE))</f>
      </c>
      <c r="F15" s="85">
        <f>IF(B15="","",VLOOKUP($B15,'6-2_算定表①(旧々・旧制度)'!$B$8:$U$65536,14,FALSE))</f>
      </c>
      <c r="G15" s="711">
        <f>IF(B15="","",VLOOKUP($B15,'6-2_算定表①(旧々・旧制度)'!$B$8:$U$65536,16,FALSE))</f>
      </c>
      <c r="H15" s="85">
        <f>IF(B15="","",VLOOKUP($B15,'6-2_算定表①(旧々・旧制度)'!$B$8:$U$65536,17,FALSE))</f>
      </c>
      <c r="I15" s="59">
        <f>IF(B15="","",VLOOKUP($B15,'6-2_算定表①(旧々・旧制度)'!$B$8:$U$65536,19,FALSE))</f>
      </c>
      <c r="J15" s="722">
        <f>IF(B15="","",VLOOKUP($B15,'6-2_算定表①(旧々・旧制度)'!$B$8:$U$65536,17,FALSE))</f>
      </c>
      <c r="K15" s="716">
        <f>IF($B15="","",VLOOKUP($B15,'6-2_算定表①(旧々・旧制度)'!$B$8:$U$65536,14,FALSE))</f>
      </c>
      <c r="L15" s="86">
        <f>IF($B15="","",VLOOKUP($B15,'6-2_算定表①(旧々・旧制度)'!$B$8:$U$65536,14,FALSE))</f>
      </c>
      <c r="M15" s="724">
        <f>IF($B15="","",VLOOKUP($B15,'6-2_算定表①(旧々・旧制度)'!$B$8:$U$65536,14,FALSE))</f>
      </c>
      <c r="N15" s="716">
        <f>IF($B15="","",VLOOKUP($B15,'6-2_算定表①(旧々・旧制度)'!$B$8:$U$65536,17,FALSE))</f>
      </c>
      <c r="O15" s="86">
        <f>IF($B15="","",VLOOKUP($B15,'6-2_算定表①(旧々・旧制度)'!$B$8:$U$65536,17,FALSE))</f>
      </c>
      <c r="P15" s="86">
        <f>IF($B15="","",VLOOKUP($B15,'6-2_算定表①(旧々・旧制度)'!$B$8:$U$65536,17,FALSE))</f>
      </c>
      <c r="Q15" s="86">
        <f>IF($B15="","",VLOOKUP($B15,'6-2_算定表①(旧々・旧制度)'!$B$8:$U$65536,17,FALSE))</f>
      </c>
      <c r="R15" s="86">
        <f>IF($B15="","",VLOOKUP($B15,'6-2_算定表①(旧々・旧制度)'!$B$8:$U$65536,17,FALSE))</f>
      </c>
      <c r="S15" s="86">
        <f>IF($B15="","",VLOOKUP($B15,'6-2_算定表①(旧々・旧制度)'!$B$8:$U$65536,17,FALSE))</f>
      </c>
      <c r="T15" s="86">
        <f>IF($B15="","",VLOOKUP($B15,'6-2_算定表①(旧々・旧制度)'!$B$8:$U$65536,17,FALSE))</f>
      </c>
      <c r="U15" s="86">
        <f>IF($B15="","",VLOOKUP($B15,'6-2_算定表①(旧々・旧制度)'!$B$8:$U$65536,17,FALSE))</f>
      </c>
      <c r="V15" s="717">
        <f>IF($B15="","",VLOOKUP($B15,'6-2_算定表①(旧々・旧制度)'!$B$8:$U$65536,17,FALSE))</f>
      </c>
      <c r="W15" s="93">
        <f t="shared" si="0"/>
      </c>
      <c r="X15" s="90">
        <f t="shared" si="1"/>
      </c>
      <c r="Y15" s="87">
        <f t="shared" si="2"/>
      </c>
      <c r="Z15" s="99">
        <f t="shared" si="3"/>
      </c>
      <c r="AA15" s="96">
        <f t="shared" si="4"/>
      </c>
      <c r="AB15" s="93">
        <f t="shared" si="5"/>
      </c>
      <c r="AC15" s="59">
        <f>IF(B15="","",ROUNDUP((G15/'6-2_算定表①(旧々・旧制度)'!J14*W15)+(I15/'6-2_算定表①(旧々・旧制度)'!J14*X15)+(G15/'6-2_算定表①(旧々・旧制度)'!J14*Y15)+(I15/'6-2_算定表①(旧々・旧制度)'!J14*Z15),0))</f>
      </c>
      <c r="AD15" s="611">
        <f t="shared" si="6"/>
      </c>
      <c r="AE15" s="972">
        <f>IF(B15="","",VLOOKUP($B15,'6-2_算定表①(旧々・旧制度)'!$B$8:$AH$65536,33,FALSE))</f>
      </c>
      <c r="AF15" s="973">
        <f>IF(AD15="","",VLOOKUP($B15,'6-2_算定表③(旧・旧制度)'!$B$8:$U$65536,3,FALSE))</f>
      </c>
      <c r="AG15" s="974">
        <f>IF(AE15="","",VLOOKUP($B15,'6-2_算定表③(旧・旧制度)'!$B$8:$U$65536,3,FALSE))</f>
      </c>
      <c r="AI15" s="60">
        <f t="shared" si="9"/>
      </c>
      <c r="AJ15" s="60">
        <f t="shared" si="7"/>
      </c>
    </row>
    <row r="16" spans="1:36" s="53" customFormat="1" ht="18.75" customHeight="1">
      <c r="A16" s="27">
        <f t="shared" si="8"/>
      </c>
      <c r="B16" s="240"/>
      <c r="C16" s="83">
        <f>IF($B16="","",VLOOKUP($B16,'6-2_算定表①(旧々・旧制度)'!$B$8:$U$65536,2,FALSE))</f>
      </c>
      <c r="D16" s="84">
        <f>IF($B16="","",VLOOKUP($B16,'6-2_算定表①(旧々・旧制度)'!$B$8:$U$65536,3,FALSE))</f>
      </c>
      <c r="E16" s="84">
        <f>IF($B16="","",VLOOKUP($B16,'6-2_算定表①(旧々・旧制度)'!$B$8:$U$65536,6,FALSE))</f>
      </c>
      <c r="F16" s="85">
        <f>IF(B16="","",VLOOKUP($B16,'6-2_算定表①(旧々・旧制度)'!$B$8:$U$65536,14,FALSE))</f>
      </c>
      <c r="G16" s="711">
        <f>IF(B16="","",VLOOKUP($B16,'6-2_算定表①(旧々・旧制度)'!$B$8:$U$65536,16,FALSE))</f>
      </c>
      <c r="H16" s="85">
        <f>IF(B16="","",VLOOKUP($B16,'6-2_算定表①(旧々・旧制度)'!$B$8:$U$65536,17,FALSE))</f>
      </c>
      <c r="I16" s="59">
        <f>IF(B16="","",VLOOKUP($B16,'6-2_算定表①(旧々・旧制度)'!$B$8:$U$65536,19,FALSE))</f>
      </c>
      <c r="J16" s="722">
        <f>IF(B16="","",VLOOKUP($B16,'6-2_算定表①(旧々・旧制度)'!$B$8:$U$65536,17,FALSE))</f>
      </c>
      <c r="K16" s="716">
        <f>IF($B16="","",VLOOKUP($B16,'6-2_算定表①(旧々・旧制度)'!$B$8:$U$65536,14,FALSE))</f>
      </c>
      <c r="L16" s="86">
        <f>IF($B16="","",VLOOKUP($B16,'6-2_算定表①(旧々・旧制度)'!$B$8:$U$65536,14,FALSE))</f>
      </c>
      <c r="M16" s="724">
        <f>IF($B16="","",VLOOKUP($B16,'6-2_算定表①(旧々・旧制度)'!$B$8:$U$65536,14,FALSE))</f>
      </c>
      <c r="N16" s="716">
        <f>IF($B16="","",VLOOKUP($B16,'6-2_算定表①(旧々・旧制度)'!$B$8:$U$65536,17,FALSE))</f>
      </c>
      <c r="O16" s="86">
        <f>IF($B16="","",VLOOKUP($B16,'6-2_算定表①(旧々・旧制度)'!$B$8:$U$65536,17,FALSE))</f>
      </c>
      <c r="P16" s="86">
        <f>IF($B16="","",VLOOKUP($B16,'6-2_算定表①(旧々・旧制度)'!$B$8:$U$65536,17,FALSE))</f>
      </c>
      <c r="Q16" s="86">
        <f>IF($B16="","",VLOOKUP($B16,'6-2_算定表①(旧々・旧制度)'!$B$8:$U$65536,17,FALSE))</f>
      </c>
      <c r="R16" s="86">
        <f>IF($B16="","",VLOOKUP($B16,'6-2_算定表①(旧々・旧制度)'!$B$8:$U$65536,17,FALSE))</f>
      </c>
      <c r="S16" s="86">
        <f>IF($B16="","",VLOOKUP($B16,'6-2_算定表①(旧々・旧制度)'!$B$8:$U$65536,17,FALSE))</f>
      </c>
      <c r="T16" s="86">
        <f>IF($B16="","",VLOOKUP($B16,'6-2_算定表①(旧々・旧制度)'!$B$8:$U$65536,17,FALSE))</f>
      </c>
      <c r="U16" s="86">
        <f>IF($B16="","",VLOOKUP($B16,'6-2_算定表①(旧々・旧制度)'!$B$8:$U$65536,17,FALSE))</f>
      </c>
      <c r="V16" s="717">
        <f>IF($B16="","",VLOOKUP($B16,'6-2_算定表①(旧々・旧制度)'!$B$8:$U$65536,17,FALSE))</f>
      </c>
      <c r="W16" s="93">
        <f t="shared" si="0"/>
      </c>
      <c r="X16" s="90">
        <f t="shared" si="1"/>
      </c>
      <c r="Y16" s="87">
        <f t="shared" si="2"/>
      </c>
      <c r="Z16" s="99">
        <f t="shared" si="3"/>
      </c>
      <c r="AA16" s="96">
        <f t="shared" si="4"/>
      </c>
      <c r="AB16" s="93">
        <f t="shared" si="5"/>
      </c>
      <c r="AC16" s="59">
        <f>IF(B16="","",ROUNDUP((G16/'6-2_算定表①(旧々・旧制度)'!J15*W16)+(I16/'6-2_算定表①(旧々・旧制度)'!J15*X16)+(G16/'6-2_算定表①(旧々・旧制度)'!J15*Y16)+(I16/'6-2_算定表①(旧々・旧制度)'!J15*Z16),0))</f>
      </c>
      <c r="AD16" s="611">
        <f t="shared" si="6"/>
      </c>
      <c r="AE16" s="972">
        <f>IF(B16="","",VLOOKUP($B16,'6-2_算定表①(旧々・旧制度)'!$B$8:$AH$65536,33,FALSE))</f>
      </c>
      <c r="AF16" s="973">
        <f>IF(AD16="","",VLOOKUP($B16,'6-2_算定表③(旧・旧制度)'!$B$8:$U$65536,3,FALSE))</f>
      </c>
      <c r="AG16" s="974">
        <f>IF(AE16="","",VLOOKUP($B16,'6-2_算定表③(旧・旧制度)'!$B$8:$U$65536,3,FALSE))</f>
      </c>
      <c r="AI16" s="60">
        <f t="shared" si="9"/>
      </c>
      <c r="AJ16" s="60">
        <f t="shared" si="7"/>
      </c>
    </row>
    <row r="17" spans="1:36" s="53" customFormat="1" ht="18.75" customHeight="1">
      <c r="A17" s="27">
        <f t="shared" si="8"/>
      </c>
      <c r="B17" s="240"/>
      <c r="C17" s="83">
        <f>IF($B17="","",VLOOKUP($B17,'6-2_算定表①(旧々・旧制度)'!$B$8:$U$65536,2,FALSE))</f>
      </c>
      <c r="D17" s="84">
        <f>IF($B17="","",VLOOKUP($B17,'6-2_算定表①(旧々・旧制度)'!$B$8:$U$65536,3,FALSE))</f>
      </c>
      <c r="E17" s="84">
        <f>IF($B17="","",VLOOKUP($B17,'6-2_算定表①(旧々・旧制度)'!$B$8:$U$65536,6,FALSE))</f>
      </c>
      <c r="F17" s="85">
        <f>IF(B17="","",VLOOKUP($B17,'6-2_算定表①(旧々・旧制度)'!$B$8:$U$65536,14,FALSE))</f>
      </c>
      <c r="G17" s="711">
        <f>IF(B17="","",VLOOKUP($B17,'6-2_算定表①(旧々・旧制度)'!$B$8:$U$65536,16,FALSE))</f>
      </c>
      <c r="H17" s="85">
        <f>IF(B17="","",VLOOKUP($B17,'6-2_算定表①(旧々・旧制度)'!$B$8:$U$65536,17,FALSE))</f>
      </c>
      <c r="I17" s="59">
        <f>IF(B17="","",VLOOKUP($B17,'6-2_算定表①(旧々・旧制度)'!$B$8:$U$65536,19,FALSE))</f>
      </c>
      <c r="J17" s="722">
        <f>IF(B17="","",VLOOKUP($B17,'6-2_算定表①(旧々・旧制度)'!$B$8:$U$65536,17,FALSE))</f>
      </c>
      <c r="K17" s="716">
        <f>IF($B17="","",VLOOKUP($B17,'6-2_算定表①(旧々・旧制度)'!$B$8:$U$65536,14,FALSE))</f>
      </c>
      <c r="L17" s="86">
        <f>IF($B17="","",VLOOKUP($B17,'6-2_算定表①(旧々・旧制度)'!$B$8:$U$65536,14,FALSE))</f>
      </c>
      <c r="M17" s="724">
        <f>IF($B17="","",VLOOKUP($B17,'6-2_算定表①(旧々・旧制度)'!$B$8:$U$65536,14,FALSE))</f>
      </c>
      <c r="N17" s="716">
        <f>IF($B17="","",VLOOKUP($B17,'6-2_算定表①(旧々・旧制度)'!$B$8:$U$65536,17,FALSE))</f>
      </c>
      <c r="O17" s="86">
        <f>IF($B17="","",VLOOKUP($B17,'6-2_算定表①(旧々・旧制度)'!$B$8:$U$65536,17,FALSE))</f>
      </c>
      <c r="P17" s="86">
        <f>IF($B17="","",VLOOKUP($B17,'6-2_算定表①(旧々・旧制度)'!$B$8:$U$65536,17,FALSE))</f>
      </c>
      <c r="Q17" s="86">
        <f>IF($B17="","",VLOOKUP($B17,'6-2_算定表①(旧々・旧制度)'!$B$8:$U$65536,17,FALSE))</f>
      </c>
      <c r="R17" s="86">
        <f>IF($B17="","",VLOOKUP($B17,'6-2_算定表①(旧々・旧制度)'!$B$8:$U$65536,17,FALSE))</f>
      </c>
      <c r="S17" s="86">
        <f>IF($B17="","",VLOOKUP($B17,'6-2_算定表①(旧々・旧制度)'!$B$8:$U$65536,17,FALSE))</f>
      </c>
      <c r="T17" s="86">
        <f>IF($B17="","",VLOOKUP($B17,'6-2_算定表①(旧々・旧制度)'!$B$8:$U$65536,17,FALSE))</f>
      </c>
      <c r="U17" s="86">
        <f>IF($B17="","",VLOOKUP($B17,'6-2_算定表①(旧々・旧制度)'!$B$8:$U$65536,17,FALSE))</f>
      </c>
      <c r="V17" s="717">
        <f>IF($B17="","",VLOOKUP($B17,'6-2_算定表①(旧々・旧制度)'!$B$8:$U$65536,17,FALSE))</f>
      </c>
      <c r="W17" s="93">
        <f t="shared" si="0"/>
      </c>
      <c r="X17" s="90">
        <f t="shared" si="1"/>
      </c>
      <c r="Y17" s="87">
        <f t="shared" si="2"/>
      </c>
      <c r="Z17" s="99">
        <f t="shared" si="3"/>
      </c>
      <c r="AA17" s="96">
        <f t="shared" si="4"/>
      </c>
      <c r="AB17" s="93">
        <f t="shared" si="5"/>
      </c>
      <c r="AC17" s="59">
        <f>IF(B17="","",ROUNDUP((G17/'6-2_算定表①(旧々・旧制度)'!J16*W17)+(I17/'6-2_算定表①(旧々・旧制度)'!J16*X17)+(G17/'6-2_算定表①(旧々・旧制度)'!J16*Y17)+(I17/'6-2_算定表①(旧々・旧制度)'!J16*Z17),0))</f>
      </c>
      <c r="AD17" s="611">
        <f t="shared" si="6"/>
      </c>
      <c r="AE17" s="972">
        <f>IF(B17="","",VLOOKUP($B17,'6-2_算定表①(旧々・旧制度)'!$B$8:$AH$65536,33,FALSE))</f>
      </c>
      <c r="AF17" s="973">
        <f>IF(AD17="","",VLOOKUP($B17,'6-2_算定表③(旧・旧制度)'!$B$8:$U$65536,3,FALSE))</f>
      </c>
      <c r="AG17" s="974">
        <f>IF(AE17="","",VLOOKUP($B17,'6-2_算定表③(旧・旧制度)'!$B$8:$U$65536,3,FALSE))</f>
      </c>
      <c r="AI17" s="60">
        <f t="shared" si="9"/>
      </c>
      <c r="AJ17" s="60">
        <f t="shared" si="7"/>
      </c>
    </row>
    <row r="18" spans="1:36" s="53" customFormat="1" ht="18.75" customHeight="1">
      <c r="A18" s="27">
        <f t="shared" si="8"/>
      </c>
      <c r="B18" s="240"/>
      <c r="C18" s="83">
        <f>IF($B18="","",VLOOKUP($B18,'6-2_算定表①(旧々・旧制度)'!$B$8:$U$65536,2,FALSE))</f>
      </c>
      <c r="D18" s="84">
        <f>IF($B18="","",VLOOKUP($B18,'6-2_算定表①(旧々・旧制度)'!$B$8:$U$65536,3,FALSE))</f>
      </c>
      <c r="E18" s="84">
        <f>IF($B18="","",VLOOKUP($B18,'6-2_算定表①(旧々・旧制度)'!$B$8:$U$65536,6,FALSE))</f>
      </c>
      <c r="F18" s="85">
        <f>IF(B18="","",VLOOKUP($B18,'6-2_算定表①(旧々・旧制度)'!$B$8:$U$65536,14,FALSE))</f>
      </c>
      <c r="G18" s="711">
        <f>IF(B18="","",VLOOKUP($B18,'6-2_算定表①(旧々・旧制度)'!$B$8:$U$65536,16,FALSE))</f>
      </c>
      <c r="H18" s="85">
        <f>IF(B18="","",VLOOKUP($B18,'6-2_算定表①(旧々・旧制度)'!$B$8:$U$65536,17,FALSE))</f>
      </c>
      <c r="I18" s="59">
        <f>IF(B18="","",VLOOKUP($B18,'6-2_算定表①(旧々・旧制度)'!$B$8:$U$65536,19,FALSE))</f>
      </c>
      <c r="J18" s="722">
        <f>IF(B18="","",VLOOKUP($B18,'6-2_算定表①(旧々・旧制度)'!$B$8:$U$65536,17,FALSE))</f>
      </c>
      <c r="K18" s="716">
        <f>IF($B18="","",VLOOKUP($B18,'6-2_算定表①(旧々・旧制度)'!$B$8:$U$65536,14,FALSE))</f>
      </c>
      <c r="L18" s="86">
        <f>IF($B18="","",VLOOKUP($B18,'6-2_算定表①(旧々・旧制度)'!$B$8:$U$65536,14,FALSE))</f>
      </c>
      <c r="M18" s="724">
        <f>IF($B18="","",VLOOKUP($B18,'6-2_算定表①(旧々・旧制度)'!$B$8:$U$65536,14,FALSE))</f>
      </c>
      <c r="N18" s="716">
        <f>IF($B18="","",VLOOKUP($B18,'6-2_算定表①(旧々・旧制度)'!$B$8:$U$65536,17,FALSE))</f>
      </c>
      <c r="O18" s="86">
        <f>IF($B18="","",VLOOKUP($B18,'6-2_算定表①(旧々・旧制度)'!$B$8:$U$65536,17,FALSE))</f>
      </c>
      <c r="P18" s="86">
        <f>IF($B18="","",VLOOKUP($B18,'6-2_算定表①(旧々・旧制度)'!$B$8:$U$65536,17,FALSE))</f>
      </c>
      <c r="Q18" s="86">
        <f>IF($B18="","",VLOOKUP($B18,'6-2_算定表①(旧々・旧制度)'!$B$8:$U$65536,17,FALSE))</f>
      </c>
      <c r="R18" s="86">
        <f>IF($B18="","",VLOOKUP($B18,'6-2_算定表①(旧々・旧制度)'!$B$8:$U$65536,17,FALSE))</f>
      </c>
      <c r="S18" s="86">
        <f>IF($B18="","",VLOOKUP($B18,'6-2_算定表①(旧々・旧制度)'!$B$8:$U$65536,17,FALSE))</f>
      </c>
      <c r="T18" s="86">
        <f>IF($B18="","",VLOOKUP($B18,'6-2_算定表①(旧々・旧制度)'!$B$8:$U$65536,17,FALSE))</f>
      </c>
      <c r="U18" s="86">
        <f>IF($B18="","",VLOOKUP($B18,'6-2_算定表①(旧々・旧制度)'!$B$8:$U$65536,17,FALSE))</f>
      </c>
      <c r="V18" s="717">
        <f>IF($B18="","",VLOOKUP($B18,'6-2_算定表①(旧々・旧制度)'!$B$8:$U$65536,17,FALSE))</f>
      </c>
      <c r="W18" s="93">
        <f t="shared" si="0"/>
      </c>
      <c r="X18" s="90">
        <f t="shared" si="1"/>
      </c>
      <c r="Y18" s="87">
        <f t="shared" si="2"/>
      </c>
      <c r="Z18" s="99">
        <f t="shared" si="3"/>
      </c>
      <c r="AA18" s="96">
        <f t="shared" si="4"/>
      </c>
      <c r="AB18" s="93">
        <f t="shared" si="5"/>
      </c>
      <c r="AC18" s="59">
        <f>IF(B18="","",ROUNDUP((G18/'6-2_算定表①(旧々・旧制度)'!J17*W18)+(I18/'6-2_算定表①(旧々・旧制度)'!J17*X18)+(G18/'6-2_算定表①(旧々・旧制度)'!J17*Y18)+(I18/'6-2_算定表①(旧々・旧制度)'!J17*Z18),0))</f>
      </c>
      <c r="AD18" s="611">
        <f t="shared" si="6"/>
      </c>
      <c r="AE18" s="972">
        <f>IF(B18="","",VLOOKUP($B18,'6-2_算定表①(旧々・旧制度)'!$B$8:$AH$65536,33,FALSE))</f>
      </c>
      <c r="AF18" s="973">
        <f>IF(AD18="","",VLOOKUP($B18,'6-2_算定表③(旧・旧制度)'!$B$8:$U$65536,3,FALSE))</f>
      </c>
      <c r="AG18" s="974">
        <f>IF(AE18="","",VLOOKUP($B18,'6-2_算定表③(旧・旧制度)'!$B$8:$U$65536,3,FALSE))</f>
      </c>
      <c r="AI18" s="60">
        <f t="shared" si="9"/>
      </c>
      <c r="AJ18" s="60">
        <f t="shared" si="7"/>
      </c>
    </row>
    <row r="19" spans="1:36" s="53" customFormat="1" ht="18.75" customHeight="1">
      <c r="A19" s="27">
        <f t="shared" si="8"/>
      </c>
      <c r="B19" s="240"/>
      <c r="C19" s="83">
        <f>IF($B19="","",VLOOKUP($B19,'6-2_算定表①(旧々・旧制度)'!$B$8:$U$65536,2,FALSE))</f>
      </c>
      <c r="D19" s="84">
        <f>IF($B19="","",VLOOKUP($B19,'6-2_算定表①(旧々・旧制度)'!$B$8:$U$65536,3,FALSE))</f>
      </c>
      <c r="E19" s="84">
        <f>IF($B19="","",VLOOKUP($B19,'6-2_算定表①(旧々・旧制度)'!$B$8:$U$65536,6,FALSE))</f>
      </c>
      <c r="F19" s="85">
        <f>IF(B19="","",VLOOKUP($B19,'6-2_算定表①(旧々・旧制度)'!$B$8:$U$65536,14,FALSE))</f>
      </c>
      <c r="G19" s="711">
        <f>IF(B19="","",VLOOKUP($B19,'6-2_算定表①(旧々・旧制度)'!$B$8:$U$65536,16,FALSE))</f>
      </c>
      <c r="H19" s="85">
        <f>IF(B19="","",VLOOKUP($B19,'6-2_算定表①(旧々・旧制度)'!$B$8:$U$65536,17,FALSE))</f>
      </c>
      <c r="I19" s="59">
        <f>IF(B19="","",VLOOKUP($B19,'6-2_算定表①(旧々・旧制度)'!$B$8:$U$65536,19,FALSE))</f>
      </c>
      <c r="J19" s="722">
        <f>IF(B19="","",VLOOKUP($B19,'6-2_算定表①(旧々・旧制度)'!$B$8:$U$65536,17,FALSE))</f>
      </c>
      <c r="K19" s="716">
        <f>IF($B19="","",VLOOKUP($B19,'6-2_算定表①(旧々・旧制度)'!$B$8:$U$65536,14,FALSE))</f>
      </c>
      <c r="L19" s="86">
        <f>IF($B19="","",VLOOKUP($B19,'6-2_算定表①(旧々・旧制度)'!$B$8:$U$65536,14,FALSE))</f>
      </c>
      <c r="M19" s="724">
        <f>IF($B19="","",VLOOKUP($B19,'6-2_算定表①(旧々・旧制度)'!$B$8:$U$65536,14,FALSE))</f>
      </c>
      <c r="N19" s="716">
        <f>IF($B19="","",VLOOKUP($B19,'6-2_算定表①(旧々・旧制度)'!$B$8:$U$65536,17,FALSE))</f>
      </c>
      <c r="O19" s="86">
        <f>IF($B19="","",VLOOKUP($B19,'6-2_算定表①(旧々・旧制度)'!$B$8:$U$65536,17,FALSE))</f>
      </c>
      <c r="P19" s="86">
        <f>IF($B19="","",VLOOKUP($B19,'6-2_算定表①(旧々・旧制度)'!$B$8:$U$65536,17,FALSE))</f>
      </c>
      <c r="Q19" s="86">
        <f>IF($B19="","",VLOOKUP($B19,'6-2_算定表①(旧々・旧制度)'!$B$8:$U$65536,17,FALSE))</f>
      </c>
      <c r="R19" s="86">
        <f>IF($B19="","",VLOOKUP($B19,'6-2_算定表①(旧々・旧制度)'!$B$8:$U$65536,17,FALSE))</f>
      </c>
      <c r="S19" s="86">
        <f>IF($B19="","",VLOOKUP($B19,'6-2_算定表①(旧々・旧制度)'!$B$8:$U$65536,17,FALSE))</f>
      </c>
      <c r="T19" s="86">
        <f>IF($B19="","",VLOOKUP($B19,'6-2_算定表①(旧々・旧制度)'!$B$8:$U$65536,17,FALSE))</f>
      </c>
      <c r="U19" s="86">
        <f>IF($B19="","",VLOOKUP($B19,'6-2_算定表①(旧々・旧制度)'!$B$8:$U$65536,17,FALSE))</f>
      </c>
      <c r="V19" s="717">
        <f>IF($B19="","",VLOOKUP($B19,'6-2_算定表①(旧々・旧制度)'!$B$8:$U$65536,17,FALSE))</f>
      </c>
      <c r="W19" s="93">
        <f t="shared" si="0"/>
      </c>
      <c r="X19" s="90">
        <f t="shared" si="1"/>
      </c>
      <c r="Y19" s="87">
        <f t="shared" si="2"/>
      </c>
      <c r="Z19" s="99">
        <f t="shared" si="3"/>
      </c>
      <c r="AA19" s="96">
        <f t="shared" si="4"/>
      </c>
      <c r="AB19" s="93">
        <f t="shared" si="5"/>
      </c>
      <c r="AC19" s="59">
        <f>IF(B19="","",ROUNDUP((G19/'6-2_算定表①(旧々・旧制度)'!J18*W19)+(I19/'6-2_算定表①(旧々・旧制度)'!J18*X19)+(G19/'6-2_算定表①(旧々・旧制度)'!J18*Y19)+(I19/'6-2_算定表①(旧々・旧制度)'!J18*Z19),0))</f>
      </c>
      <c r="AD19" s="611">
        <f t="shared" si="6"/>
      </c>
      <c r="AE19" s="972">
        <f>IF(B19="","",VLOOKUP($B19,'6-2_算定表①(旧々・旧制度)'!$B$8:$AH$65536,33,FALSE))</f>
      </c>
      <c r="AF19" s="973">
        <f>IF(AD19="","",VLOOKUP($B19,'6-2_算定表③(旧・旧制度)'!$B$8:$U$65536,3,FALSE))</f>
      </c>
      <c r="AG19" s="974">
        <f>IF(AE19="","",VLOOKUP($B19,'6-2_算定表③(旧・旧制度)'!$B$8:$U$65536,3,FALSE))</f>
      </c>
      <c r="AI19" s="60">
        <f t="shared" si="9"/>
      </c>
      <c r="AJ19" s="60">
        <f t="shared" si="7"/>
      </c>
    </row>
    <row r="20" spans="1:36" s="53" customFormat="1" ht="18.75" customHeight="1">
      <c r="A20" s="27">
        <f t="shared" si="8"/>
      </c>
      <c r="B20" s="240"/>
      <c r="C20" s="83">
        <f>IF($B20="","",VLOOKUP($B20,'6-2_算定表①(旧々・旧制度)'!$B$8:$U$65536,2,FALSE))</f>
      </c>
      <c r="D20" s="84">
        <f>IF($B20="","",VLOOKUP($B20,'6-2_算定表①(旧々・旧制度)'!$B$8:$U$65536,3,FALSE))</f>
      </c>
      <c r="E20" s="84">
        <f>IF($B20="","",VLOOKUP($B20,'6-2_算定表①(旧々・旧制度)'!$B$8:$U$65536,6,FALSE))</f>
      </c>
      <c r="F20" s="85">
        <f>IF(B20="","",VLOOKUP($B20,'6-2_算定表①(旧々・旧制度)'!$B$8:$U$65536,14,FALSE))</f>
      </c>
      <c r="G20" s="711">
        <f>IF(B20="","",VLOOKUP($B20,'6-2_算定表①(旧々・旧制度)'!$B$8:$U$65536,16,FALSE))</f>
      </c>
      <c r="H20" s="85">
        <f>IF(B20="","",VLOOKUP($B20,'6-2_算定表①(旧々・旧制度)'!$B$8:$U$65536,17,FALSE))</f>
      </c>
      <c r="I20" s="59">
        <f>IF(B20="","",VLOOKUP($B20,'6-2_算定表①(旧々・旧制度)'!$B$8:$U$65536,19,FALSE))</f>
      </c>
      <c r="J20" s="722">
        <f>IF(B20="","",VLOOKUP($B20,'6-2_算定表①(旧々・旧制度)'!$B$8:$U$65536,17,FALSE))</f>
      </c>
      <c r="K20" s="716">
        <f>IF($B20="","",VLOOKUP($B20,'6-2_算定表①(旧々・旧制度)'!$B$8:$U$65536,14,FALSE))</f>
      </c>
      <c r="L20" s="86">
        <f>IF($B20="","",VLOOKUP($B20,'6-2_算定表①(旧々・旧制度)'!$B$8:$U$65536,14,FALSE))</f>
      </c>
      <c r="M20" s="724">
        <f>IF($B20="","",VLOOKUP($B20,'6-2_算定表①(旧々・旧制度)'!$B$8:$U$65536,14,FALSE))</f>
      </c>
      <c r="N20" s="716">
        <f>IF($B20="","",VLOOKUP($B20,'6-2_算定表①(旧々・旧制度)'!$B$8:$U$65536,17,FALSE))</f>
      </c>
      <c r="O20" s="86">
        <f>IF($B20="","",VLOOKUP($B20,'6-2_算定表①(旧々・旧制度)'!$B$8:$U$65536,17,FALSE))</f>
      </c>
      <c r="P20" s="86">
        <f>IF($B20="","",VLOOKUP($B20,'6-2_算定表①(旧々・旧制度)'!$B$8:$U$65536,17,FALSE))</f>
      </c>
      <c r="Q20" s="86">
        <f>IF($B20="","",VLOOKUP($B20,'6-2_算定表①(旧々・旧制度)'!$B$8:$U$65536,17,FALSE))</f>
      </c>
      <c r="R20" s="86">
        <f>IF($B20="","",VLOOKUP($B20,'6-2_算定表①(旧々・旧制度)'!$B$8:$U$65536,17,FALSE))</f>
      </c>
      <c r="S20" s="86">
        <f>IF($B20="","",VLOOKUP($B20,'6-2_算定表①(旧々・旧制度)'!$B$8:$U$65536,17,FALSE))</f>
      </c>
      <c r="T20" s="86">
        <f>IF($B20="","",VLOOKUP($B20,'6-2_算定表①(旧々・旧制度)'!$B$8:$U$65536,17,FALSE))</f>
      </c>
      <c r="U20" s="86">
        <f>IF($B20="","",VLOOKUP($B20,'6-2_算定表①(旧々・旧制度)'!$B$8:$U$65536,17,FALSE))</f>
      </c>
      <c r="V20" s="717">
        <f>IF($B20="","",VLOOKUP($B20,'6-2_算定表①(旧々・旧制度)'!$B$8:$U$65536,17,FALSE))</f>
      </c>
      <c r="W20" s="93">
        <f t="shared" si="0"/>
      </c>
      <c r="X20" s="90">
        <f t="shared" si="1"/>
      </c>
      <c r="Y20" s="87">
        <f t="shared" si="2"/>
      </c>
      <c r="Z20" s="99">
        <f t="shared" si="3"/>
      </c>
      <c r="AA20" s="96">
        <f t="shared" si="4"/>
      </c>
      <c r="AB20" s="93">
        <f t="shared" si="5"/>
      </c>
      <c r="AC20" s="59">
        <f>IF(B20="","",ROUNDUP((G20/'6-2_算定表①(旧々・旧制度)'!J19*W20)+(I20/'6-2_算定表①(旧々・旧制度)'!J19*X20)+(G20/'6-2_算定表①(旧々・旧制度)'!J19*Y20)+(I20/'6-2_算定表①(旧々・旧制度)'!J19*Z20),0))</f>
      </c>
      <c r="AD20" s="611">
        <f t="shared" si="6"/>
      </c>
      <c r="AE20" s="972">
        <f>IF(B20="","",VLOOKUP($B20,'6-2_算定表①(旧々・旧制度)'!$B$8:$AH$65536,33,FALSE))</f>
      </c>
      <c r="AF20" s="973">
        <f>IF(AD20="","",VLOOKUP($B20,'6-2_算定表③(旧・旧制度)'!$B$8:$U$65536,3,FALSE))</f>
      </c>
      <c r="AG20" s="974">
        <f>IF(AE20="","",VLOOKUP($B20,'6-2_算定表③(旧・旧制度)'!$B$8:$U$65536,3,FALSE))</f>
      </c>
      <c r="AI20" s="60">
        <f t="shared" si="9"/>
      </c>
      <c r="AJ20" s="60">
        <f t="shared" si="7"/>
      </c>
    </row>
    <row r="21" spans="1:36" s="53" customFormat="1" ht="18.75" customHeight="1">
      <c r="A21" s="27">
        <f t="shared" si="8"/>
      </c>
      <c r="B21" s="240"/>
      <c r="C21" s="83">
        <f>IF($B21="","",VLOOKUP($B21,'6-2_算定表①(旧々・旧制度)'!$B$8:$U$65536,2,FALSE))</f>
      </c>
      <c r="D21" s="84">
        <f>IF($B21="","",VLOOKUP($B21,'6-2_算定表①(旧々・旧制度)'!$B$8:$U$65536,3,FALSE))</f>
      </c>
      <c r="E21" s="84">
        <f>IF($B21="","",VLOOKUP($B21,'6-2_算定表①(旧々・旧制度)'!$B$8:$U$65536,6,FALSE))</f>
      </c>
      <c r="F21" s="85">
        <f>IF(B21="","",VLOOKUP($B21,'6-2_算定表①(旧々・旧制度)'!$B$8:$U$65536,14,FALSE))</f>
      </c>
      <c r="G21" s="711">
        <f>IF(B21="","",VLOOKUP($B21,'6-2_算定表①(旧々・旧制度)'!$B$8:$U$65536,16,FALSE))</f>
      </c>
      <c r="H21" s="85">
        <f>IF(B21="","",VLOOKUP($B21,'6-2_算定表①(旧々・旧制度)'!$B$8:$U$65536,17,FALSE))</f>
      </c>
      <c r="I21" s="59">
        <f>IF(B21="","",VLOOKUP($B21,'6-2_算定表①(旧々・旧制度)'!$B$8:$U$65536,19,FALSE))</f>
      </c>
      <c r="J21" s="722">
        <f>IF(B21="","",VLOOKUP($B21,'6-2_算定表①(旧々・旧制度)'!$B$8:$U$65536,17,FALSE))</f>
      </c>
      <c r="K21" s="716">
        <f>IF($B21="","",VLOOKUP($B21,'6-2_算定表①(旧々・旧制度)'!$B$8:$U$65536,14,FALSE))</f>
      </c>
      <c r="L21" s="86">
        <f>IF($B21="","",VLOOKUP($B21,'6-2_算定表①(旧々・旧制度)'!$B$8:$U$65536,14,FALSE))</f>
      </c>
      <c r="M21" s="724">
        <f>IF($B21="","",VLOOKUP($B21,'6-2_算定表①(旧々・旧制度)'!$B$8:$U$65536,14,FALSE))</f>
      </c>
      <c r="N21" s="716">
        <f>IF($B21="","",VLOOKUP($B21,'6-2_算定表①(旧々・旧制度)'!$B$8:$U$65536,17,FALSE))</f>
      </c>
      <c r="O21" s="86">
        <f>IF($B21="","",VLOOKUP($B21,'6-2_算定表①(旧々・旧制度)'!$B$8:$U$65536,17,FALSE))</f>
      </c>
      <c r="P21" s="86">
        <f>IF($B21="","",VLOOKUP($B21,'6-2_算定表①(旧々・旧制度)'!$B$8:$U$65536,17,FALSE))</f>
      </c>
      <c r="Q21" s="86">
        <f>IF($B21="","",VLOOKUP($B21,'6-2_算定表①(旧々・旧制度)'!$B$8:$U$65536,17,FALSE))</f>
      </c>
      <c r="R21" s="86">
        <f>IF($B21="","",VLOOKUP($B21,'6-2_算定表①(旧々・旧制度)'!$B$8:$U$65536,17,FALSE))</f>
      </c>
      <c r="S21" s="86">
        <f>IF($B21="","",VLOOKUP($B21,'6-2_算定表①(旧々・旧制度)'!$B$8:$U$65536,17,FALSE))</f>
      </c>
      <c r="T21" s="86">
        <f>IF($B21="","",VLOOKUP($B21,'6-2_算定表①(旧々・旧制度)'!$B$8:$U$65536,17,FALSE))</f>
      </c>
      <c r="U21" s="86">
        <f>IF($B21="","",VLOOKUP($B21,'6-2_算定表①(旧々・旧制度)'!$B$8:$U$65536,17,FALSE))</f>
      </c>
      <c r="V21" s="717">
        <f>IF($B21="","",VLOOKUP($B21,'6-2_算定表①(旧々・旧制度)'!$B$8:$U$65536,17,FALSE))</f>
      </c>
      <c r="W21" s="93">
        <f t="shared" si="0"/>
      </c>
      <c r="X21" s="90">
        <f t="shared" si="1"/>
      </c>
      <c r="Y21" s="87">
        <f t="shared" si="2"/>
      </c>
      <c r="Z21" s="99">
        <f t="shared" si="3"/>
      </c>
      <c r="AA21" s="96">
        <f t="shared" si="4"/>
      </c>
      <c r="AB21" s="93">
        <f t="shared" si="5"/>
      </c>
      <c r="AC21" s="59">
        <f>IF(B21="","",ROUNDUP((G21/'6-2_算定表①(旧々・旧制度)'!J20*W21)+(I21/'6-2_算定表①(旧々・旧制度)'!J20*X21)+(G21/'6-2_算定表①(旧々・旧制度)'!J20*Y21)+(I21/'6-2_算定表①(旧々・旧制度)'!J20*Z21),0))</f>
      </c>
      <c r="AD21" s="611">
        <f t="shared" si="6"/>
      </c>
      <c r="AE21" s="972">
        <f>IF(B21="","",VLOOKUP($B21,'6-2_算定表①(旧々・旧制度)'!$B$8:$AH$65536,33,FALSE))</f>
      </c>
      <c r="AF21" s="973">
        <f>IF(AD21="","",VLOOKUP($B21,'6-2_算定表③(旧・旧制度)'!$B$8:$U$65536,3,FALSE))</f>
      </c>
      <c r="AG21" s="974">
        <f>IF(AE21="","",VLOOKUP($B21,'6-2_算定表③(旧・旧制度)'!$B$8:$U$65536,3,FALSE))</f>
      </c>
      <c r="AI21" s="60">
        <f t="shared" si="9"/>
      </c>
      <c r="AJ21" s="60">
        <f t="shared" si="7"/>
      </c>
    </row>
    <row r="22" spans="1:36" s="53" customFormat="1" ht="18.75" customHeight="1">
      <c r="A22" s="27">
        <f t="shared" si="8"/>
      </c>
      <c r="B22" s="240"/>
      <c r="C22" s="83">
        <f>IF($B22="","",VLOOKUP($B22,'6-2_算定表①(旧々・旧制度)'!$B$8:$U$65536,2,FALSE))</f>
      </c>
      <c r="D22" s="84">
        <f>IF($B22="","",VLOOKUP($B22,'6-2_算定表①(旧々・旧制度)'!$B$8:$U$65536,3,FALSE))</f>
      </c>
      <c r="E22" s="84">
        <f>IF($B22="","",VLOOKUP($B22,'6-2_算定表①(旧々・旧制度)'!$B$8:$U$65536,6,FALSE))</f>
      </c>
      <c r="F22" s="85">
        <f>IF(B22="","",VLOOKUP($B22,'6-2_算定表①(旧々・旧制度)'!$B$8:$U$65536,14,FALSE))</f>
      </c>
      <c r="G22" s="711">
        <f>IF(B22="","",VLOOKUP($B22,'6-2_算定表①(旧々・旧制度)'!$B$8:$U$65536,16,FALSE))</f>
      </c>
      <c r="H22" s="85">
        <f>IF(B22="","",VLOOKUP($B22,'6-2_算定表①(旧々・旧制度)'!$B$8:$U$65536,17,FALSE))</f>
      </c>
      <c r="I22" s="59">
        <f>IF(B22="","",VLOOKUP($B22,'6-2_算定表①(旧々・旧制度)'!$B$8:$U$65536,19,FALSE))</f>
      </c>
      <c r="J22" s="722">
        <f>IF(B22="","",VLOOKUP($B22,'6-2_算定表①(旧々・旧制度)'!$B$8:$U$65536,17,FALSE))</f>
      </c>
      <c r="K22" s="716">
        <f>IF($B22="","",VLOOKUP($B22,'6-2_算定表①(旧々・旧制度)'!$B$8:$U$65536,14,FALSE))</f>
      </c>
      <c r="L22" s="86">
        <f>IF($B22="","",VLOOKUP($B22,'6-2_算定表①(旧々・旧制度)'!$B$8:$U$65536,14,FALSE))</f>
      </c>
      <c r="M22" s="724">
        <f>IF($B22="","",VLOOKUP($B22,'6-2_算定表①(旧々・旧制度)'!$B$8:$U$65536,14,FALSE))</f>
      </c>
      <c r="N22" s="716">
        <f>IF($B22="","",VLOOKUP($B22,'6-2_算定表①(旧々・旧制度)'!$B$8:$U$65536,17,FALSE))</f>
      </c>
      <c r="O22" s="86">
        <f>IF($B22="","",VLOOKUP($B22,'6-2_算定表①(旧々・旧制度)'!$B$8:$U$65536,17,FALSE))</f>
      </c>
      <c r="P22" s="86">
        <f>IF($B22="","",VLOOKUP($B22,'6-2_算定表①(旧々・旧制度)'!$B$8:$U$65536,17,FALSE))</f>
      </c>
      <c r="Q22" s="86">
        <f>IF($B22="","",VLOOKUP($B22,'6-2_算定表①(旧々・旧制度)'!$B$8:$U$65536,17,FALSE))</f>
      </c>
      <c r="R22" s="86">
        <f>IF($B22="","",VLOOKUP($B22,'6-2_算定表①(旧々・旧制度)'!$B$8:$U$65536,17,FALSE))</f>
      </c>
      <c r="S22" s="86">
        <f>IF($B22="","",VLOOKUP($B22,'6-2_算定表①(旧々・旧制度)'!$B$8:$U$65536,17,FALSE))</f>
      </c>
      <c r="T22" s="86">
        <f>IF($B22="","",VLOOKUP($B22,'6-2_算定表①(旧々・旧制度)'!$B$8:$U$65536,17,FALSE))</f>
      </c>
      <c r="U22" s="86">
        <f>IF($B22="","",VLOOKUP($B22,'6-2_算定表①(旧々・旧制度)'!$B$8:$U$65536,17,FALSE))</f>
      </c>
      <c r="V22" s="717">
        <f>IF($B22="","",VLOOKUP($B22,'6-2_算定表①(旧々・旧制度)'!$B$8:$U$65536,17,FALSE))</f>
      </c>
      <c r="W22" s="93">
        <f t="shared" si="0"/>
      </c>
      <c r="X22" s="90">
        <f t="shared" si="1"/>
      </c>
      <c r="Y22" s="87">
        <f t="shared" si="2"/>
      </c>
      <c r="Z22" s="99">
        <f t="shared" si="3"/>
      </c>
      <c r="AA22" s="96">
        <f t="shared" si="4"/>
      </c>
      <c r="AB22" s="93">
        <f t="shared" si="5"/>
      </c>
      <c r="AC22" s="59">
        <f>IF(B22="","",ROUNDUP((G22/'6-2_算定表①(旧々・旧制度)'!J21*W22)+(I22/'6-2_算定表①(旧々・旧制度)'!J21*X22)+(G22/'6-2_算定表①(旧々・旧制度)'!J21*Y22)+(I22/'6-2_算定表①(旧々・旧制度)'!J21*Z22),0))</f>
      </c>
      <c r="AD22" s="611">
        <f t="shared" si="6"/>
      </c>
      <c r="AE22" s="972">
        <f>IF(B22="","",VLOOKUP($B22,'6-2_算定表①(旧々・旧制度)'!$B$8:$AH$65536,33,FALSE))</f>
      </c>
      <c r="AF22" s="973">
        <f>IF(AD22="","",VLOOKUP($B22,'6-2_算定表③(旧・旧制度)'!$B$8:$U$65536,3,FALSE))</f>
      </c>
      <c r="AG22" s="974">
        <f>IF(AE22="","",VLOOKUP($B22,'6-2_算定表③(旧・旧制度)'!$B$8:$U$65536,3,FALSE))</f>
      </c>
      <c r="AI22" s="60">
        <f t="shared" si="9"/>
      </c>
      <c r="AJ22" s="60">
        <f t="shared" si="7"/>
      </c>
    </row>
    <row r="23" spans="1:36" s="53" customFormat="1" ht="18.75" customHeight="1">
      <c r="A23" s="27">
        <f t="shared" si="8"/>
      </c>
      <c r="B23" s="240"/>
      <c r="C23" s="83">
        <f>IF($B23="","",VLOOKUP($B23,'6-2_算定表①(旧々・旧制度)'!$B$8:$U$65536,2,FALSE))</f>
      </c>
      <c r="D23" s="84">
        <f>IF($B23="","",VLOOKUP($B23,'6-2_算定表①(旧々・旧制度)'!$B$8:$U$65536,3,FALSE))</f>
      </c>
      <c r="E23" s="84">
        <f>IF($B23="","",VLOOKUP($B23,'6-2_算定表①(旧々・旧制度)'!$B$8:$U$65536,6,FALSE))</f>
      </c>
      <c r="F23" s="85">
        <f>IF(B23="","",VLOOKUP($B23,'6-2_算定表①(旧々・旧制度)'!$B$8:$U$65536,14,FALSE))</f>
      </c>
      <c r="G23" s="711">
        <f>IF(B23="","",VLOOKUP($B23,'6-2_算定表①(旧々・旧制度)'!$B$8:$U$65536,16,FALSE))</f>
      </c>
      <c r="H23" s="85">
        <f>IF(B23="","",VLOOKUP($B23,'6-2_算定表①(旧々・旧制度)'!$B$8:$U$65536,17,FALSE))</f>
      </c>
      <c r="I23" s="59">
        <f>IF(B23="","",VLOOKUP($B23,'6-2_算定表①(旧々・旧制度)'!$B$8:$U$65536,19,FALSE))</f>
      </c>
      <c r="J23" s="722">
        <f>IF(B23="","",VLOOKUP($B23,'6-2_算定表①(旧々・旧制度)'!$B$8:$U$65536,17,FALSE))</f>
      </c>
      <c r="K23" s="716">
        <f>IF($B23="","",VLOOKUP($B23,'6-2_算定表①(旧々・旧制度)'!$B$8:$U$65536,14,FALSE))</f>
      </c>
      <c r="L23" s="86">
        <f>IF($B23="","",VLOOKUP($B23,'6-2_算定表①(旧々・旧制度)'!$B$8:$U$65536,14,FALSE))</f>
      </c>
      <c r="M23" s="724">
        <f>IF($B23="","",VLOOKUP($B23,'6-2_算定表①(旧々・旧制度)'!$B$8:$U$65536,14,FALSE))</f>
      </c>
      <c r="N23" s="716">
        <f>IF($B23="","",VLOOKUP($B23,'6-2_算定表①(旧々・旧制度)'!$B$8:$U$65536,17,FALSE))</f>
      </c>
      <c r="O23" s="86">
        <f>IF($B23="","",VLOOKUP($B23,'6-2_算定表①(旧々・旧制度)'!$B$8:$U$65536,17,FALSE))</f>
      </c>
      <c r="P23" s="86">
        <f>IF($B23="","",VLOOKUP($B23,'6-2_算定表①(旧々・旧制度)'!$B$8:$U$65536,17,FALSE))</f>
      </c>
      <c r="Q23" s="86">
        <f>IF($B23="","",VLOOKUP($B23,'6-2_算定表①(旧々・旧制度)'!$B$8:$U$65536,17,FALSE))</f>
      </c>
      <c r="R23" s="86">
        <f>IF($B23="","",VLOOKUP($B23,'6-2_算定表①(旧々・旧制度)'!$B$8:$U$65536,17,FALSE))</f>
      </c>
      <c r="S23" s="86">
        <f>IF($B23="","",VLOOKUP($B23,'6-2_算定表①(旧々・旧制度)'!$B$8:$U$65536,17,FALSE))</f>
      </c>
      <c r="T23" s="86">
        <f>IF($B23="","",VLOOKUP($B23,'6-2_算定表①(旧々・旧制度)'!$B$8:$U$65536,17,FALSE))</f>
      </c>
      <c r="U23" s="86">
        <f>IF($B23="","",VLOOKUP($B23,'6-2_算定表①(旧々・旧制度)'!$B$8:$U$65536,17,FALSE))</f>
      </c>
      <c r="V23" s="717">
        <f>IF($B23="","",VLOOKUP($B23,'6-2_算定表①(旧々・旧制度)'!$B$8:$U$65536,17,FALSE))</f>
      </c>
      <c r="W23" s="93">
        <f t="shared" si="0"/>
      </c>
      <c r="X23" s="90">
        <f t="shared" si="1"/>
      </c>
      <c r="Y23" s="87">
        <f t="shared" si="2"/>
      </c>
      <c r="Z23" s="99">
        <f t="shared" si="3"/>
      </c>
      <c r="AA23" s="96">
        <f t="shared" si="4"/>
      </c>
      <c r="AB23" s="93">
        <f t="shared" si="5"/>
      </c>
      <c r="AC23" s="59">
        <f>IF(B23="","",ROUNDUP((G23/'6-2_算定表①(旧々・旧制度)'!J22*W23)+(I23/'6-2_算定表①(旧々・旧制度)'!J22*X23)+(G23/'6-2_算定表①(旧々・旧制度)'!J22*Y23)+(I23/'6-2_算定表①(旧々・旧制度)'!J22*Z23),0))</f>
      </c>
      <c r="AD23" s="611">
        <f t="shared" si="6"/>
      </c>
      <c r="AE23" s="972">
        <f>IF(B23="","",VLOOKUP($B23,'6-2_算定表①(旧々・旧制度)'!$B$8:$AH$65536,33,FALSE))</f>
      </c>
      <c r="AF23" s="973">
        <f>IF(AD23="","",VLOOKUP($B23,'6-2_算定表③(旧・旧制度)'!$B$8:$U$65536,3,FALSE))</f>
      </c>
      <c r="AG23" s="974">
        <f>IF(AE23="","",VLOOKUP($B23,'6-2_算定表③(旧・旧制度)'!$B$8:$U$65536,3,FALSE))</f>
      </c>
      <c r="AI23" s="60">
        <f t="shared" si="9"/>
      </c>
      <c r="AJ23" s="60">
        <f t="shared" si="7"/>
      </c>
    </row>
    <row r="24" spans="1:36" s="53" customFormat="1" ht="18.75" customHeight="1">
      <c r="A24" s="27">
        <f t="shared" si="8"/>
      </c>
      <c r="B24" s="240"/>
      <c r="C24" s="83">
        <f>IF($B24="","",VLOOKUP($B24,'6-2_算定表①(旧々・旧制度)'!$B$8:$U$65536,2,FALSE))</f>
      </c>
      <c r="D24" s="84">
        <f>IF($B24="","",VLOOKUP($B24,'6-2_算定表①(旧々・旧制度)'!$B$8:$U$65536,3,FALSE))</f>
      </c>
      <c r="E24" s="84">
        <f>IF($B24="","",VLOOKUP($B24,'6-2_算定表①(旧々・旧制度)'!$B$8:$U$65536,6,FALSE))</f>
      </c>
      <c r="F24" s="85">
        <f>IF(B24="","",VLOOKUP($B24,'6-2_算定表①(旧々・旧制度)'!$B$8:$U$65536,14,FALSE))</f>
      </c>
      <c r="G24" s="711">
        <f>IF(B24="","",VLOOKUP($B24,'6-2_算定表①(旧々・旧制度)'!$B$8:$U$65536,16,FALSE))</f>
      </c>
      <c r="H24" s="85">
        <f>IF(B24="","",VLOOKUP($B24,'6-2_算定表①(旧々・旧制度)'!$B$8:$U$65536,17,FALSE))</f>
      </c>
      <c r="I24" s="59">
        <f>IF(B24="","",VLOOKUP($B24,'6-2_算定表①(旧々・旧制度)'!$B$8:$U$65536,19,FALSE))</f>
      </c>
      <c r="J24" s="722">
        <f>IF(B24="","",VLOOKUP($B24,'6-2_算定表①(旧々・旧制度)'!$B$8:$U$65536,17,FALSE))</f>
      </c>
      <c r="K24" s="716">
        <f>IF($B24="","",VLOOKUP($B24,'6-2_算定表①(旧々・旧制度)'!$B$8:$U$65536,14,FALSE))</f>
      </c>
      <c r="L24" s="86">
        <f>IF($B24="","",VLOOKUP($B24,'6-2_算定表①(旧々・旧制度)'!$B$8:$U$65536,14,FALSE))</f>
      </c>
      <c r="M24" s="724">
        <f>IF($B24="","",VLOOKUP($B24,'6-2_算定表①(旧々・旧制度)'!$B$8:$U$65536,14,FALSE))</f>
      </c>
      <c r="N24" s="716">
        <f>IF($B24="","",VLOOKUP($B24,'6-2_算定表①(旧々・旧制度)'!$B$8:$U$65536,17,FALSE))</f>
      </c>
      <c r="O24" s="86">
        <f>IF($B24="","",VLOOKUP($B24,'6-2_算定表①(旧々・旧制度)'!$B$8:$U$65536,17,FALSE))</f>
      </c>
      <c r="P24" s="86">
        <f>IF($B24="","",VLOOKUP($B24,'6-2_算定表①(旧々・旧制度)'!$B$8:$U$65536,17,FALSE))</f>
      </c>
      <c r="Q24" s="86">
        <f>IF($B24="","",VLOOKUP($B24,'6-2_算定表①(旧々・旧制度)'!$B$8:$U$65536,17,FALSE))</f>
      </c>
      <c r="R24" s="86">
        <f>IF($B24="","",VLOOKUP($B24,'6-2_算定表①(旧々・旧制度)'!$B$8:$U$65536,17,FALSE))</f>
      </c>
      <c r="S24" s="86">
        <f>IF($B24="","",VLOOKUP($B24,'6-2_算定表①(旧々・旧制度)'!$B$8:$U$65536,17,FALSE))</f>
      </c>
      <c r="T24" s="86">
        <f>IF($B24="","",VLOOKUP($B24,'6-2_算定表①(旧々・旧制度)'!$B$8:$U$65536,17,FALSE))</f>
      </c>
      <c r="U24" s="86">
        <f>IF($B24="","",VLOOKUP($B24,'6-2_算定表①(旧々・旧制度)'!$B$8:$U$65536,17,FALSE))</f>
      </c>
      <c r="V24" s="717">
        <f>IF($B24="","",VLOOKUP($B24,'6-2_算定表①(旧々・旧制度)'!$B$8:$U$65536,17,FALSE))</f>
      </c>
      <c r="W24" s="93">
        <f t="shared" si="0"/>
      </c>
      <c r="X24" s="90">
        <f t="shared" si="1"/>
      </c>
      <c r="Y24" s="87">
        <f t="shared" si="2"/>
      </c>
      <c r="Z24" s="99">
        <f t="shared" si="3"/>
      </c>
      <c r="AA24" s="96">
        <f t="shared" si="4"/>
      </c>
      <c r="AB24" s="93">
        <f t="shared" si="5"/>
      </c>
      <c r="AC24" s="59">
        <f>IF(B24="","",ROUNDUP((G24/'6-2_算定表①(旧々・旧制度)'!J23*W24)+(I24/'6-2_算定表①(旧々・旧制度)'!J23*X24)+(G24/'6-2_算定表①(旧々・旧制度)'!J23*Y24)+(I24/'6-2_算定表①(旧々・旧制度)'!J23*Z24),0))</f>
      </c>
      <c r="AD24" s="611">
        <f t="shared" si="6"/>
      </c>
      <c r="AE24" s="972">
        <f>IF(B24="","",VLOOKUP($B24,'6-2_算定表①(旧々・旧制度)'!$B$8:$AH$65536,33,FALSE))</f>
      </c>
      <c r="AF24" s="973">
        <f>IF(AD24="","",VLOOKUP($B24,'6-2_算定表③(旧・旧制度)'!$B$8:$U$65536,3,FALSE))</f>
      </c>
      <c r="AG24" s="974">
        <f>IF(AE24="","",VLOOKUP($B24,'6-2_算定表③(旧・旧制度)'!$B$8:$U$65536,3,FALSE))</f>
      </c>
      <c r="AI24" s="60">
        <f t="shared" si="9"/>
      </c>
      <c r="AJ24" s="60">
        <f t="shared" si="7"/>
      </c>
    </row>
    <row r="25" spans="1:36" s="53" customFormat="1" ht="18.75" customHeight="1">
      <c r="A25" s="27">
        <f t="shared" si="8"/>
      </c>
      <c r="B25" s="240"/>
      <c r="C25" s="83">
        <f>IF($B25="","",VLOOKUP($B25,'6-2_算定表①(旧々・旧制度)'!$B$8:$U$65536,2,FALSE))</f>
      </c>
      <c r="D25" s="84">
        <f>IF($B25="","",VLOOKUP($B25,'6-2_算定表①(旧々・旧制度)'!$B$8:$U$65536,3,FALSE))</f>
      </c>
      <c r="E25" s="84">
        <f>IF($B25="","",VLOOKUP($B25,'6-2_算定表①(旧々・旧制度)'!$B$8:$U$65536,6,FALSE))</f>
      </c>
      <c r="F25" s="85">
        <f>IF(B25="","",VLOOKUP($B25,'6-2_算定表①(旧々・旧制度)'!$B$8:$U$65536,14,FALSE))</f>
      </c>
      <c r="G25" s="711">
        <f>IF(B25="","",VLOOKUP($B25,'6-2_算定表①(旧々・旧制度)'!$B$8:$U$65536,16,FALSE))</f>
      </c>
      <c r="H25" s="85">
        <f>IF(B25="","",VLOOKUP($B25,'6-2_算定表①(旧々・旧制度)'!$B$8:$U$65536,17,FALSE))</f>
      </c>
      <c r="I25" s="59">
        <f>IF(B25="","",VLOOKUP($B25,'6-2_算定表①(旧々・旧制度)'!$B$8:$U$65536,19,FALSE))</f>
      </c>
      <c r="J25" s="722">
        <f>IF(B25="","",VLOOKUP($B25,'6-2_算定表①(旧々・旧制度)'!$B$8:$U$65536,17,FALSE))</f>
      </c>
      <c r="K25" s="716">
        <f>IF($B25="","",VLOOKUP($B25,'6-2_算定表①(旧々・旧制度)'!$B$8:$U$65536,14,FALSE))</f>
      </c>
      <c r="L25" s="86">
        <f>IF($B25="","",VLOOKUP($B25,'6-2_算定表①(旧々・旧制度)'!$B$8:$U$65536,14,FALSE))</f>
      </c>
      <c r="M25" s="724">
        <f>IF($B25="","",VLOOKUP($B25,'6-2_算定表①(旧々・旧制度)'!$B$8:$U$65536,14,FALSE))</f>
      </c>
      <c r="N25" s="716">
        <f>IF($B25="","",VLOOKUP($B25,'6-2_算定表①(旧々・旧制度)'!$B$8:$U$65536,17,FALSE))</f>
      </c>
      <c r="O25" s="86">
        <f>IF($B25="","",VLOOKUP($B25,'6-2_算定表①(旧々・旧制度)'!$B$8:$U$65536,17,FALSE))</f>
      </c>
      <c r="P25" s="86">
        <f>IF($B25="","",VLOOKUP($B25,'6-2_算定表①(旧々・旧制度)'!$B$8:$U$65536,17,FALSE))</f>
      </c>
      <c r="Q25" s="86">
        <f>IF($B25="","",VLOOKUP($B25,'6-2_算定表①(旧々・旧制度)'!$B$8:$U$65536,17,FALSE))</f>
      </c>
      <c r="R25" s="86">
        <f>IF($B25="","",VLOOKUP($B25,'6-2_算定表①(旧々・旧制度)'!$B$8:$U$65536,17,FALSE))</f>
      </c>
      <c r="S25" s="86">
        <f>IF($B25="","",VLOOKUP($B25,'6-2_算定表①(旧々・旧制度)'!$B$8:$U$65536,17,FALSE))</f>
      </c>
      <c r="T25" s="86">
        <f>IF($B25="","",VLOOKUP($B25,'6-2_算定表①(旧々・旧制度)'!$B$8:$U$65536,17,FALSE))</f>
      </c>
      <c r="U25" s="86">
        <f>IF($B25="","",VLOOKUP($B25,'6-2_算定表①(旧々・旧制度)'!$B$8:$U$65536,17,FALSE))</f>
      </c>
      <c r="V25" s="717">
        <f>IF($B25="","",VLOOKUP($B25,'6-2_算定表①(旧々・旧制度)'!$B$8:$U$65536,17,FALSE))</f>
      </c>
      <c r="W25" s="93">
        <f t="shared" si="0"/>
      </c>
      <c r="X25" s="90">
        <f t="shared" si="1"/>
      </c>
      <c r="Y25" s="87">
        <f t="shared" si="2"/>
      </c>
      <c r="Z25" s="99">
        <f t="shared" si="3"/>
      </c>
      <c r="AA25" s="96">
        <f t="shared" si="4"/>
      </c>
      <c r="AB25" s="93">
        <f t="shared" si="5"/>
      </c>
      <c r="AC25" s="59">
        <f>IF(B25="","",ROUNDUP((G25/'6-2_算定表①(旧々・旧制度)'!J24*W25)+(I25/'6-2_算定表①(旧々・旧制度)'!J24*X25)+(G25/'6-2_算定表①(旧々・旧制度)'!J24*Y25)+(I25/'6-2_算定表①(旧々・旧制度)'!J24*Z25),0))</f>
      </c>
      <c r="AD25" s="611">
        <f t="shared" si="6"/>
      </c>
      <c r="AE25" s="972">
        <f>IF(B25="","",VLOOKUP($B25,'6-2_算定表①(旧々・旧制度)'!$B$8:$AH$65536,33,FALSE))</f>
      </c>
      <c r="AF25" s="973">
        <f>IF(AD25="","",VLOOKUP($B25,'6-2_算定表③(旧・旧制度)'!$B$8:$U$65536,3,FALSE))</f>
      </c>
      <c r="AG25" s="974">
        <f>IF(AE25="","",VLOOKUP($B25,'6-2_算定表③(旧・旧制度)'!$B$8:$U$65536,3,FALSE))</f>
      </c>
      <c r="AI25" s="60">
        <f t="shared" si="9"/>
      </c>
      <c r="AJ25" s="60">
        <f t="shared" si="7"/>
      </c>
    </row>
    <row r="26" spans="1:36" s="53" customFormat="1" ht="18.75" customHeight="1">
      <c r="A26" s="27">
        <f t="shared" si="8"/>
      </c>
      <c r="B26" s="240"/>
      <c r="C26" s="83">
        <f>IF($B26="","",VLOOKUP($B26,'6-2_算定表①(旧々・旧制度)'!$B$8:$U$65536,2,FALSE))</f>
      </c>
      <c r="D26" s="84">
        <f>IF($B26="","",VLOOKUP($B26,'6-2_算定表①(旧々・旧制度)'!$B$8:$U$65536,3,FALSE))</f>
      </c>
      <c r="E26" s="84">
        <f>IF($B26="","",VLOOKUP($B26,'6-2_算定表①(旧々・旧制度)'!$B$8:$U$65536,6,FALSE))</f>
      </c>
      <c r="F26" s="85">
        <f>IF(B26="","",VLOOKUP($B26,'6-2_算定表①(旧々・旧制度)'!$B$8:$U$65536,14,FALSE))</f>
      </c>
      <c r="G26" s="711">
        <f>IF(B26="","",VLOOKUP($B26,'6-2_算定表①(旧々・旧制度)'!$B$8:$U$65536,16,FALSE))</f>
      </c>
      <c r="H26" s="85">
        <f>IF(B26="","",VLOOKUP($B26,'6-2_算定表①(旧々・旧制度)'!$B$8:$U$65536,17,FALSE))</f>
      </c>
      <c r="I26" s="59">
        <f>IF(B26="","",VLOOKUP($B26,'6-2_算定表①(旧々・旧制度)'!$B$8:$U$65536,19,FALSE))</f>
      </c>
      <c r="J26" s="722">
        <f>IF(B26="","",VLOOKUP($B26,'6-2_算定表①(旧々・旧制度)'!$B$8:$U$65536,17,FALSE))</f>
      </c>
      <c r="K26" s="716">
        <f>IF($B26="","",VLOOKUP($B26,'6-2_算定表①(旧々・旧制度)'!$B$8:$U$65536,14,FALSE))</f>
      </c>
      <c r="L26" s="86">
        <f>IF($B26="","",VLOOKUP($B26,'6-2_算定表①(旧々・旧制度)'!$B$8:$U$65536,14,FALSE))</f>
      </c>
      <c r="M26" s="724">
        <f>IF($B26="","",VLOOKUP($B26,'6-2_算定表①(旧々・旧制度)'!$B$8:$U$65536,14,FALSE))</f>
      </c>
      <c r="N26" s="716">
        <f>IF($B26="","",VLOOKUP($B26,'6-2_算定表①(旧々・旧制度)'!$B$8:$U$65536,17,FALSE))</f>
      </c>
      <c r="O26" s="86">
        <f>IF($B26="","",VLOOKUP($B26,'6-2_算定表①(旧々・旧制度)'!$B$8:$U$65536,17,FALSE))</f>
      </c>
      <c r="P26" s="86">
        <f>IF($B26="","",VLOOKUP($B26,'6-2_算定表①(旧々・旧制度)'!$B$8:$U$65536,17,FALSE))</f>
      </c>
      <c r="Q26" s="86">
        <f>IF($B26="","",VLOOKUP($B26,'6-2_算定表①(旧々・旧制度)'!$B$8:$U$65536,17,FALSE))</f>
      </c>
      <c r="R26" s="86">
        <f>IF($B26="","",VLOOKUP($B26,'6-2_算定表①(旧々・旧制度)'!$B$8:$U$65536,17,FALSE))</f>
      </c>
      <c r="S26" s="86">
        <f>IF($B26="","",VLOOKUP($B26,'6-2_算定表①(旧々・旧制度)'!$B$8:$U$65536,17,FALSE))</f>
      </c>
      <c r="T26" s="86">
        <f>IF($B26="","",VLOOKUP($B26,'6-2_算定表①(旧々・旧制度)'!$B$8:$U$65536,17,FALSE))</f>
      </c>
      <c r="U26" s="86">
        <f>IF($B26="","",VLOOKUP($B26,'6-2_算定表①(旧々・旧制度)'!$B$8:$U$65536,17,FALSE))</f>
      </c>
      <c r="V26" s="717">
        <f>IF($B26="","",VLOOKUP($B26,'6-2_算定表①(旧々・旧制度)'!$B$8:$U$65536,17,FALSE))</f>
      </c>
      <c r="W26" s="93">
        <f t="shared" si="0"/>
      </c>
      <c r="X26" s="90">
        <f t="shared" si="1"/>
      </c>
      <c r="Y26" s="87">
        <f t="shared" si="2"/>
      </c>
      <c r="Z26" s="99">
        <f t="shared" si="3"/>
      </c>
      <c r="AA26" s="96">
        <f t="shared" si="4"/>
      </c>
      <c r="AB26" s="93">
        <f t="shared" si="5"/>
      </c>
      <c r="AC26" s="59">
        <f>IF(B26="","",ROUNDUP((G26/'6-2_算定表①(旧々・旧制度)'!J25*W26)+(I26/'6-2_算定表①(旧々・旧制度)'!J25*X26)+(G26/'6-2_算定表①(旧々・旧制度)'!J25*Y26)+(I26/'6-2_算定表①(旧々・旧制度)'!J25*Z26),0))</f>
      </c>
      <c r="AD26" s="611">
        <f t="shared" si="6"/>
      </c>
      <c r="AE26" s="972">
        <f>IF(B26="","",VLOOKUP($B26,'6-2_算定表①(旧々・旧制度)'!$B$8:$AH$65536,33,FALSE))</f>
      </c>
      <c r="AF26" s="973">
        <f>IF(AD26="","",VLOOKUP($B26,'6-2_算定表③(旧・旧制度)'!$B$8:$U$65536,3,FALSE))</f>
      </c>
      <c r="AG26" s="974">
        <f>IF(AE26="","",VLOOKUP($B26,'6-2_算定表③(旧・旧制度)'!$B$8:$U$65536,3,FALSE))</f>
      </c>
      <c r="AI26" s="60">
        <f t="shared" si="9"/>
      </c>
      <c r="AJ26" s="60">
        <f t="shared" si="7"/>
      </c>
    </row>
    <row r="27" spans="1:36" s="53" customFormat="1" ht="18.75" customHeight="1">
      <c r="A27" s="27">
        <f t="shared" si="8"/>
      </c>
      <c r="B27" s="240"/>
      <c r="C27" s="83">
        <f>IF($B27="","",VLOOKUP($B27,'6-2_算定表①(旧々・旧制度)'!$B$8:$U$65536,2,FALSE))</f>
      </c>
      <c r="D27" s="84">
        <f>IF($B27="","",VLOOKUP($B27,'6-2_算定表①(旧々・旧制度)'!$B$8:$U$65536,3,FALSE))</f>
      </c>
      <c r="E27" s="84">
        <f>IF($B27="","",VLOOKUP($B27,'6-2_算定表①(旧々・旧制度)'!$B$8:$U$65536,6,FALSE))</f>
      </c>
      <c r="F27" s="85">
        <f>IF(B27="","",VLOOKUP($B27,'6-2_算定表①(旧々・旧制度)'!$B$8:$U$65536,14,FALSE))</f>
      </c>
      <c r="G27" s="711">
        <f>IF(B27="","",VLOOKUP($B27,'6-2_算定表①(旧々・旧制度)'!$B$8:$U$65536,16,FALSE))</f>
      </c>
      <c r="H27" s="85">
        <f>IF(B27="","",VLOOKUP($B27,'6-2_算定表①(旧々・旧制度)'!$B$8:$U$65536,17,FALSE))</f>
      </c>
      <c r="I27" s="59">
        <f>IF(B27="","",VLOOKUP($B27,'6-2_算定表①(旧々・旧制度)'!$B$8:$U$65536,19,FALSE))</f>
      </c>
      <c r="J27" s="722">
        <f>IF(B27="","",VLOOKUP($B27,'6-2_算定表①(旧々・旧制度)'!$B$8:$U$65536,17,FALSE))</f>
      </c>
      <c r="K27" s="716">
        <f>IF($B27="","",VLOOKUP($B27,'6-2_算定表①(旧々・旧制度)'!$B$8:$U$65536,14,FALSE))</f>
      </c>
      <c r="L27" s="86">
        <f>IF($B27="","",VLOOKUP($B27,'6-2_算定表①(旧々・旧制度)'!$B$8:$U$65536,14,FALSE))</f>
      </c>
      <c r="M27" s="724">
        <f>IF($B27="","",VLOOKUP($B27,'6-2_算定表①(旧々・旧制度)'!$B$8:$U$65536,14,FALSE))</f>
      </c>
      <c r="N27" s="716">
        <f>IF($B27="","",VLOOKUP($B27,'6-2_算定表①(旧々・旧制度)'!$B$8:$U$65536,17,FALSE))</f>
      </c>
      <c r="O27" s="86">
        <f>IF($B27="","",VLOOKUP($B27,'6-2_算定表①(旧々・旧制度)'!$B$8:$U$65536,17,FALSE))</f>
      </c>
      <c r="P27" s="86">
        <f>IF($B27="","",VLOOKUP($B27,'6-2_算定表①(旧々・旧制度)'!$B$8:$U$65536,17,FALSE))</f>
      </c>
      <c r="Q27" s="86">
        <f>IF($B27="","",VLOOKUP($B27,'6-2_算定表①(旧々・旧制度)'!$B$8:$U$65536,17,FALSE))</f>
      </c>
      <c r="R27" s="86">
        <f>IF($B27="","",VLOOKUP($B27,'6-2_算定表①(旧々・旧制度)'!$B$8:$U$65536,17,FALSE))</f>
      </c>
      <c r="S27" s="86">
        <f>IF($B27="","",VLOOKUP($B27,'6-2_算定表①(旧々・旧制度)'!$B$8:$U$65536,17,FALSE))</f>
      </c>
      <c r="T27" s="86">
        <f>IF($B27="","",VLOOKUP($B27,'6-2_算定表①(旧々・旧制度)'!$B$8:$U$65536,17,FALSE))</f>
      </c>
      <c r="U27" s="86">
        <f>IF($B27="","",VLOOKUP($B27,'6-2_算定表①(旧々・旧制度)'!$B$8:$U$65536,17,FALSE))</f>
      </c>
      <c r="V27" s="717">
        <f>IF($B27="","",VLOOKUP($B27,'6-2_算定表①(旧々・旧制度)'!$B$8:$U$65536,17,FALSE))</f>
      </c>
      <c r="W27" s="93">
        <f t="shared" si="0"/>
      </c>
      <c r="X27" s="90">
        <f t="shared" si="1"/>
      </c>
      <c r="Y27" s="87">
        <f t="shared" si="2"/>
      </c>
      <c r="Z27" s="99">
        <f t="shared" si="3"/>
      </c>
      <c r="AA27" s="96">
        <f t="shared" si="4"/>
      </c>
      <c r="AB27" s="93">
        <f t="shared" si="5"/>
      </c>
      <c r="AC27" s="59">
        <f>IF(B27="","",ROUNDUP((G27/'6-2_算定表①(旧々・旧制度)'!J26*W27)+(I27/'6-2_算定表①(旧々・旧制度)'!J26*X27)+(G27/'6-2_算定表①(旧々・旧制度)'!J26*Y27)+(I27/'6-2_算定表①(旧々・旧制度)'!J26*Z27),0))</f>
      </c>
      <c r="AD27" s="611">
        <f t="shared" si="6"/>
      </c>
      <c r="AE27" s="972">
        <f>IF(B27="","",VLOOKUP($B27,'6-2_算定表①(旧々・旧制度)'!$B$8:$AH$65536,33,FALSE))</f>
      </c>
      <c r="AF27" s="973">
        <f>IF(AD27="","",VLOOKUP($B27,'6-2_算定表③(旧・旧制度)'!$B$8:$U$65536,3,FALSE))</f>
      </c>
      <c r="AG27" s="974">
        <f>IF(AE27="","",VLOOKUP($B27,'6-2_算定表③(旧・旧制度)'!$B$8:$U$65536,3,FALSE))</f>
      </c>
      <c r="AI27" s="60">
        <f t="shared" si="9"/>
      </c>
      <c r="AJ27" s="60">
        <f t="shared" si="7"/>
      </c>
    </row>
    <row r="28" spans="1:36" s="53" customFormat="1" ht="18.75" customHeight="1">
      <c r="A28" s="27">
        <f t="shared" si="8"/>
      </c>
      <c r="B28" s="240"/>
      <c r="C28" s="83">
        <f>IF($B28="","",VLOOKUP($B28,'6-2_算定表①(旧々・旧制度)'!$B$8:$U$65536,2,FALSE))</f>
      </c>
      <c r="D28" s="84">
        <f>IF($B28="","",VLOOKUP($B28,'6-2_算定表①(旧々・旧制度)'!$B$8:$U$65536,3,FALSE))</f>
      </c>
      <c r="E28" s="84">
        <f>IF($B28="","",VLOOKUP($B28,'6-2_算定表①(旧々・旧制度)'!$B$8:$U$65536,6,FALSE))</f>
      </c>
      <c r="F28" s="85">
        <f>IF(B28="","",VLOOKUP($B28,'6-2_算定表①(旧々・旧制度)'!$B$8:$U$65536,14,FALSE))</f>
      </c>
      <c r="G28" s="711">
        <f>IF(B28="","",VLOOKUP($B28,'6-2_算定表①(旧々・旧制度)'!$B$8:$U$65536,16,FALSE))</f>
      </c>
      <c r="H28" s="85">
        <f>IF(B28="","",VLOOKUP($B28,'6-2_算定表①(旧々・旧制度)'!$B$8:$U$65536,17,FALSE))</f>
      </c>
      <c r="I28" s="59">
        <f>IF(B28="","",VLOOKUP($B28,'6-2_算定表①(旧々・旧制度)'!$B$8:$U$65536,19,FALSE))</f>
      </c>
      <c r="J28" s="722">
        <f>IF(B28="","",VLOOKUP($B28,'6-2_算定表①(旧々・旧制度)'!$B$8:$U$65536,17,FALSE))</f>
      </c>
      <c r="K28" s="716">
        <f>IF($B28="","",VLOOKUP($B28,'6-2_算定表①(旧々・旧制度)'!$B$8:$U$65536,14,FALSE))</f>
      </c>
      <c r="L28" s="86">
        <f>IF($B28="","",VLOOKUP($B28,'6-2_算定表①(旧々・旧制度)'!$B$8:$U$65536,14,FALSE))</f>
      </c>
      <c r="M28" s="724">
        <f>IF($B28="","",VLOOKUP($B28,'6-2_算定表①(旧々・旧制度)'!$B$8:$U$65536,14,FALSE))</f>
      </c>
      <c r="N28" s="716">
        <f>IF($B28="","",VLOOKUP($B28,'6-2_算定表①(旧々・旧制度)'!$B$8:$U$65536,17,FALSE))</f>
      </c>
      <c r="O28" s="86">
        <f>IF($B28="","",VLOOKUP($B28,'6-2_算定表①(旧々・旧制度)'!$B$8:$U$65536,17,FALSE))</f>
      </c>
      <c r="P28" s="86">
        <f>IF($B28="","",VLOOKUP($B28,'6-2_算定表①(旧々・旧制度)'!$B$8:$U$65536,17,FALSE))</f>
      </c>
      <c r="Q28" s="86">
        <f>IF($B28="","",VLOOKUP($B28,'6-2_算定表①(旧々・旧制度)'!$B$8:$U$65536,17,FALSE))</f>
      </c>
      <c r="R28" s="86">
        <f>IF($B28="","",VLOOKUP($B28,'6-2_算定表①(旧々・旧制度)'!$B$8:$U$65536,17,FALSE))</f>
      </c>
      <c r="S28" s="86">
        <f>IF($B28="","",VLOOKUP($B28,'6-2_算定表①(旧々・旧制度)'!$B$8:$U$65536,17,FALSE))</f>
      </c>
      <c r="T28" s="86">
        <f>IF($B28="","",VLOOKUP($B28,'6-2_算定表①(旧々・旧制度)'!$B$8:$U$65536,17,FALSE))</f>
      </c>
      <c r="U28" s="86">
        <f>IF($B28="","",VLOOKUP($B28,'6-2_算定表①(旧々・旧制度)'!$B$8:$U$65536,17,FALSE))</f>
      </c>
      <c r="V28" s="717">
        <f>IF($B28="","",VLOOKUP($B28,'6-2_算定表①(旧々・旧制度)'!$B$8:$U$65536,17,FALSE))</f>
      </c>
      <c r="W28" s="93">
        <f t="shared" si="0"/>
      </c>
      <c r="X28" s="90">
        <f t="shared" si="1"/>
      </c>
      <c r="Y28" s="87">
        <f t="shared" si="2"/>
      </c>
      <c r="Z28" s="99">
        <f t="shared" si="3"/>
      </c>
      <c r="AA28" s="96">
        <f t="shared" si="4"/>
      </c>
      <c r="AB28" s="93">
        <f t="shared" si="5"/>
      </c>
      <c r="AC28" s="59">
        <f>IF(B28="","",ROUNDUP((G28/'6-2_算定表①(旧々・旧制度)'!J27*W28)+(I28/'6-2_算定表①(旧々・旧制度)'!J27*X28)+(G28/'6-2_算定表①(旧々・旧制度)'!J27*Y28)+(I28/'6-2_算定表①(旧々・旧制度)'!J27*Z28),0))</f>
      </c>
      <c r="AD28" s="611">
        <f t="shared" si="6"/>
      </c>
      <c r="AE28" s="972">
        <f>IF(B28="","",VLOOKUP($B28,'6-2_算定表①(旧々・旧制度)'!$B$8:$AH$65536,33,FALSE))</f>
      </c>
      <c r="AF28" s="973">
        <f>IF(AD28="","",VLOOKUP($B28,'6-2_算定表③(旧・旧制度)'!$B$8:$U$65536,3,FALSE))</f>
      </c>
      <c r="AG28" s="974">
        <f>IF(AE28="","",VLOOKUP($B28,'6-2_算定表③(旧・旧制度)'!$B$8:$U$65536,3,FALSE))</f>
      </c>
      <c r="AI28" s="60">
        <f t="shared" si="9"/>
      </c>
      <c r="AJ28" s="60">
        <f t="shared" si="7"/>
      </c>
    </row>
    <row r="29" spans="1:36" s="53" customFormat="1" ht="18.75" customHeight="1">
      <c r="A29" s="27">
        <f t="shared" si="8"/>
      </c>
      <c r="B29" s="240"/>
      <c r="C29" s="83">
        <f>IF($B29="","",VLOOKUP($B29,'6-2_算定表①(旧々・旧制度)'!$B$8:$U$65536,2,FALSE))</f>
      </c>
      <c r="D29" s="84">
        <f>IF($B29="","",VLOOKUP($B29,'6-2_算定表①(旧々・旧制度)'!$B$8:$U$65536,3,FALSE))</f>
      </c>
      <c r="E29" s="84">
        <f>IF($B29="","",VLOOKUP($B29,'6-2_算定表①(旧々・旧制度)'!$B$8:$U$65536,6,FALSE))</f>
      </c>
      <c r="F29" s="85">
        <f>IF(B29="","",VLOOKUP($B29,'6-2_算定表①(旧々・旧制度)'!$B$8:$U$65536,14,FALSE))</f>
      </c>
      <c r="G29" s="711">
        <f>IF(B29="","",VLOOKUP($B29,'6-2_算定表①(旧々・旧制度)'!$B$8:$U$65536,16,FALSE))</f>
      </c>
      <c r="H29" s="85">
        <f>IF(B29="","",VLOOKUP($B29,'6-2_算定表①(旧々・旧制度)'!$B$8:$U$65536,17,FALSE))</f>
      </c>
      <c r="I29" s="59">
        <f>IF(B29="","",VLOOKUP($B29,'6-2_算定表①(旧々・旧制度)'!$B$8:$U$65536,19,FALSE))</f>
      </c>
      <c r="J29" s="722">
        <f>IF(B29="","",VLOOKUP($B29,'6-2_算定表①(旧々・旧制度)'!$B$8:$U$65536,17,FALSE))</f>
      </c>
      <c r="K29" s="716">
        <f>IF($B29="","",VLOOKUP($B29,'6-2_算定表①(旧々・旧制度)'!$B$8:$U$65536,14,FALSE))</f>
      </c>
      <c r="L29" s="86">
        <f>IF($B29="","",VLOOKUP($B29,'6-2_算定表①(旧々・旧制度)'!$B$8:$U$65536,14,FALSE))</f>
      </c>
      <c r="M29" s="724">
        <f>IF($B29="","",VLOOKUP($B29,'6-2_算定表①(旧々・旧制度)'!$B$8:$U$65536,14,FALSE))</f>
      </c>
      <c r="N29" s="716">
        <f>IF($B29="","",VLOOKUP($B29,'6-2_算定表①(旧々・旧制度)'!$B$8:$U$65536,17,FALSE))</f>
      </c>
      <c r="O29" s="86">
        <f>IF($B29="","",VLOOKUP($B29,'6-2_算定表①(旧々・旧制度)'!$B$8:$U$65536,17,FALSE))</f>
      </c>
      <c r="P29" s="86">
        <f>IF($B29="","",VLOOKUP($B29,'6-2_算定表①(旧々・旧制度)'!$B$8:$U$65536,17,FALSE))</f>
      </c>
      <c r="Q29" s="86">
        <f>IF($B29="","",VLOOKUP($B29,'6-2_算定表①(旧々・旧制度)'!$B$8:$U$65536,17,FALSE))</f>
      </c>
      <c r="R29" s="86">
        <f>IF($B29="","",VLOOKUP($B29,'6-2_算定表①(旧々・旧制度)'!$B$8:$U$65536,17,FALSE))</f>
      </c>
      <c r="S29" s="86">
        <f>IF($B29="","",VLOOKUP($B29,'6-2_算定表①(旧々・旧制度)'!$B$8:$U$65536,17,FALSE))</f>
      </c>
      <c r="T29" s="86">
        <f>IF($B29="","",VLOOKUP($B29,'6-2_算定表①(旧々・旧制度)'!$B$8:$U$65536,17,FALSE))</f>
      </c>
      <c r="U29" s="86">
        <f>IF($B29="","",VLOOKUP($B29,'6-2_算定表①(旧々・旧制度)'!$B$8:$U$65536,17,FALSE))</f>
      </c>
      <c r="V29" s="717">
        <f>IF($B29="","",VLOOKUP($B29,'6-2_算定表①(旧々・旧制度)'!$B$8:$U$65536,17,FALSE))</f>
      </c>
      <c r="W29" s="93">
        <f t="shared" si="0"/>
      </c>
      <c r="X29" s="90">
        <f t="shared" si="1"/>
      </c>
      <c r="Y29" s="87">
        <f t="shared" si="2"/>
      </c>
      <c r="Z29" s="99">
        <f t="shared" si="3"/>
      </c>
      <c r="AA29" s="96">
        <f t="shared" si="4"/>
      </c>
      <c r="AB29" s="93">
        <f t="shared" si="5"/>
      </c>
      <c r="AC29" s="59">
        <f>IF(B29="","",ROUNDUP((G29/'6-2_算定表①(旧々・旧制度)'!J28*W29)+(I29/'6-2_算定表①(旧々・旧制度)'!J28*X29)+(G29/'6-2_算定表①(旧々・旧制度)'!J28*Y29)+(I29/'6-2_算定表①(旧々・旧制度)'!J28*Z29),0))</f>
      </c>
      <c r="AD29" s="611">
        <f t="shared" si="6"/>
      </c>
      <c r="AE29" s="972">
        <f>IF(B29="","",VLOOKUP($B29,'6-2_算定表①(旧々・旧制度)'!$B$8:$AH$65536,33,FALSE))</f>
      </c>
      <c r="AF29" s="973">
        <f>IF(AD29="","",VLOOKUP($B29,'6-2_算定表③(旧・旧制度)'!$B$8:$U$65536,3,FALSE))</f>
      </c>
      <c r="AG29" s="974">
        <f>IF(AE29="","",VLOOKUP($B29,'6-2_算定表③(旧・旧制度)'!$B$8:$U$65536,3,FALSE))</f>
      </c>
      <c r="AI29" s="60">
        <f t="shared" si="9"/>
      </c>
      <c r="AJ29" s="60">
        <f t="shared" si="7"/>
      </c>
    </row>
    <row r="30" spans="1:36" s="53" customFormat="1" ht="18.75" customHeight="1">
      <c r="A30" s="27">
        <f t="shared" si="8"/>
      </c>
      <c r="B30" s="240"/>
      <c r="C30" s="83">
        <f>IF($B30="","",VLOOKUP($B30,'6-2_算定表①(旧々・旧制度)'!$B$8:$U$65536,2,FALSE))</f>
      </c>
      <c r="D30" s="84">
        <f>IF($B30="","",VLOOKUP($B30,'6-2_算定表①(旧々・旧制度)'!$B$8:$U$65536,3,FALSE))</f>
      </c>
      <c r="E30" s="84">
        <f>IF($B30="","",VLOOKUP($B30,'6-2_算定表①(旧々・旧制度)'!$B$8:$U$65536,6,FALSE))</f>
      </c>
      <c r="F30" s="85">
        <f>IF(B30="","",VLOOKUP($B30,'6-2_算定表①(旧々・旧制度)'!$B$8:$U$65536,14,FALSE))</f>
      </c>
      <c r="G30" s="711">
        <f>IF(B30="","",VLOOKUP($B30,'6-2_算定表①(旧々・旧制度)'!$B$8:$U$65536,16,FALSE))</f>
      </c>
      <c r="H30" s="85">
        <f>IF(B30="","",VLOOKUP($B30,'6-2_算定表①(旧々・旧制度)'!$B$8:$U$65536,17,FALSE))</f>
      </c>
      <c r="I30" s="59">
        <f>IF(B30="","",VLOOKUP($B30,'6-2_算定表①(旧々・旧制度)'!$B$8:$U$65536,19,FALSE))</f>
      </c>
      <c r="J30" s="722">
        <f>IF(B30="","",VLOOKUP($B30,'6-2_算定表①(旧々・旧制度)'!$B$8:$U$65536,17,FALSE))</f>
      </c>
      <c r="K30" s="716">
        <f>IF($B30="","",VLOOKUP($B30,'6-2_算定表①(旧々・旧制度)'!$B$8:$U$65536,14,FALSE))</f>
      </c>
      <c r="L30" s="86">
        <f>IF($B30="","",VLOOKUP($B30,'6-2_算定表①(旧々・旧制度)'!$B$8:$U$65536,14,FALSE))</f>
      </c>
      <c r="M30" s="724">
        <f>IF($B30="","",VLOOKUP($B30,'6-2_算定表①(旧々・旧制度)'!$B$8:$U$65536,14,FALSE))</f>
      </c>
      <c r="N30" s="716">
        <f>IF($B30="","",VLOOKUP($B30,'6-2_算定表①(旧々・旧制度)'!$B$8:$U$65536,17,FALSE))</f>
      </c>
      <c r="O30" s="86">
        <f>IF($B30="","",VLOOKUP($B30,'6-2_算定表①(旧々・旧制度)'!$B$8:$U$65536,17,FALSE))</f>
      </c>
      <c r="P30" s="86">
        <f>IF($B30="","",VLOOKUP($B30,'6-2_算定表①(旧々・旧制度)'!$B$8:$U$65536,17,FALSE))</f>
      </c>
      <c r="Q30" s="86">
        <f>IF($B30="","",VLOOKUP($B30,'6-2_算定表①(旧々・旧制度)'!$B$8:$U$65536,17,FALSE))</f>
      </c>
      <c r="R30" s="86">
        <f>IF($B30="","",VLOOKUP($B30,'6-2_算定表①(旧々・旧制度)'!$B$8:$U$65536,17,FALSE))</f>
      </c>
      <c r="S30" s="86">
        <f>IF($B30="","",VLOOKUP($B30,'6-2_算定表①(旧々・旧制度)'!$B$8:$U$65536,17,FALSE))</f>
      </c>
      <c r="T30" s="86">
        <f>IF($B30="","",VLOOKUP($B30,'6-2_算定表①(旧々・旧制度)'!$B$8:$U$65536,17,FALSE))</f>
      </c>
      <c r="U30" s="86">
        <f>IF($B30="","",VLOOKUP($B30,'6-2_算定表①(旧々・旧制度)'!$B$8:$U$65536,17,FALSE))</f>
      </c>
      <c r="V30" s="717">
        <f>IF($B30="","",VLOOKUP($B30,'6-2_算定表①(旧々・旧制度)'!$B$8:$U$65536,17,FALSE))</f>
      </c>
      <c r="W30" s="93">
        <f t="shared" si="0"/>
      </c>
      <c r="X30" s="90">
        <f t="shared" si="1"/>
      </c>
      <c r="Y30" s="87">
        <f t="shared" si="2"/>
      </c>
      <c r="Z30" s="99">
        <f t="shared" si="3"/>
      </c>
      <c r="AA30" s="96">
        <f t="shared" si="4"/>
      </c>
      <c r="AB30" s="93">
        <f t="shared" si="5"/>
      </c>
      <c r="AC30" s="59">
        <f>IF(B30="","",ROUNDUP((G30/'6-2_算定表①(旧々・旧制度)'!J29*W30)+(I30/'6-2_算定表①(旧々・旧制度)'!J29*X30)+(G30/'6-2_算定表①(旧々・旧制度)'!J29*Y30)+(I30/'6-2_算定表①(旧々・旧制度)'!J29*Z30),0))</f>
      </c>
      <c r="AD30" s="611">
        <f t="shared" si="6"/>
      </c>
      <c r="AE30" s="972">
        <f>IF(B30="","",VLOOKUP($B30,'6-2_算定表①(旧々・旧制度)'!$B$8:$AH$65536,33,FALSE))</f>
      </c>
      <c r="AF30" s="973">
        <f>IF(AD30="","",VLOOKUP($B30,'6-2_算定表③(旧・旧制度)'!$B$8:$U$65536,3,FALSE))</f>
      </c>
      <c r="AG30" s="974">
        <f>IF(AE30="","",VLOOKUP($B30,'6-2_算定表③(旧・旧制度)'!$B$8:$U$65536,3,FALSE))</f>
      </c>
      <c r="AI30" s="60">
        <f>IF(A30&gt;0,ASC(C30&amp;H30),"")</f>
      </c>
      <c r="AJ30" s="60">
        <f t="shared" si="7"/>
      </c>
    </row>
    <row r="31" spans="1:36" s="53" customFormat="1" ht="18.75" customHeight="1">
      <c r="A31" s="27">
        <f t="shared" si="8"/>
      </c>
      <c r="B31" s="240"/>
      <c r="C31" s="83">
        <f>IF($B31="","",VLOOKUP($B31,'6-2_算定表①(旧々・旧制度)'!$B$8:$U$65536,2,FALSE))</f>
      </c>
      <c r="D31" s="84">
        <f>IF($B31="","",VLOOKUP($B31,'6-2_算定表①(旧々・旧制度)'!$B$8:$U$65536,3,FALSE))</f>
      </c>
      <c r="E31" s="84">
        <f>IF($B31="","",VLOOKUP($B31,'6-2_算定表①(旧々・旧制度)'!$B$8:$U$65536,6,FALSE))</f>
      </c>
      <c r="F31" s="85">
        <f>IF(B31="","",VLOOKUP($B31,'6-2_算定表①(旧々・旧制度)'!$B$8:$U$65536,14,FALSE))</f>
      </c>
      <c r="G31" s="711">
        <f>IF(B31="","",VLOOKUP($B31,'6-2_算定表①(旧々・旧制度)'!$B$8:$U$65536,16,FALSE))</f>
      </c>
      <c r="H31" s="85">
        <f>IF(B31="","",VLOOKUP($B31,'6-2_算定表①(旧々・旧制度)'!$B$8:$U$65536,17,FALSE))</f>
      </c>
      <c r="I31" s="59">
        <f>IF(B31="","",VLOOKUP($B31,'6-2_算定表①(旧々・旧制度)'!$B$8:$U$65536,19,FALSE))</f>
      </c>
      <c r="J31" s="722">
        <f>IF(B31="","",VLOOKUP($B31,'6-2_算定表①(旧々・旧制度)'!$B$8:$U$65536,17,FALSE))</f>
      </c>
      <c r="K31" s="716">
        <f>IF($B31="","",VLOOKUP($B31,'6-2_算定表①(旧々・旧制度)'!$B$8:$U$65536,14,FALSE))</f>
      </c>
      <c r="L31" s="86">
        <f>IF($B31="","",VLOOKUP($B31,'6-2_算定表①(旧々・旧制度)'!$B$8:$U$65536,14,FALSE))</f>
      </c>
      <c r="M31" s="724">
        <f>IF($B31="","",VLOOKUP($B31,'6-2_算定表①(旧々・旧制度)'!$B$8:$U$65536,14,FALSE))</f>
      </c>
      <c r="N31" s="716">
        <f>IF($B31="","",VLOOKUP($B31,'6-2_算定表①(旧々・旧制度)'!$B$8:$U$65536,17,FALSE))</f>
      </c>
      <c r="O31" s="86">
        <f>IF($B31="","",VLOOKUP($B31,'6-2_算定表①(旧々・旧制度)'!$B$8:$U$65536,17,FALSE))</f>
      </c>
      <c r="P31" s="86">
        <f>IF($B31="","",VLOOKUP($B31,'6-2_算定表①(旧々・旧制度)'!$B$8:$U$65536,17,FALSE))</f>
      </c>
      <c r="Q31" s="86">
        <f>IF($B31="","",VLOOKUP($B31,'6-2_算定表①(旧々・旧制度)'!$B$8:$U$65536,17,FALSE))</f>
      </c>
      <c r="R31" s="86">
        <f>IF($B31="","",VLOOKUP($B31,'6-2_算定表①(旧々・旧制度)'!$B$8:$U$65536,17,FALSE))</f>
      </c>
      <c r="S31" s="86">
        <f>IF($B31="","",VLOOKUP($B31,'6-2_算定表①(旧々・旧制度)'!$B$8:$U$65536,17,FALSE))</f>
      </c>
      <c r="T31" s="86">
        <f>IF($B31="","",VLOOKUP($B31,'6-2_算定表①(旧々・旧制度)'!$B$8:$U$65536,17,FALSE))</f>
      </c>
      <c r="U31" s="86">
        <f>IF($B31="","",VLOOKUP($B31,'6-2_算定表①(旧々・旧制度)'!$B$8:$U$65536,17,FALSE))</f>
      </c>
      <c r="V31" s="717">
        <f>IF($B31="","",VLOOKUP($B31,'6-2_算定表①(旧々・旧制度)'!$B$8:$U$65536,17,FALSE))</f>
      </c>
      <c r="W31" s="93">
        <f t="shared" si="0"/>
      </c>
      <c r="X31" s="90">
        <f t="shared" si="1"/>
      </c>
      <c r="Y31" s="87">
        <f t="shared" si="2"/>
      </c>
      <c r="Z31" s="99">
        <f t="shared" si="3"/>
      </c>
      <c r="AA31" s="96">
        <f t="shared" si="4"/>
      </c>
      <c r="AB31" s="93">
        <f t="shared" si="5"/>
      </c>
      <c r="AC31" s="59">
        <f>IF(B31="","",ROUNDUP((G31/'6-2_算定表①(旧々・旧制度)'!J30*W31)+(I31/'6-2_算定表①(旧々・旧制度)'!J30*X31)+(G31/'6-2_算定表①(旧々・旧制度)'!J30*Y31)+(I31/'6-2_算定表①(旧々・旧制度)'!J30*Z31),0))</f>
      </c>
      <c r="AD31" s="611">
        <f t="shared" si="6"/>
      </c>
      <c r="AE31" s="972">
        <f>IF(B31="","",VLOOKUP($B31,'6-2_算定表①(旧々・旧制度)'!$B$8:$AH$65536,33,FALSE))</f>
      </c>
      <c r="AF31" s="973">
        <f>IF(AD31="","",VLOOKUP($B31,'6-2_算定表③(旧・旧制度)'!$B$8:$U$65536,3,FALSE))</f>
      </c>
      <c r="AG31" s="974">
        <f>IF(AE31="","",VLOOKUP($B31,'6-2_算定表③(旧・旧制度)'!$B$8:$U$65536,3,FALSE))</f>
      </c>
      <c r="AI31" s="60">
        <f>IF(A31&gt;0,ASC(C31&amp;H31),"")</f>
      </c>
      <c r="AJ31" s="60">
        <f t="shared" si="7"/>
      </c>
    </row>
    <row r="32" spans="1:36" s="53" customFormat="1" ht="18.75" customHeight="1">
      <c r="A32" s="27">
        <f t="shared" si="8"/>
      </c>
      <c r="B32" s="240"/>
      <c r="C32" s="83">
        <f>IF($B32="","",VLOOKUP($B32,'6-2_算定表①(旧々・旧制度)'!$B$8:$U$65536,2,FALSE))</f>
      </c>
      <c r="D32" s="84">
        <f>IF($B32="","",VLOOKUP($B32,'6-2_算定表①(旧々・旧制度)'!$B$8:$U$65536,3,FALSE))</f>
      </c>
      <c r="E32" s="84">
        <f>IF($B32="","",VLOOKUP($B32,'6-2_算定表①(旧々・旧制度)'!$B$8:$U$65536,6,FALSE))</f>
      </c>
      <c r="F32" s="85">
        <f>IF(B32="","",VLOOKUP($B32,'6-2_算定表①(旧々・旧制度)'!$B$8:$U$65536,14,FALSE))</f>
      </c>
      <c r="G32" s="711">
        <f>IF(B32="","",VLOOKUP($B32,'6-2_算定表①(旧々・旧制度)'!$B$8:$U$65536,16,FALSE))</f>
      </c>
      <c r="H32" s="85">
        <f>IF(B32="","",VLOOKUP($B32,'6-2_算定表①(旧々・旧制度)'!$B$8:$U$65536,17,FALSE))</f>
      </c>
      <c r="I32" s="59">
        <f>IF(B32="","",VLOOKUP($B32,'6-2_算定表①(旧々・旧制度)'!$B$8:$U$65536,19,FALSE))</f>
      </c>
      <c r="J32" s="722">
        <f>IF(B32="","",VLOOKUP($B32,'6-2_算定表①(旧々・旧制度)'!$B$8:$U$65536,17,FALSE))</f>
      </c>
      <c r="K32" s="716">
        <f>IF($B32="","",VLOOKUP($B32,'6-2_算定表①(旧々・旧制度)'!$B$8:$U$65536,14,FALSE))</f>
      </c>
      <c r="L32" s="86">
        <f>IF($B32="","",VLOOKUP($B32,'6-2_算定表①(旧々・旧制度)'!$B$8:$U$65536,14,FALSE))</f>
      </c>
      <c r="M32" s="724">
        <f>IF($B32="","",VLOOKUP($B32,'6-2_算定表①(旧々・旧制度)'!$B$8:$U$65536,14,FALSE))</f>
      </c>
      <c r="N32" s="716">
        <f>IF($B32="","",VLOOKUP($B32,'6-2_算定表①(旧々・旧制度)'!$B$8:$U$65536,17,FALSE))</f>
      </c>
      <c r="O32" s="86">
        <f>IF($B32="","",VLOOKUP($B32,'6-2_算定表①(旧々・旧制度)'!$B$8:$U$65536,17,FALSE))</f>
      </c>
      <c r="P32" s="86">
        <f>IF($B32="","",VLOOKUP($B32,'6-2_算定表①(旧々・旧制度)'!$B$8:$U$65536,17,FALSE))</f>
      </c>
      <c r="Q32" s="86">
        <f>IF($B32="","",VLOOKUP($B32,'6-2_算定表①(旧々・旧制度)'!$B$8:$U$65536,17,FALSE))</f>
      </c>
      <c r="R32" s="86">
        <f>IF($B32="","",VLOOKUP($B32,'6-2_算定表①(旧々・旧制度)'!$B$8:$U$65536,17,FALSE))</f>
      </c>
      <c r="S32" s="86">
        <f>IF($B32="","",VLOOKUP($B32,'6-2_算定表①(旧々・旧制度)'!$B$8:$U$65536,17,FALSE))</f>
      </c>
      <c r="T32" s="86">
        <f>IF($B32="","",VLOOKUP($B32,'6-2_算定表①(旧々・旧制度)'!$B$8:$U$65536,17,FALSE))</f>
      </c>
      <c r="U32" s="86">
        <f>IF($B32="","",VLOOKUP($B32,'6-2_算定表①(旧々・旧制度)'!$B$8:$U$65536,17,FALSE))</f>
      </c>
      <c r="V32" s="717">
        <f>IF($B32="","",VLOOKUP($B32,'6-2_算定表①(旧々・旧制度)'!$B$8:$U$65536,17,FALSE))</f>
      </c>
      <c r="W32" s="93">
        <f t="shared" si="0"/>
      </c>
      <c r="X32" s="90">
        <f t="shared" si="1"/>
      </c>
      <c r="Y32" s="87">
        <f t="shared" si="2"/>
      </c>
      <c r="Z32" s="99">
        <f t="shared" si="3"/>
      </c>
      <c r="AA32" s="96">
        <f t="shared" si="4"/>
      </c>
      <c r="AB32" s="93">
        <f t="shared" si="5"/>
      </c>
      <c r="AC32" s="59">
        <f>IF(B32="","",ROUNDUP((G32/'6-2_算定表①(旧々・旧制度)'!J31*W32)+(I32/'6-2_算定表①(旧々・旧制度)'!J31*X32)+(G32/'6-2_算定表①(旧々・旧制度)'!J31*Y32)+(I32/'6-2_算定表①(旧々・旧制度)'!J31*Z32),0))</f>
      </c>
      <c r="AD32" s="611">
        <f t="shared" si="6"/>
      </c>
      <c r="AE32" s="972">
        <f>IF(B32="","",VLOOKUP($B32,'6-2_算定表①(旧々・旧制度)'!$B$8:$AH$65536,33,FALSE))</f>
      </c>
      <c r="AF32" s="973">
        <f>IF(AD32="","",VLOOKUP($B32,'6-2_算定表③(旧・旧制度)'!$B$8:$U$65536,3,FALSE))</f>
      </c>
      <c r="AG32" s="974">
        <f>IF(AE32="","",VLOOKUP($B32,'6-2_算定表③(旧・旧制度)'!$B$8:$U$65536,3,FALSE))</f>
      </c>
      <c r="AI32" s="60">
        <f>IF(A32&gt;0,ASC(C32&amp;H32),"")</f>
      </c>
      <c r="AJ32" s="60">
        <f t="shared" si="7"/>
      </c>
    </row>
    <row r="33" spans="1:36" s="53" customFormat="1" ht="18.75" customHeight="1">
      <c r="A33" s="27">
        <f t="shared" si="8"/>
      </c>
      <c r="B33" s="240"/>
      <c r="C33" s="83">
        <f>IF($B33="","",VLOOKUP($B33,'6-2_算定表①(旧々・旧制度)'!$B$8:$U$65536,2,FALSE))</f>
      </c>
      <c r="D33" s="84">
        <f>IF($B33="","",VLOOKUP($B33,'6-2_算定表①(旧々・旧制度)'!$B$8:$U$65536,3,FALSE))</f>
      </c>
      <c r="E33" s="84">
        <f>IF($B33="","",VLOOKUP($B33,'6-2_算定表①(旧々・旧制度)'!$B$8:$U$65536,6,FALSE))</f>
      </c>
      <c r="F33" s="85">
        <f>IF(B33="","",VLOOKUP($B33,'6-2_算定表①(旧々・旧制度)'!$B$8:$U$65536,14,FALSE))</f>
      </c>
      <c r="G33" s="711">
        <f>IF(B33="","",VLOOKUP($B33,'6-2_算定表①(旧々・旧制度)'!$B$8:$U$65536,16,FALSE))</f>
      </c>
      <c r="H33" s="85">
        <f>IF(B33="","",VLOOKUP($B33,'6-2_算定表①(旧々・旧制度)'!$B$8:$U$65536,17,FALSE))</f>
      </c>
      <c r="I33" s="59">
        <f>IF(B33="","",VLOOKUP($B33,'6-2_算定表①(旧々・旧制度)'!$B$8:$U$65536,19,FALSE))</f>
      </c>
      <c r="J33" s="722">
        <f>IF(B33="","",VLOOKUP($B33,'6-2_算定表①(旧々・旧制度)'!$B$8:$U$65536,17,FALSE))</f>
      </c>
      <c r="K33" s="716">
        <f>IF($B33="","",VLOOKUP($B33,'6-2_算定表①(旧々・旧制度)'!$B$8:$U$65536,14,FALSE))</f>
      </c>
      <c r="L33" s="86">
        <f>IF($B33="","",VLOOKUP($B33,'6-2_算定表①(旧々・旧制度)'!$B$8:$U$65536,14,FALSE))</f>
      </c>
      <c r="M33" s="724">
        <f>IF($B33="","",VLOOKUP($B33,'6-2_算定表①(旧々・旧制度)'!$B$8:$U$65536,14,FALSE))</f>
      </c>
      <c r="N33" s="716">
        <f>IF($B33="","",VLOOKUP($B33,'6-2_算定表①(旧々・旧制度)'!$B$8:$U$65536,17,FALSE))</f>
      </c>
      <c r="O33" s="86">
        <f>IF($B33="","",VLOOKUP($B33,'6-2_算定表①(旧々・旧制度)'!$B$8:$U$65536,17,FALSE))</f>
      </c>
      <c r="P33" s="86">
        <f>IF($B33="","",VLOOKUP($B33,'6-2_算定表①(旧々・旧制度)'!$B$8:$U$65536,17,FALSE))</f>
      </c>
      <c r="Q33" s="86">
        <f>IF($B33="","",VLOOKUP($B33,'6-2_算定表①(旧々・旧制度)'!$B$8:$U$65536,17,FALSE))</f>
      </c>
      <c r="R33" s="86">
        <f>IF($B33="","",VLOOKUP($B33,'6-2_算定表①(旧々・旧制度)'!$B$8:$U$65536,17,FALSE))</f>
      </c>
      <c r="S33" s="86">
        <f>IF($B33="","",VLOOKUP($B33,'6-2_算定表①(旧々・旧制度)'!$B$8:$U$65536,17,FALSE))</f>
      </c>
      <c r="T33" s="86">
        <f>IF($B33="","",VLOOKUP($B33,'6-2_算定表①(旧々・旧制度)'!$B$8:$U$65536,17,FALSE))</f>
      </c>
      <c r="U33" s="86">
        <f>IF($B33="","",VLOOKUP($B33,'6-2_算定表①(旧々・旧制度)'!$B$8:$U$65536,17,FALSE))</f>
      </c>
      <c r="V33" s="717">
        <f>IF($B33="","",VLOOKUP($B33,'6-2_算定表①(旧々・旧制度)'!$B$8:$U$65536,17,FALSE))</f>
      </c>
      <c r="W33" s="93">
        <f t="shared" si="0"/>
      </c>
      <c r="X33" s="90">
        <f t="shared" si="1"/>
      </c>
      <c r="Y33" s="87">
        <f t="shared" si="2"/>
      </c>
      <c r="Z33" s="99">
        <f t="shared" si="3"/>
      </c>
      <c r="AA33" s="96">
        <f t="shared" si="4"/>
      </c>
      <c r="AB33" s="93">
        <f t="shared" si="5"/>
      </c>
      <c r="AC33" s="59">
        <f>IF(B33="","",ROUNDUP((G33/'6-2_算定表①(旧々・旧制度)'!J32*W33)+(I33/'6-2_算定表①(旧々・旧制度)'!J32*X33)+(G33/'6-2_算定表①(旧々・旧制度)'!J32*Y33)+(I33/'6-2_算定表①(旧々・旧制度)'!J32*Z33),0))</f>
      </c>
      <c r="AD33" s="611">
        <f t="shared" si="6"/>
      </c>
      <c r="AE33" s="972">
        <f>IF(B33="","",VLOOKUP($B33,'6-2_算定表①(旧々・旧制度)'!$B$8:$AH$65536,33,FALSE))</f>
      </c>
      <c r="AF33" s="973">
        <f>IF(AD33="","",VLOOKUP($B33,'6-2_算定表③(旧・旧制度)'!$B$8:$U$65536,3,FALSE))</f>
      </c>
      <c r="AG33" s="974">
        <f>IF(AE33="","",VLOOKUP($B33,'6-2_算定表③(旧・旧制度)'!$B$8:$U$65536,3,FALSE))</f>
      </c>
      <c r="AI33" s="60">
        <f t="shared" si="9"/>
      </c>
      <c r="AJ33" s="60">
        <f t="shared" si="7"/>
      </c>
    </row>
    <row r="34" spans="1:36" s="53" customFormat="1" ht="18.75" customHeight="1">
      <c r="A34" s="27">
        <f t="shared" si="8"/>
      </c>
      <c r="B34" s="240"/>
      <c r="C34" s="83">
        <f>IF($B34="","",VLOOKUP($B34,'6-2_算定表①(旧々・旧制度)'!$B$8:$U$65536,2,FALSE))</f>
      </c>
      <c r="D34" s="84">
        <f>IF($B34="","",VLOOKUP($B34,'6-2_算定表①(旧々・旧制度)'!$B$8:$U$65536,3,FALSE))</f>
      </c>
      <c r="E34" s="84">
        <f>IF($B34="","",VLOOKUP($B34,'6-2_算定表①(旧々・旧制度)'!$B$8:$U$65536,6,FALSE))</f>
      </c>
      <c r="F34" s="85">
        <f>IF(B34="","",VLOOKUP($B34,'6-2_算定表①(旧々・旧制度)'!$B$8:$U$65536,14,FALSE))</f>
      </c>
      <c r="G34" s="711">
        <f>IF(B34="","",VLOOKUP($B34,'6-2_算定表①(旧々・旧制度)'!$B$8:$U$65536,16,FALSE))</f>
      </c>
      <c r="H34" s="85">
        <f>IF(B34="","",VLOOKUP($B34,'6-2_算定表①(旧々・旧制度)'!$B$8:$U$65536,17,FALSE))</f>
      </c>
      <c r="I34" s="59">
        <f>IF(B34="","",VLOOKUP($B34,'6-2_算定表①(旧々・旧制度)'!$B$8:$U$65536,19,FALSE))</f>
      </c>
      <c r="J34" s="722">
        <f>IF(B34="","",VLOOKUP($B34,'6-2_算定表①(旧々・旧制度)'!$B$8:$U$65536,17,FALSE))</f>
      </c>
      <c r="K34" s="716">
        <f>IF($B34="","",VLOOKUP($B34,'6-2_算定表①(旧々・旧制度)'!$B$8:$U$65536,14,FALSE))</f>
      </c>
      <c r="L34" s="86">
        <f>IF($B34="","",VLOOKUP($B34,'6-2_算定表①(旧々・旧制度)'!$B$8:$U$65536,14,FALSE))</f>
      </c>
      <c r="M34" s="724">
        <f>IF($B34="","",VLOOKUP($B34,'6-2_算定表①(旧々・旧制度)'!$B$8:$U$65536,14,FALSE))</f>
      </c>
      <c r="N34" s="716">
        <f>IF($B34="","",VLOOKUP($B34,'6-2_算定表①(旧々・旧制度)'!$B$8:$U$65536,17,FALSE))</f>
      </c>
      <c r="O34" s="86">
        <f>IF($B34="","",VLOOKUP($B34,'6-2_算定表①(旧々・旧制度)'!$B$8:$U$65536,17,FALSE))</f>
      </c>
      <c r="P34" s="86">
        <f>IF($B34="","",VLOOKUP($B34,'6-2_算定表①(旧々・旧制度)'!$B$8:$U$65536,17,FALSE))</f>
      </c>
      <c r="Q34" s="86">
        <f>IF($B34="","",VLOOKUP($B34,'6-2_算定表①(旧々・旧制度)'!$B$8:$U$65536,17,FALSE))</f>
      </c>
      <c r="R34" s="86">
        <f>IF($B34="","",VLOOKUP($B34,'6-2_算定表①(旧々・旧制度)'!$B$8:$U$65536,17,FALSE))</f>
      </c>
      <c r="S34" s="86">
        <f>IF($B34="","",VLOOKUP($B34,'6-2_算定表①(旧々・旧制度)'!$B$8:$U$65536,17,FALSE))</f>
      </c>
      <c r="T34" s="86">
        <f>IF($B34="","",VLOOKUP($B34,'6-2_算定表①(旧々・旧制度)'!$B$8:$U$65536,17,FALSE))</f>
      </c>
      <c r="U34" s="86">
        <f>IF($B34="","",VLOOKUP($B34,'6-2_算定表①(旧々・旧制度)'!$B$8:$U$65536,17,FALSE))</f>
      </c>
      <c r="V34" s="717">
        <f>IF($B34="","",VLOOKUP($B34,'6-2_算定表①(旧々・旧制度)'!$B$8:$U$65536,17,FALSE))</f>
      </c>
      <c r="W34" s="93">
        <f t="shared" si="0"/>
      </c>
      <c r="X34" s="90">
        <f t="shared" si="1"/>
      </c>
      <c r="Y34" s="87">
        <f t="shared" si="2"/>
      </c>
      <c r="Z34" s="99">
        <f t="shared" si="3"/>
      </c>
      <c r="AA34" s="96">
        <f t="shared" si="4"/>
      </c>
      <c r="AB34" s="93">
        <f t="shared" si="5"/>
      </c>
      <c r="AC34" s="59">
        <f>IF(B34="","",ROUNDUP((G34/'6-2_算定表①(旧々・旧制度)'!J33*W34)+(I34/'6-2_算定表①(旧々・旧制度)'!J33*X34)+(G34/'6-2_算定表①(旧々・旧制度)'!J33*Y34)+(I34/'6-2_算定表①(旧々・旧制度)'!J33*Z34),0))</f>
      </c>
      <c r="AD34" s="611">
        <f t="shared" si="6"/>
      </c>
      <c r="AE34" s="972">
        <f>IF(B34="","",VLOOKUP($B34,'6-2_算定表①(旧々・旧制度)'!$B$8:$AH$65536,33,FALSE))</f>
      </c>
      <c r="AF34" s="973">
        <f>IF(AD34="","",VLOOKUP($B34,'6-2_算定表③(旧・旧制度)'!$B$8:$U$65536,3,FALSE))</f>
      </c>
      <c r="AG34" s="974">
        <f>IF(AE34="","",VLOOKUP($B34,'6-2_算定表③(旧・旧制度)'!$B$8:$U$65536,3,FALSE))</f>
      </c>
      <c r="AI34" s="60">
        <f t="shared" si="9"/>
      </c>
      <c r="AJ34" s="60">
        <f t="shared" si="7"/>
      </c>
    </row>
    <row r="35" spans="1:36" s="53" customFormat="1" ht="18.75" customHeight="1">
      <c r="A35" s="27">
        <f t="shared" si="8"/>
      </c>
      <c r="B35" s="240"/>
      <c r="C35" s="83">
        <f>IF($B35="","",VLOOKUP($B35,'6-2_算定表①(旧々・旧制度)'!$B$8:$U$65536,2,FALSE))</f>
      </c>
      <c r="D35" s="84">
        <f>IF($B35="","",VLOOKUP($B35,'6-2_算定表①(旧々・旧制度)'!$B$8:$U$65536,3,FALSE))</f>
      </c>
      <c r="E35" s="84">
        <f>IF($B35="","",VLOOKUP($B35,'6-2_算定表①(旧々・旧制度)'!$B$8:$U$65536,6,FALSE))</f>
      </c>
      <c r="F35" s="85">
        <f>IF(B35="","",VLOOKUP($B35,'6-2_算定表①(旧々・旧制度)'!$B$8:$U$65536,14,FALSE))</f>
      </c>
      <c r="G35" s="711">
        <f>IF(B35="","",VLOOKUP($B35,'6-2_算定表①(旧々・旧制度)'!$B$8:$U$65536,16,FALSE))</f>
      </c>
      <c r="H35" s="85">
        <f>IF(B35="","",VLOOKUP($B35,'6-2_算定表①(旧々・旧制度)'!$B$8:$U$65536,17,FALSE))</f>
      </c>
      <c r="I35" s="59">
        <f>IF(B35="","",VLOOKUP($B35,'6-2_算定表①(旧々・旧制度)'!$B$8:$U$65536,19,FALSE))</f>
      </c>
      <c r="J35" s="722">
        <f>IF(B35="","",VLOOKUP($B35,'6-2_算定表①(旧々・旧制度)'!$B$8:$U$65536,17,FALSE))</f>
      </c>
      <c r="K35" s="716">
        <f>IF($B35="","",VLOOKUP($B35,'6-2_算定表①(旧々・旧制度)'!$B$8:$U$65536,14,FALSE))</f>
      </c>
      <c r="L35" s="86">
        <f>IF($B35="","",VLOOKUP($B35,'6-2_算定表①(旧々・旧制度)'!$B$8:$U$65536,14,FALSE))</f>
      </c>
      <c r="M35" s="724">
        <f>IF($B35="","",VLOOKUP($B35,'6-2_算定表①(旧々・旧制度)'!$B$8:$U$65536,14,FALSE))</f>
      </c>
      <c r="N35" s="716">
        <f>IF($B35="","",VLOOKUP($B35,'6-2_算定表①(旧々・旧制度)'!$B$8:$U$65536,17,FALSE))</f>
      </c>
      <c r="O35" s="86">
        <f>IF($B35="","",VLOOKUP($B35,'6-2_算定表①(旧々・旧制度)'!$B$8:$U$65536,17,FALSE))</f>
      </c>
      <c r="P35" s="86">
        <f>IF($B35="","",VLOOKUP($B35,'6-2_算定表①(旧々・旧制度)'!$B$8:$U$65536,17,FALSE))</f>
      </c>
      <c r="Q35" s="86">
        <f>IF($B35="","",VLOOKUP($B35,'6-2_算定表①(旧々・旧制度)'!$B$8:$U$65536,17,FALSE))</f>
      </c>
      <c r="R35" s="86">
        <f>IF($B35="","",VLOOKUP($B35,'6-2_算定表①(旧々・旧制度)'!$B$8:$U$65536,17,FALSE))</f>
      </c>
      <c r="S35" s="86">
        <f>IF($B35="","",VLOOKUP($B35,'6-2_算定表①(旧々・旧制度)'!$B$8:$U$65536,17,FALSE))</f>
      </c>
      <c r="T35" s="86">
        <f>IF($B35="","",VLOOKUP($B35,'6-2_算定表①(旧々・旧制度)'!$B$8:$U$65536,17,FALSE))</f>
      </c>
      <c r="U35" s="86">
        <f>IF($B35="","",VLOOKUP($B35,'6-2_算定表①(旧々・旧制度)'!$B$8:$U$65536,17,FALSE))</f>
      </c>
      <c r="V35" s="717">
        <f>IF($B35="","",VLOOKUP($B35,'6-2_算定表①(旧々・旧制度)'!$B$8:$U$65536,17,FALSE))</f>
      </c>
      <c r="W35" s="93">
        <f t="shared" si="0"/>
      </c>
      <c r="X35" s="90">
        <f t="shared" si="1"/>
      </c>
      <c r="Y35" s="87">
        <f t="shared" si="2"/>
      </c>
      <c r="Z35" s="99">
        <f t="shared" si="3"/>
      </c>
      <c r="AA35" s="96">
        <f t="shared" si="4"/>
      </c>
      <c r="AB35" s="93">
        <f t="shared" si="5"/>
      </c>
      <c r="AC35" s="59">
        <f>IF(B35="","",ROUNDUP((G35/'6-2_算定表①(旧々・旧制度)'!J34*W35)+(I35/'6-2_算定表①(旧々・旧制度)'!J34*X35)+(G35/'6-2_算定表①(旧々・旧制度)'!J34*Y35)+(I35/'6-2_算定表①(旧々・旧制度)'!J34*Z35),0))</f>
      </c>
      <c r="AD35" s="611">
        <f t="shared" si="6"/>
      </c>
      <c r="AE35" s="972">
        <f>IF(B35="","",VLOOKUP($B35,'6-2_算定表①(旧々・旧制度)'!$B$8:$AH$65536,33,FALSE))</f>
      </c>
      <c r="AF35" s="973">
        <f>IF(AD35="","",VLOOKUP($B35,'6-2_算定表③(旧・旧制度)'!$B$8:$U$65536,3,FALSE))</f>
      </c>
      <c r="AG35" s="974">
        <f>IF(AE35="","",VLOOKUP($B35,'6-2_算定表③(旧・旧制度)'!$B$8:$U$65536,3,FALSE))</f>
      </c>
      <c r="AI35" s="60">
        <f t="shared" si="9"/>
      </c>
      <c r="AJ35" s="60">
        <f t="shared" si="7"/>
      </c>
    </row>
    <row r="36" spans="1:36" s="53" customFormat="1" ht="18.75" customHeight="1">
      <c r="A36" s="27">
        <f t="shared" si="8"/>
      </c>
      <c r="B36" s="240"/>
      <c r="C36" s="83">
        <f>IF($B36="","",VLOOKUP($B36,'6-2_算定表①(旧々・旧制度)'!$B$8:$U$65536,2,FALSE))</f>
      </c>
      <c r="D36" s="84">
        <f>IF($B36="","",VLOOKUP($B36,'6-2_算定表①(旧々・旧制度)'!$B$8:$U$65536,3,FALSE))</f>
      </c>
      <c r="E36" s="84">
        <f>IF($B36="","",VLOOKUP($B36,'6-2_算定表①(旧々・旧制度)'!$B$8:$U$65536,6,FALSE))</f>
      </c>
      <c r="F36" s="85">
        <f>IF(B36="","",VLOOKUP($B36,'6-2_算定表①(旧々・旧制度)'!$B$8:$U$65536,14,FALSE))</f>
      </c>
      <c r="G36" s="711">
        <f>IF(B36="","",VLOOKUP($B36,'6-2_算定表①(旧々・旧制度)'!$B$8:$U$65536,16,FALSE))</f>
      </c>
      <c r="H36" s="85">
        <f>IF(B36="","",VLOOKUP($B36,'6-2_算定表①(旧々・旧制度)'!$B$8:$U$65536,17,FALSE))</f>
      </c>
      <c r="I36" s="59">
        <f>IF(B36="","",VLOOKUP($B36,'6-2_算定表①(旧々・旧制度)'!$B$8:$U$65536,19,FALSE))</f>
      </c>
      <c r="J36" s="722">
        <f>IF(B36="","",VLOOKUP($B36,'6-2_算定表①(旧々・旧制度)'!$B$8:$U$65536,17,FALSE))</f>
      </c>
      <c r="K36" s="716">
        <f>IF($B36="","",VLOOKUP($B36,'6-2_算定表①(旧々・旧制度)'!$B$8:$U$65536,14,FALSE))</f>
      </c>
      <c r="L36" s="86">
        <f>IF($B36="","",VLOOKUP($B36,'6-2_算定表①(旧々・旧制度)'!$B$8:$U$65536,14,FALSE))</f>
      </c>
      <c r="M36" s="724">
        <f>IF($B36="","",VLOOKUP($B36,'6-2_算定表①(旧々・旧制度)'!$B$8:$U$65536,14,FALSE))</f>
      </c>
      <c r="N36" s="716">
        <f>IF($B36="","",VLOOKUP($B36,'6-2_算定表①(旧々・旧制度)'!$B$8:$U$65536,17,FALSE))</f>
      </c>
      <c r="O36" s="86">
        <f>IF($B36="","",VLOOKUP($B36,'6-2_算定表①(旧々・旧制度)'!$B$8:$U$65536,17,FALSE))</f>
      </c>
      <c r="P36" s="86">
        <f>IF($B36="","",VLOOKUP($B36,'6-2_算定表①(旧々・旧制度)'!$B$8:$U$65536,17,FALSE))</f>
      </c>
      <c r="Q36" s="86">
        <f>IF($B36="","",VLOOKUP($B36,'6-2_算定表①(旧々・旧制度)'!$B$8:$U$65536,17,FALSE))</f>
      </c>
      <c r="R36" s="86">
        <f>IF($B36="","",VLOOKUP($B36,'6-2_算定表①(旧々・旧制度)'!$B$8:$U$65536,17,FALSE))</f>
      </c>
      <c r="S36" s="86">
        <f>IF($B36="","",VLOOKUP($B36,'6-2_算定表①(旧々・旧制度)'!$B$8:$U$65536,17,FALSE))</f>
      </c>
      <c r="T36" s="86">
        <f>IF($B36="","",VLOOKUP($B36,'6-2_算定表①(旧々・旧制度)'!$B$8:$U$65536,17,FALSE))</f>
      </c>
      <c r="U36" s="86">
        <f>IF($B36="","",VLOOKUP($B36,'6-2_算定表①(旧々・旧制度)'!$B$8:$U$65536,17,FALSE))</f>
      </c>
      <c r="V36" s="717">
        <f>IF($B36="","",VLOOKUP($B36,'6-2_算定表①(旧々・旧制度)'!$B$8:$U$65536,17,FALSE))</f>
      </c>
      <c r="W36" s="93">
        <f t="shared" si="0"/>
      </c>
      <c r="X36" s="90">
        <f t="shared" si="1"/>
      </c>
      <c r="Y36" s="87">
        <f t="shared" si="2"/>
      </c>
      <c r="Z36" s="99">
        <f t="shared" si="3"/>
      </c>
      <c r="AA36" s="96">
        <f t="shared" si="4"/>
      </c>
      <c r="AB36" s="93">
        <f t="shared" si="5"/>
      </c>
      <c r="AC36" s="59">
        <f>IF(B36="","",ROUNDUP((G36/'6-2_算定表①(旧々・旧制度)'!J35*W36)+(I36/'6-2_算定表①(旧々・旧制度)'!J35*X36)+(G36/'6-2_算定表①(旧々・旧制度)'!J35*Y36)+(I36/'6-2_算定表①(旧々・旧制度)'!J35*Z36),0))</f>
      </c>
      <c r="AD36" s="611">
        <f t="shared" si="6"/>
      </c>
      <c r="AE36" s="972">
        <f>IF(B36="","",VLOOKUP($B36,'6-2_算定表①(旧々・旧制度)'!$B$8:$AH$65536,33,FALSE))</f>
      </c>
      <c r="AF36" s="973">
        <f>IF(AD36="","",VLOOKUP($B36,'6-2_算定表③(旧・旧制度)'!$B$8:$U$65536,3,FALSE))</f>
      </c>
      <c r="AG36" s="974">
        <f>IF(AE36="","",VLOOKUP($B36,'6-2_算定表③(旧・旧制度)'!$B$8:$U$65536,3,FALSE))</f>
      </c>
      <c r="AI36" s="60">
        <f t="shared" si="9"/>
      </c>
      <c r="AJ36" s="60">
        <f t="shared" si="7"/>
      </c>
    </row>
    <row r="37" spans="1:36" s="53" customFormat="1" ht="18.75" customHeight="1">
      <c r="A37" s="27">
        <f t="shared" si="8"/>
      </c>
      <c r="B37" s="240"/>
      <c r="C37" s="83">
        <f>IF($B37="","",VLOOKUP($B37,'6-2_算定表①(旧々・旧制度)'!$B$8:$U$65536,2,FALSE))</f>
      </c>
      <c r="D37" s="84">
        <f>IF($B37="","",VLOOKUP($B37,'6-2_算定表①(旧々・旧制度)'!$B$8:$U$65536,3,FALSE))</f>
      </c>
      <c r="E37" s="84">
        <f>IF($B37="","",VLOOKUP($B37,'6-2_算定表①(旧々・旧制度)'!$B$8:$U$65536,6,FALSE))</f>
      </c>
      <c r="F37" s="85">
        <f>IF(B37="","",VLOOKUP($B37,'6-2_算定表①(旧々・旧制度)'!$B$8:$U$65536,14,FALSE))</f>
      </c>
      <c r="G37" s="711">
        <f>IF(B37="","",VLOOKUP($B37,'6-2_算定表①(旧々・旧制度)'!$B$8:$U$65536,16,FALSE))</f>
      </c>
      <c r="H37" s="85">
        <f>IF(B37="","",VLOOKUP($B37,'6-2_算定表①(旧々・旧制度)'!$B$8:$U$65536,17,FALSE))</f>
      </c>
      <c r="I37" s="59">
        <f>IF(B37="","",VLOOKUP($B37,'6-2_算定表①(旧々・旧制度)'!$B$8:$U$65536,19,FALSE))</f>
      </c>
      <c r="J37" s="722">
        <f>IF(B37="","",VLOOKUP($B37,'6-2_算定表①(旧々・旧制度)'!$B$8:$U$65536,17,FALSE))</f>
      </c>
      <c r="K37" s="716">
        <f>IF($B37="","",VLOOKUP($B37,'6-2_算定表①(旧々・旧制度)'!$B$8:$U$65536,14,FALSE))</f>
      </c>
      <c r="L37" s="86">
        <f>IF($B37="","",VLOOKUP($B37,'6-2_算定表①(旧々・旧制度)'!$B$8:$U$65536,14,FALSE))</f>
      </c>
      <c r="M37" s="724">
        <f>IF($B37="","",VLOOKUP($B37,'6-2_算定表①(旧々・旧制度)'!$B$8:$U$65536,14,FALSE))</f>
      </c>
      <c r="N37" s="716">
        <f>IF($B37="","",VLOOKUP($B37,'6-2_算定表①(旧々・旧制度)'!$B$8:$U$65536,17,FALSE))</f>
      </c>
      <c r="O37" s="86">
        <f>IF($B37="","",VLOOKUP($B37,'6-2_算定表①(旧々・旧制度)'!$B$8:$U$65536,17,FALSE))</f>
      </c>
      <c r="P37" s="86">
        <f>IF($B37="","",VLOOKUP($B37,'6-2_算定表①(旧々・旧制度)'!$B$8:$U$65536,17,FALSE))</f>
      </c>
      <c r="Q37" s="86">
        <f>IF($B37="","",VLOOKUP($B37,'6-2_算定表①(旧々・旧制度)'!$B$8:$U$65536,17,FALSE))</f>
      </c>
      <c r="R37" s="86">
        <f>IF($B37="","",VLOOKUP($B37,'6-2_算定表①(旧々・旧制度)'!$B$8:$U$65536,17,FALSE))</f>
      </c>
      <c r="S37" s="86">
        <f>IF($B37="","",VLOOKUP($B37,'6-2_算定表①(旧々・旧制度)'!$B$8:$U$65536,17,FALSE))</f>
      </c>
      <c r="T37" s="86">
        <f>IF($B37="","",VLOOKUP($B37,'6-2_算定表①(旧々・旧制度)'!$B$8:$U$65536,17,FALSE))</f>
      </c>
      <c r="U37" s="86">
        <f>IF($B37="","",VLOOKUP($B37,'6-2_算定表①(旧々・旧制度)'!$B$8:$U$65536,17,FALSE))</f>
      </c>
      <c r="V37" s="717">
        <f>IF($B37="","",VLOOKUP($B37,'6-2_算定表①(旧々・旧制度)'!$B$8:$U$65536,17,FALSE))</f>
      </c>
      <c r="W37" s="93">
        <f t="shared" si="0"/>
      </c>
      <c r="X37" s="90">
        <f t="shared" si="1"/>
      </c>
      <c r="Y37" s="87">
        <f t="shared" si="2"/>
      </c>
      <c r="Z37" s="99">
        <f t="shared" si="3"/>
      </c>
      <c r="AA37" s="96">
        <f t="shared" si="4"/>
      </c>
      <c r="AB37" s="93">
        <f t="shared" si="5"/>
      </c>
      <c r="AC37" s="59">
        <f>IF(B37="","",ROUNDUP((G37/'6-2_算定表①(旧々・旧制度)'!J36*W37)+(I37/'6-2_算定表①(旧々・旧制度)'!J36*X37)+(G37/'6-2_算定表①(旧々・旧制度)'!J36*Y37)+(I37/'6-2_算定表①(旧々・旧制度)'!J36*Z37),0))</f>
      </c>
      <c r="AD37" s="611">
        <f t="shared" si="6"/>
      </c>
      <c r="AE37" s="972">
        <f>IF(B37="","",VLOOKUP($B37,'6-2_算定表①(旧々・旧制度)'!$B$8:$AH$65536,33,FALSE))</f>
      </c>
      <c r="AF37" s="973">
        <f>IF(AD37="","",VLOOKUP($B37,'6-2_算定表③(旧・旧制度)'!$B$8:$U$65536,3,FALSE))</f>
      </c>
      <c r="AG37" s="974">
        <f>IF(AE37="","",VLOOKUP($B37,'6-2_算定表③(旧・旧制度)'!$B$8:$U$65536,3,FALSE))</f>
      </c>
      <c r="AI37" s="60">
        <f t="shared" si="9"/>
      </c>
      <c r="AJ37" s="60">
        <f t="shared" si="7"/>
      </c>
    </row>
    <row r="38" spans="1:36" s="53" customFormat="1" ht="18.75" customHeight="1" thickBot="1">
      <c r="A38" s="27">
        <f t="shared" si="8"/>
      </c>
      <c r="B38" s="240"/>
      <c r="C38" s="83">
        <f>IF($B38="","",VLOOKUP($B38,'6-2_算定表①(旧々・旧制度)'!$B$8:$U$65536,2,FALSE))</f>
      </c>
      <c r="D38" s="84">
        <f>IF($B38="","",VLOOKUP($B38,'6-2_算定表①(旧々・旧制度)'!$B$8:$U$65536,3,FALSE))</f>
      </c>
      <c r="E38" s="222">
        <f>IF($B38="","",VLOOKUP($B38,'6-2_算定表①(旧々・旧制度)'!$B$8:$U$65536,6,FALSE))</f>
      </c>
      <c r="F38" s="315">
        <f>IF(B38="","",VLOOKUP($B38,'6-2_算定表①(旧々・旧制度)'!$B$8:$U$65536,14,FALSE))</f>
      </c>
      <c r="G38" s="712">
        <f>IF(B38="","",VLOOKUP($B38,'6-2_算定表①(旧々・旧制度)'!$B$8:$U$65536,16,FALSE))</f>
      </c>
      <c r="H38" s="315">
        <f>IF(B38="","",VLOOKUP($B38,'6-2_算定表①(旧々・旧制度)'!$B$8:$U$65536,17,FALSE))</f>
      </c>
      <c r="I38" s="316">
        <f>IF(B38="","",VLOOKUP($B38,'6-2_算定表①(旧々・旧制度)'!$B$8:$U$65536,19,FALSE))</f>
      </c>
      <c r="J38" s="722">
        <f>IF(B38="","",VLOOKUP($B38,'6-2_算定表①(旧々・旧制度)'!$B$8:$U$65536,17,FALSE))</f>
      </c>
      <c r="K38" s="718">
        <f>IF($B38="","",VLOOKUP($B38,'6-2_算定表①(旧々・旧制度)'!$B$8:$U$65536,14,FALSE))</f>
      </c>
      <c r="L38" s="317">
        <f>IF($B38="","",VLOOKUP($B38,'6-2_算定表①(旧々・旧制度)'!$B$8:$U$65536,14,FALSE))</f>
      </c>
      <c r="M38" s="725">
        <f>IF($B38="","",VLOOKUP($B38,'6-2_算定表①(旧々・旧制度)'!$B$8:$U$65536,14,FALSE))</f>
      </c>
      <c r="N38" s="718">
        <f>IF($B38="","",VLOOKUP($B38,'6-2_算定表①(旧々・旧制度)'!$B$8:$U$65536,17,FALSE))</f>
      </c>
      <c r="O38" s="317">
        <f>IF($B38="","",VLOOKUP($B38,'6-2_算定表①(旧々・旧制度)'!$B$8:$U$65536,17,FALSE))</f>
      </c>
      <c r="P38" s="317">
        <f>IF($B38="","",VLOOKUP($B38,'6-2_算定表①(旧々・旧制度)'!$B$8:$U$65536,17,FALSE))</f>
      </c>
      <c r="Q38" s="317">
        <f>IF($B38="","",VLOOKUP($B38,'6-2_算定表①(旧々・旧制度)'!$B$8:$U$65536,17,FALSE))</f>
      </c>
      <c r="R38" s="317">
        <f>IF($B38="","",VLOOKUP($B38,'6-2_算定表①(旧々・旧制度)'!$B$8:$U$65536,17,FALSE))</f>
      </c>
      <c r="S38" s="317">
        <f>IF($B38="","",VLOOKUP($B38,'6-2_算定表①(旧々・旧制度)'!$B$8:$U$65536,17,FALSE))</f>
      </c>
      <c r="T38" s="317">
        <f>IF($B38="","",VLOOKUP($B38,'6-2_算定表①(旧々・旧制度)'!$B$8:$U$65536,17,FALSE))</f>
      </c>
      <c r="U38" s="317">
        <f>IF($B38="","",VLOOKUP($B38,'6-2_算定表①(旧々・旧制度)'!$B$8:$U$65536,17,FALSE))</f>
      </c>
      <c r="V38" s="719">
        <f>IF($B38="","",VLOOKUP($B38,'6-2_算定表①(旧々・旧制度)'!$B$8:$U$65536,17,FALSE))</f>
      </c>
      <c r="W38" s="93">
        <f t="shared" si="0"/>
      </c>
      <c r="X38" s="90">
        <f t="shared" si="1"/>
      </c>
      <c r="Y38" s="87">
        <f t="shared" si="2"/>
      </c>
      <c r="Z38" s="99">
        <f t="shared" si="3"/>
      </c>
      <c r="AA38" s="96">
        <f t="shared" si="4"/>
      </c>
      <c r="AB38" s="93">
        <f t="shared" si="5"/>
      </c>
      <c r="AC38" s="316">
        <f>IF(B38="","",ROUNDUP((G38/'6-2_算定表①(旧々・旧制度)'!J37*W38)+(I38/'6-2_算定表①(旧々・旧制度)'!J37*X38)+(G38/'6-2_算定表①(旧々・旧制度)'!J37*Y38)+(I38/'6-2_算定表①(旧々・旧制度)'!J37*Z38),0))</f>
      </c>
      <c r="AD38" s="611">
        <f t="shared" si="6"/>
      </c>
      <c r="AE38" s="981">
        <f>IF(B38="","",VLOOKUP($B38,'6-2_算定表①(旧々・旧制度)'!$B$8:$AH$65536,33,FALSE))</f>
      </c>
      <c r="AF38" s="982">
        <f>IF(AD38="","",VLOOKUP($B38,'6-2_算定表③(旧・旧制度)'!$B$8:$U$65536,3,FALSE))</f>
      </c>
      <c r="AG38" s="983">
        <f>IF(AE38="","",VLOOKUP($B38,'6-2_算定表③(旧・旧制度)'!$B$8:$U$65536,3,FALSE))</f>
      </c>
      <c r="AI38" s="60">
        <f t="shared" si="9"/>
      </c>
      <c r="AJ38" s="60">
        <f t="shared" si="7"/>
      </c>
    </row>
    <row r="39" spans="1:36" s="65" customFormat="1" ht="18.75" customHeight="1" thickBot="1">
      <c r="A39" s="852" t="s">
        <v>27</v>
      </c>
      <c r="B39" s="984"/>
      <c r="C39" s="984"/>
      <c r="D39" s="984"/>
      <c r="E39" s="985"/>
      <c r="F39" s="985"/>
      <c r="G39" s="985"/>
      <c r="H39" s="985"/>
      <c r="I39" s="985"/>
      <c r="J39" s="63">
        <f>SUM(J9:J38)</f>
        <v>0</v>
      </c>
      <c r="K39" s="707" t="s">
        <v>155</v>
      </c>
      <c r="L39" s="708" t="s">
        <v>155</v>
      </c>
      <c r="M39" s="709" t="s">
        <v>155</v>
      </c>
      <c r="N39" s="707" t="s">
        <v>155</v>
      </c>
      <c r="O39" s="708" t="s">
        <v>155</v>
      </c>
      <c r="P39" s="708" t="s">
        <v>155</v>
      </c>
      <c r="Q39" s="708" t="s">
        <v>155</v>
      </c>
      <c r="R39" s="708" t="s">
        <v>155</v>
      </c>
      <c r="S39" s="708" t="s">
        <v>155</v>
      </c>
      <c r="T39" s="708" t="s">
        <v>155</v>
      </c>
      <c r="U39" s="708" t="s">
        <v>155</v>
      </c>
      <c r="V39" s="709" t="s">
        <v>155</v>
      </c>
      <c r="W39" s="175" t="s">
        <v>155</v>
      </c>
      <c r="X39" s="177" t="s">
        <v>155</v>
      </c>
      <c r="Y39" s="175" t="s">
        <v>155</v>
      </c>
      <c r="Z39" s="178" t="s">
        <v>155</v>
      </c>
      <c r="AA39" s="179" t="s">
        <v>155</v>
      </c>
      <c r="AB39" s="180" t="s">
        <v>155</v>
      </c>
      <c r="AC39" s="612">
        <f>SUM(AC9:AC38)</f>
        <v>0</v>
      </c>
      <c r="AD39" s="64">
        <f>SUM(AD9:AD38)</f>
        <v>0</v>
      </c>
      <c r="AE39" s="986"/>
      <c r="AF39" s="987"/>
      <c r="AG39" s="988"/>
      <c r="AI39" s="66"/>
      <c r="AJ39" s="66"/>
    </row>
    <row r="40" spans="1:36" s="67" customFormat="1" ht="16.5" customHeight="1">
      <c r="A40" s="67" t="s">
        <v>29</v>
      </c>
      <c r="AI40" s="68"/>
      <c r="AJ40" s="68"/>
    </row>
    <row r="41" ht="18.75" customHeight="1">
      <c r="A41" s="243" t="s">
        <v>254</v>
      </c>
    </row>
    <row r="42" ht="18.75" customHeight="1">
      <c r="A42" s="243" t="s">
        <v>71</v>
      </c>
    </row>
    <row r="43" ht="18.75" customHeight="1">
      <c r="A43" s="243" t="s">
        <v>179</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selectLockedCells="1" selectUnlockedCells="1"/>
  <mergeCells count="78">
    <mergeCell ref="AE35:AG35"/>
    <mergeCell ref="AE36:AG36"/>
    <mergeCell ref="AE37:AG37"/>
    <mergeCell ref="AE38:AG38"/>
    <mergeCell ref="A39:I39"/>
    <mergeCell ref="AE39:AG39"/>
    <mergeCell ref="AE29:AG29"/>
    <mergeCell ref="AE30:AG30"/>
    <mergeCell ref="AE31:AG31"/>
    <mergeCell ref="AE32:AG32"/>
    <mergeCell ref="AE33:AG33"/>
    <mergeCell ref="AE34:AG34"/>
    <mergeCell ref="AE23:AG23"/>
    <mergeCell ref="AE24:AG24"/>
    <mergeCell ref="AE25:AG25"/>
    <mergeCell ref="AE26:AG26"/>
    <mergeCell ref="AE27:AG27"/>
    <mergeCell ref="AE28:AG28"/>
    <mergeCell ref="AE17:AG17"/>
    <mergeCell ref="AE18:AG18"/>
    <mergeCell ref="AE19:AG19"/>
    <mergeCell ref="AE20:AG20"/>
    <mergeCell ref="AE21:AG21"/>
    <mergeCell ref="AE22:AG22"/>
    <mergeCell ref="AE11:AG11"/>
    <mergeCell ref="AE12:AG12"/>
    <mergeCell ref="AE13:AG13"/>
    <mergeCell ref="AE14:AG14"/>
    <mergeCell ref="AE15:AG15"/>
    <mergeCell ref="AE16:AG16"/>
    <mergeCell ref="U7:U8"/>
    <mergeCell ref="V7:V8"/>
    <mergeCell ref="AI7:AI8"/>
    <mergeCell ref="AJ7:AJ8"/>
    <mergeCell ref="AE9:AG9"/>
    <mergeCell ref="AE10:AG10"/>
    <mergeCell ref="AA6:AA8"/>
    <mergeCell ref="AB6:AB8"/>
    <mergeCell ref="K7:K8"/>
    <mergeCell ref="L7:L8"/>
    <mergeCell ref="M7:M8"/>
    <mergeCell ref="N7:N8"/>
    <mergeCell ref="O7:O8"/>
    <mergeCell ref="P7:P8"/>
    <mergeCell ref="K6:M6"/>
    <mergeCell ref="N6:V6"/>
    <mergeCell ref="W6:W8"/>
    <mergeCell ref="X6:X8"/>
    <mergeCell ref="Y6:Y8"/>
    <mergeCell ref="Z6:Z8"/>
    <mergeCell ref="Q7:Q8"/>
    <mergeCell ref="R7:R8"/>
    <mergeCell ref="S7:S8"/>
    <mergeCell ref="T7:T8"/>
    <mergeCell ref="K4:AB4"/>
    <mergeCell ref="AC4:AC7"/>
    <mergeCell ref="AD4:AD7"/>
    <mergeCell ref="AE4:AG8"/>
    <mergeCell ref="F5:J5"/>
    <mergeCell ref="K5:V5"/>
    <mergeCell ref="W5:AB5"/>
    <mergeCell ref="F6:F8"/>
    <mergeCell ref="G6:G7"/>
    <mergeCell ref="H6:H8"/>
    <mergeCell ref="A4:A8"/>
    <mergeCell ref="B4:B8"/>
    <mergeCell ref="C4:C8"/>
    <mergeCell ref="D4:D8"/>
    <mergeCell ref="E4:E8"/>
    <mergeCell ref="F4:J4"/>
    <mergeCell ref="I6:I7"/>
    <mergeCell ref="J6:J7"/>
    <mergeCell ref="W1:Y1"/>
    <mergeCell ref="Z1:AD1"/>
    <mergeCell ref="AF1:AG1"/>
    <mergeCell ref="W2:Y2"/>
    <mergeCell ref="Z2:AD2"/>
    <mergeCell ref="AF2:AG2"/>
  </mergeCells>
  <dataValidations count="2">
    <dataValidation type="whole" allowBlank="1" showInputMessage="1" showErrorMessage="1" sqref="B14:B38">
      <formula1>1</formula1>
      <formula2>999999</formula2>
    </dataValidation>
    <dataValidation type="list" allowBlank="1" showInputMessage="1" showErrorMessage="1" sqref="K9:V38">
      <formula1>"Ａ,Ｂ,Ｄ"</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49"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W37"/>
  <sheetViews>
    <sheetView view="pageBreakPreview" zoomScaleNormal="75" zoomScaleSheetLayoutView="100" zoomScalePageLayoutView="0" workbookViewId="0" topLeftCell="A1">
      <pane xSplit="1" ySplit="8" topLeftCell="B9" activePane="bottomRight" state="frozen"/>
      <selection pane="topLeft" activeCell="M24" sqref="M24"/>
      <selection pane="topRight" activeCell="M24" sqref="M24"/>
      <selection pane="bottomLeft" activeCell="M24" sqref="M24"/>
      <selection pane="bottomRight" activeCell="L19" sqref="L19"/>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294" customWidth="1"/>
    <col min="15" max="15" width="8.25390625" style="40" customWidth="1"/>
    <col min="16" max="16" width="14.875" style="40" customWidth="1"/>
    <col min="17" max="17" width="8.25390625" style="294" customWidth="1"/>
    <col min="18" max="18" width="14.875" style="294" customWidth="1"/>
    <col min="19" max="19" width="3.125" style="40" customWidth="1"/>
    <col min="20" max="21" width="5.625" style="40" customWidth="1"/>
    <col min="22" max="22" width="8.25390625" style="40" customWidth="1"/>
    <col min="23" max="16384" width="9.625" style="40" customWidth="1"/>
  </cols>
  <sheetData>
    <row r="1" ht="18.75" customHeight="1" thickBot="1">
      <c r="A1" s="38" t="s">
        <v>244</v>
      </c>
    </row>
    <row r="2" spans="8:18" ht="24.75" customHeight="1" thickBot="1">
      <c r="H2" s="348"/>
      <c r="I2" s="349"/>
      <c r="J2" s="345"/>
      <c r="K2" s="345"/>
      <c r="L2" s="842" t="s">
        <v>25</v>
      </c>
      <c r="M2" s="843"/>
      <c r="N2" s="846">
        <f>'5_総括表'!E3</f>
        <v>0</v>
      </c>
      <c r="O2" s="847"/>
      <c r="P2" s="842" t="s">
        <v>26</v>
      </c>
      <c r="Q2" s="843"/>
      <c r="R2" s="161">
        <f>'5_総括表'!Z3</f>
        <v>0</v>
      </c>
    </row>
    <row r="3" spans="1:18" ht="24.75" customHeight="1" thickBot="1">
      <c r="A3" s="38"/>
      <c r="F3" s="111"/>
      <c r="G3" s="111"/>
      <c r="H3" s="348"/>
      <c r="I3" s="349"/>
      <c r="J3" s="345"/>
      <c r="K3" s="345"/>
      <c r="L3" s="844" t="s">
        <v>23</v>
      </c>
      <c r="M3" s="845"/>
      <c r="N3" s="846">
        <f>'5_総括表'!E4</f>
        <v>0</v>
      </c>
      <c r="O3" s="847"/>
      <c r="P3" s="844" t="s">
        <v>24</v>
      </c>
      <c r="Q3" s="845"/>
      <c r="R3" s="346">
        <f>'5_総括表'!Z4</f>
        <v>0</v>
      </c>
    </row>
    <row r="4" spans="1:9" ht="18.75" customHeight="1" thickBot="1">
      <c r="A4" s="280" t="s">
        <v>222</v>
      </c>
      <c r="F4" s="112"/>
      <c r="G4" s="112"/>
      <c r="H4" s="112"/>
      <c r="I4" s="112"/>
    </row>
    <row r="5" spans="1:18" s="44" customFormat="1" ht="19.5" customHeight="1" thickBot="1">
      <c r="A5" s="113" t="s">
        <v>17</v>
      </c>
      <c r="B5" s="808" t="s">
        <v>125</v>
      </c>
      <c r="C5" s="284"/>
      <c r="D5" s="285"/>
      <c r="E5" s="809" t="s">
        <v>160</v>
      </c>
      <c r="F5" s="155"/>
      <c r="G5" s="156"/>
      <c r="H5" s="811" t="s">
        <v>147</v>
      </c>
      <c r="I5" s="813" t="s">
        <v>148</v>
      </c>
      <c r="J5" s="813" t="s">
        <v>149</v>
      </c>
      <c r="K5" s="803" t="s">
        <v>245</v>
      </c>
      <c r="L5" s="804"/>
      <c r="M5" s="804"/>
      <c r="N5" s="805"/>
      <c r="O5" s="806" t="s">
        <v>246</v>
      </c>
      <c r="P5" s="807"/>
      <c r="Q5" s="806" t="s">
        <v>247</v>
      </c>
      <c r="R5" s="807"/>
    </row>
    <row r="6" spans="1:20" s="44" customFormat="1" ht="38.25" customHeight="1" thickBot="1">
      <c r="A6" s="815" t="s">
        <v>119</v>
      </c>
      <c r="B6" s="809"/>
      <c r="C6" s="286" t="s">
        <v>211</v>
      </c>
      <c r="D6" s="286" t="s">
        <v>67</v>
      </c>
      <c r="E6" s="810"/>
      <c r="F6" s="114" t="s">
        <v>141</v>
      </c>
      <c r="G6" s="116" t="s">
        <v>124</v>
      </c>
      <c r="H6" s="812"/>
      <c r="I6" s="809"/>
      <c r="J6" s="814"/>
      <c r="K6" s="114" t="s">
        <v>21</v>
      </c>
      <c r="L6" s="115" t="s">
        <v>50</v>
      </c>
      <c r="M6" s="335" t="s">
        <v>49</v>
      </c>
      <c r="N6" s="333" t="s">
        <v>68</v>
      </c>
      <c r="O6" s="342" t="s">
        <v>49</v>
      </c>
      <c r="P6" s="117" t="s">
        <v>68</v>
      </c>
      <c r="Q6" s="336" t="s">
        <v>49</v>
      </c>
      <c r="R6" s="337" t="s">
        <v>68</v>
      </c>
      <c r="T6" s="118" t="s">
        <v>70</v>
      </c>
    </row>
    <row r="7" spans="1:20" s="44" customFormat="1" ht="20.25" customHeight="1" thickBot="1">
      <c r="A7" s="816"/>
      <c r="B7" s="48" t="s">
        <v>126</v>
      </c>
      <c r="C7" s="48" t="s">
        <v>127</v>
      </c>
      <c r="D7" s="48" t="s">
        <v>128</v>
      </c>
      <c r="E7" s="48" t="s">
        <v>144</v>
      </c>
      <c r="F7" s="119" t="s">
        <v>129</v>
      </c>
      <c r="G7" s="121" t="s">
        <v>130</v>
      </c>
      <c r="H7" s="151" t="s">
        <v>131</v>
      </c>
      <c r="I7" s="48" t="s">
        <v>132</v>
      </c>
      <c r="J7" s="47" t="s">
        <v>133</v>
      </c>
      <c r="K7" s="119"/>
      <c r="L7" s="120"/>
      <c r="M7" s="121"/>
      <c r="N7" s="328"/>
      <c r="O7" s="121"/>
      <c r="P7" s="122" t="s">
        <v>102</v>
      </c>
      <c r="Q7" s="338"/>
      <c r="R7" s="339"/>
      <c r="T7" s="123"/>
    </row>
    <row r="8" spans="1:18" s="130" customFormat="1" ht="20.25" customHeight="1" thickBot="1">
      <c r="A8" s="124"/>
      <c r="B8" s="125" t="s">
        <v>19</v>
      </c>
      <c r="C8" s="125" t="s">
        <v>19</v>
      </c>
      <c r="D8" s="125" t="s">
        <v>19</v>
      </c>
      <c r="E8" s="125" t="s">
        <v>145</v>
      </c>
      <c r="F8" s="126" t="s">
        <v>142</v>
      </c>
      <c r="G8" s="128" t="s">
        <v>143</v>
      </c>
      <c r="H8" s="152" t="s">
        <v>22</v>
      </c>
      <c r="I8" s="125" t="s">
        <v>22</v>
      </c>
      <c r="J8" s="125" t="s">
        <v>22</v>
      </c>
      <c r="K8" s="126"/>
      <c r="L8" s="127" t="s">
        <v>20</v>
      </c>
      <c r="M8" s="128" t="s">
        <v>19</v>
      </c>
      <c r="N8" s="330" t="s">
        <v>20</v>
      </c>
      <c r="O8" s="128" t="s">
        <v>19</v>
      </c>
      <c r="P8" s="129" t="s">
        <v>20</v>
      </c>
      <c r="Q8" s="340" t="s">
        <v>19</v>
      </c>
      <c r="R8" s="341" t="s">
        <v>20</v>
      </c>
    </row>
    <row r="9" spans="1:20" s="44" customFormat="1" ht="18" customHeight="1" thickBot="1">
      <c r="A9" s="817">
        <v>1</v>
      </c>
      <c r="B9" s="818"/>
      <c r="C9" s="818"/>
      <c r="D9" s="818"/>
      <c r="E9" s="820"/>
      <c r="F9" s="157"/>
      <c r="G9" s="158"/>
      <c r="H9" s="153">
        <f>IF(F9="","",IF(ISERROR(F9+ROUNDDOWN(G9*3/74,0)),"",F9+ROUNDDOWN(G9*3/74,0)))</f>
      </c>
      <c r="I9" s="132">
        <f>IF(H9="","",IF(H9&gt;10032,10032,H9))</f>
      </c>
      <c r="J9" s="131">
        <f>IF(H9="","",MIN(H9,I9))</f>
      </c>
      <c r="K9" s="133" t="s">
        <v>84</v>
      </c>
      <c r="L9" s="70">
        <v>408</v>
      </c>
      <c r="M9" s="376"/>
      <c r="N9" s="377"/>
      <c r="O9" s="357">
        <f>SUMIF('6-2_算定表②(旧々・新制度)'!$AL:$AL,$T9,'6-2_算定表②(旧々・新制度)'!$AM:$AM)</f>
        <v>0</v>
      </c>
      <c r="P9" s="134">
        <f>SUMIF('6-2_算定表②(旧々・新制度)'!$AL:$AL,$T9,'6-2_算定表②(旧々・新制度)'!$AG:$AG)</f>
        <v>0</v>
      </c>
      <c r="Q9" s="359">
        <f>O9-M9</f>
        <v>0</v>
      </c>
      <c r="R9" s="360">
        <f>P9-N9</f>
        <v>0</v>
      </c>
      <c r="T9" s="135" t="str">
        <f>ASC($A$9&amp;$K9)</f>
        <v>1A</v>
      </c>
    </row>
    <row r="10" spans="1:22" s="44" customFormat="1" ht="18" customHeight="1" thickBot="1">
      <c r="A10" s="817"/>
      <c r="B10" s="819"/>
      <c r="C10" s="819"/>
      <c r="D10" s="819"/>
      <c r="E10" s="821"/>
      <c r="F10" s="157"/>
      <c r="G10" s="158"/>
      <c r="H10" s="153">
        <f>IF(F10="","",IF(ISERROR(F10+ROUNDDOWN(G10*3/74,0)),"",F10+ROUNDDOWN(G10*3/74,0)))</f>
      </c>
      <c r="I10" s="132">
        <f aca="true" t="shared" si="0" ref="I10:I24">IF(H10="","",IF(H10&gt;10032,10032,H10))</f>
      </c>
      <c r="J10" s="131">
        <f>IF(H10="","",MIN(H10,I10))</f>
      </c>
      <c r="K10" s="136" t="s">
        <v>90</v>
      </c>
      <c r="L10" s="137">
        <v>2814</v>
      </c>
      <c r="M10" s="378"/>
      <c r="N10" s="379"/>
      <c r="O10" s="361">
        <f>SUMIF('6-2_算定表②(旧々・新制度)'!$AL:$AL,$T10,'6-2_算定表②(旧々・新制度)'!$AM:$AM)</f>
        <v>0</v>
      </c>
      <c r="P10" s="138">
        <f>SUMIF('6-2_算定表②(旧々・新制度)'!$AL:$AL,$T10,'6-2_算定表②(旧々・新制度)'!$AG:$AG)</f>
        <v>0</v>
      </c>
      <c r="Q10" s="359">
        <f aca="true" t="shared" si="1" ref="Q10:R27">O10-M10</f>
        <v>0</v>
      </c>
      <c r="R10" s="360">
        <f t="shared" si="1"/>
        <v>0</v>
      </c>
      <c r="T10" s="139" t="str">
        <f>ASC($A$9&amp;$K10)</f>
        <v>1B</v>
      </c>
      <c r="V10" s="55" t="s">
        <v>8</v>
      </c>
    </row>
    <row r="11" spans="1:20" s="44" customFormat="1" ht="18" customHeight="1" thickBot="1">
      <c r="A11" s="817"/>
      <c r="B11" s="819"/>
      <c r="C11" s="819"/>
      <c r="D11" s="819"/>
      <c r="E11" s="821"/>
      <c r="F11" s="157"/>
      <c r="G11" s="158"/>
      <c r="H11" s="153">
        <f aca="true" t="shared" si="2" ref="H11:H24">IF(F11="","",IF(ISERROR(F11+ROUNDDOWN(G11*3/74,0)),"",F11+ROUNDDOWN(G11*3/74,0)))</f>
      </c>
      <c r="I11" s="132">
        <f t="shared" si="0"/>
      </c>
      <c r="J11" s="131">
        <f>IF(H11="","",MIN(H11,I11))</f>
      </c>
      <c r="K11" s="136" t="s">
        <v>174</v>
      </c>
      <c r="L11" s="173" t="s">
        <v>155</v>
      </c>
      <c r="M11" s="378"/>
      <c r="N11" s="379"/>
      <c r="O11" s="361">
        <f>SUMIF('6-2_算定表②(旧々・新制度)'!$AL:$AL,$T11,'6-2_算定表②(旧々・新制度)'!$AM:$AM)</f>
        <v>0</v>
      </c>
      <c r="P11" s="138">
        <f>SUMIF('6-2_算定表②(旧々・新制度)'!$AL:$AL,$T11,'6-2_算定表②(旧々・新制度)'!$AG:$AG)</f>
        <v>0</v>
      </c>
      <c r="Q11" s="363">
        <f t="shared" si="1"/>
        <v>0</v>
      </c>
      <c r="R11" s="364">
        <f t="shared" si="1"/>
        <v>0</v>
      </c>
      <c r="T11" s="139" t="str">
        <f>ASC($A$9&amp;$K11)</f>
        <v>1D</v>
      </c>
    </row>
    <row r="12" spans="1:23" s="44" customFormat="1" ht="18" customHeight="1" thickBot="1" thickTop="1">
      <c r="A12" s="817"/>
      <c r="B12" s="819"/>
      <c r="C12" s="819"/>
      <c r="D12" s="819"/>
      <c r="E12" s="822"/>
      <c r="F12" s="159"/>
      <c r="G12" s="160"/>
      <c r="H12" s="154">
        <f t="shared" si="2"/>
      </c>
      <c r="I12" s="141">
        <f t="shared" si="0"/>
      </c>
      <c r="J12" s="140">
        <f>IF(H12="","",MIN(H12,I12))</f>
      </c>
      <c r="K12" s="823" t="s">
        <v>120</v>
      </c>
      <c r="L12" s="824"/>
      <c r="M12" s="365">
        <f aca="true" t="shared" si="3" ref="M12:R12">SUM(M9:M11)</f>
        <v>0</v>
      </c>
      <c r="N12" s="366">
        <f t="shared" si="3"/>
        <v>0</v>
      </c>
      <c r="O12" s="365">
        <f t="shared" si="3"/>
        <v>0</v>
      </c>
      <c r="P12" s="142">
        <f t="shared" si="3"/>
        <v>0</v>
      </c>
      <c r="Q12" s="368">
        <f t="shared" si="3"/>
        <v>0</v>
      </c>
      <c r="R12" s="369">
        <f t="shared" si="3"/>
        <v>0</v>
      </c>
      <c r="V12" s="143" t="s">
        <v>9</v>
      </c>
      <c r="W12" s="61" t="str">
        <f>IF(D9&gt;=O12,"OK","ERR")</f>
        <v>OK</v>
      </c>
    </row>
    <row r="13" spans="1:23" s="44" customFormat="1" ht="18" customHeight="1" thickBot="1" thickTop="1">
      <c r="A13" s="825">
        <v>2</v>
      </c>
      <c r="B13" s="819"/>
      <c r="C13" s="819"/>
      <c r="D13" s="819"/>
      <c r="E13" s="827"/>
      <c r="F13" s="157"/>
      <c r="G13" s="158"/>
      <c r="H13" s="153">
        <f t="shared" si="2"/>
      </c>
      <c r="I13" s="132">
        <f t="shared" si="0"/>
      </c>
      <c r="J13" s="131">
        <f>IF(H13="","",MIN(H13,I13))</f>
      </c>
      <c r="K13" s="144" t="s">
        <v>84</v>
      </c>
      <c r="L13" s="145">
        <v>408</v>
      </c>
      <c r="M13" s="376"/>
      <c r="N13" s="377"/>
      <c r="O13" s="357">
        <f>SUMIF('6-2_算定表②(旧々・新制度)'!$AL:$AL,$T13,'6-2_算定表②(旧々・新制度)'!$AM:$AM)</f>
        <v>0</v>
      </c>
      <c r="P13" s="134">
        <f>SUMIF('6-2_算定表②(旧々・新制度)'!$AL:$AL,$T13,'6-2_算定表②(旧々・新制度)'!$AG:$AG)</f>
        <v>0</v>
      </c>
      <c r="Q13" s="370">
        <f t="shared" si="1"/>
        <v>0</v>
      </c>
      <c r="R13" s="371">
        <f t="shared" si="1"/>
        <v>0</v>
      </c>
      <c r="T13" s="135" t="str">
        <f>ASC($A$13&amp;$K13)</f>
        <v>2A</v>
      </c>
      <c r="V13" s="143" t="s">
        <v>10</v>
      </c>
      <c r="W13" s="61" t="str">
        <f>IF(D13&gt;=O16,"OK","ERR")</f>
        <v>OK</v>
      </c>
    </row>
    <row r="14" spans="1:23" s="44" customFormat="1" ht="18" customHeight="1" thickBot="1" thickTop="1">
      <c r="A14" s="817"/>
      <c r="B14" s="819"/>
      <c r="C14" s="819"/>
      <c r="D14" s="819"/>
      <c r="E14" s="821"/>
      <c r="F14" s="157"/>
      <c r="G14" s="158"/>
      <c r="H14" s="153">
        <f t="shared" si="2"/>
      </c>
      <c r="I14" s="132">
        <f t="shared" si="0"/>
      </c>
      <c r="J14" s="131">
        <f aca="true" t="shared" si="4" ref="J14:J20">IF(H14="","",MIN(H14,I14))</f>
      </c>
      <c r="K14" s="146" t="s">
        <v>90</v>
      </c>
      <c r="L14" s="147">
        <v>2814</v>
      </c>
      <c r="M14" s="378"/>
      <c r="N14" s="379"/>
      <c r="O14" s="361">
        <f>SUMIF('6-2_算定表②(旧々・新制度)'!$AL:$AL,$T14,'6-2_算定表②(旧々・新制度)'!$AM:$AM)</f>
        <v>0</v>
      </c>
      <c r="P14" s="138">
        <f>SUMIF('6-2_算定表②(旧々・新制度)'!$AL:$AL,$T14,'6-2_算定表②(旧々・新制度)'!$AG:$AG)</f>
        <v>0</v>
      </c>
      <c r="Q14" s="359">
        <f t="shared" si="1"/>
        <v>0</v>
      </c>
      <c r="R14" s="360">
        <f t="shared" si="1"/>
        <v>0</v>
      </c>
      <c r="T14" s="139" t="str">
        <f>ASC($A$13&amp;$K14)</f>
        <v>2B</v>
      </c>
      <c r="V14" s="143" t="s">
        <v>11</v>
      </c>
      <c r="W14" s="61" t="str">
        <f>IF(D17&gt;=O20,"OK","ERR")</f>
        <v>OK</v>
      </c>
    </row>
    <row r="15" spans="1:23" s="44" customFormat="1" ht="18" customHeight="1" thickBot="1" thickTop="1">
      <c r="A15" s="817"/>
      <c r="B15" s="819"/>
      <c r="C15" s="819"/>
      <c r="D15" s="819"/>
      <c r="E15" s="821"/>
      <c r="F15" s="157"/>
      <c r="G15" s="158"/>
      <c r="H15" s="153">
        <f t="shared" si="2"/>
      </c>
      <c r="I15" s="132">
        <f t="shared" si="0"/>
      </c>
      <c r="J15" s="131">
        <f t="shared" si="4"/>
      </c>
      <c r="K15" s="146" t="s">
        <v>174</v>
      </c>
      <c r="L15" s="174" t="s">
        <v>155</v>
      </c>
      <c r="M15" s="378"/>
      <c r="N15" s="379"/>
      <c r="O15" s="361">
        <f>SUMIF('6-2_算定表②(旧々・新制度)'!$AL:$AL,$T15,'6-2_算定表②(旧々・新制度)'!$AM:$AM)</f>
        <v>0</v>
      </c>
      <c r="P15" s="138">
        <f>SUMIF('6-2_算定表②(旧々・新制度)'!$AL:$AL,$T15,'6-2_算定表②(旧々・新制度)'!$AG:$AG)</f>
        <v>0</v>
      </c>
      <c r="Q15" s="363">
        <f t="shared" si="1"/>
        <v>0</v>
      </c>
      <c r="R15" s="364">
        <f t="shared" si="1"/>
        <v>0</v>
      </c>
      <c r="T15" s="139" t="str">
        <f>ASC($A$13&amp;$K15)</f>
        <v>2D</v>
      </c>
      <c r="V15" s="143" t="s">
        <v>175</v>
      </c>
      <c r="W15" s="61" t="str">
        <f>IF(D21&gt;=O24,"OK","ERR")</f>
        <v>OK</v>
      </c>
    </row>
    <row r="16" spans="1:22" s="44" customFormat="1" ht="18" customHeight="1" thickBot="1">
      <c r="A16" s="826"/>
      <c r="B16" s="819"/>
      <c r="C16" s="819"/>
      <c r="D16" s="819"/>
      <c r="E16" s="822"/>
      <c r="F16" s="159"/>
      <c r="G16" s="160"/>
      <c r="H16" s="154">
        <f t="shared" si="2"/>
      </c>
      <c r="I16" s="141">
        <f t="shared" si="0"/>
      </c>
      <c r="J16" s="140">
        <f t="shared" si="4"/>
      </c>
      <c r="K16" s="823" t="s">
        <v>121</v>
      </c>
      <c r="L16" s="824"/>
      <c r="M16" s="365">
        <f aca="true" t="shared" si="5" ref="M16:R16">SUM(M13:M15)</f>
        <v>0</v>
      </c>
      <c r="N16" s="366">
        <f t="shared" si="5"/>
        <v>0</v>
      </c>
      <c r="O16" s="365">
        <f t="shared" si="5"/>
        <v>0</v>
      </c>
      <c r="P16" s="142">
        <f t="shared" si="5"/>
        <v>0</v>
      </c>
      <c r="Q16" s="368">
        <f t="shared" si="5"/>
        <v>0</v>
      </c>
      <c r="R16" s="369">
        <f t="shared" si="5"/>
        <v>0</v>
      </c>
      <c r="V16" s="55" t="s">
        <v>13</v>
      </c>
    </row>
    <row r="17" spans="1:23" s="44" customFormat="1" ht="18" customHeight="1" thickBot="1" thickTop="1">
      <c r="A17" s="817">
        <v>3</v>
      </c>
      <c r="B17" s="819"/>
      <c r="C17" s="819"/>
      <c r="D17" s="819"/>
      <c r="E17" s="827"/>
      <c r="F17" s="157"/>
      <c r="G17" s="158"/>
      <c r="H17" s="153">
        <f t="shared" si="2"/>
      </c>
      <c r="I17" s="132">
        <f t="shared" si="0"/>
      </c>
      <c r="J17" s="131">
        <f t="shared" si="4"/>
      </c>
      <c r="K17" s="148" t="s">
        <v>84</v>
      </c>
      <c r="L17" s="149">
        <v>408</v>
      </c>
      <c r="M17" s="380"/>
      <c r="N17" s="381"/>
      <c r="O17" s="372">
        <f>SUMIF('6-2_算定表②(旧々・新制度)'!$AL:$AL,$T17,'6-2_算定表②(旧々・新制度)'!$AM:$AM)</f>
        <v>0</v>
      </c>
      <c r="P17" s="375">
        <f>SUMIF('6-2_算定表②(旧々・新制度)'!$AL:$AL,$T17,'6-2_算定表②(旧々・新制度)'!$AG:$AG)</f>
        <v>0</v>
      </c>
      <c r="Q17" s="370">
        <f t="shared" si="1"/>
        <v>0</v>
      </c>
      <c r="R17" s="371">
        <f t="shared" si="1"/>
        <v>0</v>
      </c>
      <c r="T17" s="135" t="str">
        <f>ASC($A$17&amp;$K17)</f>
        <v>3A</v>
      </c>
      <c r="V17" s="55" t="s">
        <v>49</v>
      </c>
      <c r="W17" s="61" t="str">
        <f>IF(O28=SUM('6-2_算定表②(旧々・新制度)'!AM:AM),"OK","ERR")</f>
        <v>OK</v>
      </c>
    </row>
    <row r="18" spans="1:23" s="44" customFormat="1" ht="18" customHeight="1" thickBot="1" thickTop="1">
      <c r="A18" s="817"/>
      <c r="B18" s="819"/>
      <c r="C18" s="819"/>
      <c r="D18" s="819"/>
      <c r="E18" s="821"/>
      <c r="F18" s="157"/>
      <c r="G18" s="158"/>
      <c r="H18" s="153">
        <f t="shared" si="2"/>
      </c>
      <c r="I18" s="132">
        <f t="shared" si="0"/>
      </c>
      <c r="J18" s="131">
        <f t="shared" si="4"/>
      </c>
      <c r="K18" s="146" t="s">
        <v>90</v>
      </c>
      <c r="L18" s="147">
        <v>2814</v>
      </c>
      <c r="M18" s="378"/>
      <c r="N18" s="379"/>
      <c r="O18" s="361">
        <f>SUMIF('6-2_算定表②(旧々・新制度)'!$AL:$AL,$T18,'6-2_算定表②(旧々・新制度)'!$AM:$AM)</f>
        <v>0</v>
      </c>
      <c r="P18" s="138">
        <f>SUMIF('6-2_算定表②(旧々・新制度)'!$AL:$AL,$T18,'6-2_算定表②(旧々・新制度)'!$AG:$AG)</f>
        <v>0</v>
      </c>
      <c r="Q18" s="359">
        <f t="shared" si="1"/>
        <v>0</v>
      </c>
      <c r="R18" s="360">
        <f t="shared" si="1"/>
        <v>0</v>
      </c>
      <c r="T18" s="139" t="str">
        <f>ASC($A$17&amp;$K18)</f>
        <v>3B</v>
      </c>
      <c r="V18" s="55" t="s">
        <v>12</v>
      </c>
      <c r="W18" s="61" t="str">
        <f>IF(P28='6-2_算定表②(旧々・新制度)'!AG45,"OK","ERR")</f>
        <v>OK</v>
      </c>
    </row>
    <row r="19" spans="1:20" s="44" customFormat="1" ht="18" customHeight="1" thickBot="1">
      <c r="A19" s="817"/>
      <c r="B19" s="819"/>
      <c r="C19" s="819"/>
      <c r="D19" s="819"/>
      <c r="E19" s="821"/>
      <c r="F19" s="157"/>
      <c r="G19" s="158"/>
      <c r="H19" s="153">
        <f t="shared" si="2"/>
      </c>
      <c r="I19" s="132">
        <f t="shared" si="0"/>
      </c>
      <c r="J19" s="131">
        <f t="shared" si="4"/>
      </c>
      <c r="K19" s="146" t="s">
        <v>174</v>
      </c>
      <c r="L19" s="174" t="s">
        <v>155</v>
      </c>
      <c r="M19" s="378"/>
      <c r="N19" s="379"/>
      <c r="O19" s="361">
        <f>SUMIF('6-2_算定表②(旧々・新制度)'!$AL:$AL,$T19,'6-2_算定表②(旧々・新制度)'!$AM:$AM)</f>
        <v>0</v>
      </c>
      <c r="P19" s="138">
        <f>SUMIF('6-2_算定表②(旧々・新制度)'!$AL:$AL,$T19,'6-2_算定表②(旧々・新制度)'!$AG:$AG)</f>
        <v>0</v>
      </c>
      <c r="Q19" s="363">
        <f t="shared" si="1"/>
        <v>0</v>
      </c>
      <c r="R19" s="364">
        <f t="shared" si="1"/>
        <v>0</v>
      </c>
      <c r="T19" s="139" t="str">
        <f>ASC($A$17&amp;$K19)</f>
        <v>3D</v>
      </c>
    </row>
    <row r="20" spans="1:18" s="44" customFormat="1" ht="18" customHeight="1" thickBot="1">
      <c r="A20" s="817"/>
      <c r="B20" s="819"/>
      <c r="C20" s="819"/>
      <c r="D20" s="819"/>
      <c r="E20" s="822"/>
      <c r="F20" s="159"/>
      <c r="G20" s="160"/>
      <c r="H20" s="154">
        <f t="shared" si="2"/>
      </c>
      <c r="I20" s="141">
        <f t="shared" si="0"/>
      </c>
      <c r="J20" s="140">
        <f t="shared" si="4"/>
      </c>
      <c r="K20" s="823" t="s">
        <v>122</v>
      </c>
      <c r="L20" s="824"/>
      <c r="M20" s="365">
        <f aca="true" t="shared" si="6" ref="M20:R20">SUM(M17:M19)</f>
        <v>0</v>
      </c>
      <c r="N20" s="366">
        <f t="shared" si="6"/>
        <v>0</v>
      </c>
      <c r="O20" s="365">
        <f t="shared" si="6"/>
        <v>0</v>
      </c>
      <c r="P20" s="142">
        <f t="shared" si="6"/>
        <v>0</v>
      </c>
      <c r="Q20" s="368">
        <f t="shared" si="6"/>
        <v>0</v>
      </c>
      <c r="R20" s="369">
        <f t="shared" si="6"/>
        <v>0</v>
      </c>
    </row>
    <row r="21" spans="1:23" s="44" customFormat="1" ht="18" customHeight="1" thickBot="1">
      <c r="A21" s="829">
        <v>4</v>
      </c>
      <c r="B21" s="819"/>
      <c r="C21" s="819"/>
      <c r="D21" s="819"/>
      <c r="E21" s="827"/>
      <c r="F21" s="157"/>
      <c r="G21" s="158"/>
      <c r="H21" s="153">
        <f t="shared" si="2"/>
      </c>
      <c r="I21" s="132">
        <f t="shared" si="0"/>
      </c>
      <c r="J21" s="131">
        <f>IF(H21="","",MIN(H21,I21))</f>
      </c>
      <c r="K21" s="148" t="s">
        <v>84</v>
      </c>
      <c r="L21" s="149">
        <v>408</v>
      </c>
      <c r="M21" s="380"/>
      <c r="N21" s="381"/>
      <c r="O21" s="372">
        <f>SUMIF('6-2_算定表②(旧々・新制度)'!$AL:$AL,$T21,'6-2_算定表②(旧々・新制度)'!$AM:$AM)</f>
        <v>0</v>
      </c>
      <c r="P21" s="375">
        <f>SUMIF('6-2_算定表②(旧々・新制度)'!$AL:$AL,$T21,'6-2_算定表②(旧々・新制度)'!$AG:$AG)</f>
        <v>0</v>
      </c>
      <c r="Q21" s="370">
        <f t="shared" si="1"/>
        <v>0</v>
      </c>
      <c r="R21" s="371">
        <f t="shared" si="1"/>
        <v>0</v>
      </c>
      <c r="T21" s="135" t="str">
        <f>ASC($A$21&amp;$K21)</f>
        <v>4A</v>
      </c>
      <c r="V21" s="55"/>
      <c r="W21" s="242"/>
    </row>
    <row r="22" spans="1:23" s="44" customFormat="1" ht="18" customHeight="1" thickBot="1">
      <c r="A22" s="830"/>
      <c r="B22" s="819"/>
      <c r="C22" s="819"/>
      <c r="D22" s="819"/>
      <c r="E22" s="821"/>
      <c r="F22" s="157"/>
      <c r="G22" s="158"/>
      <c r="H22" s="153">
        <f t="shared" si="2"/>
      </c>
      <c r="I22" s="132">
        <f t="shared" si="0"/>
      </c>
      <c r="J22" s="131">
        <f>IF(H22="","",MIN(H22,I22))</f>
      </c>
      <c r="K22" s="146" t="s">
        <v>90</v>
      </c>
      <c r="L22" s="147">
        <v>2814</v>
      </c>
      <c r="M22" s="378"/>
      <c r="N22" s="379"/>
      <c r="O22" s="361">
        <f>SUMIF('6-2_算定表②(旧々・新制度)'!$AL:$AL,$T22,'6-2_算定表②(旧々・新制度)'!$AM:$AM)</f>
        <v>0</v>
      </c>
      <c r="P22" s="138">
        <f>SUMIF('6-2_算定表②(旧々・新制度)'!$AL:$AL,$T22,'6-2_算定表②(旧々・新制度)'!$AG:$AG)</f>
        <v>0</v>
      </c>
      <c r="Q22" s="359">
        <f t="shared" si="1"/>
        <v>0</v>
      </c>
      <c r="R22" s="360">
        <f t="shared" si="1"/>
        <v>0</v>
      </c>
      <c r="T22" s="139" t="str">
        <f>ASC($A$21&amp;$K22)</f>
        <v>4B</v>
      </c>
      <c r="V22" s="55"/>
      <c r="W22" s="242"/>
    </row>
    <row r="23" spans="1:20" s="44" customFormat="1" ht="18" customHeight="1" thickBot="1">
      <c r="A23" s="830"/>
      <c r="B23" s="819"/>
      <c r="C23" s="819"/>
      <c r="D23" s="819"/>
      <c r="E23" s="821"/>
      <c r="F23" s="157"/>
      <c r="G23" s="158"/>
      <c r="H23" s="153">
        <f t="shared" si="2"/>
      </c>
      <c r="I23" s="132">
        <f t="shared" si="0"/>
      </c>
      <c r="J23" s="131">
        <f>IF(H23="","",MIN(H23,I23))</f>
      </c>
      <c r="K23" s="146" t="s">
        <v>174</v>
      </c>
      <c r="L23" s="174" t="s">
        <v>155</v>
      </c>
      <c r="M23" s="378"/>
      <c r="N23" s="379"/>
      <c r="O23" s="361">
        <f>SUMIF('6-2_算定表②(旧々・新制度)'!$AL:$AL,$T23,'6-2_算定表②(旧々・新制度)'!$AM:$AM)</f>
        <v>0</v>
      </c>
      <c r="P23" s="138">
        <f>SUMIF('6-2_算定表②(旧々・新制度)'!$AL:$AL,$T23,'6-2_算定表②(旧々・新制度)'!$AG:$AG)</f>
        <v>0</v>
      </c>
      <c r="Q23" s="363">
        <f t="shared" si="1"/>
        <v>0</v>
      </c>
      <c r="R23" s="364">
        <f t="shared" si="1"/>
        <v>0</v>
      </c>
      <c r="T23" s="139" t="str">
        <f>ASC($A$21&amp;$K23)</f>
        <v>4D</v>
      </c>
    </row>
    <row r="24" spans="1:18" s="44" customFormat="1" ht="18" customHeight="1" thickBot="1">
      <c r="A24" s="831"/>
      <c r="B24" s="819"/>
      <c r="C24" s="819"/>
      <c r="D24" s="819"/>
      <c r="E24" s="822"/>
      <c r="F24" s="159"/>
      <c r="G24" s="160"/>
      <c r="H24" s="154">
        <f t="shared" si="2"/>
      </c>
      <c r="I24" s="141">
        <f t="shared" si="0"/>
      </c>
      <c r="J24" s="140">
        <f>IF(H24="","",MIN(H24,I24))</f>
      </c>
      <c r="K24" s="823" t="s">
        <v>123</v>
      </c>
      <c r="L24" s="824"/>
      <c r="M24" s="365">
        <f aca="true" t="shared" si="7" ref="M24:R24">SUM(M21:M23)</f>
        <v>0</v>
      </c>
      <c r="N24" s="366">
        <f t="shared" si="7"/>
        <v>0</v>
      </c>
      <c r="O24" s="365">
        <f t="shared" si="7"/>
        <v>0</v>
      </c>
      <c r="P24" s="142">
        <f t="shared" si="7"/>
        <v>0</v>
      </c>
      <c r="Q24" s="368">
        <f t="shared" si="7"/>
        <v>0</v>
      </c>
      <c r="R24" s="369">
        <f t="shared" si="7"/>
        <v>0</v>
      </c>
    </row>
    <row r="25" spans="1:18" s="44" customFormat="1" ht="18" customHeight="1" thickBot="1">
      <c r="A25" s="835" t="s">
        <v>27</v>
      </c>
      <c r="B25" s="838">
        <f>SUM(B9,B13,B17)</f>
        <v>0</v>
      </c>
      <c r="C25" s="838">
        <f>SUM(C9,C13,C17)</f>
        <v>0</v>
      </c>
      <c r="D25" s="838">
        <f>SUM(D9,D13,D17)</f>
        <v>0</v>
      </c>
      <c r="E25" s="839">
        <f>SUM(E9:E24)</f>
        <v>0</v>
      </c>
      <c r="F25" s="828"/>
      <c r="G25" s="832"/>
      <c r="H25" s="833"/>
      <c r="I25" s="834"/>
      <c r="J25" s="834"/>
      <c r="K25" s="144" t="s">
        <v>84</v>
      </c>
      <c r="L25" s="145">
        <v>408</v>
      </c>
      <c r="M25" s="373">
        <f aca="true" t="shared" si="8" ref="M25:N27">SUM(M9,M13,M17,M21)</f>
        <v>0</v>
      </c>
      <c r="N25" s="358">
        <f t="shared" si="8"/>
        <v>0</v>
      </c>
      <c r="O25" s="373">
        <f aca="true" t="shared" si="9" ref="O25:P27">SUM(O9,O13,O17,O21)</f>
        <v>0</v>
      </c>
      <c r="P25" s="134">
        <f t="shared" si="9"/>
        <v>0</v>
      </c>
      <c r="Q25" s="370">
        <f t="shared" si="1"/>
        <v>0</v>
      </c>
      <c r="R25" s="371">
        <f t="shared" si="1"/>
        <v>0</v>
      </c>
    </row>
    <row r="26" spans="1:22" s="44" customFormat="1" ht="18" customHeight="1" thickBot="1">
      <c r="A26" s="836"/>
      <c r="B26" s="838"/>
      <c r="C26" s="838"/>
      <c r="D26" s="838"/>
      <c r="E26" s="840"/>
      <c r="F26" s="828"/>
      <c r="G26" s="832"/>
      <c r="H26" s="833"/>
      <c r="I26" s="834"/>
      <c r="J26" s="834"/>
      <c r="K26" s="146" t="s">
        <v>90</v>
      </c>
      <c r="L26" s="147">
        <v>2814</v>
      </c>
      <c r="M26" s="374">
        <f t="shared" si="8"/>
        <v>0</v>
      </c>
      <c r="N26" s="362">
        <f t="shared" si="8"/>
        <v>0</v>
      </c>
      <c r="O26" s="374">
        <f t="shared" si="9"/>
        <v>0</v>
      </c>
      <c r="P26" s="138">
        <f t="shared" si="9"/>
        <v>0</v>
      </c>
      <c r="Q26" s="359">
        <f t="shared" si="1"/>
        <v>0</v>
      </c>
      <c r="R26" s="360">
        <f t="shared" si="1"/>
        <v>0</v>
      </c>
      <c r="V26" s="55"/>
    </row>
    <row r="27" spans="1:18" s="44" customFormat="1" ht="18" customHeight="1" thickBot="1">
      <c r="A27" s="836"/>
      <c r="B27" s="838"/>
      <c r="C27" s="838"/>
      <c r="D27" s="838"/>
      <c r="E27" s="840"/>
      <c r="F27" s="828"/>
      <c r="G27" s="832"/>
      <c r="H27" s="833"/>
      <c r="I27" s="834"/>
      <c r="J27" s="834"/>
      <c r="K27" s="146" t="s">
        <v>174</v>
      </c>
      <c r="L27" s="174" t="s">
        <v>155</v>
      </c>
      <c r="M27" s="374">
        <f t="shared" si="8"/>
        <v>0</v>
      </c>
      <c r="N27" s="362">
        <f t="shared" si="8"/>
        <v>0</v>
      </c>
      <c r="O27" s="374">
        <f t="shared" si="9"/>
        <v>0</v>
      </c>
      <c r="P27" s="138">
        <f t="shared" si="9"/>
        <v>0</v>
      </c>
      <c r="Q27" s="363">
        <f t="shared" si="1"/>
        <v>0</v>
      </c>
      <c r="R27" s="364">
        <f t="shared" si="1"/>
        <v>0</v>
      </c>
    </row>
    <row r="28" spans="1:19" s="44" customFormat="1" ht="18" customHeight="1" thickBot="1">
      <c r="A28" s="837"/>
      <c r="B28" s="838"/>
      <c r="C28" s="838"/>
      <c r="D28" s="838"/>
      <c r="E28" s="841"/>
      <c r="F28" s="828"/>
      <c r="G28" s="832"/>
      <c r="H28" s="833"/>
      <c r="I28" s="834"/>
      <c r="J28" s="834"/>
      <c r="K28" s="823" t="s">
        <v>156</v>
      </c>
      <c r="L28" s="824"/>
      <c r="M28" s="365">
        <f aca="true" t="shared" si="10" ref="M28:R28">SUM(M25:M27)</f>
        <v>0</v>
      </c>
      <c r="N28" s="366">
        <f t="shared" si="10"/>
        <v>0</v>
      </c>
      <c r="O28" s="365">
        <f t="shared" si="10"/>
        <v>0</v>
      </c>
      <c r="P28" s="142">
        <f t="shared" si="10"/>
        <v>0</v>
      </c>
      <c r="Q28" s="368">
        <f t="shared" si="10"/>
        <v>0</v>
      </c>
      <c r="R28" s="369">
        <f t="shared" si="10"/>
        <v>0</v>
      </c>
      <c r="S28" s="150"/>
    </row>
    <row r="29" spans="1:18" s="292" customFormat="1" ht="11.25" customHeight="1">
      <c r="A29" s="287" t="s">
        <v>29</v>
      </c>
      <c r="B29" s="288"/>
      <c r="C29" s="288"/>
      <c r="D29" s="288"/>
      <c r="E29" s="288"/>
      <c r="F29" s="289"/>
      <c r="G29" s="289"/>
      <c r="H29" s="289"/>
      <c r="I29" s="289"/>
      <c r="J29" s="289"/>
      <c r="K29" s="290"/>
      <c r="L29" s="290"/>
      <c r="M29" s="288"/>
      <c r="N29" s="291"/>
      <c r="O29" s="288"/>
      <c r="P29" s="291"/>
      <c r="Q29" s="291"/>
      <c r="R29" s="291"/>
    </row>
    <row r="30" s="292" customFormat="1" ht="11.25" customHeight="1">
      <c r="A30" s="293" t="s">
        <v>150</v>
      </c>
    </row>
    <row r="31" s="294" customFormat="1" ht="11.25" customHeight="1">
      <c r="A31" s="293" t="s">
        <v>227</v>
      </c>
    </row>
    <row r="32" s="292" customFormat="1" ht="11.25" customHeight="1">
      <c r="A32" s="293" t="s">
        <v>228</v>
      </c>
    </row>
    <row r="33" s="294" customFormat="1" ht="11.25" customHeight="1">
      <c r="A33" s="293" t="s">
        <v>5</v>
      </c>
    </row>
    <row r="34" s="294" customFormat="1" ht="11.25" customHeight="1">
      <c r="A34" s="287" t="s">
        <v>151</v>
      </c>
    </row>
    <row r="35" spans="1:9" s="294" customFormat="1" ht="11.25" customHeight="1">
      <c r="A35" s="287" t="s">
        <v>152</v>
      </c>
      <c r="E35" s="298"/>
      <c r="F35" s="298"/>
      <c r="G35" s="298"/>
      <c r="H35" s="298"/>
      <c r="I35" s="298"/>
    </row>
    <row r="36" s="294" customFormat="1" ht="11.25" customHeight="1">
      <c r="A36" s="293" t="s">
        <v>6</v>
      </c>
    </row>
    <row r="37" s="294" customFormat="1" ht="11.25" customHeight="1">
      <c r="A37" s="287" t="s">
        <v>210</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50">
    <mergeCell ref="Q5:R5"/>
    <mergeCell ref="K5:N5"/>
    <mergeCell ref="O5:P5"/>
    <mergeCell ref="L2:M2"/>
    <mergeCell ref="N2:O2"/>
    <mergeCell ref="P2:Q2"/>
    <mergeCell ref="L3:M3"/>
    <mergeCell ref="N3:O3"/>
    <mergeCell ref="P3:Q3"/>
    <mergeCell ref="B5:B6"/>
    <mergeCell ref="E5:E6"/>
    <mergeCell ref="H5:H6"/>
    <mergeCell ref="I5:I6"/>
    <mergeCell ref="J5:J6"/>
    <mergeCell ref="A6:A7"/>
    <mergeCell ref="A9:A12"/>
    <mergeCell ref="B9:B12"/>
    <mergeCell ref="C9:C12"/>
    <mergeCell ref="D9:D12"/>
    <mergeCell ref="E9:E12"/>
    <mergeCell ref="K12:L12"/>
    <mergeCell ref="A13:A16"/>
    <mergeCell ref="B13:B16"/>
    <mergeCell ref="C13:C16"/>
    <mergeCell ref="D13:D16"/>
    <mergeCell ref="E13:E16"/>
    <mergeCell ref="K16:L16"/>
    <mergeCell ref="K24:L24"/>
    <mergeCell ref="A17:A20"/>
    <mergeCell ref="B17:B20"/>
    <mergeCell ref="C17:C20"/>
    <mergeCell ref="D17:D20"/>
    <mergeCell ref="E17:E20"/>
    <mergeCell ref="K20:L20"/>
    <mergeCell ref="F25:F28"/>
    <mergeCell ref="A21:A24"/>
    <mergeCell ref="B21:B24"/>
    <mergeCell ref="C21:C24"/>
    <mergeCell ref="D21:D24"/>
    <mergeCell ref="E21:E24"/>
    <mergeCell ref="G25:G28"/>
    <mergeCell ref="H25:H28"/>
    <mergeCell ref="I25:I28"/>
    <mergeCell ref="J25:J28"/>
    <mergeCell ref="K28:L28"/>
    <mergeCell ref="A25:A28"/>
    <mergeCell ref="B25:B28"/>
    <mergeCell ref="C25:C28"/>
    <mergeCell ref="D25:D28"/>
    <mergeCell ref="E25:E28"/>
  </mergeCells>
  <dataValidations count="1">
    <dataValidation type="whole" allowBlank="1" showInputMessage="1" showErrorMessage="1" sqref="B9:D24 E21 E17 E13 E9">
      <formula1>0</formula1>
      <formula2>999999</formula2>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P59"/>
  <sheetViews>
    <sheetView view="pageBreakPreview" zoomScale="75" zoomScaleNormal="75" zoomScaleSheetLayoutView="75" zoomScalePageLayoutView="0" workbookViewId="0" topLeftCell="H1">
      <selection activeCell="Q10" sqref="Q10"/>
    </sheetView>
  </sheetViews>
  <sheetFormatPr defaultColWidth="9.625" defaultRowHeight="13.5"/>
  <cols>
    <col min="1" max="1" width="6.25390625" style="40" customWidth="1"/>
    <col min="2" max="2" width="19.125" style="40" bestFit="1" customWidth="1"/>
    <col min="3" max="3" width="3.75390625" style="40" customWidth="1"/>
    <col min="4" max="4" width="10.125" style="40" customWidth="1"/>
    <col min="5" max="6" width="10.375" style="40" customWidth="1"/>
    <col min="7" max="7" width="12.25390625" style="40" customWidth="1"/>
    <col min="8" max="8" width="12.375" style="40" customWidth="1"/>
    <col min="9" max="9" width="12.25390625" style="40" bestFit="1" customWidth="1"/>
    <col min="10" max="10" width="5.50390625" style="40" bestFit="1" customWidth="1"/>
    <col min="11" max="12" width="10.875" style="40" customWidth="1"/>
    <col min="13" max="13" width="14.125" style="40" bestFit="1" customWidth="1"/>
    <col min="14" max="14" width="13.125" style="40" bestFit="1" customWidth="1"/>
    <col min="15" max="15" width="6.625" style="246" customWidth="1"/>
    <col min="16" max="16" width="12.125" style="40" hidden="1" customWidth="1"/>
    <col min="17" max="17" width="10.00390625" style="40" customWidth="1"/>
    <col min="18" max="18" width="6.625" style="246" customWidth="1"/>
    <col min="19" max="19" width="10.00390625" style="40" hidden="1" customWidth="1"/>
    <col min="20" max="20" width="10.00390625" style="40" customWidth="1"/>
    <col min="21" max="21" width="10.75390625" style="40" customWidth="1"/>
    <col min="22" max="22" width="10.625" style="40" customWidth="1"/>
    <col min="23" max="23" width="10.875" style="40" customWidth="1"/>
    <col min="24" max="24" width="12.50390625" style="40" customWidth="1"/>
    <col min="25" max="25" width="13.25390625" style="40" customWidth="1"/>
    <col min="26" max="26" width="11.25390625" style="40" customWidth="1"/>
    <col min="27" max="30" width="11.625" style="40" customWidth="1"/>
    <col min="31" max="32" width="11.25390625" style="40" customWidth="1"/>
    <col min="33" max="33" width="13.00390625" style="40" customWidth="1"/>
    <col min="34" max="34" width="1.37890625" style="40" customWidth="1"/>
    <col min="35" max="35" width="9.125" style="40" customWidth="1"/>
    <col min="36" max="36" width="16.375" style="40" customWidth="1"/>
    <col min="37" max="37" width="3.125" style="40" customWidth="1"/>
    <col min="38" max="38" width="5.625" style="41" customWidth="1"/>
    <col min="39" max="39" width="3.125" style="41" customWidth="1"/>
    <col min="40" max="40" width="3.125" style="40" customWidth="1"/>
    <col min="41" max="41" width="8.25390625" style="40" customWidth="1"/>
    <col min="42" max="16384" width="9.625" style="40" customWidth="1"/>
  </cols>
  <sheetData>
    <row r="1" spans="1:36" ht="24.75" customHeight="1">
      <c r="A1" s="189" t="s">
        <v>248</v>
      </c>
      <c r="B1" s="39"/>
      <c r="AA1" s="164" t="s">
        <v>25</v>
      </c>
      <c r="AB1" s="992">
        <f>'5_総括表'!E3</f>
        <v>0</v>
      </c>
      <c r="AC1" s="993"/>
      <c r="AD1" s="993"/>
      <c r="AE1" s="993"/>
      <c r="AF1" s="993"/>
      <c r="AG1" s="993"/>
      <c r="AH1" s="994"/>
      <c r="AI1" s="164" t="s">
        <v>26</v>
      </c>
      <c r="AJ1" s="166">
        <f>'5_総括表'!Z3</f>
        <v>0</v>
      </c>
    </row>
    <row r="2" spans="1:36" ht="24.75" customHeight="1" thickBot="1">
      <c r="A2" s="42"/>
      <c r="AA2" s="165" t="s">
        <v>23</v>
      </c>
      <c r="AB2" s="995">
        <f>'5_総括表'!E4</f>
        <v>0</v>
      </c>
      <c r="AC2" s="996"/>
      <c r="AD2" s="996"/>
      <c r="AE2" s="996"/>
      <c r="AF2" s="996"/>
      <c r="AG2" s="996"/>
      <c r="AH2" s="997"/>
      <c r="AI2" s="165" t="s">
        <v>24</v>
      </c>
      <c r="AJ2" s="167">
        <f>'5_総括表'!Z4</f>
        <v>0</v>
      </c>
    </row>
    <row r="3" spans="1:36" ht="31.5" customHeight="1" thickBot="1">
      <c r="A3" s="283" t="s">
        <v>226</v>
      </c>
      <c r="B3" s="282"/>
      <c r="AI3" s="43"/>
      <c r="AJ3" s="43" t="s">
        <v>28</v>
      </c>
    </row>
    <row r="4" spans="1:39" s="44" customFormat="1" ht="22.5" customHeight="1" thickBot="1">
      <c r="A4" s="814" t="s">
        <v>32</v>
      </c>
      <c r="B4" s="809" t="s">
        <v>171</v>
      </c>
      <c r="C4" s="906" t="s">
        <v>119</v>
      </c>
      <c r="D4" s="914" t="s">
        <v>117</v>
      </c>
      <c r="E4" s="909" t="s">
        <v>100</v>
      </c>
      <c r="F4" s="910"/>
      <c r="G4" s="989"/>
      <c r="H4" s="912" t="s">
        <v>109</v>
      </c>
      <c r="I4" s="913"/>
      <c r="J4" s="913"/>
      <c r="K4" s="913"/>
      <c r="L4" s="913"/>
      <c r="M4" s="913"/>
      <c r="N4" s="911"/>
      <c r="O4" s="823" t="s">
        <v>113</v>
      </c>
      <c r="P4" s="824"/>
      <c r="Q4" s="824"/>
      <c r="R4" s="891"/>
      <c r="S4" s="891"/>
      <c r="T4" s="891"/>
      <c r="U4" s="891"/>
      <c r="V4" s="891"/>
      <c r="W4" s="892"/>
      <c r="X4" s="809" t="s">
        <v>4</v>
      </c>
      <c r="Y4" s="809" t="s">
        <v>115</v>
      </c>
      <c r="Z4" s="809" t="s">
        <v>116</v>
      </c>
      <c r="AA4" s="809" t="s">
        <v>69</v>
      </c>
      <c r="AB4" s="990" t="s">
        <v>258</v>
      </c>
      <c r="AC4" s="990" t="s">
        <v>258</v>
      </c>
      <c r="AD4" s="990" t="s">
        <v>258</v>
      </c>
      <c r="AE4" s="809" t="s">
        <v>31</v>
      </c>
      <c r="AF4" s="809" t="s">
        <v>99</v>
      </c>
      <c r="AG4" s="893" t="s">
        <v>188</v>
      </c>
      <c r="AH4" s="858" t="s">
        <v>7</v>
      </c>
      <c r="AI4" s="859"/>
      <c r="AJ4" s="860"/>
      <c r="AL4" s="867" t="s">
        <v>30</v>
      </c>
      <c r="AM4" s="867" t="s">
        <v>78</v>
      </c>
    </row>
    <row r="5" spans="1:39" s="44" customFormat="1" ht="37.5" customHeight="1" thickBot="1">
      <c r="A5" s="903"/>
      <c r="B5" s="873"/>
      <c r="C5" s="907"/>
      <c r="D5" s="915"/>
      <c r="E5" s="916" t="s">
        <v>146</v>
      </c>
      <c r="F5" s="630" t="s">
        <v>258</v>
      </c>
      <c r="G5" s="884" t="s">
        <v>76</v>
      </c>
      <c r="H5" s="889" t="s">
        <v>3</v>
      </c>
      <c r="I5" s="895" t="s">
        <v>77</v>
      </c>
      <c r="J5" s="876" t="s">
        <v>158</v>
      </c>
      <c r="K5" s="573" t="s">
        <v>258</v>
      </c>
      <c r="L5" s="736" t="s">
        <v>258</v>
      </c>
      <c r="M5" s="889" t="s">
        <v>157</v>
      </c>
      <c r="N5" s="884" t="s">
        <v>2</v>
      </c>
      <c r="O5" s="886" t="s">
        <v>232</v>
      </c>
      <c r="P5" s="887"/>
      <c r="Q5" s="887"/>
      <c r="R5" s="886" t="s">
        <v>233</v>
      </c>
      <c r="S5" s="887"/>
      <c r="T5" s="888"/>
      <c r="U5" s="878" t="s">
        <v>110</v>
      </c>
      <c r="V5" s="880" t="s">
        <v>112</v>
      </c>
      <c r="W5" s="874" t="s">
        <v>111</v>
      </c>
      <c r="X5" s="873"/>
      <c r="Y5" s="873"/>
      <c r="Z5" s="873"/>
      <c r="AA5" s="873"/>
      <c r="AB5" s="991"/>
      <c r="AC5" s="991"/>
      <c r="AD5" s="991"/>
      <c r="AE5" s="873"/>
      <c r="AF5" s="873"/>
      <c r="AG5" s="894"/>
      <c r="AH5" s="861"/>
      <c r="AI5" s="862"/>
      <c r="AJ5" s="863"/>
      <c r="AL5" s="868"/>
      <c r="AM5" s="868"/>
    </row>
    <row r="6" spans="1:39" s="44" customFormat="1" ht="50.25" customHeight="1">
      <c r="A6" s="903"/>
      <c r="B6" s="873"/>
      <c r="C6" s="907"/>
      <c r="D6" s="915"/>
      <c r="E6" s="940"/>
      <c r="F6" s="335" t="s">
        <v>257</v>
      </c>
      <c r="G6" s="885"/>
      <c r="H6" s="890"/>
      <c r="I6" s="896"/>
      <c r="J6" s="877"/>
      <c r="K6" s="500" t="s">
        <v>260</v>
      </c>
      <c r="L6" s="499" t="s">
        <v>261</v>
      </c>
      <c r="M6" s="890"/>
      <c r="N6" s="885"/>
      <c r="O6" s="882" t="s">
        <v>18</v>
      </c>
      <c r="P6" s="305"/>
      <c r="Q6" s="309" t="s">
        <v>169</v>
      </c>
      <c r="R6" s="882" t="s">
        <v>18</v>
      </c>
      <c r="S6" s="307"/>
      <c r="T6" s="309" t="s">
        <v>169</v>
      </c>
      <c r="U6" s="879"/>
      <c r="V6" s="881"/>
      <c r="W6" s="875"/>
      <c r="X6" s="873"/>
      <c r="Y6" s="873"/>
      <c r="Z6" s="873"/>
      <c r="AA6" s="873"/>
      <c r="AB6" s="488" t="s">
        <v>262</v>
      </c>
      <c r="AC6" s="488" t="s">
        <v>264</v>
      </c>
      <c r="AD6" s="488" t="s">
        <v>269</v>
      </c>
      <c r="AE6" s="873"/>
      <c r="AF6" s="873"/>
      <c r="AG6" s="894"/>
      <c r="AH6" s="861"/>
      <c r="AI6" s="862"/>
      <c r="AJ6" s="863"/>
      <c r="AL6" s="869"/>
      <c r="AM6" s="869"/>
    </row>
    <row r="7" spans="1:39" s="44" customFormat="1" ht="17.25" customHeight="1" thickBot="1">
      <c r="A7" s="904"/>
      <c r="B7" s="905"/>
      <c r="C7" s="908"/>
      <c r="D7" s="107" t="s">
        <v>104</v>
      </c>
      <c r="E7" s="182" t="s">
        <v>0</v>
      </c>
      <c r="F7" s="657"/>
      <c r="G7" s="487" t="s">
        <v>1</v>
      </c>
      <c r="H7" s="108" t="s">
        <v>88</v>
      </c>
      <c r="I7" s="49" t="s">
        <v>79</v>
      </c>
      <c r="J7" s="104" t="s">
        <v>89</v>
      </c>
      <c r="K7" s="49"/>
      <c r="L7" s="737"/>
      <c r="M7" s="105" t="s">
        <v>102</v>
      </c>
      <c r="N7" s="106" t="s">
        <v>103</v>
      </c>
      <c r="O7" s="883"/>
      <c r="P7" s="306"/>
      <c r="Q7" s="262" t="s">
        <v>80</v>
      </c>
      <c r="R7" s="883"/>
      <c r="S7" s="308"/>
      <c r="T7" s="263" t="s">
        <v>81</v>
      </c>
      <c r="U7" s="647" t="s">
        <v>82</v>
      </c>
      <c r="V7" s="101" t="s">
        <v>83</v>
      </c>
      <c r="W7" s="50" t="s">
        <v>92</v>
      </c>
      <c r="X7" s="47" t="s">
        <v>93</v>
      </c>
      <c r="Y7" s="47" t="s">
        <v>94</v>
      </c>
      <c r="Z7" s="47" t="s">
        <v>95</v>
      </c>
      <c r="AA7" s="47" t="s">
        <v>96</v>
      </c>
      <c r="AB7" s="47"/>
      <c r="AC7" s="490"/>
      <c r="AD7" s="490"/>
      <c r="AE7" s="47" t="s">
        <v>97</v>
      </c>
      <c r="AF7" s="490" t="s">
        <v>98</v>
      </c>
      <c r="AG7" s="493" t="s">
        <v>114</v>
      </c>
      <c r="AH7" s="864"/>
      <c r="AI7" s="865"/>
      <c r="AJ7" s="866"/>
      <c r="AL7" s="870"/>
      <c r="AM7" s="870"/>
    </row>
    <row r="8" spans="1:42" s="130" customFormat="1" ht="18.75" customHeight="1" thickBot="1">
      <c r="A8" s="26">
        <f>IF(B8="","",ROW($A8)-ROW($A$7))</f>
      </c>
      <c r="B8" s="232"/>
      <c r="C8" s="204"/>
      <c r="D8" s="51"/>
      <c r="E8" s="52"/>
      <c r="F8" s="658"/>
      <c r="G8" s="662">
        <f>IF(A8="","",IF(F8&gt;30,30,F8))</f>
      </c>
      <c r="H8" s="649">
        <f aca="true" t="shared" si="0" ref="H8:H44">IF(A8="","",(D8*G8))</f>
      </c>
      <c r="I8" s="196"/>
      <c r="J8" s="197"/>
      <c r="K8" s="613"/>
      <c r="L8" s="738"/>
      <c r="M8" s="198">
        <f aca="true" t="shared" si="1" ref="M8:M44">IF(A8="","",ROUNDDOWN((I8*J8/12+H8),0))</f>
      </c>
      <c r="N8" s="211">
        <f>IF(A8="","",ROUNDDOWN(10032*G8*(K8/J8),0))</f>
      </c>
      <c r="O8" s="253"/>
      <c r="P8" s="205"/>
      <c r="Q8" s="206">
        <f>IF($H8="","",IF($O8="Ａ",LOOKUP($D8,{8000,8500,9000,10000,12000},{0,1532,1032,408,408}),IF($O8="Ｂ",LOOKUP($D8,{8000,8500,9000,10000,12000},{782,2814,2814,2814,2814}),0)))</f>
      </c>
      <c r="R8" s="253"/>
      <c r="S8" s="250">
        <v>0</v>
      </c>
      <c r="T8" s="645">
        <f>IF($H8="","",IF($R8="Ａ",LOOKUP($D8,{8000,8500,9000,10000,12000},{0,1532,1032,408,408}),IF($R8="Ｂ",LOOKUP($D8,{8000,8500,9000,10000,12000},{782,2814,2814,2814,2814}),0)))</f>
      </c>
      <c r="U8" s="318">
        <f>IF(L8&gt;=7,T8,IF(AND(J8+L8&lt;=7,L8&gt;=4),Q8,IF(ISERROR(ROUNDUP(Q8*3/12+T8*9/12,0)),"",ROUNDUP(Q8*3/12+T8*9/12,0))))</f>
      </c>
      <c r="V8" s="674">
        <f>IF(B8="","",SUMIF('6-3_調整額内訳②(旧々・新制度)'!B:B,$B8,'6-3_調整額内訳②(旧々・新制度)'!AD:AD))</f>
      </c>
      <c r="W8" s="199">
        <f aca="true" t="shared" si="2" ref="W8:W44">IF(B8="","",SUM(U8:V8))</f>
      </c>
      <c r="X8" s="318">
        <f aca="true" t="shared" si="3" ref="X8:X44">IF(B8="","",ROUNDDOWN(W8*G8,0))</f>
      </c>
      <c r="Y8" s="200">
        <f>IF(M8&gt;=N8,N8,M8)</f>
      </c>
      <c r="Z8" s="51"/>
      <c r="AA8" s="200">
        <f aca="true" t="shared" si="4" ref="AA8:AA44">IF(A8="","",IF((M8-Y8)&lt;Z8,Y8-(M8-Z8),0))</f>
      </c>
      <c r="AB8" s="52"/>
      <c r="AC8" s="318" t="str">
        <f>_xlfn.IFERROR(D8*(E8-F8)*(K8/J8),"0")</f>
        <v>0</v>
      </c>
      <c r="AD8" s="668">
        <f>_xlfn.IFERROR(IF(AC8-AB8&gt;0,0,AC8-AB8),"0")</f>
        <v>0</v>
      </c>
      <c r="AE8" s="623"/>
      <c r="AF8" s="75">
        <f>IF(B8="","",MAX(0,Y8-AA8-AE8))</f>
      </c>
      <c r="AG8" s="620">
        <f>IF(B8="","",IF(MIN(X8,AF8)+AD8&gt;0,MIN(X8,AF8)+AD8,0))</f>
      </c>
      <c r="AH8" s="871"/>
      <c r="AI8" s="871"/>
      <c r="AJ8" s="872"/>
      <c r="AL8" s="54">
        <f aca="true" t="shared" si="5" ref="AL8:AL44">IF(A8&gt;0,ASC(C8&amp;R8),"")</f>
      </c>
      <c r="AM8" s="54">
        <f aca="true" t="shared" si="6" ref="AM8:AM44">IF(B8="","",IF(AG8&gt;0,1,0))</f>
      </c>
      <c r="AP8" s="201" t="s">
        <v>15</v>
      </c>
    </row>
    <row r="9" spans="1:42" s="53" customFormat="1" ht="18.75" customHeight="1" thickBot="1" thickTop="1">
      <c r="A9" s="37">
        <f aca="true" t="shared" si="7" ref="A9:A44">IF(B9="","",ROW($A9)-ROW($A$7))</f>
      </c>
      <c r="B9" s="237"/>
      <c r="C9" s="207"/>
      <c r="D9" s="57"/>
      <c r="E9" s="58"/>
      <c r="F9" s="659"/>
      <c r="G9" s="663">
        <f aca="true" t="shared" si="8" ref="G9:G44">IF(A9="","",IF(F9&gt;30,30,F9))</f>
      </c>
      <c r="H9" s="650">
        <f t="shared" si="0"/>
      </c>
      <c r="I9" s="208"/>
      <c r="J9" s="209"/>
      <c r="K9" s="614"/>
      <c r="L9" s="739"/>
      <c r="M9" s="210">
        <f t="shared" si="1"/>
      </c>
      <c r="N9" s="211">
        <f aca="true" t="shared" si="9" ref="N9:N44">IF(A9="","",ROUNDDOWN(10032*G9*(K9/J9),0))</f>
      </c>
      <c r="O9" s="254"/>
      <c r="P9" s="194"/>
      <c r="Q9" s="212">
        <f>IF($H9="","",IF($O9="Ａ",LOOKUP($D9,{8000,8500,9000,10000,12000},{0,1532,1032,408,408}),IF($O9="Ｂ",LOOKUP($D9,{8000,8500,9000,10000,12000},{782,2814,2814,2814,2814}),0)))</f>
      </c>
      <c r="R9" s="254"/>
      <c r="S9" s="251">
        <v>0</v>
      </c>
      <c r="T9" s="626">
        <f>IF($H9="","",IF($R9="Ａ",LOOKUP($D9,{8000,8500,9000,10000,12000},{0,1532,1032,408,408}),IF($R9="Ｂ",LOOKUP($D9,{8000,8500,9000,10000,12000},{782,2814,2814,2814,2814}),0)))</f>
      </c>
      <c r="U9" s="214">
        <f aca="true" t="shared" si="10" ref="U9:U44">IF(L9&gt;=7,T9,IF(AND(J9+L9&lt;=7,L9&gt;=4),Q9,IF(ISERROR(ROUNDUP(Q9*3/12+T9*9/12,0)),"",ROUNDUP(Q9*3/12+T9*9/12,0))))</f>
      </c>
      <c r="V9" s="674">
        <f>IF(B9="","",SUMIF('6-3_調整額内訳②(旧々・新制度)'!B:B,$B9,'6-3_調整額内訳②(旧々・新制度)'!AD:AD))</f>
      </c>
      <c r="W9" s="213">
        <f t="shared" si="2"/>
      </c>
      <c r="X9" s="214">
        <f t="shared" si="3"/>
      </c>
      <c r="Y9" s="214">
        <f aca="true" t="shared" si="11" ref="Y9:Y44">IF(M9&gt;=N9,N9,M9)</f>
      </c>
      <c r="Z9" s="57"/>
      <c r="AA9" s="214">
        <f t="shared" si="4"/>
      </c>
      <c r="AB9" s="58"/>
      <c r="AC9" s="214" t="str">
        <f aca="true" t="shared" si="12" ref="AC9:AC44">_xlfn.IFERROR(D9*(E9-F9)*(K9/J9),"0")</f>
        <v>0</v>
      </c>
      <c r="AD9" s="669">
        <f aca="true" t="shared" si="13" ref="AD9:AD44">_xlfn.IFERROR(IF(AC9-AB9&gt;0,0,AC9-AB9),"0")</f>
        <v>0</v>
      </c>
      <c r="AE9" s="624"/>
      <c r="AF9" s="84">
        <f aca="true" t="shared" si="14" ref="AF9:AF44">IF(B9="","",MAX(0,Y9-AA9-AE9))</f>
      </c>
      <c r="AG9" s="621">
        <f aca="true" t="shared" si="15" ref="AG9:AG44">IF(B9="","",IF(MIN(X9,AF9)+AD9&gt;0,MIN(X9,AF9)+AD9,0))</f>
      </c>
      <c r="AH9" s="850"/>
      <c r="AI9" s="850"/>
      <c r="AJ9" s="851"/>
      <c r="AL9" s="60">
        <f t="shared" si="5"/>
      </c>
      <c r="AM9" s="60">
        <f t="shared" si="6"/>
      </c>
      <c r="AO9" s="55" t="s">
        <v>14</v>
      </c>
      <c r="AP9" s="61" t="str">
        <f>IF(V45='6-3_調整額内訳②(旧々・新制度)'!AD39,"OK","ERR")</f>
        <v>OK</v>
      </c>
    </row>
    <row r="10" spans="1:42" s="53" customFormat="1" ht="18.75" customHeight="1" thickTop="1">
      <c r="A10" s="181">
        <f t="shared" si="7"/>
      </c>
      <c r="B10" s="237"/>
      <c r="C10" s="207"/>
      <c r="D10" s="57"/>
      <c r="E10" s="58"/>
      <c r="F10" s="659"/>
      <c r="G10" s="663">
        <f t="shared" si="8"/>
      </c>
      <c r="H10" s="650">
        <f t="shared" si="0"/>
      </c>
      <c r="I10" s="208"/>
      <c r="J10" s="209"/>
      <c r="K10" s="614"/>
      <c r="L10" s="739"/>
      <c r="M10" s="210">
        <f t="shared" si="1"/>
      </c>
      <c r="N10" s="211">
        <f t="shared" si="9"/>
      </c>
      <c r="O10" s="254"/>
      <c r="P10" s="194"/>
      <c r="Q10" s="212">
        <f>IF($H10="","",IF($O10="Ａ",LOOKUP($D10,{8000,8500,9000,10000,12000},{0,1532,1032,408,408}),IF($O10="Ｂ",LOOKUP($D10,{8000,8500,9000,10000,12000},{782,2814,2814,2814,2814}),0)))</f>
      </c>
      <c r="R10" s="254"/>
      <c r="S10" s="251">
        <v>0</v>
      </c>
      <c r="T10" s="626">
        <f>IF($H10="","",IF($R10="Ａ",LOOKUP($D10,{8000,8500,9000,10000,12000},{0,1532,1032,408,408}),IF($R10="Ｂ",LOOKUP($D10,{8000,8500,9000,10000,12000},{782,2814,2814,2814,2814}),0)))</f>
      </c>
      <c r="U10" s="214">
        <f t="shared" si="10"/>
      </c>
      <c r="V10" s="674">
        <f>IF(B10="","",SUMIF('6-3_調整額内訳②(旧々・新制度)'!B:B,$B10,'6-3_調整額内訳②(旧々・新制度)'!AD:AD))</f>
      </c>
      <c r="W10" s="213">
        <f t="shared" si="2"/>
      </c>
      <c r="X10" s="214">
        <f t="shared" si="3"/>
      </c>
      <c r="Y10" s="214">
        <f t="shared" si="11"/>
      </c>
      <c r="Z10" s="57"/>
      <c r="AA10" s="214">
        <f t="shared" si="4"/>
      </c>
      <c r="AB10" s="58"/>
      <c r="AC10" s="214" t="str">
        <f t="shared" si="12"/>
        <v>0</v>
      </c>
      <c r="AD10" s="669">
        <f t="shared" si="13"/>
        <v>0</v>
      </c>
      <c r="AE10" s="624"/>
      <c r="AF10" s="84">
        <f t="shared" si="14"/>
      </c>
      <c r="AG10" s="621">
        <f t="shared" si="15"/>
      </c>
      <c r="AH10" s="850"/>
      <c r="AI10" s="850"/>
      <c r="AJ10" s="851"/>
      <c r="AL10" s="60">
        <f t="shared" si="5"/>
      </c>
      <c r="AM10" s="60">
        <f t="shared" si="6"/>
      </c>
      <c r="AO10" s="55"/>
      <c r="AP10" s="62"/>
    </row>
    <row r="11" spans="1:39" s="53" customFormat="1" ht="18.75" customHeight="1">
      <c r="A11" s="181">
        <f t="shared" si="7"/>
      </c>
      <c r="B11" s="237"/>
      <c r="C11" s="207"/>
      <c r="D11" s="57"/>
      <c r="E11" s="58"/>
      <c r="F11" s="659"/>
      <c r="G11" s="663">
        <f t="shared" si="8"/>
      </c>
      <c r="H11" s="650">
        <f t="shared" si="0"/>
      </c>
      <c r="I11" s="208"/>
      <c r="J11" s="209"/>
      <c r="K11" s="614"/>
      <c r="L11" s="739"/>
      <c r="M11" s="210">
        <f t="shared" si="1"/>
      </c>
      <c r="N11" s="211">
        <f t="shared" si="9"/>
      </c>
      <c r="O11" s="254"/>
      <c r="P11" s="194"/>
      <c r="Q11" s="212">
        <f>IF($H11="","",IF($O11="Ａ",LOOKUP($D11,{8000,8500,9000,10000,12000},{0,1532,1032,408,408}),IF($O11="Ｂ",LOOKUP($D11,{8000,8500,9000,10000,12000},{782,2814,2814,2814,2814}),0)))</f>
      </c>
      <c r="R11" s="254"/>
      <c r="S11" s="251">
        <v>0</v>
      </c>
      <c r="T11" s="626">
        <f>IF($H11="","",IF($R11="Ａ",LOOKUP($D11,{8000,8500,9000,10000,12000},{0,1532,1032,408,408}),IF($R11="Ｂ",LOOKUP($D11,{8000,8500,9000,10000,12000},{782,2814,2814,2814,2814}),0)))</f>
      </c>
      <c r="U11" s="214">
        <f t="shared" si="10"/>
      </c>
      <c r="V11" s="674">
        <f>IF(B11="","",SUMIF('6-3_調整額内訳②(旧々・新制度)'!B:B,$B11,'6-3_調整額内訳②(旧々・新制度)'!AD:AD))</f>
      </c>
      <c r="W11" s="213">
        <f t="shared" si="2"/>
      </c>
      <c r="X11" s="214">
        <f t="shared" si="3"/>
      </c>
      <c r="Y11" s="214">
        <f t="shared" si="11"/>
      </c>
      <c r="Z11" s="57"/>
      <c r="AA11" s="214">
        <f t="shared" si="4"/>
      </c>
      <c r="AB11" s="58"/>
      <c r="AC11" s="214" t="str">
        <f t="shared" si="12"/>
        <v>0</v>
      </c>
      <c r="AD11" s="669">
        <f t="shared" si="13"/>
        <v>0</v>
      </c>
      <c r="AE11" s="624"/>
      <c r="AF11" s="84">
        <f t="shared" si="14"/>
      </c>
      <c r="AG11" s="621">
        <f t="shared" si="15"/>
      </c>
      <c r="AH11" s="850"/>
      <c r="AI11" s="850"/>
      <c r="AJ11" s="851"/>
      <c r="AL11" s="60">
        <f t="shared" si="5"/>
      </c>
      <c r="AM11" s="60">
        <f t="shared" si="6"/>
      </c>
    </row>
    <row r="12" spans="1:39" s="53" customFormat="1" ht="18.75" customHeight="1">
      <c r="A12" s="181">
        <f t="shared" si="7"/>
      </c>
      <c r="B12" s="237"/>
      <c r="C12" s="207"/>
      <c r="D12" s="57"/>
      <c r="E12" s="58"/>
      <c r="F12" s="659"/>
      <c r="G12" s="663">
        <f t="shared" si="8"/>
      </c>
      <c r="H12" s="650">
        <f t="shared" si="0"/>
      </c>
      <c r="I12" s="208"/>
      <c r="J12" s="209"/>
      <c r="K12" s="614"/>
      <c r="L12" s="739"/>
      <c r="M12" s="210">
        <f t="shared" si="1"/>
      </c>
      <c r="N12" s="211">
        <f t="shared" si="9"/>
      </c>
      <c r="O12" s="254"/>
      <c r="P12" s="194"/>
      <c r="Q12" s="212">
        <f>IF($H12="","",IF($O12="Ａ",LOOKUP($D12,{8000,8500,9000,10000,12000},{0,1532,1032,408,408}),IF($O12="Ｂ",LOOKUP($D12,{8000,8500,9000,10000,12000},{782,2814,2814,2814,2814}),0)))</f>
      </c>
      <c r="R12" s="254"/>
      <c r="S12" s="251">
        <v>0</v>
      </c>
      <c r="T12" s="626">
        <f>IF($H12="","",IF($R12="Ａ",LOOKUP($D12,{8000,8500,9000,10000,12000},{0,1532,1032,408,408}),IF($R12="Ｂ",LOOKUP($D12,{8000,8500,9000,10000,12000},{782,2814,2814,2814,2814}),0)))</f>
      </c>
      <c r="U12" s="214">
        <f t="shared" si="10"/>
      </c>
      <c r="V12" s="674">
        <f>IF(B12="","",SUMIF('6-3_調整額内訳②(旧々・新制度)'!B:B,$B12,'6-3_調整額内訳②(旧々・新制度)'!AD:AD))</f>
      </c>
      <c r="W12" s="213">
        <f t="shared" si="2"/>
      </c>
      <c r="X12" s="214">
        <f t="shared" si="3"/>
      </c>
      <c r="Y12" s="214">
        <f t="shared" si="11"/>
      </c>
      <c r="Z12" s="57"/>
      <c r="AA12" s="214">
        <f t="shared" si="4"/>
      </c>
      <c r="AB12" s="58"/>
      <c r="AC12" s="214" t="str">
        <f t="shared" si="12"/>
        <v>0</v>
      </c>
      <c r="AD12" s="669">
        <f t="shared" si="13"/>
        <v>0</v>
      </c>
      <c r="AE12" s="624"/>
      <c r="AF12" s="84">
        <f t="shared" si="14"/>
      </c>
      <c r="AG12" s="621">
        <f t="shared" si="15"/>
      </c>
      <c r="AH12" s="850"/>
      <c r="AI12" s="850"/>
      <c r="AJ12" s="851"/>
      <c r="AL12" s="60">
        <f t="shared" si="5"/>
      </c>
      <c r="AM12" s="60">
        <f t="shared" si="6"/>
      </c>
    </row>
    <row r="13" spans="1:39" s="53" customFormat="1" ht="18.75" customHeight="1">
      <c r="A13" s="181">
        <f t="shared" si="7"/>
      </c>
      <c r="B13" s="237"/>
      <c r="C13" s="207"/>
      <c r="D13" s="57"/>
      <c r="E13" s="58"/>
      <c r="F13" s="659"/>
      <c r="G13" s="663">
        <f t="shared" si="8"/>
      </c>
      <c r="H13" s="650">
        <f t="shared" si="0"/>
      </c>
      <c r="I13" s="208"/>
      <c r="J13" s="209"/>
      <c r="K13" s="614"/>
      <c r="L13" s="739"/>
      <c r="M13" s="210">
        <f t="shared" si="1"/>
      </c>
      <c r="N13" s="211">
        <f t="shared" si="9"/>
      </c>
      <c r="O13" s="254"/>
      <c r="P13" s="194"/>
      <c r="Q13" s="212">
        <f>IF($H13="","",IF($O13="Ａ",LOOKUP($D13,{8000,8500,9000,10000,12000},{0,1532,1032,408,408}),IF($O13="Ｂ",LOOKUP($D13,{8000,8500,9000,10000,12000},{782,2814,2814,2814,2814}),0)))</f>
      </c>
      <c r="R13" s="254"/>
      <c r="S13" s="251">
        <v>0</v>
      </c>
      <c r="T13" s="626">
        <f>IF($H13="","",IF($R13="Ａ",LOOKUP($D13,{8000,8500,9000,10000,12000},{0,1532,1032,408,408}),IF($R13="Ｂ",LOOKUP($D13,{8000,8500,9000,10000,12000},{782,2814,2814,2814,2814}),0)))</f>
      </c>
      <c r="U13" s="214">
        <f t="shared" si="10"/>
      </c>
      <c r="V13" s="674">
        <f>IF(B13="","",SUMIF('6-3_調整額内訳②(旧々・新制度)'!B:B,$B13,'6-3_調整額内訳②(旧々・新制度)'!AD:AD))</f>
      </c>
      <c r="W13" s="213">
        <f t="shared" si="2"/>
      </c>
      <c r="X13" s="214">
        <f t="shared" si="3"/>
      </c>
      <c r="Y13" s="214">
        <f t="shared" si="11"/>
      </c>
      <c r="Z13" s="57"/>
      <c r="AA13" s="214">
        <f t="shared" si="4"/>
      </c>
      <c r="AB13" s="58"/>
      <c r="AC13" s="214" t="str">
        <f t="shared" si="12"/>
        <v>0</v>
      </c>
      <c r="AD13" s="669">
        <f t="shared" si="13"/>
        <v>0</v>
      </c>
      <c r="AE13" s="624"/>
      <c r="AF13" s="84">
        <f t="shared" si="14"/>
      </c>
      <c r="AG13" s="621">
        <f t="shared" si="15"/>
      </c>
      <c r="AH13" s="850" t="s">
        <v>273</v>
      </c>
      <c r="AI13" s="850"/>
      <c r="AJ13" s="851"/>
      <c r="AL13" s="60">
        <f t="shared" si="5"/>
      </c>
      <c r="AM13" s="60">
        <f t="shared" si="6"/>
      </c>
    </row>
    <row r="14" spans="1:39" s="53" customFormat="1" ht="18.75" customHeight="1">
      <c r="A14" s="181">
        <f t="shared" si="7"/>
      </c>
      <c r="B14" s="237"/>
      <c r="C14" s="207"/>
      <c r="D14" s="57"/>
      <c r="E14" s="58"/>
      <c r="F14" s="659"/>
      <c r="G14" s="663">
        <f t="shared" si="8"/>
      </c>
      <c r="H14" s="650">
        <f t="shared" si="0"/>
      </c>
      <c r="I14" s="208"/>
      <c r="J14" s="209"/>
      <c r="K14" s="614"/>
      <c r="L14" s="739"/>
      <c r="M14" s="210">
        <f t="shared" si="1"/>
      </c>
      <c r="N14" s="211">
        <f t="shared" si="9"/>
      </c>
      <c r="O14" s="254"/>
      <c r="P14" s="194"/>
      <c r="Q14" s="212">
        <f>IF($H14="","",IF($O14="Ａ",LOOKUP($D14,{8000,8500,9000,10000,12000},{0,1532,1032,408,408}),IF($O14="Ｂ",LOOKUP($D14,{8000,8500,9000,10000,12000},{782,2814,2814,2814,2814}),0)))</f>
      </c>
      <c r="R14" s="254"/>
      <c r="S14" s="251">
        <v>0</v>
      </c>
      <c r="T14" s="626">
        <f>IF($H14="","",IF($R14="Ａ",LOOKUP($D14,{8000,8500,9000,10000,12000},{0,1532,1032,408,408}),IF($R14="Ｂ",LOOKUP($D14,{8000,8500,9000,10000,12000},{782,2814,2814,2814,2814}),0)))</f>
      </c>
      <c r="U14" s="214">
        <f t="shared" si="10"/>
      </c>
      <c r="V14" s="674">
        <f>IF(B14="","",SUMIF('6-3_調整額内訳②(旧々・新制度)'!B:B,$B14,'6-3_調整額内訳②(旧々・新制度)'!AD:AD))</f>
      </c>
      <c r="W14" s="213">
        <f t="shared" si="2"/>
      </c>
      <c r="X14" s="214">
        <f t="shared" si="3"/>
      </c>
      <c r="Y14" s="214">
        <f t="shared" si="11"/>
      </c>
      <c r="Z14" s="57"/>
      <c r="AA14" s="214">
        <f t="shared" si="4"/>
      </c>
      <c r="AB14" s="58"/>
      <c r="AC14" s="214" t="str">
        <f t="shared" si="12"/>
        <v>0</v>
      </c>
      <c r="AD14" s="669">
        <f t="shared" si="13"/>
        <v>0</v>
      </c>
      <c r="AE14" s="624"/>
      <c r="AF14" s="84">
        <f t="shared" si="14"/>
      </c>
      <c r="AG14" s="621">
        <f t="shared" si="15"/>
      </c>
      <c r="AH14" s="850"/>
      <c r="AI14" s="850"/>
      <c r="AJ14" s="851"/>
      <c r="AL14" s="60">
        <f t="shared" si="5"/>
      </c>
      <c r="AM14" s="60">
        <f t="shared" si="6"/>
      </c>
    </row>
    <row r="15" spans="1:39" s="53" customFormat="1" ht="18.75" customHeight="1">
      <c r="A15" s="181">
        <f t="shared" si="7"/>
      </c>
      <c r="B15" s="237"/>
      <c r="C15" s="207"/>
      <c r="D15" s="57"/>
      <c r="E15" s="58"/>
      <c r="F15" s="659"/>
      <c r="G15" s="663">
        <f t="shared" si="8"/>
      </c>
      <c r="H15" s="650">
        <f t="shared" si="0"/>
      </c>
      <c r="I15" s="208"/>
      <c r="J15" s="209"/>
      <c r="K15" s="614"/>
      <c r="L15" s="739"/>
      <c r="M15" s="210">
        <f t="shared" si="1"/>
      </c>
      <c r="N15" s="211">
        <f t="shared" si="9"/>
      </c>
      <c r="O15" s="254"/>
      <c r="P15" s="194"/>
      <c r="Q15" s="212">
        <f>IF($H15="","",IF($O15="Ａ",LOOKUP($D15,{8000,8500,9000,10000,12000},{0,1532,1032,408,408}),IF($O15="Ｂ",LOOKUP($D15,{8000,8500,9000,10000,12000},{782,2814,2814,2814,2814}),0)))</f>
      </c>
      <c r="R15" s="254"/>
      <c r="S15" s="251">
        <v>0</v>
      </c>
      <c r="T15" s="626">
        <f>IF($H15="","",IF($R15="Ａ",LOOKUP($D15,{8000,8500,9000,10000,12000},{0,1532,1032,408,408}),IF($R15="Ｂ",LOOKUP($D15,{8000,8500,9000,10000,12000},{782,2814,2814,2814,2814}),0)))</f>
      </c>
      <c r="U15" s="214">
        <f t="shared" si="10"/>
      </c>
      <c r="V15" s="674">
        <f>IF(B15="","",SUMIF('6-3_調整額内訳②(旧々・新制度)'!B:B,$B15,'6-3_調整額内訳②(旧々・新制度)'!AD:AD))</f>
      </c>
      <c r="W15" s="213">
        <f t="shared" si="2"/>
      </c>
      <c r="X15" s="214">
        <f t="shared" si="3"/>
      </c>
      <c r="Y15" s="214">
        <f t="shared" si="11"/>
      </c>
      <c r="Z15" s="57"/>
      <c r="AA15" s="214">
        <f t="shared" si="4"/>
      </c>
      <c r="AB15" s="58"/>
      <c r="AC15" s="214" t="str">
        <f t="shared" si="12"/>
        <v>0</v>
      </c>
      <c r="AD15" s="669">
        <f t="shared" si="13"/>
        <v>0</v>
      </c>
      <c r="AE15" s="624"/>
      <c r="AF15" s="84">
        <f t="shared" si="14"/>
      </c>
      <c r="AG15" s="621">
        <f t="shared" si="15"/>
      </c>
      <c r="AH15" s="850"/>
      <c r="AI15" s="850"/>
      <c r="AJ15" s="851"/>
      <c r="AL15" s="60">
        <f t="shared" si="5"/>
      </c>
      <c r="AM15" s="60">
        <f t="shared" si="6"/>
      </c>
    </row>
    <row r="16" spans="1:39" s="53" customFormat="1" ht="18.75" customHeight="1">
      <c r="A16" s="181">
        <f t="shared" si="7"/>
      </c>
      <c r="B16" s="237"/>
      <c r="C16" s="207"/>
      <c r="D16" s="57"/>
      <c r="E16" s="58"/>
      <c r="F16" s="659"/>
      <c r="G16" s="663">
        <f t="shared" si="8"/>
      </c>
      <c r="H16" s="650">
        <f t="shared" si="0"/>
      </c>
      <c r="I16" s="208"/>
      <c r="J16" s="209"/>
      <c r="K16" s="614"/>
      <c r="L16" s="739"/>
      <c r="M16" s="210">
        <f t="shared" si="1"/>
      </c>
      <c r="N16" s="211">
        <f t="shared" si="9"/>
      </c>
      <c r="O16" s="254"/>
      <c r="P16" s="194"/>
      <c r="Q16" s="212">
        <f>IF($H16="","",IF($O16="Ａ",LOOKUP($D16,{8000,8500,9000,10000,12000},{0,1532,1032,408,408}),IF($O16="Ｂ",LOOKUP($D16,{8000,8500,9000,10000,12000},{782,2814,2814,2814,2814}),0)))</f>
      </c>
      <c r="R16" s="254"/>
      <c r="S16" s="251">
        <v>0</v>
      </c>
      <c r="T16" s="626">
        <f>IF($H16="","",IF($R16="Ａ",LOOKUP($D16,{8000,8500,9000,10000,12000},{0,1532,1032,408,408}),IF($R16="Ｂ",LOOKUP($D16,{8000,8500,9000,10000,12000},{782,2814,2814,2814,2814}),0)))</f>
      </c>
      <c r="U16" s="214">
        <f t="shared" si="10"/>
      </c>
      <c r="V16" s="674">
        <f>IF(B16="","",SUMIF('6-3_調整額内訳②(旧々・新制度)'!B:B,$B16,'6-3_調整額内訳②(旧々・新制度)'!AD:AD))</f>
      </c>
      <c r="W16" s="213">
        <f t="shared" si="2"/>
      </c>
      <c r="X16" s="214">
        <f t="shared" si="3"/>
      </c>
      <c r="Y16" s="214">
        <f t="shared" si="11"/>
      </c>
      <c r="Z16" s="57"/>
      <c r="AA16" s="214">
        <f t="shared" si="4"/>
      </c>
      <c r="AB16" s="58"/>
      <c r="AC16" s="214" t="str">
        <f t="shared" si="12"/>
        <v>0</v>
      </c>
      <c r="AD16" s="669">
        <f t="shared" si="13"/>
        <v>0</v>
      </c>
      <c r="AE16" s="624"/>
      <c r="AF16" s="84">
        <f t="shared" si="14"/>
      </c>
      <c r="AG16" s="621">
        <f t="shared" si="15"/>
      </c>
      <c r="AH16" s="850"/>
      <c r="AI16" s="850"/>
      <c r="AJ16" s="851"/>
      <c r="AL16" s="60">
        <f t="shared" si="5"/>
      </c>
      <c r="AM16" s="60">
        <f t="shared" si="6"/>
      </c>
    </row>
    <row r="17" spans="1:39" s="53" customFormat="1" ht="18.75" customHeight="1">
      <c r="A17" s="181">
        <f t="shared" si="7"/>
      </c>
      <c r="B17" s="237"/>
      <c r="C17" s="207"/>
      <c r="D17" s="57"/>
      <c r="E17" s="58"/>
      <c r="F17" s="659"/>
      <c r="G17" s="663">
        <f t="shared" si="8"/>
      </c>
      <c r="H17" s="650">
        <f t="shared" si="0"/>
      </c>
      <c r="I17" s="208"/>
      <c r="J17" s="209"/>
      <c r="K17" s="614"/>
      <c r="L17" s="739"/>
      <c r="M17" s="210">
        <f t="shared" si="1"/>
      </c>
      <c r="N17" s="211">
        <f t="shared" si="9"/>
      </c>
      <c r="O17" s="254"/>
      <c r="P17" s="194"/>
      <c r="Q17" s="212">
        <f>IF($H17="","",IF($O17="Ａ",LOOKUP($D17,{8000,8500,9000,10000,12000},{0,1532,1032,408,408}),IF($O17="Ｂ",LOOKUP($D17,{8000,8500,9000,10000,12000},{782,2814,2814,2814,2814}),0)))</f>
      </c>
      <c r="R17" s="254"/>
      <c r="S17" s="251">
        <v>0</v>
      </c>
      <c r="T17" s="626">
        <f>IF($H17="","",IF($R17="Ａ",LOOKUP($D17,{8000,8500,9000,10000,12000},{0,1532,1032,408,408}),IF($R17="Ｂ",LOOKUP($D17,{8000,8500,9000,10000,12000},{782,2814,2814,2814,2814}),0)))</f>
      </c>
      <c r="U17" s="214">
        <f t="shared" si="10"/>
      </c>
      <c r="V17" s="674">
        <f>IF(B17="","",SUMIF('6-3_調整額内訳②(旧々・新制度)'!B:B,$B17,'6-3_調整額内訳②(旧々・新制度)'!AD:AD))</f>
      </c>
      <c r="W17" s="213">
        <f t="shared" si="2"/>
      </c>
      <c r="X17" s="214">
        <f t="shared" si="3"/>
      </c>
      <c r="Y17" s="214">
        <f t="shared" si="11"/>
      </c>
      <c r="Z17" s="57"/>
      <c r="AA17" s="214">
        <f t="shared" si="4"/>
      </c>
      <c r="AB17" s="58"/>
      <c r="AC17" s="214" t="str">
        <f t="shared" si="12"/>
        <v>0</v>
      </c>
      <c r="AD17" s="669">
        <f t="shared" si="13"/>
        <v>0</v>
      </c>
      <c r="AE17" s="624"/>
      <c r="AF17" s="84">
        <f t="shared" si="14"/>
      </c>
      <c r="AG17" s="621">
        <f t="shared" si="15"/>
      </c>
      <c r="AH17" s="850"/>
      <c r="AI17" s="850"/>
      <c r="AJ17" s="851"/>
      <c r="AL17" s="60">
        <f t="shared" si="5"/>
      </c>
      <c r="AM17" s="60">
        <f t="shared" si="6"/>
      </c>
    </row>
    <row r="18" spans="1:39" s="53" customFormat="1" ht="18.75" customHeight="1">
      <c r="A18" s="181">
        <f t="shared" si="7"/>
      </c>
      <c r="B18" s="237"/>
      <c r="C18" s="207"/>
      <c r="D18" s="57"/>
      <c r="E18" s="58"/>
      <c r="F18" s="659"/>
      <c r="G18" s="663">
        <f t="shared" si="8"/>
      </c>
      <c r="H18" s="650">
        <f t="shared" si="0"/>
      </c>
      <c r="I18" s="208"/>
      <c r="J18" s="209"/>
      <c r="K18" s="614"/>
      <c r="L18" s="739"/>
      <c r="M18" s="210">
        <f t="shared" si="1"/>
      </c>
      <c r="N18" s="211">
        <f t="shared" si="9"/>
      </c>
      <c r="O18" s="254"/>
      <c r="P18" s="194"/>
      <c r="Q18" s="212">
        <f>IF($H18="","",IF($O18="Ａ",LOOKUP($D18,{8000,8500,9000,10000,12000},{0,1532,1032,408,408}),IF($O18="Ｂ",LOOKUP($D18,{8000,8500,9000,10000,12000},{782,2814,2814,2814,2814}),0)))</f>
      </c>
      <c r="R18" s="254"/>
      <c r="S18" s="251">
        <v>0</v>
      </c>
      <c r="T18" s="626">
        <f>IF($H18="","",IF($R18="Ａ",LOOKUP($D18,{8000,8500,9000,10000,12000},{0,1532,1032,408,408}),IF($R18="Ｂ",LOOKUP($D18,{8000,8500,9000,10000,12000},{782,2814,2814,2814,2814}),0)))</f>
      </c>
      <c r="U18" s="214">
        <f t="shared" si="10"/>
      </c>
      <c r="V18" s="674">
        <f>IF(B18="","",SUMIF('6-3_調整額内訳②(旧々・新制度)'!B:B,$B18,'6-3_調整額内訳②(旧々・新制度)'!AD:AD))</f>
      </c>
      <c r="W18" s="213">
        <f t="shared" si="2"/>
      </c>
      <c r="X18" s="214">
        <f t="shared" si="3"/>
      </c>
      <c r="Y18" s="214">
        <f t="shared" si="11"/>
      </c>
      <c r="Z18" s="57"/>
      <c r="AA18" s="214">
        <f t="shared" si="4"/>
      </c>
      <c r="AB18" s="58"/>
      <c r="AC18" s="214" t="str">
        <f t="shared" si="12"/>
        <v>0</v>
      </c>
      <c r="AD18" s="669">
        <f t="shared" si="13"/>
        <v>0</v>
      </c>
      <c r="AE18" s="624"/>
      <c r="AF18" s="84">
        <f t="shared" si="14"/>
      </c>
      <c r="AG18" s="621">
        <f t="shared" si="15"/>
      </c>
      <c r="AH18" s="850"/>
      <c r="AI18" s="850"/>
      <c r="AJ18" s="851"/>
      <c r="AL18" s="60">
        <f t="shared" si="5"/>
      </c>
      <c r="AM18" s="60">
        <f t="shared" si="6"/>
      </c>
    </row>
    <row r="19" spans="1:39" s="53" customFormat="1" ht="18.75" customHeight="1">
      <c r="A19" s="181">
        <f t="shared" si="7"/>
      </c>
      <c r="B19" s="237"/>
      <c r="C19" s="207"/>
      <c r="D19" s="57"/>
      <c r="E19" s="58"/>
      <c r="F19" s="659"/>
      <c r="G19" s="663">
        <f t="shared" si="8"/>
      </c>
      <c r="H19" s="650">
        <f t="shared" si="0"/>
      </c>
      <c r="I19" s="208"/>
      <c r="J19" s="209"/>
      <c r="K19" s="614"/>
      <c r="L19" s="739"/>
      <c r="M19" s="210">
        <f t="shared" si="1"/>
      </c>
      <c r="N19" s="211">
        <f t="shared" si="9"/>
      </c>
      <c r="O19" s="254"/>
      <c r="P19" s="194"/>
      <c r="Q19" s="212">
        <f>IF($H19="","",IF($O19="Ａ",LOOKUP($D19,{8000,8500,9000,10000,12000},{0,1532,1032,408,408}),IF($O19="Ｂ",LOOKUP($D19,{8000,8500,9000,10000,12000},{782,2814,2814,2814,2814}),0)))</f>
      </c>
      <c r="R19" s="254"/>
      <c r="S19" s="251">
        <v>0</v>
      </c>
      <c r="T19" s="626">
        <f>IF($H19="","",IF($R19="Ａ",LOOKUP($D19,{8000,8500,9000,10000,12000},{0,1532,1032,408,408}),IF($R19="Ｂ",LOOKUP($D19,{8000,8500,9000,10000,12000},{782,2814,2814,2814,2814}),0)))</f>
      </c>
      <c r="U19" s="214">
        <f t="shared" si="10"/>
      </c>
      <c r="V19" s="674">
        <f>IF(B19="","",SUMIF('6-3_調整額内訳②(旧々・新制度)'!B:B,$B19,'6-3_調整額内訳②(旧々・新制度)'!AD:AD))</f>
      </c>
      <c r="W19" s="213">
        <f t="shared" si="2"/>
      </c>
      <c r="X19" s="214">
        <f t="shared" si="3"/>
      </c>
      <c r="Y19" s="214">
        <f t="shared" si="11"/>
      </c>
      <c r="Z19" s="57"/>
      <c r="AA19" s="214">
        <f t="shared" si="4"/>
      </c>
      <c r="AB19" s="58"/>
      <c r="AC19" s="214" t="str">
        <f t="shared" si="12"/>
        <v>0</v>
      </c>
      <c r="AD19" s="669">
        <f t="shared" si="13"/>
        <v>0</v>
      </c>
      <c r="AE19" s="624"/>
      <c r="AF19" s="84">
        <f t="shared" si="14"/>
      </c>
      <c r="AG19" s="621">
        <f t="shared" si="15"/>
      </c>
      <c r="AH19" s="850"/>
      <c r="AI19" s="850"/>
      <c r="AJ19" s="851"/>
      <c r="AL19" s="60">
        <f t="shared" si="5"/>
      </c>
      <c r="AM19" s="60">
        <f t="shared" si="6"/>
      </c>
    </row>
    <row r="20" spans="1:39" s="53" customFormat="1" ht="18.75" customHeight="1">
      <c r="A20" s="181">
        <f t="shared" si="7"/>
      </c>
      <c r="B20" s="237"/>
      <c r="C20" s="207"/>
      <c r="D20" s="57"/>
      <c r="E20" s="58"/>
      <c r="F20" s="659"/>
      <c r="G20" s="663">
        <f t="shared" si="8"/>
      </c>
      <c r="H20" s="650">
        <f t="shared" si="0"/>
      </c>
      <c r="I20" s="208"/>
      <c r="J20" s="209"/>
      <c r="K20" s="614"/>
      <c r="L20" s="739"/>
      <c r="M20" s="210">
        <f t="shared" si="1"/>
      </c>
      <c r="N20" s="211">
        <f t="shared" si="9"/>
      </c>
      <c r="O20" s="254"/>
      <c r="P20" s="194"/>
      <c r="Q20" s="212">
        <f>IF($H20="","",IF($O20="Ａ",LOOKUP($D20,{8000,8500,9000,10000,12000},{0,1532,1032,408,408}),IF($O20="Ｂ",LOOKUP($D20,{8000,8500,9000,10000,12000},{782,2814,2814,2814,2814}),0)))</f>
      </c>
      <c r="R20" s="254"/>
      <c r="S20" s="251">
        <v>0</v>
      </c>
      <c r="T20" s="626">
        <f>IF($H20="","",IF($R20="Ａ",LOOKUP($D20,{8000,8500,9000,10000,12000},{0,1532,1032,408,408}),IF($R20="Ｂ",LOOKUP($D20,{8000,8500,9000,10000,12000},{782,2814,2814,2814,2814}),0)))</f>
      </c>
      <c r="U20" s="214">
        <f t="shared" si="10"/>
      </c>
      <c r="V20" s="674">
        <f>IF(B20="","",SUMIF('6-3_調整額内訳②(旧々・新制度)'!B:B,$B20,'6-3_調整額内訳②(旧々・新制度)'!AD:AD))</f>
      </c>
      <c r="W20" s="213">
        <f t="shared" si="2"/>
      </c>
      <c r="X20" s="214">
        <f t="shared" si="3"/>
      </c>
      <c r="Y20" s="214">
        <f t="shared" si="11"/>
      </c>
      <c r="Z20" s="57"/>
      <c r="AA20" s="214">
        <f t="shared" si="4"/>
      </c>
      <c r="AB20" s="58"/>
      <c r="AC20" s="214" t="str">
        <f t="shared" si="12"/>
        <v>0</v>
      </c>
      <c r="AD20" s="669">
        <f t="shared" si="13"/>
        <v>0</v>
      </c>
      <c r="AE20" s="624"/>
      <c r="AF20" s="84">
        <f t="shared" si="14"/>
      </c>
      <c r="AG20" s="621">
        <f t="shared" si="15"/>
      </c>
      <c r="AH20" s="850"/>
      <c r="AI20" s="850"/>
      <c r="AJ20" s="851"/>
      <c r="AL20" s="60">
        <f t="shared" si="5"/>
      </c>
      <c r="AM20" s="60">
        <f t="shared" si="6"/>
      </c>
    </row>
    <row r="21" spans="1:39" s="53" customFormat="1" ht="18.75" customHeight="1">
      <c r="A21" s="181">
        <f t="shared" si="7"/>
      </c>
      <c r="B21" s="237"/>
      <c r="C21" s="207"/>
      <c r="D21" s="57"/>
      <c r="E21" s="58"/>
      <c r="F21" s="659"/>
      <c r="G21" s="663">
        <f t="shared" si="8"/>
      </c>
      <c r="H21" s="650">
        <f t="shared" si="0"/>
      </c>
      <c r="I21" s="208"/>
      <c r="J21" s="209"/>
      <c r="K21" s="614"/>
      <c r="L21" s="739"/>
      <c r="M21" s="210">
        <f t="shared" si="1"/>
      </c>
      <c r="N21" s="211">
        <f t="shared" si="9"/>
      </c>
      <c r="O21" s="254"/>
      <c r="P21" s="194"/>
      <c r="Q21" s="212">
        <f>IF($H21="","",IF($O21="Ａ",LOOKUP($D21,{8000,8500,9000,10000,12000},{0,1532,1032,408,408}),IF($O21="Ｂ",LOOKUP($D21,{8000,8500,9000,10000,12000},{782,2814,2814,2814,2814}),0)))</f>
      </c>
      <c r="R21" s="254"/>
      <c r="S21" s="251">
        <v>0</v>
      </c>
      <c r="T21" s="626">
        <f>IF($H21="","",IF($R21="Ａ",LOOKUP($D21,{8000,8500,9000,10000,12000},{0,1532,1032,408,408}),IF($R21="Ｂ",LOOKUP($D21,{8000,8500,9000,10000,12000},{782,2814,2814,2814,2814}),0)))</f>
      </c>
      <c r="U21" s="214">
        <f t="shared" si="10"/>
      </c>
      <c r="V21" s="674">
        <f>IF(B21="","",SUMIF('6-3_調整額内訳②(旧々・新制度)'!B:B,$B21,'6-3_調整額内訳②(旧々・新制度)'!AD:AD))</f>
      </c>
      <c r="W21" s="213">
        <f t="shared" si="2"/>
      </c>
      <c r="X21" s="214">
        <f t="shared" si="3"/>
      </c>
      <c r="Y21" s="214">
        <f t="shared" si="11"/>
      </c>
      <c r="Z21" s="57"/>
      <c r="AA21" s="214">
        <f t="shared" si="4"/>
      </c>
      <c r="AB21" s="58"/>
      <c r="AC21" s="214" t="str">
        <f t="shared" si="12"/>
        <v>0</v>
      </c>
      <c r="AD21" s="669">
        <f t="shared" si="13"/>
        <v>0</v>
      </c>
      <c r="AE21" s="624"/>
      <c r="AF21" s="84">
        <f t="shared" si="14"/>
      </c>
      <c r="AG21" s="621">
        <f t="shared" si="15"/>
      </c>
      <c r="AH21" s="850"/>
      <c r="AI21" s="850"/>
      <c r="AJ21" s="851"/>
      <c r="AL21" s="60">
        <f t="shared" si="5"/>
      </c>
      <c r="AM21" s="60">
        <f t="shared" si="6"/>
      </c>
    </row>
    <row r="22" spans="1:39" s="53" customFormat="1" ht="18.75" customHeight="1">
      <c r="A22" s="181">
        <f t="shared" si="7"/>
      </c>
      <c r="B22" s="237"/>
      <c r="C22" s="207"/>
      <c r="D22" s="57"/>
      <c r="E22" s="58"/>
      <c r="F22" s="659"/>
      <c r="G22" s="663">
        <f t="shared" si="8"/>
      </c>
      <c r="H22" s="650">
        <f t="shared" si="0"/>
      </c>
      <c r="I22" s="208"/>
      <c r="J22" s="209"/>
      <c r="K22" s="614"/>
      <c r="L22" s="739"/>
      <c r="M22" s="210">
        <f t="shared" si="1"/>
      </c>
      <c r="N22" s="211">
        <f t="shared" si="9"/>
      </c>
      <c r="O22" s="254"/>
      <c r="P22" s="194"/>
      <c r="Q22" s="212">
        <f>IF($H22="","",IF($O22="Ａ",LOOKUP($D22,{8000,8500,9000,10000,12000},{0,1532,1032,408,408}),IF($O22="Ｂ",LOOKUP($D22,{8000,8500,9000,10000,12000},{782,2814,2814,2814,2814}),0)))</f>
      </c>
      <c r="R22" s="254"/>
      <c r="S22" s="251">
        <v>0</v>
      </c>
      <c r="T22" s="626">
        <f>IF($H22="","",IF($R22="Ａ",LOOKUP($D22,{8000,8500,9000,10000,12000},{0,1532,1032,408,408}),IF($R22="Ｂ",LOOKUP($D22,{8000,8500,9000,10000,12000},{782,2814,2814,2814,2814}),0)))</f>
      </c>
      <c r="U22" s="214">
        <f t="shared" si="10"/>
      </c>
      <c r="V22" s="674">
        <f>IF(B22="","",SUMIF('6-3_調整額内訳②(旧々・新制度)'!B:B,$B22,'6-3_調整額内訳②(旧々・新制度)'!AD:AD))</f>
      </c>
      <c r="W22" s="213">
        <f t="shared" si="2"/>
      </c>
      <c r="X22" s="214">
        <f t="shared" si="3"/>
      </c>
      <c r="Y22" s="214">
        <f t="shared" si="11"/>
      </c>
      <c r="Z22" s="57"/>
      <c r="AA22" s="214">
        <f t="shared" si="4"/>
      </c>
      <c r="AB22" s="58"/>
      <c r="AC22" s="214" t="str">
        <f t="shared" si="12"/>
        <v>0</v>
      </c>
      <c r="AD22" s="669">
        <f t="shared" si="13"/>
        <v>0</v>
      </c>
      <c r="AE22" s="624"/>
      <c r="AF22" s="84">
        <f t="shared" si="14"/>
      </c>
      <c r="AG22" s="621">
        <f t="shared" si="15"/>
      </c>
      <c r="AH22" s="850"/>
      <c r="AI22" s="850"/>
      <c r="AJ22" s="851"/>
      <c r="AL22" s="60">
        <f t="shared" si="5"/>
      </c>
      <c r="AM22" s="60">
        <f t="shared" si="6"/>
      </c>
    </row>
    <row r="23" spans="1:39" s="53" customFormat="1" ht="18.75" customHeight="1">
      <c r="A23" s="181">
        <f t="shared" si="7"/>
      </c>
      <c r="B23" s="237"/>
      <c r="C23" s="207"/>
      <c r="D23" s="57"/>
      <c r="E23" s="58"/>
      <c r="F23" s="659"/>
      <c r="G23" s="663">
        <f t="shared" si="8"/>
      </c>
      <c r="H23" s="650">
        <f t="shared" si="0"/>
      </c>
      <c r="I23" s="208"/>
      <c r="J23" s="209"/>
      <c r="K23" s="614"/>
      <c r="L23" s="739"/>
      <c r="M23" s="210">
        <f t="shared" si="1"/>
      </c>
      <c r="N23" s="211">
        <f t="shared" si="9"/>
      </c>
      <c r="O23" s="254"/>
      <c r="P23" s="194"/>
      <c r="Q23" s="212">
        <f>IF($H23="","",IF($O23="Ａ",LOOKUP($D23,{8000,8500,9000,10000,12000},{0,1532,1032,408,408}),IF($O23="Ｂ",LOOKUP($D23,{8000,8500,9000,10000,12000},{782,2814,2814,2814,2814}),0)))</f>
      </c>
      <c r="R23" s="254"/>
      <c r="S23" s="251">
        <v>0</v>
      </c>
      <c r="T23" s="626">
        <f>IF($H23="","",IF($R23="Ａ",LOOKUP($D23,{8000,8500,9000,10000,12000},{0,1532,1032,408,408}),IF($R23="Ｂ",LOOKUP($D23,{8000,8500,9000,10000,12000},{782,2814,2814,2814,2814}),0)))</f>
      </c>
      <c r="U23" s="214">
        <f t="shared" si="10"/>
      </c>
      <c r="V23" s="674">
        <f>IF(B23="","",SUMIF('6-3_調整額内訳②(旧々・新制度)'!B:B,$B23,'6-3_調整額内訳②(旧々・新制度)'!AD:AD))</f>
      </c>
      <c r="W23" s="213">
        <f t="shared" si="2"/>
      </c>
      <c r="X23" s="214">
        <f t="shared" si="3"/>
      </c>
      <c r="Y23" s="214">
        <f t="shared" si="11"/>
      </c>
      <c r="Z23" s="57"/>
      <c r="AA23" s="214">
        <f t="shared" si="4"/>
      </c>
      <c r="AB23" s="58"/>
      <c r="AC23" s="214" t="str">
        <f t="shared" si="12"/>
        <v>0</v>
      </c>
      <c r="AD23" s="669">
        <f t="shared" si="13"/>
        <v>0</v>
      </c>
      <c r="AE23" s="624"/>
      <c r="AF23" s="84">
        <f t="shared" si="14"/>
      </c>
      <c r="AG23" s="621">
        <f t="shared" si="15"/>
      </c>
      <c r="AH23" s="850"/>
      <c r="AI23" s="850"/>
      <c r="AJ23" s="851"/>
      <c r="AL23" s="60">
        <f t="shared" si="5"/>
      </c>
      <c r="AM23" s="60">
        <f t="shared" si="6"/>
      </c>
    </row>
    <row r="24" spans="1:39" s="53" customFormat="1" ht="18.75" customHeight="1">
      <c r="A24" s="181">
        <f t="shared" si="7"/>
      </c>
      <c r="B24" s="237"/>
      <c r="C24" s="207"/>
      <c r="D24" s="57"/>
      <c r="E24" s="58"/>
      <c r="F24" s="659"/>
      <c r="G24" s="663">
        <f t="shared" si="8"/>
      </c>
      <c r="H24" s="650">
        <f t="shared" si="0"/>
      </c>
      <c r="I24" s="208"/>
      <c r="J24" s="209"/>
      <c r="K24" s="614"/>
      <c r="L24" s="739"/>
      <c r="M24" s="210">
        <f t="shared" si="1"/>
      </c>
      <c r="N24" s="211">
        <f t="shared" si="9"/>
      </c>
      <c r="O24" s="254"/>
      <c r="P24" s="194"/>
      <c r="Q24" s="212">
        <f>IF($H24="","",IF($O24="Ａ",LOOKUP($D24,{8000,8500,9000,10000,12000},{0,1532,1032,408,408}),IF($O24="Ｂ",LOOKUP($D24,{8000,8500,9000,10000,12000},{782,2814,2814,2814,2814}),0)))</f>
      </c>
      <c r="R24" s="254"/>
      <c r="S24" s="251">
        <v>0</v>
      </c>
      <c r="T24" s="626">
        <f>IF($H24="","",IF($R24="Ａ",LOOKUP($D24,{8000,8500,9000,10000,12000},{0,1532,1032,408,408}),IF($R24="Ｂ",LOOKUP($D24,{8000,8500,9000,10000,12000},{782,2814,2814,2814,2814}),0)))</f>
      </c>
      <c r="U24" s="214">
        <f t="shared" si="10"/>
      </c>
      <c r="V24" s="674">
        <f>IF(B24="","",SUMIF('6-3_調整額内訳②(旧々・新制度)'!B:B,$B24,'6-3_調整額内訳②(旧々・新制度)'!AD:AD))</f>
      </c>
      <c r="W24" s="213">
        <f t="shared" si="2"/>
      </c>
      <c r="X24" s="214">
        <f t="shared" si="3"/>
      </c>
      <c r="Y24" s="214">
        <f t="shared" si="11"/>
      </c>
      <c r="Z24" s="57"/>
      <c r="AA24" s="214">
        <f t="shared" si="4"/>
      </c>
      <c r="AB24" s="58"/>
      <c r="AC24" s="214" t="str">
        <f t="shared" si="12"/>
        <v>0</v>
      </c>
      <c r="AD24" s="669">
        <f t="shared" si="13"/>
        <v>0</v>
      </c>
      <c r="AE24" s="624"/>
      <c r="AF24" s="84">
        <f t="shared" si="14"/>
      </c>
      <c r="AG24" s="621">
        <f t="shared" si="15"/>
      </c>
      <c r="AH24" s="850"/>
      <c r="AI24" s="850"/>
      <c r="AJ24" s="851"/>
      <c r="AL24" s="60">
        <f t="shared" si="5"/>
      </c>
      <c r="AM24" s="60">
        <f t="shared" si="6"/>
      </c>
    </row>
    <row r="25" spans="1:39" s="53" customFormat="1" ht="18.75" customHeight="1">
      <c r="A25" s="181">
        <f t="shared" si="7"/>
      </c>
      <c r="B25" s="237"/>
      <c r="C25" s="207"/>
      <c r="D25" s="57"/>
      <c r="E25" s="58"/>
      <c r="F25" s="659"/>
      <c r="G25" s="663">
        <f t="shared" si="8"/>
      </c>
      <c r="H25" s="650">
        <f t="shared" si="0"/>
      </c>
      <c r="I25" s="208"/>
      <c r="J25" s="209"/>
      <c r="K25" s="614"/>
      <c r="L25" s="739"/>
      <c r="M25" s="210">
        <f t="shared" si="1"/>
      </c>
      <c r="N25" s="211">
        <f t="shared" si="9"/>
      </c>
      <c r="O25" s="254"/>
      <c r="P25" s="194"/>
      <c r="Q25" s="212">
        <f>IF($H25="","",IF($O25="Ａ",LOOKUP($D25,{8000,8500,9000,10000,12000},{0,1532,1032,408,408}),IF($O25="Ｂ",LOOKUP($D25,{8000,8500,9000,10000,12000},{782,2814,2814,2814,2814}),0)))</f>
      </c>
      <c r="R25" s="254"/>
      <c r="S25" s="251">
        <v>0</v>
      </c>
      <c r="T25" s="626">
        <f>IF($H25="","",IF($R25="Ａ",LOOKUP($D25,{8000,8500,9000,10000,12000},{0,1532,1032,408,408}),IF($R25="Ｂ",LOOKUP($D25,{8000,8500,9000,10000,12000},{782,2814,2814,2814,2814}),0)))</f>
      </c>
      <c r="U25" s="214">
        <f t="shared" si="10"/>
      </c>
      <c r="V25" s="674">
        <f>IF(B25="","",SUMIF('6-3_調整額内訳②(旧々・新制度)'!B:B,$B25,'6-3_調整額内訳②(旧々・新制度)'!AD:AD))</f>
      </c>
      <c r="W25" s="213">
        <f t="shared" si="2"/>
      </c>
      <c r="X25" s="214">
        <f t="shared" si="3"/>
      </c>
      <c r="Y25" s="214">
        <f t="shared" si="11"/>
      </c>
      <c r="Z25" s="57"/>
      <c r="AA25" s="214">
        <f t="shared" si="4"/>
      </c>
      <c r="AB25" s="58"/>
      <c r="AC25" s="214" t="str">
        <f t="shared" si="12"/>
        <v>0</v>
      </c>
      <c r="AD25" s="669">
        <f t="shared" si="13"/>
        <v>0</v>
      </c>
      <c r="AE25" s="624"/>
      <c r="AF25" s="84">
        <f t="shared" si="14"/>
      </c>
      <c r="AG25" s="621">
        <f t="shared" si="15"/>
      </c>
      <c r="AH25" s="850"/>
      <c r="AI25" s="850"/>
      <c r="AJ25" s="851"/>
      <c r="AL25" s="60">
        <f t="shared" si="5"/>
      </c>
      <c r="AM25" s="60">
        <f t="shared" si="6"/>
      </c>
    </row>
    <row r="26" spans="1:39" s="53" customFormat="1" ht="18.75" customHeight="1">
      <c r="A26" s="181">
        <f t="shared" si="7"/>
      </c>
      <c r="B26" s="237"/>
      <c r="C26" s="207"/>
      <c r="D26" s="57"/>
      <c r="E26" s="58"/>
      <c r="F26" s="659"/>
      <c r="G26" s="663">
        <f t="shared" si="8"/>
      </c>
      <c r="H26" s="650">
        <f t="shared" si="0"/>
      </c>
      <c r="I26" s="208"/>
      <c r="J26" s="209"/>
      <c r="K26" s="614"/>
      <c r="L26" s="739"/>
      <c r="M26" s="210">
        <f t="shared" si="1"/>
      </c>
      <c r="N26" s="211">
        <f t="shared" si="9"/>
      </c>
      <c r="O26" s="254"/>
      <c r="P26" s="194"/>
      <c r="Q26" s="212">
        <f>IF($H26="","",IF($O26="Ａ",LOOKUP($D26,{8000,8500,9000,10000,12000},{0,1532,1032,408,408}),IF($O26="Ｂ",LOOKUP($D26,{8000,8500,9000,10000,12000},{782,2814,2814,2814,2814}),0)))</f>
      </c>
      <c r="R26" s="254"/>
      <c r="S26" s="251">
        <v>0</v>
      </c>
      <c r="T26" s="626">
        <f>IF($H26="","",IF($R26="Ａ",LOOKUP($D26,{8000,8500,9000,10000,12000},{0,1532,1032,408,408}),IF($R26="Ｂ",LOOKUP($D26,{8000,8500,9000,10000,12000},{782,2814,2814,2814,2814}),0)))</f>
      </c>
      <c r="U26" s="214">
        <f t="shared" si="10"/>
      </c>
      <c r="V26" s="674">
        <f>IF(B26="","",SUMIF('6-3_調整額内訳②(旧々・新制度)'!B:B,$B26,'6-3_調整額内訳②(旧々・新制度)'!AD:AD))</f>
      </c>
      <c r="W26" s="213">
        <f t="shared" si="2"/>
      </c>
      <c r="X26" s="214">
        <f t="shared" si="3"/>
      </c>
      <c r="Y26" s="214">
        <f t="shared" si="11"/>
      </c>
      <c r="Z26" s="57"/>
      <c r="AA26" s="214">
        <f t="shared" si="4"/>
      </c>
      <c r="AB26" s="58"/>
      <c r="AC26" s="214" t="str">
        <f t="shared" si="12"/>
        <v>0</v>
      </c>
      <c r="AD26" s="669">
        <f t="shared" si="13"/>
        <v>0</v>
      </c>
      <c r="AE26" s="624"/>
      <c r="AF26" s="84">
        <f t="shared" si="14"/>
      </c>
      <c r="AG26" s="621">
        <f t="shared" si="15"/>
      </c>
      <c r="AH26" s="850"/>
      <c r="AI26" s="850"/>
      <c r="AJ26" s="851"/>
      <c r="AL26" s="60">
        <f t="shared" si="5"/>
      </c>
      <c r="AM26" s="60">
        <f t="shared" si="6"/>
      </c>
    </row>
    <row r="27" spans="1:39" s="53" customFormat="1" ht="18.75" customHeight="1">
      <c r="A27" s="181">
        <f t="shared" si="7"/>
      </c>
      <c r="B27" s="237"/>
      <c r="C27" s="207"/>
      <c r="D27" s="57"/>
      <c r="E27" s="58"/>
      <c r="F27" s="659"/>
      <c r="G27" s="663">
        <f t="shared" si="8"/>
      </c>
      <c r="H27" s="650">
        <f t="shared" si="0"/>
      </c>
      <c r="I27" s="208"/>
      <c r="J27" s="209"/>
      <c r="K27" s="614"/>
      <c r="L27" s="739"/>
      <c r="M27" s="210">
        <f t="shared" si="1"/>
      </c>
      <c r="N27" s="211">
        <f t="shared" si="9"/>
      </c>
      <c r="O27" s="254"/>
      <c r="P27" s="194"/>
      <c r="Q27" s="212">
        <f>IF($H27="","",IF($O27="Ａ",LOOKUP($D27,{8000,8500,9000,10000,12000},{0,1532,1032,408,408}),IF($O27="Ｂ",LOOKUP($D27,{8000,8500,9000,10000,12000},{782,2814,2814,2814,2814}),0)))</f>
      </c>
      <c r="R27" s="254"/>
      <c r="S27" s="251">
        <v>0</v>
      </c>
      <c r="T27" s="626">
        <f>IF($H27="","",IF($R27="Ａ",LOOKUP($D27,{8000,8500,9000,10000,12000},{0,1532,1032,408,408}),IF($R27="Ｂ",LOOKUP($D27,{8000,8500,9000,10000,12000},{782,2814,2814,2814,2814}),0)))</f>
      </c>
      <c r="U27" s="214">
        <f t="shared" si="10"/>
      </c>
      <c r="V27" s="674">
        <f>IF(B27="","",SUMIF('6-3_調整額内訳②(旧々・新制度)'!B:B,$B27,'6-3_調整額内訳②(旧々・新制度)'!AD:AD))</f>
      </c>
      <c r="W27" s="213">
        <f t="shared" si="2"/>
      </c>
      <c r="X27" s="214">
        <f t="shared" si="3"/>
      </c>
      <c r="Y27" s="214">
        <f t="shared" si="11"/>
      </c>
      <c r="Z27" s="57"/>
      <c r="AA27" s="214">
        <f t="shared" si="4"/>
      </c>
      <c r="AB27" s="58"/>
      <c r="AC27" s="214" t="str">
        <f t="shared" si="12"/>
        <v>0</v>
      </c>
      <c r="AD27" s="669">
        <f t="shared" si="13"/>
        <v>0</v>
      </c>
      <c r="AE27" s="624"/>
      <c r="AF27" s="84">
        <f t="shared" si="14"/>
      </c>
      <c r="AG27" s="621">
        <f t="shared" si="15"/>
      </c>
      <c r="AH27" s="850"/>
      <c r="AI27" s="850"/>
      <c r="AJ27" s="851"/>
      <c r="AL27" s="60">
        <f t="shared" si="5"/>
      </c>
      <c r="AM27" s="60">
        <f t="shared" si="6"/>
      </c>
    </row>
    <row r="28" spans="1:39" s="53" customFormat="1" ht="18.75" customHeight="1">
      <c r="A28" s="181">
        <f t="shared" si="7"/>
      </c>
      <c r="B28" s="237"/>
      <c r="C28" s="207"/>
      <c r="D28" s="57"/>
      <c r="E28" s="58"/>
      <c r="F28" s="659"/>
      <c r="G28" s="663">
        <f t="shared" si="8"/>
      </c>
      <c r="H28" s="650">
        <f t="shared" si="0"/>
      </c>
      <c r="I28" s="208"/>
      <c r="J28" s="209"/>
      <c r="K28" s="614"/>
      <c r="L28" s="739"/>
      <c r="M28" s="210">
        <f t="shared" si="1"/>
      </c>
      <c r="N28" s="211">
        <f t="shared" si="9"/>
      </c>
      <c r="O28" s="254"/>
      <c r="P28" s="194"/>
      <c r="Q28" s="212">
        <f>IF($H28="","",IF($O28="Ａ",LOOKUP($D28,{8000,8500,9000,10000,12000},{0,1532,1032,408,408}),IF($O28="Ｂ",LOOKUP($D28,{8000,8500,9000,10000,12000},{782,2814,2814,2814,2814}),0)))</f>
      </c>
      <c r="R28" s="254"/>
      <c r="S28" s="251">
        <v>0</v>
      </c>
      <c r="T28" s="626">
        <f>IF($H28="","",IF($R28="Ａ",LOOKUP($D28,{8000,8500,9000,10000,12000},{0,1532,1032,408,408}),IF($R28="Ｂ",LOOKUP($D28,{8000,8500,9000,10000,12000},{782,2814,2814,2814,2814}),0)))</f>
      </c>
      <c r="U28" s="214">
        <f t="shared" si="10"/>
      </c>
      <c r="V28" s="674">
        <f>IF(B28="","",SUMIF('6-3_調整額内訳②(旧々・新制度)'!B:B,$B28,'6-3_調整額内訳②(旧々・新制度)'!AD:AD))</f>
      </c>
      <c r="W28" s="213">
        <f t="shared" si="2"/>
      </c>
      <c r="X28" s="214">
        <f t="shared" si="3"/>
      </c>
      <c r="Y28" s="214">
        <f t="shared" si="11"/>
      </c>
      <c r="Z28" s="57"/>
      <c r="AA28" s="214">
        <f t="shared" si="4"/>
      </c>
      <c r="AB28" s="58"/>
      <c r="AC28" s="214" t="str">
        <f t="shared" si="12"/>
        <v>0</v>
      </c>
      <c r="AD28" s="669">
        <f t="shared" si="13"/>
        <v>0</v>
      </c>
      <c r="AE28" s="624"/>
      <c r="AF28" s="84">
        <f t="shared" si="14"/>
      </c>
      <c r="AG28" s="621">
        <f t="shared" si="15"/>
      </c>
      <c r="AH28" s="850"/>
      <c r="AI28" s="850"/>
      <c r="AJ28" s="851"/>
      <c r="AL28" s="60">
        <f t="shared" si="5"/>
      </c>
      <c r="AM28" s="60">
        <f t="shared" si="6"/>
      </c>
    </row>
    <row r="29" spans="1:39" s="53" customFormat="1" ht="18.75" customHeight="1">
      <c r="A29" s="181">
        <f t="shared" si="7"/>
      </c>
      <c r="B29" s="237"/>
      <c r="C29" s="207"/>
      <c r="D29" s="57"/>
      <c r="E29" s="58"/>
      <c r="F29" s="659"/>
      <c r="G29" s="663">
        <f t="shared" si="8"/>
      </c>
      <c r="H29" s="650">
        <f t="shared" si="0"/>
      </c>
      <c r="I29" s="208"/>
      <c r="J29" s="209"/>
      <c r="K29" s="614"/>
      <c r="L29" s="739"/>
      <c r="M29" s="210">
        <f t="shared" si="1"/>
      </c>
      <c r="N29" s="211">
        <f t="shared" si="9"/>
      </c>
      <c r="O29" s="254"/>
      <c r="P29" s="194"/>
      <c r="Q29" s="212">
        <f>IF($H29="","",IF($O29="Ａ",LOOKUP($D29,{8000,8500,9000,10000,12000},{0,1532,1032,408,408}),IF($O29="Ｂ",LOOKUP($D29,{8000,8500,9000,10000,12000},{782,2814,2814,2814,2814}),0)))</f>
      </c>
      <c r="R29" s="254"/>
      <c r="S29" s="251">
        <v>0</v>
      </c>
      <c r="T29" s="626">
        <f>IF($H29="","",IF($R29="Ａ",LOOKUP($D29,{8000,8500,9000,10000,12000},{0,1532,1032,408,408}),IF($R29="Ｂ",LOOKUP($D29,{8000,8500,9000,10000,12000},{782,2814,2814,2814,2814}),0)))</f>
      </c>
      <c r="U29" s="214">
        <f t="shared" si="10"/>
      </c>
      <c r="V29" s="674">
        <f>IF(B29="","",SUMIF('6-3_調整額内訳②(旧々・新制度)'!B:B,$B29,'6-3_調整額内訳②(旧々・新制度)'!AD:AD))</f>
      </c>
      <c r="W29" s="213">
        <f t="shared" si="2"/>
      </c>
      <c r="X29" s="214">
        <f t="shared" si="3"/>
      </c>
      <c r="Y29" s="214">
        <f t="shared" si="11"/>
      </c>
      <c r="Z29" s="57"/>
      <c r="AA29" s="214">
        <f t="shared" si="4"/>
      </c>
      <c r="AB29" s="58"/>
      <c r="AC29" s="214" t="str">
        <f t="shared" si="12"/>
        <v>0</v>
      </c>
      <c r="AD29" s="669">
        <f t="shared" si="13"/>
        <v>0</v>
      </c>
      <c r="AE29" s="624"/>
      <c r="AF29" s="84">
        <f t="shared" si="14"/>
      </c>
      <c r="AG29" s="621">
        <f t="shared" si="15"/>
      </c>
      <c r="AH29" s="850"/>
      <c r="AI29" s="850"/>
      <c r="AJ29" s="851"/>
      <c r="AL29" s="60">
        <f t="shared" si="5"/>
      </c>
      <c r="AM29" s="60">
        <f t="shared" si="6"/>
      </c>
    </row>
    <row r="30" spans="1:39" s="53" customFormat="1" ht="18.75" customHeight="1">
      <c r="A30" s="181">
        <f t="shared" si="7"/>
      </c>
      <c r="B30" s="237"/>
      <c r="C30" s="207"/>
      <c r="D30" s="57"/>
      <c r="E30" s="58"/>
      <c r="F30" s="659"/>
      <c r="G30" s="663">
        <f t="shared" si="8"/>
      </c>
      <c r="H30" s="650">
        <f t="shared" si="0"/>
      </c>
      <c r="I30" s="208"/>
      <c r="J30" s="209"/>
      <c r="K30" s="614"/>
      <c r="L30" s="739"/>
      <c r="M30" s="210">
        <f t="shared" si="1"/>
      </c>
      <c r="N30" s="211">
        <f t="shared" si="9"/>
      </c>
      <c r="O30" s="254"/>
      <c r="P30" s="194"/>
      <c r="Q30" s="212">
        <f>IF($H30="","",IF($O30="Ａ",LOOKUP($D30,{8000,8500,9000,10000,12000},{0,1532,1032,408,408}),IF($O30="Ｂ",LOOKUP($D30,{8000,8500,9000,10000,12000},{782,2814,2814,2814,2814}),0)))</f>
      </c>
      <c r="R30" s="254"/>
      <c r="S30" s="251">
        <v>0</v>
      </c>
      <c r="T30" s="626">
        <f>IF($H30="","",IF($R30="Ａ",LOOKUP($D30,{8000,8500,9000,10000,12000},{0,1532,1032,408,408}),IF($R30="Ｂ",LOOKUP($D30,{8000,8500,9000,10000,12000},{782,2814,2814,2814,2814}),0)))</f>
      </c>
      <c r="U30" s="214">
        <f t="shared" si="10"/>
      </c>
      <c r="V30" s="674">
        <f>IF(B30="","",SUMIF('6-3_調整額内訳②(旧々・新制度)'!B:B,$B30,'6-3_調整額内訳②(旧々・新制度)'!AD:AD))</f>
      </c>
      <c r="W30" s="213">
        <f t="shared" si="2"/>
      </c>
      <c r="X30" s="214">
        <f t="shared" si="3"/>
      </c>
      <c r="Y30" s="214">
        <f t="shared" si="11"/>
      </c>
      <c r="Z30" s="57"/>
      <c r="AA30" s="214">
        <f t="shared" si="4"/>
      </c>
      <c r="AB30" s="58"/>
      <c r="AC30" s="214" t="str">
        <f t="shared" si="12"/>
        <v>0</v>
      </c>
      <c r="AD30" s="669">
        <f t="shared" si="13"/>
        <v>0</v>
      </c>
      <c r="AE30" s="624"/>
      <c r="AF30" s="84">
        <f t="shared" si="14"/>
      </c>
      <c r="AG30" s="621">
        <f t="shared" si="15"/>
      </c>
      <c r="AH30" s="850"/>
      <c r="AI30" s="850"/>
      <c r="AJ30" s="851"/>
      <c r="AL30" s="60">
        <f t="shared" si="5"/>
      </c>
      <c r="AM30" s="60">
        <f t="shared" si="6"/>
      </c>
    </row>
    <row r="31" spans="1:39" s="53" customFormat="1" ht="18.75" customHeight="1">
      <c r="A31" s="181">
        <f t="shared" si="7"/>
      </c>
      <c r="B31" s="237"/>
      <c r="C31" s="207"/>
      <c r="D31" s="57"/>
      <c r="E31" s="58"/>
      <c r="F31" s="659"/>
      <c r="G31" s="663">
        <f t="shared" si="8"/>
      </c>
      <c r="H31" s="650">
        <f t="shared" si="0"/>
      </c>
      <c r="I31" s="208"/>
      <c r="J31" s="209"/>
      <c r="K31" s="614"/>
      <c r="L31" s="739"/>
      <c r="M31" s="210">
        <f t="shared" si="1"/>
      </c>
      <c r="N31" s="211">
        <f t="shared" si="9"/>
      </c>
      <c r="O31" s="254"/>
      <c r="P31" s="194"/>
      <c r="Q31" s="212">
        <f>IF($H31="","",IF($O31="Ａ",LOOKUP($D31,{8000,8500,9000,10000,12000},{0,1532,1032,408,408}),IF($O31="Ｂ",LOOKUP($D31,{8000,8500,9000,10000,12000},{782,2814,2814,2814,2814}),0)))</f>
      </c>
      <c r="R31" s="254"/>
      <c r="S31" s="251">
        <v>0</v>
      </c>
      <c r="T31" s="626">
        <f>IF($H31="","",IF($R31="Ａ",LOOKUP($D31,{8000,8500,9000,10000,12000},{0,1532,1032,408,408}),IF($R31="Ｂ",LOOKUP($D31,{8000,8500,9000,10000,12000},{782,2814,2814,2814,2814}),0)))</f>
      </c>
      <c r="U31" s="214">
        <f t="shared" si="10"/>
      </c>
      <c r="V31" s="674">
        <f>IF(B31="","",SUMIF('6-3_調整額内訳②(旧々・新制度)'!B:B,$B31,'6-3_調整額内訳②(旧々・新制度)'!AD:AD))</f>
      </c>
      <c r="W31" s="213">
        <f t="shared" si="2"/>
      </c>
      <c r="X31" s="214">
        <f t="shared" si="3"/>
      </c>
      <c r="Y31" s="214">
        <f t="shared" si="11"/>
      </c>
      <c r="Z31" s="57"/>
      <c r="AA31" s="214">
        <f t="shared" si="4"/>
      </c>
      <c r="AB31" s="58"/>
      <c r="AC31" s="214" t="str">
        <f t="shared" si="12"/>
        <v>0</v>
      </c>
      <c r="AD31" s="669">
        <f t="shared" si="13"/>
        <v>0</v>
      </c>
      <c r="AE31" s="624"/>
      <c r="AF31" s="84">
        <f t="shared" si="14"/>
      </c>
      <c r="AG31" s="621">
        <f t="shared" si="15"/>
      </c>
      <c r="AH31" s="850"/>
      <c r="AI31" s="850"/>
      <c r="AJ31" s="851"/>
      <c r="AL31" s="60">
        <f t="shared" si="5"/>
      </c>
      <c r="AM31" s="60">
        <f t="shared" si="6"/>
      </c>
    </row>
    <row r="32" spans="1:39" s="53" customFormat="1" ht="18.75" customHeight="1">
      <c r="A32" s="181">
        <f t="shared" si="7"/>
      </c>
      <c r="B32" s="237"/>
      <c r="C32" s="207"/>
      <c r="D32" s="57"/>
      <c r="E32" s="58"/>
      <c r="F32" s="659"/>
      <c r="G32" s="663">
        <f t="shared" si="8"/>
      </c>
      <c r="H32" s="650">
        <f t="shared" si="0"/>
      </c>
      <c r="I32" s="208"/>
      <c r="J32" s="209"/>
      <c r="K32" s="614"/>
      <c r="L32" s="739"/>
      <c r="M32" s="210">
        <f t="shared" si="1"/>
      </c>
      <c r="N32" s="211">
        <f t="shared" si="9"/>
      </c>
      <c r="O32" s="254"/>
      <c r="P32" s="194"/>
      <c r="Q32" s="212">
        <f>IF($H32="","",IF($O32="Ａ",LOOKUP($D32,{8000,8500,9000,10000,12000},{0,1532,1032,408,408}),IF($O32="Ｂ",LOOKUP($D32,{8000,8500,9000,10000,12000},{782,2814,2814,2814,2814}),0)))</f>
      </c>
      <c r="R32" s="254"/>
      <c r="S32" s="251">
        <v>0</v>
      </c>
      <c r="T32" s="626">
        <f>IF($H32="","",IF($R32="Ａ",LOOKUP($D32,{8000,8500,9000,10000,12000},{0,1532,1032,408,408}),IF($R32="Ｂ",LOOKUP($D32,{8000,8500,9000,10000,12000},{782,2814,2814,2814,2814}),0)))</f>
      </c>
      <c r="U32" s="214">
        <f t="shared" si="10"/>
      </c>
      <c r="V32" s="674">
        <f>IF(B32="","",SUMIF('6-3_調整額内訳②(旧々・新制度)'!B:B,$B32,'6-3_調整額内訳②(旧々・新制度)'!AD:AD))</f>
      </c>
      <c r="W32" s="213">
        <f t="shared" si="2"/>
      </c>
      <c r="X32" s="214">
        <f t="shared" si="3"/>
      </c>
      <c r="Y32" s="214">
        <f t="shared" si="11"/>
      </c>
      <c r="Z32" s="57"/>
      <c r="AA32" s="214">
        <f t="shared" si="4"/>
      </c>
      <c r="AB32" s="58"/>
      <c r="AC32" s="214" t="str">
        <f t="shared" si="12"/>
        <v>0</v>
      </c>
      <c r="AD32" s="669">
        <f t="shared" si="13"/>
        <v>0</v>
      </c>
      <c r="AE32" s="624"/>
      <c r="AF32" s="84">
        <f t="shared" si="14"/>
      </c>
      <c r="AG32" s="621">
        <f t="shared" si="15"/>
      </c>
      <c r="AH32" s="850"/>
      <c r="AI32" s="850"/>
      <c r="AJ32" s="851"/>
      <c r="AL32" s="60">
        <f t="shared" si="5"/>
      </c>
      <c r="AM32" s="60">
        <f t="shared" si="6"/>
      </c>
    </row>
    <row r="33" spans="1:39" s="53" customFormat="1" ht="18.75" customHeight="1">
      <c r="A33" s="27">
        <f t="shared" si="7"/>
      </c>
      <c r="B33" s="237"/>
      <c r="C33" s="207"/>
      <c r="D33" s="57"/>
      <c r="E33" s="58"/>
      <c r="F33" s="659"/>
      <c r="G33" s="663">
        <f t="shared" si="8"/>
      </c>
      <c r="H33" s="650">
        <f t="shared" si="0"/>
      </c>
      <c r="I33" s="208"/>
      <c r="J33" s="209"/>
      <c r="K33" s="614"/>
      <c r="L33" s="739"/>
      <c r="M33" s="210">
        <f t="shared" si="1"/>
      </c>
      <c r="N33" s="211">
        <f t="shared" si="9"/>
      </c>
      <c r="O33" s="254"/>
      <c r="P33" s="194"/>
      <c r="Q33" s="212">
        <f>IF($H33="","",IF($O33="Ａ",LOOKUP($D33,{8000,8500,9000,10000,12000},{0,1532,1032,408,408}),IF($O33="Ｂ",LOOKUP($D33,{8000,8500,9000,10000,12000},{782,2814,2814,2814,2814}),0)))</f>
      </c>
      <c r="R33" s="254"/>
      <c r="S33" s="251">
        <v>0</v>
      </c>
      <c r="T33" s="626">
        <f>IF($H33="","",IF($R33="Ａ",LOOKUP($D33,{8000,8500,9000,10000,12000},{0,1532,1032,408,408}),IF($R33="Ｂ",LOOKUP($D33,{8000,8500,9000,10000,12000},{782,2814,2814,2814,2814}),0)))</f>
      </c>
      <c r="U33" s="214">
        <f t="shared" si="10"/>
      </c>
      <c r="V33" s="674">
        <f>IF(B33="","",SUMIF('6-3_調整額内訳②(旧々・新制度)'!B:B,$B33,'6-3_調整額内訳②(旧々・新制度)'!AD:AD))</f>
      </c>
      <c r="W33" s="213">
        <f t="shared" si="2"/>
      </c>
      <c r="X33" s="214">
        <f t="shared" si="3"/>
      </c>
      <c r="Y33" s="214">
        <f t="shared" si="11"/>
      </c>
      <c r="Z33" s="57"/>
      <c r="AA33" s="214">
        <f t="shared" si="4"/>
      </c>
      <c r="AB33" s="58"/>
      <c r="AC33" s="214" t="str">
        <f t="shared" si="12"/>
        <v>0</v>
      </c>
      <c r="AD33" s="669">
        <f t="shared" si="13"/>
        <v>0</v>
      </c>
      <c r="AE33" s="624"/>
      <c r="AF33" s="84">
        <f t="shared" si="14"/>
      </c>
      <c r="AG33" s="621">
        <f t="shared" si="15"/>
      </c>
      <c r="AH33" s="850"/>
      <c r="AI33" s="850"/>
      <c r="AJ33" s="851"/>
      <c r="AL33" s="60">
        <f t="shared" si="5"/>
      </c>
      <c r="AM33" s="60">
        <f t="shared" si="6"/>
      </c>
    </row>
    <row r="34" spans="1:39" s="53" customFormat="1" ht="18.75" customHeight="1">
      <c r="A34" s="27">
        <f t="shared" si="7"/>
      </c>
      <c r="B34" s="237"/>
      <c r="C34" s="207"/>
      <c r="D34" s="57"/>
      <c r="E34" s="58"/>
      <c r="F34" s="659"/>
      <c r="G34" s="663">
        <f t="shared" si="8"/>
      </c>
      <c r="H34" s="650">
        <f t="shared" si="0"/>
      </c>
      <c r="I34" s="208"/>
      <c r="J34" s="209"/>
      <c r="K34" s="614"/>
      <c r="L34" s="739"/>
      <c r="M34" s="210">
        <f t="shared" si="1"/>
      </c>
      <c r="N34" s="211">
        <f t="shared" si="9"/>
      </c>
      <c r="O34" s="254"/>
      <c r="P34" s="194"/>
      <c r="Q34" s="212">
        <f>IF($H34="","",IF($O34="Ａ",LOOKUP($D34,{8000,8500,9000,10000,12000},{0,1532,1032,408,408}),IF($O34="Ｂ",LOOKUP($D34,{8000,8500,9000,10000,12000},{782,2814,2814,2814,2814}),0)))</f>
      </c>
      <c r="R34" s="254"/>
      <c r="S34" s="251">
        <v>0</v>
      </c>
      <c r="T34" s="626">
        <f>IF($H34="","",IF($R34="Ａ",LOOKUP($D34,{8000,8500,9000,10000,12000},{0,1532,1032,408,408}),IF($R34="Ｂ",LOOKUP($D34,{8000,8500,9000,10000,12000},{782,2814,2814,2814,2814}),0)))</f>
      </c>
      <c r="U34" s="214">
        <f t="shared" si="10"/>
      </c>
      <c r="V34" s="674">
        <f>IF(B34="","",SUMIF('6-3_調整額内訳②(旧々・新制度)'!B:B,$B34,'6-3_調整額内訳②(旧々・新制度)'!AD:AD))</f>
      </c>
      <c r="W34" s="213">
        <f t="shared" si="2"/>
      </c>
      <c r="X34" s="214">
        <f t="shared" si="3"/>
      </c>
      <c r="Y34" s="214">
        <f t="shared" si="11"/>
      </c>
      <c r="Z34" s="57"/>
      <c r="AA34" s="214">
        <f t="shared" si="4"/>
      </c>
      <c r="AB34" s="58"/>
      <c r="AC34" s="214" t="str">
        <f t="shared" si="12"/>
        <v>0</v>
      </c>
      <c r="AD34" s="669">
        <f t="shared" si="13"/>
        <v>0</v>
      </c>
      <c r="AE34" s="624"/>
      <c r="AF34" s="84">
        <f t="shared" si="14"/>
      </c>
      <c r="AG34" s="621">
        <f t="shared" si="15"/>
      </c>
      <c r="AH34" s="850"/>
      <c r="AI34" s="850"/>
      <c r="AJ34" s="851"/>
      <c r="AL34" s="60">
        <f t="shared" si="5"/>
      </c>
      <c r="AM34" s="60">
        <f t="shared" si="6"/>
      </c>
    </row>
    <row r="35" spans="1:39" s="53" customFormat="1" ht="18.75" customHeight="1">
      <c r="A35" s="37">
        <f t="shared" si="7"/>
      </c>
      <c r="B35" s="237"/>
      <c r="C35" s="207"/>
      <c r="D35" s="57"/>
      <c r="E35" s="58"/>
      <c r="F35" s="659"/>
      <c r="G35" s="663">
        <f t="shared" si="8"/>
      </c>
      <c r="H35" s="650">
        <f t="shared" si="0"/>
      </c>
      <c r="I35" s="208"/>
      <c r="J35" s="209"/>
      <c r="K35" s="614"/>
      <c r="L35" s="739"/>
      <c r="M35" s="210">
        <f t="shared" si="1"/>
      </c>
      <c r="N35" s="211">
        <f t="shared" si="9"/>
      </c>
      <c r="O35" s="254"/>
      <c r="P35" s="194"/>
      <c r="Q35" s="212">
        <f>IF($H35="","",IF($O35="Ａ",LOOKUP($D35,{8000,8500,9000,10000,12000},{0,1532,1032,408,408}),IF($O35="Ｂ",LOOKUP($D35,{8000,8500,9000,10000,12000},{782,2814,2814,2814,2814}),0)))</f>
      </c>
      <c r="R35" s="254"/>
      <c r="S35" s="251">
        <v>0</v>
      </c>
      <c r="T35" s="626">
        <f>IF($H35="","",IF($R35="Ａ",LOOKUP($D35,{8000,8500,9000,10000,12000},{0,1532,1032,408,408}),IF($R35="Ｂ",LOOKUP($D35,{8000,8500,9000,10000,12000},{782,2814,2814,2814,2814}),0)))</f>
      </c>
      <c r="U35" s="214">
        <f t="shared" si="10"/>
      </c>
      <c r="V35" s="674">
        <f>IF(B35="","",SUMIF('6-3_調整額内訳②(旧々・新制度)'!B:B,$B35,'6-3_調整額内訳②(旧々・新制度)'!AD:AD))</f>
      </c>
      <c r="W35" s="213">
        <f t="shared" si="2"/>
      </c>
      <c r="X35" s="214">
        <f t="shared" si="3"/>
      </c>
      <c r="Y35" s="214">
        <f t="shared" si="11"/>
      </c>
      <c r="Z35" s="57"/>
      <c r="AA35" s="214">
        <f t="shared" si="4"/>
      </c>
      <c r="AB35" s="58"/>
      <c r="AC35" s="214" t="str">
        <f t="shared" si="12"/>
        <v>0</v>
      </c>
      <c r="AD35" s="669">
        <f t="shared" si="13"/>
        <v>0</v>
      </c>
      <c r="AE35" s="624"/>
      <c r="AF35" s="84">
        <f t="shared" si="14"/>
      </c>
      <c r="AG35" s="621">
        <f t="shared" si="15"/>
      </c>
      <c r="AH35" s="850"/>
      <c r="AI35" s="850"/>
      <c r="AJ35" s="851"/>
      <c r="AL35" s="60">
        <f t="shared" si="5"/>
      </c>
      <c r="AM35" s="60">
        <f t="shared" si="6"/>
      </c>
    </row>
    <row r="36" spans="1:39" s="53" customFormat="1" ht="18.75" customHeight="1">
      <c r="A36" s="181">
        <f t="shared" si="7"/>
      </c>
      <c r="B36" s="237"/>
      <c r="C36" s="207"/>
      <c r="D36" s="57"/>
      <c r="E36" s="299"/>
      <c r="F36" s="660"/>
      <c r="G36" s="663">
        <f t="shared" si="8"/>
      </c>
      <c r="H36" s="651">
        <f t="shared" si="0"/>
      </c>
      <c r="I36" s="300"/>
      <c r="J36" s="301"/>
      <c r="K36" s="300"/>
      <c r="L36" s="740"/>
      <c r="M36" s="210">
        <f t="shared" si="1"/>
      </c>
      <c r="N36" s="211">
        <f t="shared" si="9"/>
      </c>
      <c r="O36" s="254"/>
      <c r="P36" s="194"/>
      <c r="Q36" s="212">
        <f>IF($H36="","",IF($O36="Ａ",LOOKUP($D36,{8000,8500,9000,10000,12000},{0,1532,1032,408,408}),IF($O36="Ｂ",LOOKUP($D36,{8000,8500,9000,10000,12000},{782,2814,2814,2814,2814}),0)))</f>
      </c>
      <c r="R36" s="254"/>
      <c r="S36" s="251">
        <v>0</v>
      </c>
      <c r="T36" s="626">
        <f>IF($H36="","",IF($R36="Ａ",LOOKUP($D36,{8000,8500,9000,10000,12000},{0,1532,1032,408,408}),IF($R36="Ｂ",LOOKUP($D36,{8000,8500,9000,10000,12000},{782,2814,2814,2814,2814}),0)))</f>
      </c>
      <c r="U36" s="214">
        <f t="shared" si="10"/>
      </c>
      <c r="V36" s="674">
        <f>IF(B36="","",SUMIF('6-3_調整額内訳②(旧々・新制度)'!B:B,$B36,'6-3_調整額内訳②(旧々・新制度)'!AD:AD))</f>
      </c>
      <c r="W36" s="213">
        <f t="shared" si="2"/>
      </c>
      <c r="X36" s="214">
        <f t="shared" si="3"/>
      </c>
      <c r="Y36" s="214">
        <f t="shared" si="11"/>
      </c>
      <c r="Z36" s="57"/>
      <c r="AA36" s="214">
        <f t="shared" si="4"/>
      </c>
      <c r="AB36" s="58"/>
      <c r="AC36" s="214" t="str">
        <f t="shared" si="12"/>
        <v>0</v>
      </c>
      <c r="AD36" s="669">
        <f t="shared" si="13"/>
        <v>0</v>
      </c>
      <c r="AE36" s="624"/>
      <c r="AF36" s="84">
        <f t="shared" si="14"/>
      </c>
      <c r="AG36" s="621">
        <f t="shared" si="15"/>
      </c>
      <c r="AH36" s="850"/>
      <c r="AI36" s="850"/>
      <c r="AJ36" s="851"/>
      <c r="AL36" s="60">
        <f t="shared" si="5"/>
      </c>
      <c r="AM36" s="60">
        <f t="shared" si="6"/>
      </c>
    </row>
    <row r="37" spans="1:39" s="53" customFormat="1" ht="18.75" customHeight="1">
      <c r="A37" s="27">
        <f t="shared" si="7"/>
      </c>
      <c r="B37" s="237"/>
      <c r="C37" s="207"/>
      <c r="D37" s="57"/>
      <c r="E37" s="58"/>
      <c r="F37" s="659"/>
      <c r="G37" s="663">
        <f t="shared" si="8"/>
      </c>
      <c r="H37" s="650">
        <f t="shared" si="0"/>
      </c>
      <c r="I37" s="208"/>
      <c r="J37" s="209"/>
      <c r="K37" s="614"/>
      <c r="L37" s="739"/>
      <c r="M37" s="210">
        <f t="shared" si="1"/>
      </c>
      <c r="N37" s="211">
        <f t="shared" si="9"/>
      </c>
      <c r="O37" s="254"/>
      <c r="P37" s="194"/>
      <c r="Q37" s="212">
        <f>IF($H37="","",IF($O37="Ａ",LOOKUP($D37,{8000,8500,9000,10000,12000},{0,1532,1032,408,408}),IF($O37="Ｂ",LOOKUP($D37,{8000,8500,9000,10000,12000},{782,2814,2814,2814,2814}),0)))</f>
      </c>
      <c r="R37" s="254"/>
      <c r="S37" s="251">
        <v>0</v>
      </c>
      <c r="T37" s="626">
        <f>IF($H37="","",IF($R37="Ａ",LOOKUP($D37,{8000,8500,9000,10000,12000},{0,1532,1032,408,408}),IF($R37="Ｂ",LOOKUP($D37,{8000,8500,9000,10000,12000},{782,2814,2814,2814,2814}),0)))</f>
      </c>
      <c r="U37" s="214">
        <f t="shared" si="10"/>
      </c>
      <c r="V37" s="674">
        <f>IF(B37="","",SUMIF('6-3_調整額内訳②(旧々・新制度)'!B:B,$B37,'6-3_調整額内訳②(旧々・新制度)'!AD:AD))</f>
      </c>
      <c r="W37" s="213">
        <f t="shared" si="2"/>
      </c>
      <c r="X37" s="214">
        <f t="shared" si="3"/>
      </c>
      <c r="Y37" s="214">
        <f t="shared" si="11"/>
      </c>
      <c r="Z37" s="57"/>
      <c r="AA37" s="214">
        <f t="shared" si="4"/>
      </c>
      <c r="AB37" s="58"/>
      <c r="AC37" s="214" t="str">
        <f t="shared" si="12"/>
        <v>0</v>
      </c>
      <c r="AD37" s="669">
        <f t="shared" si="13"/>
        <v>0</v>
      </c>
      <c r="AE37" s="624"/>
      <c r="AF37" s="84">
        <f t="shared" si="14"/>
      </c>
      <c r="AG37" s="621">
        <f t="shared" si="15"/>
      </c>
      <c r="AH37" s="850"/>
      <c r="AI37" s="850"/>
      <c r="AJ37" s="851"/>
      <c r="AL37" s="60">
        <f t="shared" si="5"/>
      </c>
      <c r="AM37" s="60">
        <f t="shared" si="6"/>
      </c>
    </row>
    <row r="38" spans="1:39" s="53" customFormat="1" ht="18.75" customHeight="1">
      <c r="A38" s="27">
        <f t="shared" si="7"/>
      </c>
      <c r="B38" s="237"/>
      <c r="C38" s="207"/>
      <c r="D38" s="57"/>
      <c r="E38" s="58"/>
      <c r="F38" s="659"/>
      <c r="G38" s="663">
        <f t="shared" si="8"/>
      </c>
      <c r="H38" s="650">
        <f t="shared" si="0"/>
      </c>
      <c r="I38" s="208"/>
      <c r="J38" s="209"/>
      <c r="K38" s="614"/>
      <c r="L38" s="739"/>
      <c r="M38" s="210">
        <f t="shared" si="1"/>
      </c>
      <c r="N38" s="211">
        <f t="shared" si="9"/>
      </c>
      <c r="O38" s="254"/>
      <c r="P38" s="194"/>
      <c r="Q38" s="212">
        <f>IF($H38="","",IF($O38="Ａ",LOOKUP($D38,{8000,8500,9000,10000,12000},{0,1532,1032,408,408}),IF($O38="Ｂ",LOOKUP($D38,{8000,8500,9000,10000,12000},{782,2814,2814,2814,2814}),0)))</f>
      </c>
      <c r="R38" s="254"/>
      <c r="S38" s="251">
        <v>0</v>
      </c>
      <c r="T38" s="626">
        <f>IF($H38="","",IF($R38="Ａ",LOOKUP($D38,{8000,8500,9000,10000,12000},{0,1532,1032,408,408}),IF($R38="Ｂ",LOOKUP($D38,{8000,8500,9000,10000,12000},{782,2814,2814,2814,2814}),0)))</f>
      </c>
      <c r="U38" s="214">
        <f t="shared" si="10"/>
      </c>
      <c r="V38" s="674">
        <f>IF(B38="","",SUMIF('6-3_調整額内訳②(旧々・新制度)'!B:B,$B38,'6-3_調整額内訳②(旧々・新制度)'!AD:AD))</f>
      </c>
      <c r="W38" s="213">
        <f t="shared" si="2"/>
      </c>
      <c r="X38" s="214">
        <f t="shared" si="3"/>
      </c>
      <c r="Y38" s="214">
        <f t="shared" si="11"/>
      </c>
      <c r="Z38" s="57"/>
      <c r="AA38" s="214">
        <f t="shared" si="4"/>
      </c>
      <c r="AB38" s="58"/>
      <c r="AC38" s="214" t="str">
        <f t="shared" si="12"/>
        <v>0</v>
      </c>
      <c r="AD38" s="669">
        <f t="shared" si="13"/>
        <v>0</v>
      </c>
      <c r="AE38" s="624"/>
      <c r="AF38" s="84">
        <f t="shared" si="14"/>
      </c>
      <c r="AG38" s="621">
        <f t="shared" si="15"/>
      </c>
      <c r="AH38" s="850"/>
      <c r="AI38" s="850"/>
      <c r="AJ38" s="851"/>
      <c r="AL38" s="60">
        <f t="shared" si="5"/>
      </c>
      <c r="AM38" s="60">
        <f t="shared" si="6"/>
      </c>
    </row>
    <row r="39" spans="1:39" s="53" customFormat="1" ht="18.75" customHeight="1">
      <c r="A39" s="27">
        <f t="shared" si="7"/>
      </c>
      <c r="B39" s="237"/>
      <c r="C39" s="207"/>
      <c r="D39" s="57"/>
      <c r="E39" s="58"/>
      <c r="F39" s="659"/>
      <c r="G39" s="663">
        <f t="shared" si="8"/>
      </c>
      <c r="H39" s="650">
        <f t="shared" si="0"/>
      </c>
      <c r="I39" s="208"/>
      <c r="J39" s="209"/>
      <c r="K39" s="614"/>
      <c r="L39" s="739"/>
      <c r="M39" s="210">
        <f t="shared" si="1"/>
      </c>
      <c r="N39" s="211">
        <f t="shared" si="9"/>
      </c>
      <c r="O39" s="254"/>
      <c r="P39" s="194"/>
      <c r="Q39" s="212">
        <f>IF($H39="","",IF($O39="Ａ",LOOKUP($D39,{8000,8500,9000,10000,12000},{0,1532,1032,408,408}),IF($O39="Ｂ",LOOKUP($D39,{8000,8500,9000,10000,12000},{782,2814,2814,2814,2814}),0)))</f>
      </c>
      <c r="R39" s="254"/>
      <c r="S39" s="251">
        <v>0</v>
      </c>
      <c r="T39" s="626">
        <f>IF($H39="","",IF($R39="Ａ",LOOKUP($D39,{8000,8500,9000,10000,12000},{0,1532,1032,408,408}),IF($R39="Ｂ",LOOKUP($D39,{8000,8500,9000,10000,12000},{782,2814,2814,2814,2814}),0)))</f>
      </c>
      <c r="U39" s="214">
        <f t="shared" si="10"/>
      </c>
      <c r="V39" s="674">
        <f>IF(B39="","",SUMIF('6-3_調整額内訳②(旧々・新制度)'!B:B,$B39,'6-3_調整額内訳②(旧々・新制度)'!AD:AD))</f>
      </c>
      <c r="W39" s="213">
        <f t="shared" si="2"/>
      </c>
      <c r="X39" s="214">
        <f t="shared" si="3"/>
      </c>
      <c r="Y39" s="214">
        <f t="shared" si="11"/>
      </c>
      <c r="Z39" s="57"/>
      <c r="AA39" s="214">
        <f t="shared" si="4"/>
      </c>
      <c r="AB39" s="58"/>
      <c r="AC39" s="214" t="str">
        <f t="shared" si="12"/>
        <v>0</v>
      </c>
      <c r="AD39" s="669">
        <f t="shared" si="13"/>
        <v>0</v>
      </c>
      <c r="AE39" s="624"/>
      <c r="AF39" s="84">
        <f t="shared" si="14"/>
      </c>
      <c r="AG39" s="621">
        <f t="shared" si="15"/>
      </c>
      <c r="AH39" s="850"/>
      <c r="AI39" s="850"/>
      <c r="AJ39" s="851"/>
      <c r="AL39" s="60">
        <f t="shared" si="5"/>
      </c>
      <c r="AM39" s="60">
        <f t="shared" si="6"/>
      </c>
    </row>
    <row r="40" spans="1:39" s="53" customFormat="1" ht="18.75" customHeight="1">
      <c r="A40" s="37">
        <f t="shared" si="7"/>
      </c>
      <c r="B40" s="237"/>
      <c r="C40" s="207"/>
      <c r="D40" s="57"/>
      <c r="E40" s="58"/>
      <c r="F40" s="659"/>
      <c r="G40" s="663">
        <f t="shared" si="8"/>
      </c>
      <c r="H40" s="650">
        <f t="shared" si="0"/>
      </c>
      <c r="I40" s="208"/>
      <c r="J40" s="209"/>
      <c r="K40" s="614"/>
      <c r="L40" s="739"/>
      <c r="M40" s="210">
        <f t="shared" si="1"/>
      </c>
      <c r="N40" s="211">
        <f t="shared" si="9"/>
      </c>
      <c r="O40" s="254"/>
      <c r="P40" s="194"/>
      <c r="Q40" s="212">
        <f>IF($H40="","",IF($O40="Ａ",LOOKUP($D40,{8000,8500,9000,10000,12000},{0,1532,1032,408,408}),IF($O40="Ｂ",LOOKUP($D40,{8000,8500,9000,10000,12000},{782,2814,2814,2814,2814}),0)))</f>
      </c>
      <c r="R40" s="254"/>
      <c r="S40" s="251">
        <v>0</v>
      </c>
      <c r="T40" s="626">
        <f>IF($H40="","",IF($R40="Ａ",LOOKUP($D40,{8000,8500,9000,10000,12000},{0,1532,1032,408,408}),IF($R40="Ｂ",LOOKUP($D40,{8000,8500,9000,10000,12000},{782,2814,2814,2814,2814}),0)))</f>
      </c>
      <c r="U40" s="214">
        <f t="shared" si="10"/>
      </c>
      <c r="V40" s="674">
        <f>IF(B40="","",SUMIF('6-3_調整額内訳②(旧々・新制度)'!B:B,$B40,'6-3_調整額内訳②(旧々・新制度)'!AD:AD))</f>
      </c>
      <c r="W40" s="213">
        <f t="shared" si="2"/>
      </c>
      <c r="X40" s="214">
        <f t="shared" si="3"/>
      </c>
      <c r="Y40" s="214">
        <f t="shared" si="11"/>
      </c>
      <c r="Z40" s="57"/>
      <c r="AA40" s="214">
        <f t="shared" si="4"/>
      </c>
      <c r="AB40" s="58"/>
      <c r="AC40" s="214" t="str">
        <f t="shared" si="12"/>
        <v>0</v>
      </c>
      <c r="AD40" s="669">
        <f t="shared" si="13"/>
        <v>0</v>
      </c>
      <c r="AE40" s="624"/>
      <c r="AF40" s="84">
        <f t="shared" si="14"/>
      </c>
      <c r="AG40" s="621">
        <f t="shared" si="15"/>
      </c>
      <c r="AH40" s="850"/>
      <c r="AI40" s="850"/>
      <c r="AJ40" s="851"/>
      <c r="AL40" s="60">
        <f t="shared" si="5"/>
      </c>
      <c r="AM40" s="60">
        <f t="shared" si="6"/>
      </c>
    </row>
    <row r="41" spans="1:39" s="53" customFormat="1" ht="18.75" customHeight="1">
      <c r="A41" s="181">
        <f t="shared" si="7"/>
      </c>
      <c r="B41" s="237"/>
      <c r="C41" s="207"/>
      <c r="D41" s="57"/>
      <c r="E41" s="58"/>
      <c r="F41" s="659"/>
      <c r="G41" s="663">
        <f t="shared" si="8"/>
      </c>
      <c r="H41" s="650">
        <f t="shared" si="0"/>
      </c>
      <c r="I41" s="208"/>
      <c r="J41" s="209"/>
      <c r="K41" s="614"/>
      <c r="L41" s="739"/>
      <c r="M41" s="210">
        <f t="shared" si="1"/>
      </c>
      <c r="N41" s="211">
        <f t="shared" si="9"/>
      </c>
      <c r="O41" s="254"/>
      <c r="P41" s="194"/>
      <c r="Q41" s="212">
        <f>IF($H41="","",IF($O41="Ａ",LOOKUP($D41,{8000,8500,9000,10000,12000},{0,1532,1032,408,408}),IF($O41="Ｂ",LOOKUP($D41,{8000,8500,9000,10000,12000},{782,2814,2814,2814,2814}),0)))</f>
      </c>
      <c r="R41" s="254"/>
      <c r="S41" s="251">
        <v>0</v>
      </c>
      <c r="T41" s="626">
        <f>IF($H41="","",IF($R41="Ａ",LOOKUP($D41,{8000,8500,9000,10000,12000},{0,1532,1032,408,408}),IF($R41="Ｂ",LOOKUP($D41,{8000,8500,9000,10000,12000},{782,2814,2814,2814,2814}),0)))</f>
      </c>
      <c r="U41" s="214">
        <f t="shared" si="10"/>
      </c>
      <c r="V41" s="674">
        <f>IF(B41="","",SUMIF('6-3_調整額内訳②(旧々・新制度)'!B:B,$B41,'6-3_調整額内訳②(旧々・新制度)'!AD:AD))</f>
      </c>
      <c r="W41" s="213">
        <f t="shared" si="2"/>
      </c>
      <c r="X41" s="214">
        <f t="shared" si="3"/>
      </c>
      <c r="Y41" s="214">
        <f t="shared" si="11"/>
      </c>
      <c r="Z41" s="57"/>
      <c r="AA41" s="214">
        <f t="shared" si="4"/>
      </c>
      <c r="AB41" s="58"/>
      <c r="AC41" s="214" t="str">
        <f t="shared" si="12"/>
        <v>0</v>
      </c>
      <c r="AD41" s="669">
        <f t="shared" si="13"/>
        <v>0</v>
      </c>
      <c r="AE41" s="624"/>
      <c r="AF41" s="84">
        <f t="shared" si="14"/>
      </c>
      <c r="AG41" s="621">
        <f t="shared" si="15"/>
      </c>
      <c r="AH41" s="850"/>
      <c r="AI41" s="850"/>
      <c r="AJ41" s="851"/>
      <c r="AL41" s="60">
        <f t="shared" si="5"/>
      </c>
      <c r="AM41" s="60">
        <f t="shared" si="6"/>
      </c>
    </row>
    <row r="42" spans="1:39" s="53" customFormat="1" ht="18.75" customHeight="1">
      <c r="A42" s="27">
        <f t="shared" si="7"/>
      </c>
      <c r="B42" s="237"/>
      <c r="C42" s="207"/>
      <c r="D42" s="57"/>
      <c r="E42" s="58"/>
      <c r="F42" s="659"/>
      <c r="G42" s="663">
        <f t="shared" si="8"/>
      </c>
      <c r="H42" s="650">
        <f t="shared" si="0"/>
      </c>
      <c r="I42" s="208"/>
      <c r="J42" s="209"/>
      <c r="K42" s="614"/>
      <c r="L42" s="739"/>
      <c r="M42" s="210">
        <f t="shared" si="1"/>
      </c>
      <c r="N42" s="211">
        <f t="shared" si="9"/>
      </c>
      <c r="O42" s="254"/>
      <c r="P42" s="194"/>
      <c r="Q42" s="212">
        <f>IF($H42="","",IF($O42="Ａ",LOOKUP($D42,{8000,8500,9000,10000,12000},{0,1532,1032,408,408}),IF($O42="Ｂ",LOOKUP($D42,{8000,8500,9000,10000,12000},{782,2814,2814,2814,2814}),0)))</f>
      </c>
      <c r="R42" s="254"/>
      <c r="S42" s="251">
        <v>0</v>
      </c>
      <c r="T42" s="626">
        <f>IF($H42="","",IF($R42="Ａ",LOOKUP($D42,{8000,8500,9000,10000,12000},{0,1532,1032,408,408}),IF($R42="Ｂ",LOOKUP($D42,{8000,8500,9000,10000,12000},{782,2814,2814,2814,2814}),0)))</f>
      </c>
      <c r="U42" s="214">
        <f t="shared" si="10"/>
      </c>
      <c r="V42" s="674">
        <f>IF(B42="","",SUMIF('6-3_調整額内訳②(旧々・新制度)'!B:B,$B42,'6-3_調整額内訳②(旧々・新制度)'!AD:AD))</f>
      </c>
      <c r="W42" s="213">
        <f t="shared" si="2"/>
      </c>
      <c r="X42" s="214">
        <f t="shared" si="3"/>
      </c>
      <c r="Y42" s="214">
        <f t="shared" si="11"/>
      </c>
      <c r="Z42" s="57"/>
      <c r="AA42" s="214">
        <f t="shared" si="4"/>
      </c>
      <c r="AB42" s="58"/>
      <c r="AC42" s="214" t="str">
        <f t="shared" si="12"/>
        <v>0</v>
      </c>
      <c r="AD42" s="669">
        <f t="shared" si="13"/>
        <v>0</v>
      </c>
      <c r="AE42" s="624"/>
      <c r="AF42" s="84">
        <f t="shared" si="14"/>
      </c>
      <c r="AG42" s="621">
        <f t="shared" si="15"/>
      </c>
      <c r="AH42" s="850"/>
      <c r="AI42" s="850"/>
      <c r="AJ42" s="851"/>
      <c r="AL42" s="60">
        <f t="shared" si="5"/>
      </c>
      <c r="AM42" s="60">
        <f t="shared" si="6"/>
      </c>
    </row>
    <row r="43" spans="1:39" s="53" customFormat="1" ht="18.75" customHeight="1">
      <c r="A43" s="27">
        <f t="shared" si="7"/>
      </c>
      <c r="B43" s="237"/>
      <c r="C43" s="207"/>
      <c r="D43" s="57"/>
      <c r="E43" s="58"/>
      <c r="F43" s="659"/>
      <c r="G43" s="663">
        <f t="shared" si="8"/>
      </c>
      <c r="H43" s="650">
        <f t="shared" si="0"/>
      </c>
      <c r="I43" s="208"/>
      <c r="J43" s="209"/>
      <c r="K43" s="614"/>
      <c r="L43" s="739"/>
      <c r="M43" s="210">
        <f t="shared" si="1"/>
      </c>
      <c r="N43" s="211">
        <f t="shared" si="9"/>
      </c>
      <c r="O43" s="254"/>
      <c r="P43" s="194"/>
      <c r="Q43" s="212">
        <f>IF($H43="","",IF($O43="Ａ",LOOKUP($D43,{8000,8500,9000,10000,12000},{0,1532,1032,408,408}),IF($O43="Ｂ",LOOKUP($D43,{8000,8500,9000,10000,12000},{782,2814,2814,2814,2814}),0)))</f>
      </c>
      <c r="R43" s="254"/>
      <c r="S43" s="251">
        <v>0</v>
      </c>
      <c r="T43" s="626">
        <f>IF($H43="","",IF($R43="Ａ",LOOKUP($D43,{8000,8500,9000,10000,12000},{0,1532,1032,408,408}),IF($R43="Ｂ",LOOKUP($D43,{8000,8500,9000,10000,12000},{782,2814,2814,2814,2814}),0)))</f>
      </c>
      <c r="U43" s="214">
        <f t="shared" si="10"/>
      </c>
      <c r="V43" s="674">
        <f>IF(B43="","",SUMIF('6-3_調整額内訳②(旧々・新制度)'!B:B,$B43,'6-3_調整額内訳②(旧々・新制度)'!AD:AD))</f>
      </c>
      <c r="W43" s="213">
        <f t="shared" si="2"/>
      </c>
      <c r="X43" s="214">
        <f t="shared" si="3"/>
      </c>
      <c r="Y43" s="214">
        <f t="shared" si="11"/>
      </c>
      <c r="Z43" s="57"/>
      <c r="AA43" s="214">
        <f t="shared" si="4"/>
      </c>
      <c r="AB43" s="58"/>
      <c r="AC43" s="214" t="str">
        <f t="shared" si="12"/>
        <v>0</v>
      </c>
      <c r="AD43" s="669">
        <f t="shared" si="13"/>
        <v>0</v>
      </c>
      <c r="AE43" s="624"/>
      <c r="AF43" s="84">
        <f t="shared" si="14"/>
      </c>
      <c r="AG43" s="621">
        <f t="shared" si="15"/>
      </c>
      <c r="AH43" s="850"/>
      <c r="AI43" s="850"/>
      <c r="AJ43" s="851"/>
      <c r="AL43" s="60">
        <f t="shared" si="5"/>
      </c>
      <c r="AM43" s="60">
        <f t="shared" si="6"/>
      </c>
    </row>
    <row r="44" spans="1:39" s="53" customFormat="1" ht="18.75" customHeight="1" thickBot="1">
      <c r="A44" s="27">
        <f t="shared" si="7"/>
      </c>
      <c r="B44" s="239"/>
      <c r="C44" s="215"/>
      <c r="D44" s="216"/>
      <c r="E44" s="217"/>
      <c r="F44" s="661"/>
      <c r="G44" s="664">
        <f t="shared" si="8"/>
      </c>
      <c r="H44" s="652">
        <f t="shared" si="0"/>
      </c>
      <c r="I44" s="218"/>
      <c r="J44" s="219"/>
      <c r="K44" s="615"/>
      <c r="L44" s="741"/>
      <c r="M44" s="220">
        <f t="shared" si="1"/>
      </c>
      <c r="N44" s="211">
        <f t="shared" si="9"/>
      </c>
      <c r="O44" s="255"/>
      <c r="P44" s="195"/>
      <c r="Q44" s="221">
        <f>IF($H44="","",IF($O44="Ａ",LOOKUP($D44,{8000,8500,9000,10000,12000},{0,1532,1032,408,408}),IF($O44="Ｂ",LOOKUP($D44,{8000,8500,9000,10000,12000},{782,2814,2814,2814,2814}),0)))</f>
      </c>
      <c r="R44" s="255"/>
      <c r="S44" s="252">
        <v>0</v>
      </c>
      <c r="T44" s="646">
        <f>IF($H44="","",IF($R44="Ａ",LOOKUP($D44,{8000,8500,9000,10000,12000},{0,1532,1032,408,408}),IF($R44="Ｂ",LOOKUP($D44,{8000,8500,9000,10000,12000},{782,2814,2814,2814,2814}),0)))</f>
      </c>
      <c r="U44" s="224">
        <f t="shared" si="10"/>
      </c>
      <c r="V44" s="675">
        <f>IF(B44="","",SUMIF('6-3_調整額内訳②(旧々・新制度)'!B:B,$B44,'6-3_調整額内訳②(旧々・新制度)'!AD:AD))</f>
      </c>
      <c r="W44" s="398">
        <f t="shared" si="2"/>
      </c>
      <c r="X44" s="224">
        <f t="shared" si="3"/>
      </c>
      <c r="Y44" s="224">
        <f t="shared" si="11"/>
      </c>
      <c r="Z44" s="216"/>
      <c r="AA44" s="224">
        <f t="shared" si="4"/>
      </c>
      <c r="AB44" s="217"/>
      <c r="AC44" s="224" t="str">
        <f t="shared" si="12"/>
        <v>0</v>
      </c>
      <c r="AD44" s="670">
        <f t="shared" si="13"/>
        <v>0</v>
      </c>
      <c r="AE44" s="625"/>
      <c r="AF44" s="222">
        <f t="shared" si="14"/>
      </c>
      <c r="AG44" s="622">
        <f t="shared" si="15"/>
      </c>
      <c r="AH44" s="848"/>
      <c r="AI44" s="848"/>
      <c r="AJ44" s="849"/>
      <c r="AL44" s="60">
        <f t="shared" si="5"/>
      </c>
      <c r="AM44" s="60">
        <f t="shared" si="6"/>
      </c>
    </row>
    <row r="45" spans="1:39" s="65" customFormat="1" ht="25.5" customHeight="1" thickBot="1">
      <c r="A45" s="852" t="s">
        <v>161</v>
      </c>
      <c r="B45" s="853"/>
      <c r="C45" s="853"/>
      <c r="D45" s="854"/>
      <c r="E45" s="184">
        <f>SUM(E8:E44)</f>
        <v>0</v>
      </c>
      <c r="F45" s="186"/>
      <c r="G45" s="509">
        <f>SUM(G8:G44)</f>
        <v>0</v>
      </c>
      <c r="H45" s="103" t="s">
        <v>155</v>
      </c>
      <c r="I45" s="185" t="s">
        <v>155</v>
      </c>
      <c r="J45" s="183" t="s">
        <v>155</v>
      </c>
      <c r="K45" s="103"/>
      <c r="L45" s="742"/>
      <c r="M45" s="186">
        <f>SUM(M8:M44)</f>
        <v>0</v>
      </c>
      <c r="N45" s="187" t="s">
        <v>155</v>
      </c>
      <c r="O45" s="103" t="s">
        <v>155</v>
      </c>
      <c r="P45" s="103"/>
      <c r="Q45" s="103"/>
      <c r="R45" s="310" t="s">
        <v>155</v>
      </c>
      <c r="S45" s="103"/>
      <c r="T45" s="311"/>
      <c r="U45" s="648">
        <f aca="true" t="shared" si="16" ref="U45:AG45">SUM(U8:U44)</f>
        <v>0</v>
      </c>
      <c r="V45" s="102">
        <f t="shared" si="16"/>
        <v>0</v>
      </c>
      <c r="W45" s="100">
        <f t="shared" si="16"/>
        <v>0</v>
      </c>
      <c r="X45" s="63">
        <f t="shared" si="16"/>
        <v>0</v>
      </c>
      <c r="Y45" s="63">
        <f>SUM(Y8:Y44)</f>
        <v>0</v>
      </c>
      <c r="Z45" s="63">
        <f t="shared" si="16"/>
        <v>0</v>
      </c>
      <c r="AA45" s="63">
        <f t="shared" si="16"/>
        <v>0</v>
      </c>
      <c r="AB45" s="63">
        <f t="shared" si="16"/>
        <v>0</v>
      </c>
      <c r="AC45" s="618">
        <f t="shared" si="16"/>
        <v>0</v>
      </c>
      <c r="AD45" s="618">
        <f t="shared" si="16"/>
        <v>0</v>
      </c>
      <c r="AE45" s="63">
        <f t="shared" si="16"/>
        <v>0</v>
      </c>
      <c r="AF45" s="618">
        <f t="shared" si="16"/>
        <v>0</v>
      </c>
      <c r="AG45" s="619">
        <f t="shared" si="16"/>
        <v>0</v>
      </c>
      <c r="AH45" s="855"/>
      <c r="AI45" s="856"/>
      <c r="AJ45" s="857"/>
      <c r="AL45" s="66"/>
      <c r="AM45" s="66"/>
    </row>
    <row r="46" spans="1:39" s="295" customFormat="1" ht="15.75" customHeight="1">
      <c r="A46" s="295" t="s">
        <v>29</v>
      </c>
      <c r="O46" s="296"/>
      <c r="R46" s="296"/>
      <c r="AL46" s="297"/>
      <c r="AM46" s="297"/>
    </row>
    <row r="47" spans="1:39" s="295" customFormat="1" ht="15.75" customHeight="1">
      <c r="A47" s="295" t="s">
        <v>153</v>
      </c>
      <c r="O47" s="296"/>
      <c r="R47" s="296"/>
      <c r="AL47" s="297"/>
      <c r="AM47" s="297"/>
    </row>
    <row r="48" spans="1:39" s="295" customFormat="1" ht="15.75" customHeight="1">
      <c r="A48" s="295" t="s">
        <v>168</v>
      </c>
      <c r="O48" s="296"/>
      <c r="R48" s="296"/>
      <c r="AL48" s="297"/>
      <c r="AM48" s="297"/>
    </row>
    <row r="49" spans="1:39" s="295" customFormat="1" ht="15.75" customHeight="1">
      <c r="A49" s="295" t="s">
        <v>159</v>
      </c>
      <c r="O49" s="296"/>
      <c r="R49" s="296"/>
      <c r="AL49" s="297"/>
      <c r="AM49" s="297"/>
    </row>
    <row r="50" spans="1:39" s="295" customFormat="1" ht="15.75" customHeight="1">
      <c r="A50" s="295" t="s">
        <v>249</v>
      </c>
      <c r="O50" s="296"/>
      <c r="R50" s="296"/>
      <c r="AL50" s="297"/>
      <c r="AM50" s="297"/>
    </row>
    <row r="51" spans="1:39" s="295" customFormat="1" ht="15.75" customHeight="1">
      <c r="A51" s="295" t="s">
        <v>255</v>
      </c>
      <c r="O51" s="296"/>
      <c r="R51" s="296"/>
      <c r="AL51" s="297"/>
      <c r="AM51" s="297"/>
    </row>
    <row r="52" spans="1:39" s="295" customFormat="1" ht="15.75" customHeight="1">
      <c r="A52" s="295" t="s">
        <v>176</v>
      </c>
      <c r="O52" s="296"/>
      <c r="R52" s="296"/>
      <c r="AL52" s="297"/>
      <c r="AM52" s="297"/>
    </row>
    <row r="53" spans="1:39" s="295" customFormat="1" ht="15.75" customHeight="1">
      <c r="A53" s="295" t="s">
        <v>177</v>
      </c>
      <c r="O53" s="296"/>
      <c r="R53" s="296"/>
      <c r="AL53" s="297"/>
      <c r="AM53" s="297"/>
    </row>
    <row r="54" spans="1:39" s="295" customFormat="1" ht="15.75" customHeight="1">
      <c r="A54" s="295" t="s">
        <v>250</v>
      </c>
      <c r="O54" s="296"/>
      <c r="R54" s="296"/>
      <c r="AL54" s="297"/>
      <c r="AM54" s="297"/>
    </row>
    <row r="55" spans="1:39" s="295" customFormat="1" ht="15.75" customHeight="1">
      <c r="A55" s="295" t="s">
        <v>229</v>
      </c>
      <c r="O55" s="296"/>
      <c r="R55" s="296"/>
      <c r="AL55" s="297"/>
      <c r="AM55" s="297"/>
    </row>
    <row r="56" spans="1:38" s="295" customFormat="1" ht="15.75" customHeight="1">
      <c r="A56" s="295" t="s">
        <v>230</v>
      </c>
      <c r="O56" s="296"/>
      <c r="R56" s="296"/>
      <c r="AK56" s="297"/>
      <c r="AL56" s="297"/>
    </row>
    <row r="57" spans="1:39" s="295" customFormat="1" ht="15.75" customHeight="1">
      <c r="A57" s="295" t="s">
        <v>163</v>
      </c>
      <c r="O57" s="296"/>
      <c r="R57" s="296"/>
      <c r="AL57" s="297"/>
      <c r="AM57" s="297"/>
    </row>
    <row r="58" spans="1:39" s="295" customFormat="1" ht="15.75" customHeight="1">
      <c r="A58" s="295" t="s">
        <v>164</v>
      </c>
      <c r="O58" s="296"/>
      <c r="R58" s="296"/>
      <c r="AL58" s="297"/>
      <c r="AM58" s="297"/>
    </row>
    <row r="59" spans="1:39" s="295" customFormat="1" ht="15.75" customHeight="1">
      <c r="A59" s="295" t="s">
        <v>165</v>
      </c>
      <c r="O59" s="296"/>
      <c r="R59" s="296"/>
      <c r="AL59" s="297"/>
      <c r="AM59" s="297"/>
    </row>
    <row r="60" ht="12"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sheetProtection/>
  <mergeCells count="75">
    <mergeCell ref="AB4:AB5"/>
    <mergeCell ref="AC4:AC5"/>
    <mergeCell ref="AD4:AD5"/>
    <mergeCell ref="AB1:AH1"/>
    <mergeCell ref="AB2:AH2"/>
    <mergeCell ref="W5:W6"/>
    <mergeCell ref="X4:X6"/>
    <mergeCell ref="Y4:Y6"/>
    <mergeCell ref="Z4:Z6"/>
    <mergeCell ref="M5:M6"/>
    <mergeCell ref="N5:N6"/>
    <mergeCell ref="AA4:AA6"/>
    <mergeCell ref="AE4:AE6"/>
    <mergeCell ref="U5:U6"/>
    <mergeCell ref="V5:V6"/>
    <mergeCell ref="O6:O7"/>
    <mergeCell ref="O5:Q5"/>
    <mergeCell ref="R6:R7"/>
    <mergeCell ref="R5:T5"/>
    <mergeCell ref="D4:D6"/>
    <mergeCell ref="E5:E6"/>
    <mergeCell ref="G5:G6"/>
    <mergeCell ref="H5:H6"/>
    <mergeCell ref="I5:I6"/>
    <mergeCell ref="J5:J6"/>
    <mergeCell ref="AH11:AJ11"/>
    <mergeCell ref="AH12:AJ12"/>
    <mergeCell ref="A4:A7"/>
    <mergeCell ref="B4:B7"/>
    <mergeCell ref="C4:C7"/>
    <mergeCell ref="E4:G4"/>
    <mergeCell ref="H4:N4"/>
    <mergeCell ref="O4:W4"/>
    <mergeCell ref="AF4:AF6"/>
    <mergeCell ref="AG4:AG6"/>
    <mergeCell ref="AL4:AL7"/>
    <mergeCell ref="AM4:AM7"/>
    <mergeCell ref="AH8:AJ8"/>
    <mergeCell ref="AH9:AJ9"/>
    <mergeCell ref="AH10:AJ10"/>
    <mergeCell ref="AH4:AJ7"/>
    <mergeCell ref="AH13:AJ13"/>
    <mergeCell ref="AH14:AJ14"/>
    <mergeCell ref="AH15:AJ15"/>
    <mergeCell ref="AH16:AJ16"/>
    <mergeCell ref="AH19:AJ19"/>
    <mergeCell ref="AH20:AJ20"/>
    <mergeCell ref="AH17:AJ17"/>
    <mergeCell ref="AH18:AJ18"/>
    <mergeCell ref="AH21:AJ21"/>
    <mergeCell ref="AH22:AJ22"/>
    <mergeCell ref="AH25:AJ25"/>
    <mergeCell ref="AH26:AJ26"/>
    <mergeCell ref="AH23:AJ23"/>
    <mergeCell ref="AH24:AJ24"/>
    <mergeCell ref="AH27:AJ27"/>
    <mergeCell ref="AH28:AJ28"/>
    <mergeCell ref="AH31:AJ31"/>
    <mergeCell ref="AH32:AJ32"/>
    <mergeCell ref="AH29:AJ29"/>
    <mergeCell ref="AH30:AJ30"/>
    <mergeCell ref="AH33:AJ33"/>
    <mergeCell ref="AH34:AJ34"/>
    <mergeCell ref="AH37:AJ37"/>
    <mergeCell ref="AH44:AJ44"/>
    <mergeCell ref="AH35:AJ35"/>
    <mergeCell ref="AH36:AJ36"/>
    <mergeCell ref="A45:D45"/>
    <mergeCell ref="AH45:AJ45"/>
    <mergeCell ref="AH38:AJ38"/>
    <mergeCell ref="AH39:AJ39"/>
    <mergeCell ref="AH40:AJ40"/>
    <mergeCell ref="AH41:AJ41"/>
    <mergeCell ref="AH42:AJ42"/>
    <mergeCell ref="AH43:AJ43"/>
  </mergeCells>
  <dataValidations count="4">
    <dataValidation allowBlank="1" showInputMessage="1" sqref="N8:N44"/>
    <dataValidation type="list" allowBlank="1" showInputMessage="1" showErrorMessage="1" sqref="O8:O44 R8:R44">
      <formula1>"Ａ,Ｂ,Ｄ"</formula1>
    </dataValidation>
    <dataValidation type="whole" allowBlank="1" showInputMessage="1" showErrorMessage="1" sqref="Z8:Z44 H8:I44 AB8:AB44">
      <formula1>0</formula1>
      <formula2>9999999</formula2>
    </dataValidation>
    <dataValidation type="whole" allowBlank="1" showInputMessage="1" showErrorMessage="1" sqref="C8:C44">
      <formula1>1</formula1>
      <formula2>4</formula2>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35" r:id="rId3"/>
  <legacy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M43"/>
  <sheetViews>
    <sheetView view="pageBreakPreview" zoomScale="75" zoomScaleNormal="75" zoomScaleSheetLayoutView="75" zoomScalePageLayoutView="0" workbookViewId="0" topLeftCell="A1">
      <selection activeCell="A1" sqref="A1"/>
    </sheetView>
  </sheetViews>
  <sheetFormatPr defaultColWidth="9.625" defaultRowHeight="13.5"/>
  <cols>
    <col min="1" max="1" width="6.25390625" style="40" customWidth="1"/>
    <col min="2" max="2" width="17.50390625" style="40" customWidth="1"/>
    <col min="3" max="3" width="6.00390625" style="40" bestFit="1" customWidth="1"/>
    <col min="4" max="5" width="11.25390625" style="40" customWidth="1"/>
    <col min="6" max="6" width="4.00390625" style="40" bestFit="1" customWidth="1"/>
    <col min="7" max="7" width="10.25390625" style="40" bestFit="1" customWidth="1"/>
    <col min="8" max="8" width="4.00390625" style="40" bestFit="1" customWidth="1"/>
    <col min="9" max="9" width="10.75390625" style="40" customWidth="1"/>
    <col min="10" max="10" width="12.25390625" style="40" bestFit="1" customWidth="1"/>
    <col min="11" max="17" width="4.25390625" style="40" customWidth="1"/>
    <col min="18" max="18" width="4.75390625" style="40" customWidth="1"/>
    <col min="19" max="22" width="4.25390625" style="40" customWidth="1"/>
    <col min="23" max="28" width="4.375" style="40" customWidth="1"/>
    <col min="29" max="30" width="10.25390625" style="40" bestFit="1" customWidth="1"/>
    <col min="31" max="31" width="9.75390625" style="40" customWidth="1"/>
    <col min="32" max="32" width="6.50390625" style="40" customWidth="1"/>
    <col min="33" max="33" width="8.25390625" style="40" customWidth="1"/>
    <col min="34" max="34" width="3.125" style="40" customWidth="1"/>
    <col min="35" max="35" width="8.625" style="41" bestFit="1" customWidth="1"/>
    <col min="36" max="36" width="5.25390625" style="41" bestFit="1" customWidth="1"/>
    <col min="37" max="16384" width="9.625" style="40" customWidth="1"/>
  </cols>
  <sheetData>
    <row r="1" spans="1:36" ht="24.75" customHeight="1">
      <c r="A1" s="39" t="s">
        <v>251</v>
      </c>
      <c r="B1" s="39"/>
      <c r="W1" s="918" t="s">
        <v>25</v>
      </c>
      <c r="X1" s="918"/>
      <c r="Y1" s="918"/>
      <c r="Z1" s="897">
        <f>'5_総括表'!E3</f>
        <v>0</v>
      </c>
      <c r="AA1" s="919"/>
      <c r="AB1" s="919"/>
      <c r="AC1" s="919"/>
      <c r="AD1" s="920"/>
      <c r="AE1" s="164" t="s">
        <v>26</v>
      </c>
      <c r="AF1" s="921">
        <f>'5_総括表'!Z3</f>
        <v>0</v>
      </c>
      <c r="AG1" s="922"/>
      <c r="AI1" s="46"/>
      <c r="AJ1" s="46"/>
    </row>
    <row r="2" spans="1:36" ht="24.75" customHeight="1" thickBot="1">
      <c r="A2" s="42"/>
      <c r="W2" s="923" t="s">
        <v>23</v>
      </c>
      <c r="X2" s="923"/>
      <c r="Y2" s="923"/>
      <c r="Z2" s="900">
        <f>'5_総括表'!E4</f>
        <v>0</v>
      </c>
      <c r="AA2" s="924"/>
      <c r="AB2" s="924"/>
      <c r="AC2" s="924"/>
      <c r="AD2" s="925"/>
      <c r="AE2" s="165" t="s">
        <v>24</v>
      </c>
      <c r="AF2" s="926">
        <f>'5_総括表'!Z4</f>
        <v>0</v>
      </c>
      <c r="AG2" s="927"/>
      <c r="AI2" s="69"/>
      <c r="AJ2" s="70"/>
    </row>
    <row r="3" spans="1:36" ht="20.25" customHeight="1" thickBot="1">
      <c r="A3" s="281" t="s">
        <v>222</v>
      </c>
      <c r="B3" s="38"/>
      <c r="AF3" s="43"/>
      <c r="AG3" s="43" t="s">
        <v>28</v>
      </c>
      <c r="AI3" s="69"/>
      <c r="AJ3" s="70"/>
    </row>
    <row r="4" spans="1:36" s="44" customFormat="1" ht="18.75" customHeight="1" thickBot="1">
      <c r="A4" s="814" t="s">
        <v>215</v>
      </c>
      <c r="B4" s="809" t="s">
        <v>170</v>
      </c>
      <c r="C4" s="1041" t="s">
        <v>16</v>
      </c>
      <c r="D4" s="1044" t="s">
        <v>75</v>
      </c>
      <c r="E4" s="1044" t="s">
        <v>106</v>
      </c>
      <c r="F4" s="806" t="s">
        <v>253</v>
      </c>
      <c r="G4" s="1019"/>
      <c r="H4" s="1019"/>
      <c r="I4" s="1019"/>
      <c r="J4" s="807"/>
      <c r="K4" s="1023" t="s">
        <v>65</v>
      </c>
      <c r="L4" s="1030"/>
      <c r="M4" s="1030"/>
      <c r="N4" s="1030"/>
      <c r="O4" s="1030"/>
      <c r="P4" s="1030"/>
      <c r="Q4" s="1030"/>
      <c r="R4" s="1030"/>
      <c r="S4" s="1030"/>
      <c r="T4" s="1030"/>
      <c r="U4" s="1030"/>
      <c r="V4" s="1030"/>
      <c r="W4" s="1030"/>
      <c r="X4" s="1030"/>
      <c r="Y4" s="1030"/>
      <c r="Z4" s="1030"/>
      <c r="AA4" s="1030"/>
      <c r="AB4" s="1030"/>
      <c r="AC4" s="809" t="s">
        <v>63</v>
      </c>
      <c r="AD4" s="934" t="s">
        <v>64</v>
      </c>
      <c r="AE4" s="937" t="s">
        <v>66</v>
      </c>
      <c r="AF4" s="938"/>
      <c r="AG4" s="939"/>
      <c r="AI4" s="69"/>
      <c r="AJ4" s="70"/>
    </row>
    <row r="5" spans="1:36" s="44" customFormat="1" ht="18.75" customHeight="1" thickBot="1">
      <c r="A5" s="903"/>
      <c r="B5" s="873"/>
      <c r="C5" s="1042"/>
      <c r="D5" s="1045"/>
      <c r="E5" s="1045"/>
      <c r="F5" s="1023" t="s">
        <v>107</v>
      </c>
      <c r="G5" s="1031"/>
      <c r="H5" s="1032"/>
      <c r="I5" s="1032"/>
      <c r="J5" s="1033"/>
      <c r="K5" s="1034" t="s">
        <v>62</v>
      </c>
      <c r="L5" s="1035"/>
      <c r="M5" s="1035"/>
      <c r="N5" s="1035"/>
      <c r="O5" s="1035"/>
      <c r="P5" s="1035"/>
      <c r="Q5" s="1035"/>
      <c r="R5" s="1035"/>
      <c r="S5" s="1035"/>
      <c r="T5" s="1035"/>
      <c r="U5" s="1035"/>
      <c r="V5" s="1036"/>
      <c r="W5" s="806" t="s">
        <v>118</v>
      </c>
      <c r="X5" s="1019"/>
      <c r="Y5" s="1019"/>
      <c r="Z5" s="1019"/>
      <c r="AA5" s="1019"/>
      <c r="AB5" s="1019"/>
      <c r="AC5" s="873"/>
      <c r="AD5" s="935"/>
      <c r="AE5" s="940"/>
      <c r="AF5" s="941"/>
      <c r="AG5" s="942"/>
      <c r="AI5" s="69"/>
      <c r="AJ5" s="70"/>
    </row>
    <row r="6" spans="1:36" s="44" customFormat="1" ht="21.75" customHeight="1" thickBot="1">
      <c r="A6" s="903"/>
      <c r="B6" s="903"/>
      <c r="C6" s="1042"/>
      <c r="D6" s="1045"/>
      <c r="E6" s="1045"/>
      <c r="F6" s="1037" t="s">
        <v>18</v>
      </c>
      <c r="G6" s="1039" t="s">
        <v>50</v>
      </c>
      <c r="H6" s="1037" t="s">
        <v>18</v>
      </c>
      <c r="I6" s="1039" t="s">
        <v>50</v>
      </c>
      <c r="J6" s="1047" t="s">
        <v>108</v>
      </c>
      <c r="K6" s="806" t="s">
        <v>60</v>
      </c>
      <c r="L6" s="1019"/>
      <c r="M6" s="807"/>
      <c r="N6" s="1020" t="s">
        <v>61</v>
      </c>
      <c r="O6" s="1021"/>
      <c r="P6" s="1021"/>
      <c r="Q6" s="1021"/>
      <c r="R6" s="1021"/>
      <c r="S6" s="1021"/>
      <c r="T6" s="1021"/>
      <c r="U6" s="1021"/>
      <c r="V6" s="1022"/>
      <c r="W6" s="1023" t="s">
        <v>84</v>
      </c>
      <c r="X6" s="1026" t="s">
        <v>84</v>
      </c>
      <c r="Y6" s="1023" t="s">
        <v>90</v>
      </c>
      <c r="Z6" s="1017" t="s">
        <v>90</v>
      </c>
      <c r="AA6" s="1007" t="s">
        <v>174</v>
      </c>
      <c r="AB6" s="1010" t="s">
        <v>174</v>
      </c>
      <c r="AC6" s="873"/>
      <c r="AD6" s="936"/>
      <c r="AE6" s="943"/>
      <c r="AF6" s="944"/>
      <c r="AG6" s="942"/>
      <c r="AI6" s="69"/>
      <c r="AJ6" s="71"/>
    </row>
    <row r="7" spans="1:39" s="44" customFormat="1" ht="20.25" customHeight="1">
      <c r="A7" s="903"/>
      <c r="B7" s="903"/>
      <c r="C7" s="1042"/>
      <c r="D7" s="1045"/>
      <c r="E7" s="1045"/>
      <c r="F7" s="1038"/>
      <c r="G7" s="1040"/>
      <c r="H7" s="1038"/>
      <c r="I7" s="1040"/>
      <c r="J7" s="1048"/>
      <c r="K7" s="1013" t="s">
        <v>54</v>
      </c>
      <c r="L7" s="1015" t="s">
        <v>55</v>
      </c>
      <c r="M7" s="1017" t="s">
        <v>56</v>
      </c>
      <c r="N7" s="1013" t="s">
        <v>51</v>
      </c>
      <c r="O7" s="1015" t="s">
        <v>85</v>
      </c>
      <c r="P7" s="1015" t="s">
        <v>86</v>
      </c>
      <c r="Q7" s="1015" t="s">
        <v>87</v>
      </c>
      <c r="R7" s="1015" t="s">
        <v>52</v>
      </c>
      <c r="S7" s="1015" t="s">
        <v>53</v>
      </c>
      <c r="T7" s="1015" t="s">
        <v>57</v>
      </c>
      <c r="U7" s="1015" t="s">
        <v>58</v>
      </c>
      <c r="V7" s="1017" t="s">
        <v>59</v>
      </c>
      <c r="W7" s="1024"/>
      <c r="X7" s="1027"/>
      <c r="Y7" s="1024"/>
      <c r="Z7" s="1018"/>
      <c r="AA7" s="1008"/>
      <c r="AB7" s="1011"/>
      <c r="AC7" s="873"/>
      <c r="AD7" s="936"/>
      <c r="AE7" s="943"/>
      <c r="AF7" s="944"/>
      <c r="AG7" s="942"/>
      <c r="AI7" s="967" t="s">
        <v>30</v>
      </c>
      <c r="AJ7" s="967" t="s">
        <v>78</v>
      </c>
      <c r="AK7" s="72"/>
      <c r="AL7" s="72"/>
      <c r="AM7" s="72"/>
    </row>
    <row r="8" spans="1:36" s="44" customFormat="1" ht="18.75" customHeight="1" thickBot="1">
      <c r="A8" s="904"/>
      <c r="B8" s="904"/>
      <c r="C8" s="1043"/>
      <c r="D8" s="1046"/>
      <c r="E8" s="1045"/>
      <c r="F8" s="1038"/>
      <c r="G8" s="680" t="s">
        <v>80</v>
      </c>
      <c r="H8" s="1038"/>
      <c r="I8" s="680" t="s">
        <v>81</v>
      </c>
      <c r="J8" s="713" t="s">
        <v>88</v>
      </c>
      <c r="K8" s="1014"/>
      <c r="L8" s="1016"/>
      <c r="M8" s="1018"/>
      <c r="N8" s="1014"/>
      <c r="O8" s="1016"/>
      <c r="P8" s="1016"/>
      <c r="Q8" s="1016"/>
      <c r="R8" s="1016"/>
      <c r="S8" s="1016"/>
      <c r="T8" s="1016"/>
      <c r="U8" s="1016"/>
      <c r="V8" s="1018"/>
      <c r="W8" s="1025"/>
      <c r="X8" s="1028"/>
      <c r="Y8" s="1025"/>
      <c r="Z8" s="1029"/>
      <c r="AA8" s="1009"/>
      <c r="AB8" s="1012"/>
      <c r="AC8" s="490" t="s">
        <v>89</v>
      </c>
      <c r="AD8" s="74" t="s">
        <v>79</v>
      </c>
      <c r="AE8" s="943"/>
      <c r="AF8" s="944"/>
      <c r="AG8" s="942"/>
      <c r="AI8" s="968"/>
      <c r="AJ8" s="968"/>
    </row>
    <row r="9" spans="1:36" s="53" customFormat="1" ht="18.75" customHeight="1">
      <c r="A9" s="26">
        <f>IF(B9="","",ROW($A9)-ROW($A$8))</f>
      </c>
      <c r="B9" s="232"/>
      <c r="C9" s="312">
        <f>IF($B9="","",VLOOKUP($B9,'6-2_算定表②(旧々・新制度)'!$B$8:$U$65536,2,FALSE))</f>
      </c>
      <c r="D9" s="75">
        <f>IF($B9="","",VLOOKUP($B9,'6-2_算定表②(旧々・新制度)'!$B$8:$U$65536,3,FALSE))</f>
      </c>
      <c r="E9" s="75">
        <f>IF($B9="","",VLOOKUP($B9,'6-2_算定表②(旧々・新制度)'!$B$8:$U$65536,6,FALSE))</f>
      </c>
      <c r="F9" s="76">
        <f>IF(B9="","",VLOOKUP($B9,'6-2_算定表②(旧々・新制度)'!$B$8:$U$65536,14,FALSE))</f>
      </c>
      <c r="G9" s="710">
        <f>IF(B9="","",VLOOKUP($B9,'6-2_算定表②(旧々・新制度)'!$B$8:$U$65536,16,FALSE))</f>
      </c>
      <c r="H9" s="76">
        <f>IF(B9="","",VLOOKUP($B9,'6-2_算定表②(旧々・新制度)'!$B$8:$U$65536,17,FALSE))</f>
      </c>
      <c r="I9" s="710">
        <f>IF(B9="","",VLOOKUP($B9,'6-2_算定表②(旧々・新制度)'!$B$8:$U$65536,19,FALSE))</f>
      </c>
      <c r="J9" s="710">
        <f>IF(B9="","",VLOOKUP($B9,'6-2_算定表②(旧々・新制度)'!$B$8:$U$65536,20,FALSE))</f>
      </c>
      <c r="K9" s="714">
        <f>IF($B9="","",VLOOKUP($B9,'6-2_算定表②(旧々・新制度)'!$B$8:$U$65536,14,FALSE))</f>
      </c>
      <c r="L9" s="78">
        <f>IF($B9="","",VLOOKUP($B9,'6-2_算定表②(旧々・新制度)'!$B$8:$U$65536,14,FALSE))</f>
      </c>
      <c r="M9" s="78">
        <f>IF($B9="","",VLOOKUP($B9,'6-2_算定表②(旧々・新制度)'!$B$8:$U$65536,14,FALSE))</f>
      </c>
      <c r="N9" s="78">
        <f>IF($B9="","",VLOOKUP($B9,'6-2_算定表②(旧々・新制度)'!$B$8:$U$65536,17,FALSE))</f>
      </c>
      <c r="O9" s="78">
        <f>IF($B9="","",VLOOKUP($B9,'6-2_算定表②(旧々・新制度)'!$B$8:$U$65536,17,FALSE))</f>
      </c>
      <c r="P9" s="78">
        <f>IF($B9="","",VLOOKUP($B9,'6-2_算定表②(旧々・新制度)'!$B$8:$U$65536,17,FALSE))</f>
      </c>
      <c r="Q9" s="78">
        <f>IF($B9="","",VLOOKUP($B9,'6-2_算定表②(旧々・新制度)'!$B$8:$U$65536,17,FALSE))</f>
      </c>
      <c r="R9" s="78">
        <f>IF($B9="","",VLOOKUP($B9,'6-2_算定表②(旧々・新制度)'!$B$8:$U$65536,17,FALSE))</f>
      </c>
      <c r="S9" s="78">
        <f>IF($B9="","",VLOOKUP($B9,'6-2_算定表②(旧々・新制度)'!$B$8:$U$65536,17,FALSE))</f>
      </c>
      <c r="T9" s="78">
        <f>IF($B9="","",VLOOKUP($B9,'6-2_算定表②(旧々・新制度)'!$B$8:$U$65536,17,FALSE))</f>
      </c>
      <c r="U9" s="78">
        <f>IF($B9="","",VLOOKUP($B9,'6-2_算定表②(旧々・新制度)'!$B$8:$U$65536,17,FALSE))</f>
      </c>
      <c r="V9" s="715">
        <f>IF($B9="","",VLOOKUP($B9,'6-2_算定表②(旧々・新制度)'!$B$8:$U$65536,17,FALSE))</f>
      </c>
      <c r="W9" s="91">
        <f aca="true" t="shared" si="0" ref="W9:W38">IF($B9="","",COUNTIF($K9:$M9,W$6))</f>
      </c>
      <c r="X9" s="88">
        <f aca="true" t="shared" si="1" ref="X9:X38">IF($B9="","",COUNTIF($N9:$V9,X$6))</f>
      </c>
      <c r="Y9" s="79">
        <f aca="true" t="shared" si="2" ref="Y9:Y38">IF($B9="","",COUNTIF($K9:$M9,Y$6))</f>
      </c>
      <c r="Z9" s="97">
        <f aca="true" t="shared" si="3" ref="Z9:Z38">IF($B9="","",COUNTIF($N9:$V9,Z$6))</f>
      </c>
      <c r="AA9" s="94">
        <f aca="true" t="shared" si="4" ref="AA9:AA38">IF($B9="","",COUNTIF($K9:$M9,AA$6))</f>
      </c>
      <c r="AB9" s="91">
        <f aca="true" t="shared" si="5" ref="AB9:AB38">IF($B9="","",COUNTIF($N9:$V9,AB$6))</f>
      </c>
      <c r="AC9" s="77">
        <f>IF(B9="","",ROUNDUP((G9/'6-2_算定表②(旧々・新制度)'!J8*W9)+(I9/'6-2_算定表②(旧々・新制度)'!J8*X9)+(G9/'6-2_算定表②(旧々・新制度)'!J8*Y9)+(I9/'6-2_算定表②(旧々・新制度)'!J8*Z9),0))</f>
      </c>
      <c r="AD9" s="609">
        <f aca="true" t="shared" si="6" ref="AD9:AD38">IF(B9="","",AC9-J9)</f>
      </c>
      <c r="AE9" s="1004">
        <f>IF(B9="","",VLOOKUP($B9,'6-2_算定表②(旧々・新制度)'!$B$8:$AH$65536,33,FALSE))</f>
      </c>
      <c r="AF9" s="1005">
        <f>IF(AD9="","",VLOOKUP($B9,'6-2_算定表③(旧・旧制度)'!$B$8:$U$65536,3,FALSE))</f>
      </c>
      <c r="AG9" s="1006">
        <f>IF(AE9="","",VLOOKUP($B9,'6-2_算定表③(旧・旧制度)'!$B$8:$U$65536,3,FALSE))</f>
      </c>
      <c r="AI9" s="60">
        <f>IF(A9&gt;0,ASC(C9&amp;H9),"")</f>
      </c>
      <c r="AJ9" s="60">
        <f aca="true" t="shared" si="7" ref="AJ9:AJ38">IF(B9="","",IF(AD9=0,0,1))</f>
      </c>
    </row>
    <row r="10" spans="1:36" s="53" customFormat="1" ht="18.75" customHeight="1">
      <c r="A10" s="34">
        <f aca="true" t="shared" si="8" ref="A10:A38">IF(B10="","",ROW($A10)-ROW($A$8))</f>
      </c>
      <c r="B10" s="237"/>
      <c r="C10" s="313">
        <f>IF($B10="","",VLOOKUP($B10,'6-2_算定表②(旧々・新制度)'!$B$8:$U$65536,2,FALSE))</f>
      </c>
      <c r="D10" s="84">
        <f>IF($B10="","",VLOOKUP($B10,'6-2_算定表②(旧々・新制度)'!$B$8:$U$65536,3,FALSE))</f>
      </c>
      <c r="E10" s="84">
        <f>IF($B10="","",VLOOKUP($B10,'6-2_算定表②(旧々・新制度)'!$B$8:$U$65536,6,FALSE))</f>
      </c>
      <c r="F10" s="85">
        <f>IF(B10="","",VLOOKUP($B10,'6-2_算定表②(旧々・新制度)'!$B$8:$U$65536,14,FALSE))</f>
      </c>
      <c r="G10" s="711">
        <f>IF(B10="","",VLOOKUP($B10,'6-2_算定表②(旧々・新制度)'!$B$8:$U$65536,16,FALSE))</f>
      </c>
      <c r="H10" s="85">
        <f>IF(B10="","",VLOOKUP($B10,'6-2_算定表②(旧々・新制度)'!$B$8:$U$65536,17,FALSE))</f>
      </c>
      <c r="I10" s="711">
        <f>IF(B10="","",VLOOKUP($B10,'6-2_算定表②(旧々・新制度)'!$B$8:$U$65536,19,FALSE))</f>
      </c>
      <c r="J10" s="711">
        <f>IF(B10="","",VLOOKUP($B10,'6-2_算定表②(旧々・新制度)'!$B$8:$U$65536,20,FALSE))</f>
      </c>
      <c r="K10" s="716">
        <f>IF($B10="","",VLOOKUP($B10,'6-2_算定表②(旧々・新制度)'!$B$8:$U$65536,14,FALSE))</f>
      </c>
      <c r="L10" s="86">
        <f>IF($B10="","",VLOOKUP($B10,'6-2_算定表②(旧々・新制度)'!$B$8:$U$65536,14,FALSE))</f>
      </c>
      <c r="M10" s="86">
        <f>IF($B10="","",VLOOKUP($B10,'6-2_算定表②(旧々・新制度)'!$B$8:$U$65536,14,FALSE))</f>
      </c>
      <c r="N10" s="86">
        <f>IF($B10="","",VLOOKUP($B10,'6-2_算定表②(旧々・新制度)'!$B$8:$U$65536,17,FALSE))</f>
      </c>
      <c r="O10" s="86">
        <f>IF($B10="","",VLOOKUP($B10,'6-2_算定表②(旧々・新制度)'!$B$8:$U$65536,17,FALSE))</f>
      </c>
      <c r="P10" s="86">
        <f>IF($B10="","",VLOOKUP($B10,'6-2_算定表②(旧々・新制度)'!$B$8:$U$65536,17,FALSE))</f>
      </c>
      <c r="Q10" s="86">
        <f>IF($B10="","",VLOOKUP($B10,'6-2_算定表②(旧々・新制度)'!$B$8:$U$65536,17,FALSE))</f>
      </c>
      <c r="R10" s="86">
        <f>IF($B10="","",VLOOKUP($B10,'6-2_算定表②(旧々・新制度)'!$B$8:$U$65536,17,FALSE))</f>
      </c>
      <c r="S10" s="86">
        <f>IF($B10="","",VLOOKUP($B10,'6-2_算定表②(旧々・新制度)'!$B$8:$U$65536,17,FALSE))</f>
      </c>
      <c r="T10" s="86">
        <f>IF($B10="","",VLOOKUP($B10,'6-2_算定表②(旧々・新制度)'!$B$8:$U$65536,17,FALSE))</f>
      </c>
      <c r="U10" s="86">
        <f>IF($B10="","",VLOOKUP($B10,'6-2_算定表②(旧々・新制度)'!$B$8:$U$65536,17,FALSE))</f>
      </c>
      <c r="V10" s="717">
        <f>IF($B10="","",VLOOKUP($B10,'6-2_算定表②(旧々・新制度)'!$B$8:$U$65536,17,FALSE))</f>
      </c>
      <c r="W10" s="92">
        <f t="shared" si="0"/>
      </c>
      <c r="X10" s="89">
        <f t="shared" si="1"/>
      </c>
      <c r="Y10" s="82">
        <f t="shared" si="2"/>
      </c>
      <c r="Z10" s="98">
        <f t="shared" si="3"/>
      </c>
      <c r="AA10" s="95">
        <f t="shared" si="4"/>
      </c>
      <c r="AB10" s="92">
        <f t="shared" si="5"/>
      </c>
      <c r="AC10" s="59">
        <f>IF(B10="","",ROUNDUP((G10/'6-2_算定表②(旧々・新制度)'!J9*W10)+(I10/'6-2_算定表②(旧々・新制度)'!J9*X10)+(G10/'6-2_算定表②(旧々・新制度)'!J9*Y10)+(I10/'6-2_算定表②(旧々・新制度)'!J9*Z10),0))</f>
      </c>
      <c r="AD10" s="610">
        <f t="shared" si="6"/>
      </c>
      <c r="AE10" s="998">
        <f>IF(B10="","",VLOOKUP($B10,'6-2_算定表②(旧々・新制度)'!$B$8:$AH$65536,33,FALSE))</f>
      </c>
      <c r="AF10" s="999">
        <f>IF(AD10="","",VLOOKUP($B10,'6-2_算定表③(旧・旧制度)'!$B$8:$U$65536,3,FALSE))</f>
      </c>
      <c r="AG10" s="1000">
        <f>IF(AE10="","",VLOOKUP($B10,'6-2_算定表③(旧・旧制度)'!$B$8:$U$65536,3,FALSE))</f>
      </c>
      <c r="AI10" s="54">
        <f>IF(A10&gt;0,ASC(C10&amp;H10),"")</f>
      </c>
      <c r="AJ10" s="54">
        <f t="shared" si="7"/>
      </c>
    </row>
    <row r="11" spans="1:36" s="53" customFormat="1" ht="18.75" customHeight="1">
      <c r="A11" s="27">
        <f t="shared" si="8"/>
      </c>
      <c r="B11" s="237"/>
      <c r="C11" s="313">
        <f>IF($B11="","",VLOOKUP($B11,'6-2_算定表②(旧々・新制度)'!$B$8:$U$65536,2,FALSE))</f>
      </c>
      <c r="D11" s="84">
        <f>IF($B11="","",VLOOKUP($B11,'6-2_算定表②(旧々・新制度)'!$B$8:$U$65536,3,FALSE))</f>
      </c>
      <c r="E11" s="84">
        <f>IF($B11="","",VLOOKUP($B11,'6-2_算定表②(旧々・新制度)'!$B$8:$U$65536,6,FALSE))</f>
      </c>
      <c r="F11" s="85">
        <f>IF(B11="","",VLOOKUP($B11,'6-2_算定表②(旧々・新制度)'!$B$8:$U$65536,14,FALSE))</f>
      </c>
      <c r="G11" s="711">
        <f>IF(B11="","",VLOOKUP($B11,'6-2_算定表②(旧々・新制度)'!$B$8:$U$65536,16,FALSE))</f>
      </c>
      <c r="H11" s="85">
        <f>IF(B11="","",VLOOKUP($B11,'6-2_算定表②(旧々・新制度)'!$B$8:$U$65536,17,FALSE))</f>
      </c>
      <c r="I11" s="711">
        <f>IF(B11="","",VLOOKUP($B11,'6-2_算定表②(旧々・新制度)'!$B$8:$U$65536,19,FALSE))</f>
      </c>
      <c r="J11" s="711">
        <f>IF(B11="","",VLOOKUP($B11,'6-2_算定表②(旧々・新制度)'!$B$8:$U$65536,20,FALSE))</f>
      </c>
      <c r="K11" s="716">
        <f>IF($B11="","",VLOOKUP($B11,'6-2_算定表②(旧々・新制度)'!$B$8:$U$65536,14,FALSE))</f>
      </c>
      <c r="L11" s="86">
        <f>IF($B11="","",VLOOKUP($B11,'6-2_算定表②(旧々・新制度)'!$B$8:$U$65536,14,FALSE))</f>
      </c>
      <c r="M11" s="86">
        <f>IF($B11="","",VLOOKUP($B11,'6-2_算定表②(旧々・新制度)'!$B$8:$U$65536,14,FALSE))</f>
      </c>
      <c r="N11" s="86">
        <f>IF($B11="","",VLOOKUP($B11,'6-2_算定表②(旧々・新制度)'!$B$8:$U$65536,17,FALSE))</f>
      </c>
      <c r="O11" s="86">
        <f>IF($B11="","",VLOOKUP($B11,'6-2_算定表②(旧々・新制度)'!$B$8:$U$65536,17,FALSE))</f>
      </c>
      <c r="P11" s="86">
        <f>IF($B11="","",VLOOKUP($B11,'6-2_算定表②(旧々・新制度)'!$B$8:$U$65536,17,FALSE))</f>
      </c>
      <c r="Q11" s="86">
        <f>IF($B11="","",VLOOKUP($B11,'6-2_算定表②(旧々・新制度)'!$B$8:$U$65536,17,FALSE))</f>
      </c>
      <c r="R11" s="86">
        <f>IF($B11="","",VLOOKUP($B11,'6-2_算定表②(旧々・新制度)'!$B$8:$U$65536,17,FALSE))</f>
      </c>
      <c r="S11" s="86">
        <f>IF($B11="","",VLOOKUP($B11,'6-2_算定表②(旧々・新制度)'!$B$8:$U$65536,17,FALSE))</f>
      </c>
      <c r="T11" s="86">
        <f>IF($B11="","",VLOOKUP($B11,'6-2_算定表②(旧々・新制度)'!$B$8:$U$65536,17,FALSE))</f>
      </c>
      <c r="U11" s="86">
        <f>IF($B11="","",VLOOKUP($B11,'6-2_算定表②(旧々・新制度)'!$B$8:$U$65536,17,FALSE))</f>
      </c>
      <c r="V11" s="717">
        <f>IF($B11="","",VLOOKUP($B11,'6-2_算定表②(旧々・新制度)'!$B$8:$U$65536,17,FALSE))</f>
      </c>
      <c r="W11" s="92">
        <f t="shared" si="0"/>
      </c>
      <c r="X11" s="89">
        <f t="shared" si="1"/>
      </c>
      <c r="Y11" s="82">
        <f t="shared" si="2"/>
      </c>
      <c r="Z11" s="98">
        <f t="shared" si="3"/>
      </c>
      <c r="AA11" s="95">
        <f t="shared" si="4"/>
      </c>
      <c r="AB11" s="92">
        <f t="shared" si="5"/>
      </c>
      <c r="AC11" s="59">
        <f>IF(B11="","",ROUNDUP((G11/'6-2_算定表②(旧々・新制度)'!J10*W11)+(I11/'6-2_算定表②(旧々・新制度)'!J10*X11)+(G11/'6-2_算定表②(旧々・新制度)'!J10*Y11)+(I11/'6-2_算定表②(旧々・新制度)'!J10*Z11),0))</f>
      </c>
      <c r="AD11" s="611">
        <f t="shared" si="6"/>
      </c>
      <c r="AE11" s="998">
        <f>IF(B11="","",VLOOKUP($B11,'6-2_算定表②(旧々・新制度)'!$B$8:$AH$65536,33,FALSE))</f>
      </c>
      <c r="AF11" s="999">
        <f>IF(AD11="","",VLOOKUP($B11,'6-2_算定表③(旧・旧制度)'!$B$8:$U$65536,3,FALSE))</f>
      </c>
      <c r="AG11" s="1000">
        <f>IF(AE11="","",VLOOKUP($B11,'6-2_算定表③(旧・旧制度)'!$B$8:$U$65536,3,FALSE))</f>
      </c>
      <c r="AI11" s="60">
        <f aca="true" t="shared" si="9" ref="AI11:AI38">IF(A11&gt;0,ASC(C11&amp;H11),"")</f>
      </c>
      <c r="AJ11" s="60">
        <f t="shared" si="7"/>
      </c>
    </row>
    <row r="12" spans="1:36" s="53" customFormat="1" ht="18.75" customHeight="1">
      <c r="A12" s="27">
        <f t="shared" si="8"/>
      </c>
      <c r="B12" s="237"/>
      <c r="C12" s="313">
        <f>IF($B12="","",VLOOKUP($B12,'6-2_算定表②(旧々・新制度)'!$B$8:$U$65536,2,FALSE))</f>
      </c>
      <c r="D12" s="84">
        <f>IF($B12="","",VLOOKUP($B12,'6-2_算定表②(旧々・新制度)'!$B$8:$U$65536,3,FALSE))</f>
      </c>
      <c r="E12" s="84">
        <f>IF($B12="","",VLOOKUP($B12,'6-2_算定表②(旧々・新制度)'!$B$8:$U$65536,6,FALSE))</f>
      </c>
      <c r="F12" s="85">
        <f>IF(B12="","",VLOOKUP($B12,'6-2_算定表②(旧々・新制度)'!$B$8:$U$65536,14,FALSE))</f>
      </c>
      <c r="G12" s="711">
        <f>IF(B12="","",VLOOKUP($B12,'6-2_算定表②(旧々・新制度)'!$B$8:$U$65536,16,FALSE))</f>
      </c>
      <c r="H12" s="85">
        <f>IF(B12="","",VLOOKUP($B12,'6-2_算定表②(旧々・新制度)'!$B$8:$U$65536,17,FALSE))</f>
      </c>
      <c r="I12" s="711">
        <f>IF(B12="","",VLOOKUP($B12,'6-2_算定表②(旧々・新制度)'!$B$8:$U$65536,19,FALSE))</f>
      </c>
      <c r="J12" s="711">
        <f>IF(B12="","",VLOOKUP($B12,'6-2_算定表②(旧々・新制度)'!$B$8:$U$65536,20,FALSE))</f>
      </c>
      <c r="K12" s="716">
        <f>IF($B12="","",VLOOKUP($B12,'6-2_算定表②(旧々・新制度)'!$B$8:$U$65536,14,FALSE))</f>
      </c>
      <c r="L12" s="86">
        <f>IF($B12="","",VLOOKUP($B12,'6-2_算定表②(旧々・新制度)'!$B$8:$U$65536,14,FALSE))</f>
      </c>
      <c r="M12" s="86">
        <f>IF($B12="","",VLOOKUP($B12,'6-2_算定表②(旧々・新制度)'!$B$8:$U$65536,14,FALSE))</f>
      </c>
      <c r="N12" s="86">
        <f>IF($B12="","",VLOOKUP($B12,'6-2_算定表②(旧々・新制度)'!$B$8:$U$65536,17,FALSE))</f>
      </c>
      <c r="O12" s="86">
        <f>IF($B12="","",VLOOKUP($B12,'6-2_算定表②(旧々・新制度)'!$B$8:$U$65536,17,FALSE))</f>
      </c>
      <c r="P12" s="86">
        <f>IF($B12="","",VLOOKUP($B12,'6-2_算定表②(旧々・新制度)'!$B$8:$U$65536,17,FALSE))</f>
      </c>
      <c r="Q12" s="86">
        <f>IF($B12="","",VLOOKUP($B12,'6-2_算定表②(旧々・新制度)'!$B$8:$U$65536,17,FALSE))</f>
      </c>
      <c r="R12" s="86">
        <f>IF($B12="","",VLOOKUP($B12,'6-2_算定表②(旧々・新制度)'!$B$8:$U$65536,17,FALSE))</f>
      </c>
      <c r="S12" s="86">
        <f>IF($B12="","",VLOOKUP($B12,'6-2_算定表②(旧々・新制度)'!$B$8:$U$65536,17,FALSE))</f>
      </c>
      <c r="T12" s="86">
        <f>IF($B12="","",VLOOKUP($B12,'6-2_算定表②(旧々・新制度)'!$B$8:$U$65536,17,FALSE))</f>
      </c>
      <c r="U12" s="86">
        <f>IF($B12="","",VLOOKUP($B12,'6-2_算定表②(旧々・新制度)'!$B$8:$U$65536,17,FALSE))</f>
      </c>
      <c r="V12" s="717">
        <f>IF($B12="","",VLOOKUP($B12,'6-2_算定表②(旧々・新制度)'!$B$8:$U$65536,17,FALSE))</f>
      </c>
      <c r="W12" s="93">
        <f t="shared" si="0"/>
      </c>
      <c r="X12" s="90">
        <f t="shared" si="1"/>
      </c>
      <c r="Y12" s="87">
        <f t="shared" si="2"/>
      </c>
      <c r="Z12" s="99">
        <f t="shared" si="3"/>
      </c>
      <c r="AA12" s="96">
        <f t="shared" si="4"/>
      </c>
      <c r="AB12" s="93">
        <f t="shared" si="5"/>
      </c>
      <c r="AC12" s="59">
        <f>IF(B12="","",ROUNDUP((G12/'6-2_算定表②(旧々・新制度)'!J11*W12)+(I12/'6-2_算定表②(旧々・新制度)'!J11*X12)+(G12/'6-2_算定表②(旧々・新制度)'!J11*Y12)+(I12/'6-2_算定表②(旧々・新制度)'!J11*Z12),0))</f>
      </c>
      <c r="AD12" s="611">
        <f t="shared" si="6"/>
      </c>
      <c r="AE12" s="998">
        <f>IF(B12="","",VLOOKUP($B12,'6-2_算定表②(旧々・新制度)'!$B$8:$AH$65536,33,FALSE))</f>
      </c>
      <c r="AF12" s="999">
        <f>IF(AD12="","",VLOOKUP($B12,'6-2_算定表③(旧・旧制度)'!$B$8:$U$65536,3,FALSE))</f>
      </c>
      <c r="AG12" s="1000">
        <f>IF(AE12="","",VLOOKUP($B12,'6-2_算定表③(旧・旧制度)'!$B$8:$U$65536,3,FALSE))</f>
      </c>
      <c r="AI12" s="60">
        <f t="shared" si="9"/>
      </c>
      <c r="AJ12" s="60">
        <f t="shared" si="7"/>
      </c>
    </row>
    <row r="13" spans="1:36" s="53" customFormat="1" ht="18.75" customHeight="1">
      <c r="A13" s="27">
        <f t="shared" si="8"/>
      </c>
      <c r="B13" s="237"/>
      <c r="C13" s="313">
        <f>IF($B13="","",VLOOKUP($B13,'6-2_算定表②(旧々・新制度)'!$B$8:$U$65536,2,FALSE))</f>
      </c>
      <c r="D13" s="84">
        <f>IF($B13="","",VLOOKUP($B13,'6-2_算定表②(旧々・新制度)'!$B$8:$U$65536,3,FALSE))</f>
      </c>
      <c r="E13" s="84">
        <f>IF($B13="","",VLOOKUP($B13,'6-2_算定表②(旧々・新制度)'!$B$8:$U$65536,6,FALSE))</f>
      </c>
      <c r="F13" s="85">
        <f>IF(B13="","",VLOOKUP($B13,'6-2_算定表②(旧々・新制度)'!$B$8:$U$65536,14,FALSE))</f>
      </c>
      <c r="G13" s="711">
        <f>IF(B13="","",VLOOKUP($B13,'6-2_算定表②(旧々・新制度)'!$B$8:$U$65536,16,FALSE))</f>
      </c>
      <c r="H13" s="85">
        <f>IF(B13="","",VLOOKUP($B13,'6-2_算定表②(旧々・新制度)'!$B$8:$U$65536,17,FALSE))</f>
      </c>
      <c r="I13" s="711">
        <f>IF(B13="","",VLOOKUP($B13,'6-2_算定表②(旧々・新制度)'!$B$8:$U$65536,19,FALSE))</f>
      </c>
      <c r="J13" s="711">
        <f>IF(B13="","",VLOOKUP($B13,'6-2_算定表②(旧々・新制度)'!$B$8:$U$65536,20,FALSE))</f>
      </c>
      <c r="K13" s="716">
        <f>IF($B13="","",VLOOKUP($B13,'6-2_算定表②(旧々・新制度)'!$B$8:$U$65536,14,FALSE))</f>
      </c>
      <c r="L13" s="86">
        <f>IF($B13="","",VLOOKUP($B13,'6-2_算定表②(旧々・新制度)'!$B$8:$U$65536,14,FALSE))</f>
      </c>
      <c r="M13" s="86">
        <f>IF($B13="","",VLOOKUP($B13,'6-2_算定表②(旧々・新制度)'!$B$8:$U$65536,14,FALSE))</f>
      </c>
      <c r="N13" s="86">
        <f>IF($B13="","",VLOOKUP($B13,'6-2_算定表②(旧々・新制度)'!$B$8:$U$65536,17,FALSE))</f>
      </c>
      <c r="O13" s="86">
        <f>IF($B13="","",VLOOKUP($B13,'6-2_算定表②(旧々・新制度)'!$B$8:$U$65536,17,FALSE))</f>
      </c>
      <c r="P13" s="86">
        <f>IF($B13="","",VLOOKUP($B13,'6-2_算定表②(旧々・新制度)'!$B$8:$U$65536,17,FALSE))</f>
      </c>
      <c r="Q13" s="86">
        <f>IF($B13="","",VLOOKUP($B13,'6-2_算定表②(旧々・新制度)'!$B$8:$U$65536,17,FALSE))</f>
      </c>
      <c r="R13" s="86">
        <f>IF($B13="","",VLOOKUP($B13,'6-2_算定表②(旧々・新制度)'!$B$8:$U$65536,17,FALSE))</f>
      </c>
      <c r="S13" s="86">
        <f>IF($B13="","",VLOOKUP($B13,'6-2_算定表②(旧々・新制度)'!$B$8:$U$65536,17,FALSE))</f>
      </c>
      <c r="T13" s="86">
        <f>IF($B13="","",VLOOKUP($B13,'6-2_算定表②(旧々・新制度)'!$B$8:$U$65536,17,FALSE))</f>
      </c>
      <c r="U13" s="86">
        <f>IF($B13="","",VLOOKUP($B13,'6-2_算定表②(旧々・新制度)'!$B$8:$U$65536,17,FALSE))</f>
      </c>
      <c r="V13" s="717">
        <f>IF($B13="","",VLOOKUP($B13,'6-2_算定表②(旧々・新制度)'!$B$8:$U$65536,17,FALSE))</f>
      </c>
      <c r="W13" s="93">
        <f t="shared" si="0"/>
      </c>
      <c r="X13" s="90">
        <f t="shared" si="1"/>
      </c>
      <c r="Y13" s="87">
        <f t="shared" si="2"/>
      </c>
      <c r="Z13" s="99">
        <f t="shared" si="3"/>
      </c>
      <c r="AA13" s="96">
        <f t="shared" si="4"/>
      </c>
      <c r="AB13" s="93">
        <f t="shared" si="5"/>
      </c>
      <c r="AC13" s="59">
        <f>IF(B13="","",ROUNDUP((G13/'6-2_算定表②(旧々・新制度)'!J12*W13)+(I13/'6-2_算定表②(旧々・新制度)'!J12*X13)+(G13/'6-2_算定表②(旧々・新制度)'!J12*Y13)+(I13/'6-2_算定表②(旧々・新制度)'!J12*Z13),0))</f>
      </c>
      <c r="AD13" s="611">
        <f t="shared" si="6"/>
      </c>
      <c r="AE13" s="998">
        <f>IF(B13="","",VLOOKUP($B13,'6-2_算定表②(旧々・新制度)'!$B$8:$AH$65536,33,FALSE))</f>
      </c>
      <c r="AF13" s="999">
        <f>IF(AD13="","",VLOOKUP($B13,'6-2_算定表③(旧・旧制度)'!$B$8:$U$65536,3,FALSE))</f>
      </c>
      <c r="AG13" s="1000">
        <f>IF(AE13="","",VLOOKUP($B13,'6-2_算定表③(旧・旧制度)'!$B$8:$U$65536,3,FALSE))</f>
      </c>
      <c r="AI13" s="60">
        <f t="shared" si="9"/>
      </c>
      <c r="AJ13" s="60">
        <f t="shared" si="7"/>
      </c>
    </row>
    <row r="14" spans="1:36" s="53" customFormat="1" ht="18.75" customHeight="1">
      <c r="A14" s="27">
        <f t="shared" si="8"/>
      </c>
      <c r="B14" s="240"/>
      <c r="C14" s="313">
        <f>IF($B14="","",VLOOKUP($B14,'6-2_算定表②(旧々・新制度)'!$B$8:$U$65536,2,FALSE))</f>
      </c>
      <c r="D14" s="84">
        <f>IF($B14="","",VLOOKUP($B14,'6-2_算定表②(旧々・新制度)'!$B$8:$U$65536,3,FALSE))</f>
      </c>
      <c r="E14" s="84">
        <f>IF($B14="","",VLOOKUP($B14,'6-2_算定表②(旧々・新制度)'!$B$8:$U$65536,6,FALSE))</f>
      </c>
      <c r="F14" s="85">
        <f>IF(B14="","",VLOOKUP($B14,'6-2_算定表②(旧々・新制度)'!$B$8:$U$65536,14,FALSE))</f>
      </c>
      <c r="G14" s="711">
        <f>IF(B14="","",VLOOKUP($B14,'6-2_算定表②(旧々・新制度)'!$B$8:$U$65536,16,FALSE))</f>
      </c>
      <c r="H14" s="85">
        <f>IF(B14="","",VLOOKUP($B14,'6-2_算定表②(旧々・新制度)'!$B$8:$U$65536,17,FALSE))</f>
      </c>
      <c r="I14" s="711">
        <f>IF(B14="","",VLOOKUP($B14,'6-2_算定表②(旧々・新制度)'!$B$8:$U$65536,19,FALSE))</f>
      </c>
      <c r="J14" s="711">
        <f>IF(B14="","",VLOOKUP($B14,'6-2_算定表②(旧々・新制度)'!$B$8:$U$65536,20,FALSE))</f>
      </c>
      <c r="K14" s="716">
        <f>IF($B14="","",VLOOKUP($B14,'6-2_算定表②(旧々・新制度)'!$B$8:$U$65536,14,FALSE))</f>
      </c>
      <c r="L14" s="86">
        <f>IF($B14="","",VLOOKUP($B14,'6-2_算定表②(旧々・新制度)'!$B$8:$U$65536,14,FALSE))</f>
      </c>
      <c r="M14" s="86">
        <f>IF($B14="","",VLOOKUP($B14,'6-2_算定表②(旧々・新制度)'!$B$8:$U$65536,14,FALSE))</f>
      </c>
      <c r="N14" s="86">
        <f>IF($B14="","",VLOOKUP($B14,'6-2_算定表②(旧々・新制度)'!$B$8:$U$65536,17,FALSE))</f>
      </c>
      <c r="O14" s="86">
        <f>IF($B14="","",VLOOKUP($B14,'6-2_算定表②(旧々・新制度)'!$B$8:$U$65536,17,FALSE))</f>
      </c>
      <c r="P14" s="86">
        <f>IF($B14="","",VLOOKUP($B14,'6-2_算定表②(旧々・新制度)'!$B$8:$U$65536,17,FALSE))</f>
      </c>
      <c r="Q14" s="86">
        <f>IF($B14="","",VLOOKUP($B14,'6-2_算定表②(旧々・新制度)'!$B$8:$U$65536,17,FALSE))</f>
      </c>
      <c r="R14" s="86">
        <f>IF($B14="","",VLOOKUP($B14,'6-2_算定表②(旧々・新制度)'!$B$8:$U$65536,17,FALSE))</f>
      </c>
      <c r="S14" s="86">
        <f>IF($B14="","",VLOOKUP($B14,'6-2_算定表②(旧々・新制度)'!$B$8:$U$65536,17,FALSE))</f>
      </c>
      <c r="T14" s="86">
        <f>IF($B14="","",VLOOKUP($B14,'6-2_算定表②(旧々・新制度)'!$B$8:$U$65536,17,FALSE))</f>
      </c>
      <c r="U14" s="86">
        <f>IF($B14="","",VLOOKUP($B14,'6-2_算定表②(旧々・新制度)'!$B$8:$U$65536,17,FALSE))</f>
      </c>
      <c r="V14" s="717">
        <f>IF($B14="","",VLOOKUP($B14,'6-2_算定表②(旧々・新制度)'!$B$8:$U$65536,17,FALSE))</f>
      </c>
      <c r="W14" s="93">
        <f t="shared" si="0"/>
      </c>
      <c r="X14" s="90">
        <f t="shared" si="1"/>
      </c>
      <c r="Y14" s="87">
        <f t="shared" si="2"/>
      </c>
      <c r="Z14" s="99">
        <f t="shared" si="3"/>
      </c>
      <c r="AA14" s="96">
        <f t="shared" si="4"/>
      </c>
      <c r="AB14" s="93">
        <f t="shared" si="5"/>
      </c>
      <c r="AC14" s="59">
        <f>IF(B14="","",ROUNDUP((G14/'6-2_算定表②(旧々・新制度)'!J13*W14)+(I14/'6-2_算定表②(旧々・新制度)'!J13*X14)+(G14/'6-2_算定表②(旧々・新制度)'!J13*Y14)+(I14/'6-2_算定表②(旧々・新制度)'!J13*Z14),0))</f>
      </c>
      <c r="AD14" s="611">
        <f t="shared" si="6"/>
      </c>
      <c r="AE14" s="998">
        <f>IF(B14="","",VLOOKUP($B14,'6-2_算定表②(旧々・新制度)'!$B$8:$AH$65536,33,FALSE))</f>
      </c>
      <c r="AF14" s="999">
        <f>IF(AD14="","",VLOOKUP($B14,'6-2_算定表③(旧・旧制度)'!$B$8:$U$65536,3,FALSE))</f>
      </c>
      <c r="AG14" s="1000">
        <f>IF(AE14="","",VLOOKUP($B14,'6-2_算定表③(旧・旧制度)'!$B$8:$U$65536,3,FALSE))</f>
      </c>
      <c r="AI14" s="60">
        <f t="shared" si="9"/>
      </c>
      <c r="AJ14" s="60">
        <f t="shared" si="7"/>
      </c>
    </row>
    <row r="15" spans="1:36" s="53" customFormat="1" ht="18.75" customHeight="1">
      <c r="A15" s="27">
        <f t="shared" si="8"/>
      </c>
      <c r="B15" s="240"/>
      <c r="C15" s="313">
        <f>IF($B15="","",VLOOKUP($B15,'6-2_算定表②(旧々・新制度)'!$B$8:$U$65536,2,FALSE))</f>
      </c>
      <c r="D15" s="84">
        <f>IF($B15="","",VLOOKUP($B15,'6-2_算定表②(旧々・新制度)'!$B$8:$U$65536,3,FALSE))</f>
      </c>
      <c r="E15" s="84">
        <f>IF($B15="","",VLOOKUP($B15,'6-2_算定表②(旧々・新制度)'!$B$8:$U$65536,6,FALSE))</f>
      </c>
      <c r="F15" s="85">
        <f>IF(B15="","",VLOOKUP($B15,'6-2_算定表②(旧々・新制度)'!$B$8:$U$65536,14,FALSE))</f>
      </c>
      <c r="G15" s="711">
        <f>IF(B15="","",VLOOKUP($B15,'6-2_算定表②(旧々・新制度)'!$B$8:$U$65536,16,FALSE))</f>
      </c>
      <c r="H15" s="85">
        <f>IF(B15="","",VLOOKUP($B15,'6-2_算定表②(旧々・新制度)'!$B$8:$U$65536,17,FALSE))</f>
      </c>
      <c r="I15" s="711">
        <f>IF(B15="","",VLOOKUP($B15,'6-2_算定表②(旧々・新制度)'!$B$8:$U$65536,19,FALSE))</f>
      </c>
      <c r="J15" s="711">
        <f>IF(B15="","",VLOOKUP($B15,'6-2_算定表②(旧々・新制度)'!$B$8:$U$65536,20,FALSE))</f>
      </c>
      <c r="K15" s="716">
        <f>IF($B15="","",VLOOKUP($B15,'6-2_算定表②(旧々・新制度)'!$B$8:$U$65536,14,FALSE))</f>
      </c>
      <c r="L15" s="86">
        <f>IF($B15="","",VLOOKUP($B15,'6-2_算定表②(旧々・新制度)'!$B$8:$U$65536,14,FALSE))</f>
      </c>
      <c r="M15" s="86">
        <f>IF($B15="","",VLOOKUP($B15,'6-2_算定表②(旧々・新制度)'!$B$8:$U$65536,14,FALSE))</f>
      </c>
      <c r="N15" s="86">
        <f>IF($B15="","",VLOOKUP($B15,'6-2_算定表②(旧々・新制度)'!$B$8:$U$65536,17,FALSE))</f>
      </c>
      <c r="O15" s="86">
        <f>IF($B15="","",VLOOKUP($B15,'6-2_算定表②(旧々・新制度)'!$B$8:$U$65536,17,FALSE))</f>
      </c>
      <c r="P15" s="86">
        <f>IF($B15="","",VLOOKUP($B15,'6-2_算定表②(旧々・新制度)'!$B$8:$U$65536,17,FALSE))</f>
      </c>
      <c r="Q15" s="86">
        <f>IF($B15="","",VLOOKUP($B15,'6-2_算定表②(旧々・新制度)'!$B$8:$U$65536,17,FALSE))</f>
      </c>
      <c r="R15" s="86">
        <f>IF($B15="","",VLOOKUP($B15,'6-2_算定表②(旧々・新制度)'!$B$8:$U$65536,17,FALSE))</f>
      </c>
      <c r="S15" s="86">
        <f>IF($B15="","",VLOOKUP($B15,'6-2_算定表②(旧々・新制度)'!$B$8:$U$65536,17,FALSE))</f>
      </c>
      <c r="T15" s="86">
        <f>IF($B15="","",VLOOKUP($B15,'6-2_算定表②(旧々・新制度)'!$B$8:$U$65536,17,FALSE))</f>
      </c>
      <c r="U15" s="86">
        <f>IF($B15="","",VLOOKUP($B15,'6-2_算定表②(旧々・新制度)'!$B$8:$U$65536,17,FALSE))</f>
      </c>
      <c r="V15" s="717">
        <f>IF($B15="","",VLOOKUP($B15,'6-2_算定表②(旧々・新制度)'!$B$8:$U$65536,17,FALSE))</f>
      </c>
      <c r="W15" s="93">
        <f t="shared" si="0"/>
      </c>
      <c r="X15" s="90">
        <f t="shared" si="1"/>
      </c>
      <c r="Y15" s="87">
        <f t="shared" si="2"/>
      </c>
      <c r="Z15" s="99">
        <f t="shared" si="3"/>
      </c>
      <c r="AA15" s="96">
        <f t="shared" si="4"/>
      </c>
      <c r="AB15" s="93">
        <f t="shared" si="5"/>
      </c>
      <c r="AC15" s="59">
        <f>IF(B15="","",ROUNDUP((G15/'6-2_算定表②(旧々・新制度)'!J14*W15)+(I15/'6-2_算定表②(旧々・新制度)'!J14*X15)+(G15/'6-2_算定表②(旧々・新制度)'!J14*Y15)+(I15/'6-2_算定表②(旧々・新制度)'!J14*Z15),0))</f>
      </c>
      <c r="AD15" s="611">
        <f t="shared" si="6"/>
      </c>
      <c r="AE15" s="998">
        <f>IF(B15="","",VLOOKUP($B15,'6-2_算定表②(旧々・新制度)'!$B$8:$AH$65536,33,FALSE))</f>
      </c>
      <c r="AF15" s="999">
        <f>IF(AD15="","",VLOOKUP($B15,'6-2_算定表③(旧・旧制度)'!$B$8:$U$65536,3,FALSE))</f>
      </c>
      <c r="AG15" s="1000">
        <f>IF(AE15="","",VLOOKUP($B15,'6-2_算定表③(旧・旧制度)'!$B$8:$U$65536,3,FALSE))</f>
      </c>
      <c r="AI15" s="60">
        <f t="shared" si="9"/>
      </c>
      <c r="AJ15" s="60">
        <f t="shared" si="7"/>
      </c>
    </row>
    <row r="16" spans="1:36" s="53" customFormat="1" ht="18.75" customHeight="1">
      <c r="A16" s="27">
        <f t="shared" si="8"/>
      </c>
      <c r="B16" s="240"/>
      <c r="C16" s="313">
        <f>IF($B16="","",VLOOKUP($B16,'6-2_算定表②(旧々・新制度)'!$B$8:$U$65536,2,FALSE))</f>
      </c>
      <c r="D16" s="84">
        <f>IF($B16="","",VLOOKUP($B16,'6-2_算定表②(旧々・新制度)'!$B$8:$U$65536,3,FALSE))</f>
      </c>
      <c r="E16" s="84">
        <f>IF($B16="","",VLOOKUP($B16,'6-2_算定表②(旧々・新制度)'!$B$8:$U$65536,6,FALSE))</f>
      </c>
      <c r="F16" s="85">
        <f>IF(B16="","",VLOOKUP($B16,'6-2_算定表②(旧々・新制度)'!$B$8:$U$65536,14,FALSE))</f>
      </c>
      <c r="G16" s="711">
        <f>IF(B16="","",VLOOKUP($B16,'6-2_算定表②(旧々・新制度)'!$B$8:$U$65536,16,FALSE))</f>
      </c>
      <c r="H16" s="85">
        <f>IF(B16="","",VLOOKUP($B16,'6-2_算定表②(旧々・新制度)'!$B$8:$U$65536,17,FALSE))</f>
      </c>
      <c r="I16" s="711">
        <f>IF(B16="","",VLOOKUP($B16,'6-2_算定表②(旧々・新制度)'!$B$8:$U$65536,19,FALSE))</f>
      </c>
      <c r="J16" s="711">
        <f>IF(B16="","",VLOOKUP($B16,'6-2_算定表②(旧々・新制度)'!$B$8:$U$65536,20,FALSE))</f>
      </c>
      <c r="K16" s="716">
        <f>IF($B16="","",VLOOKUP($B16,'6-2_算定表②(旧々・新制度)'!$B$8:$U$65536,14,FALSE))</f>
      </c>
      <c r="L16" s="86">
        <f>IF($B16="","",VLOOKUP($B16,'6-2_算定表②(旧々・新制度)'!$B$8:$U$65536,14,FALSE))</f>
      </c>
      <c r="M16" s="86">
        <f>IF($B16="","",VLOOKUP($B16,'6-2_算定表②(旧々・新制度)'!$B$8:$U$65536,14,FALSE))</f>
      </c>
      <c r="N16" s="86">
        <f>IF($B16="","",VLOOKUP($B16,'6-2_算定表②(旧々・新制度)'!$B$8:$U$65536,17,FALSE))</f>
      </c>
      <c r="O16" s="86">
        <f>IF($B16="","",VLOOKUP($B16,'6-2_算定表②(旧々・新制度)'!$B$8:$U$65536,17,FALSE))</f>
      </c>
      <c r="P16" s="86">
        <f>IF($B16="","",VLOOKUP($B16,'6-2_算定表②(旧々・新制度)'!$B$8:$U$65536,17,FALSE))</f>
      </c>
      <c r="Q16" s="86">
        <f>IF($B16="","",VLOOKUP($B16,'6-2_算定表②(旧々・新制度)'!$B$8:$U$65536,17,FALSE))</f>
      </c>
      <c r="R16" s="86">
        <f>IF($B16="","",VLOOKUP($B16,'6-2_算定表②(旧々・新制度)'!$B$8:$U$65536,17,FALSE))</f>
      </c>
      <c r="S16" s="86">
        <f>IF($B16="","",VLOOKUP($B16,'6-2_算定表②(旧々・新制度)'!$B$8:$U$65536,17,FALSE))</f>
      </c>
      <c r="T16" s="86">
        <f>IF($B16="","",VLOOKUP($B16,'6-2_算定表②(旧々・新制度)'!$B$8:$U$65536,17,FALSE))</f>
      </c>
      <c r="U16" s="86">
        <f>IF($B16="","",VLOOKUP($B16,'6-2_算定表②(旧々・新制度)'!$B$8:$U$65536,17,FALSE))</f>
      </c>
      <c r="V16" s="717">
        <f>IF($B16="","",VLOOKUP($B16,'6-2_算定表②(旧々・新制度)'!$B$8:$U$65536,17,FALSE))</f>
      </c>
      <c r="W16" s="93">
        <f t="shared" si="0"/>
      </c>
      <c r="X16" s="90">
        <f t="shared" si="1"/>
      </c>
      <c r="Y16" s="87">
        <f t="shared" si="2"/>
      </c>
      <c r="Z16" s="99">
        <f t="shared" si="3"/>
      </c>
      <c r="AA16" s="96">
        <f t="shared" si="4"/>
      </c>
      <c r="AB16" s="93">
        <f t="shared" si="5"/>
      </c>
      <c r="AC16" s="59">
        <f>IF(B16="","",ROUNDUP((G16/'6-2_算定表②(旧々・新制度)'!J15*W16)+(I16/'6-2_算定表②(旧々・新制度)'!J15*X16)+(G16/'6-2_算定表②(旧々・新制度)'!J15*Y16)+(I16/'6-2_算定表②(旧々・新制度)'!J15*Z16),0))</f>
      </c>
      <c r="AD16" s="611">
        <f t="shared" si="6"/>
      </c>
      <c r="AE16" s="998">
        <f>IF(B16="","",VLOOKUP($B16,'6-2_算定表②(旧々・新制度)'!$B$8:$AH$65536,33,FALSE))</f>
      </c>
      <c r="AF16" s="999">
        <f>IF(AD16="","",VLOOKUP($B16,'6-2_算定表③(旧・旧制度)'!$B$8:$U$65536,3,FALSE))</f>
      </c>
      <c r="AG16" s="1000">
        <f>IF(AE16="","",VLOOKUP($B16,'6-2_算定表③(旧・旧制度)'!$B$8:$U$65536,3,FALSE))</f>
      </c>
      <c r="AI16" s="60">
        <f t="shared" si="9"/>
      </c>
      <c r="AJ16" s="60">
        <f t="shared" si="7"/>
      </c>
    </row>
    <row r="17" spans="1:36" s="53" customFormat="1" ht="18.75" customHeight="1">
      <c r="A17" s="27">
        <f t="shared" si="8"/>
      </c>
      <c r="B17" s="240"/>
      <c r="C17" s="313">
        <f>IF($B17="","",VLOOKUP($B17,'6-2_算定表②(旧々・新制度)'!$B$8:$U$65536,2,FALSE))</f>
      </c>
      <c r="D17" s="84">
        <f>IF($B17="","",VLOOKUP($B17,'6-2_算定表②(旧々・新制度)'!$B$8:$U$65536,3,FALSE))</f>
      </c>
      <c r="E17" s="84">
        <f>IF($B17="","",VLOOKUP($B17,'6-2_算定表②(旧々・新制度)'!$B$8:$U$65536,6,FALSE))</f>
      </c>
      <c r="F17" s="85">
        <f>IF(B17="","",VLOOKUP($B17,'6-2_算定表②(旧々・新制度)'!$B$8:$U$65536,14,FALSE))</f>
      </c>
      <c r="G17" s="711">
        <f>IF(B17="","",VLOOKUP($B17,'6-2_算定表②(旧々・新制度)'!$B$8:$U$65536,16,FALSE))</f>
      </c>
      <c r="H17" s="85">
        <f>IF(B17="","",VLOOKUP($B17,'6-2_算定表②(旧々・新制度)'!$B$8:$U$65536,17,FALSE))</f>
      </c>
      <c r="I17" s="711">
        <f>IF(B17="","",VLOOKUP($B17,'6-2_算定表②(旧々・新制度)'!$B$8:$U$65536,19,FALSE))</f>
      </c>
      <c r="J17" s="711">
        <f>IF(B17="","",VLOOKUP($B17,'6-2_算定表②(旧々・新制度)'!$B$8:$U$65536,20,FALSE))</f>
      </c>
      <c r="K17" s="716">
        <f>IF($B17="","",VLOOKUP($B17,'6-2_算定表②(旧々・新制度)'!$B$8:$U$65536,14,FALSE))</f>
      </c>
      <c r="L17" s="86">
        <f>IF($B17="","",VLOOKUP($B17,'6-2_算定表②(旧々・新制度)'!$B$8:$U$65536,14,FALSE))</f>
      </c>
      <c r="M17" s="86">
        <f>IF($B17="","",VLOOKUP($B17,'6-2_算定表②(旧々・新制度)'!$B$8:$U$65536,14,FALSE))</f>
      </c>
      <c r="N17" s="86">
        <f>IF($B17="","",VLOOKUP($B17,'6-2_算定表②(旧々・新制度)'!$B$8:$U$65536,17,FALSE))</f>
      </c>
      <c r="O17" s="86">
        <f>IF($B17="","",VLOOKUP($B17,'6-2_算定表②(旧々・新制度)'!$B$8:$U$65536,17,FALSE))</f>
      </c>
      <c r="P17" s="86">
        <f>IF($B17="","",VLOOKUP($B17,'6-2_算定表②(旧々・新制度)'!$B$8:$U$65536,17,FALSE))</f>
      </c>
      <c r="Q17" s="86">
        <f>IF($B17="","",VLOOKUP($B17,'6-2_算定表②(旧々・新制度)'!$B$8:$U$65536,17,FALSE))</f>
      </c>
      <c r="R17" s="86">
        <f>IF($B17="","",VLOOKUP($B17,'6-2_算定表②(旧々・新制度)'!$B$8:$U$65536,17,FALSE))</f>
      </c>
      <c r="S17" s="86">
        <f>IF($B17="","",VLOOKUP($B17,'6-2_算定表②(旧々・新制度)'!$B$8:$U$65536,17,FALSE))</f>
      </c>
      <c r="T17" s="86">
        <f>IF($B17="","",VLOOKUP($B17,'6-2_算定表②(旧々・新制度)'!$B$8:$U$65536,17,FALSE))</f>
      </c>
      <c r="U17" s="86">
        <f>IF($B17="","",VLOOKUP($B17,'6-2_算定表②(旧々・新制度)'!$B$8:$U$65536,17,FALSE))</f>
      </c>
      <c r="V17" s="717">
        <f>IF($B17="","",VLOOKUP($B17,'6-2_算定表②(旧々・新制度)'!$B$8:$U$65536,17,FALSE))</f>
      </c>
      <c r="W17" s="93">
        <f t="shared" si="0"/>
      </c>
      <c r="X17" s="90">
        <f t="shared" si="1"/>
      </c>
      <c r="Y17" s="87">
        <f t="shared" si="2"/>
      </c>
      <c r="Z17" s="99">
        <f t="shared" si="3"/>
      </c>
      <c r="AA17" s="96">
        <f t="shared" si="4"/>
      </c>
      <c r="AB17" s="93">
        <f t="shared" si="5"/>
      </c>
      <c r="AC17" s="59">
        <f>IF(B17="","",ROUNDUP((G17/'6-2_算定表②(旧々・新制度)'!J16*W17)+(I17/'6-2_算定表②(旧々・新制度)'!J16*X17)+(G17/'6-2_算定表②(旧々・新制度)'!J16*Y17)+(I17/'6-2_算定表②(旧々・新制度)'!J16*Z17),0))</f>
      </c>
      <c r="AD17" s="611">
        <f t="shared" si="6"/>
      </c>
      <c r="AE17" s="998">
        <f>IF(B17="","",VLOOKUP($B17,'6-2_算定表②(旧々・新制度)'!$B$8:$AH$65536,33,FALSE))</f>
      </c>
      <c r="AF17" s="999">
        <f>IF(AD17="","",VLOOKUP($B17,'6-2_算定表③(旧・旧制度)'!$B$8:$U$65536,3,FALSE))</f>
      </c>
      <c r="AG17" s="1000">
        <f>IF(AE17="","",VLOOKUP($B17,'6-2_算定表③(旧・旧制度)'!$B$8:$U$65536,3,FALSE))</f>
      </c>
      <c r="AI17" s="60">
        <f t="shared" si="9"/>
      </c>
      <c r="AJ17" s="60">
        <f t="shared" si="7"/>
      </c>
    </row>
    <row r="18" spans="1:36" s="53" customFormat="1" ht="18.75" customHeight="1">
      <c r="A18" s="27">
        <f t="shared" si="8"/>
      </c>
      <c r="B18" s="240"/>
      <c r="C18" s="313">
        <f>IF($B18="","",VLOOKUP($B18,'6-2_算定表②(旧々・新制度)'!$B$8:$U$65536,2,FALSE))</f>
      </c>
      <c r="D18" s="84">
        <f>IF($B18="","",VLOOKUP($B18,'6-2_算定表②(旧々・新制度)'!$B$8:$U$65536,3,FALSE))</f>
      </c>
      <c r="E18" s="84">
        <f>IF($B18="","",VLOOKUP($B18,'6-2_算定表②(旧々・新制度)'!$B$8:$U$65536,6,FALSE))</f>
      </c>
      <c r="F18" s="85">
        <f>IF(B18="","",VLOOKUP($B18,'6-2_算定表②(旧々・新制度)'!$B$8:$U$65536,14,FALSE))</f>
      </c>
      <c r="G18" s="711">
        <f>IF(B18="","",VLOOKUP($B18,'6-2_算定表②(旧々・新制度)'!$B$8:$U$65536,16,FALSE))</f>
      </c>
      <c r="H18" s="85">
        <f>IF(B18="","",VLOOKUP($B18,'6-2_算定表②(旧々・新制度)'!$B$8:$U$65536,17,FALSE))</f>
      </c>
      <c r="I18" s="711">
        <f>IF(B18="","",VLOOKUP($B18,'6-2_算定表②(旧々・新制度)'!$B$8:$U$65536,19,FALSE))</f>
      </c>
      <c r="J18" s="711">
        <f>IF(B18="","",VLOOKUP($B18,'6-2_算定表②(旧々・新制度)'!$B$8:$U$65536,20,FALSE))</f>
      </c>
      <c r="K18" s="716">
        <f>IF($B18="","",VLOOKUP($B18,'6-2_算定表②(旧々・新制度)'!$B$8:$U$65536,14,FALSE))</f>
      </c>
      <c r="L18" s="86">
        <f>IF($B18="","",VLOOKUP($B18,'6-2_算定表②(旧々・新制度)'!$B$8:$U$65536,14,FALSE))</f>
      </c>
      <c r="M18" s="86">
        <f>IF($B18="","",VLOOKUP($B18,'6-2_算定表②(旧々・新制度)'!$B$8:$U$65536,14,FALSE))</f>
      </c>
      <c r="N18" s="86">
        <f>IF($B18="","",VLOOKUP($B18,'6-2_算定表②(旧々・新制度)'!$B$8:$U$65536,17,FALSE))</f>
      </c>
      <c r="O18" s="86">
        <f>IF($B18="","",VLOOKUP($B18,'6-2_算定表②(旧々・新制度)'!$B$8:$U$65536,17,FALSE))</f>
      </c>
      <c r="P18" s="86">
        <f>IF($B18="","",VLOOKUP($B18,'6-2_算定表②(旧々・新制度)'!$B$8:$U$65536,17,FALSE))</f>
      </c>
      <c r="Q18" s="86">
        <f>IF($B18="","",VLOOKUP($B18,'6-2_算定表②(旧々・新制度)'!$B$8:$U$65536,17,FALSE))</f>
      </c>
      <c r="R18" s="86">
        <f>IF($B18="","",VLOOKUP($B18,'6-2_算定表②(旧々・新制度)'!$B$8:$U$65536,17,FALSE))</f>
      </c>
      <c r="S18" s="86">
        <f>IF($B18="","",VLOOKUP($B18,'6-2_算定表②(旧々・新制度)'!$B$8:$U$65536,17,FALSE))</f>
      </c>
      <c r="T18" s="86">
        <f>IF($B18="","",VLOOKUP($B18,'6-2_算定表②(旧々・新制度)'!$B$8:$U$65536,17,FALSE))</f>
      </c>
      <c r="U18" s="86">
        <f>IF($B18="","",VLOOKUP($B18,'6-2_算定表②(旧々・新制度)'!$B$8:$U$65536,17,FALSE))</f>
      </c>
      <c r="V18" s="717">
        <f>IF($B18="","",VLOOKUP($B18,'6-2_算定表②(旧々・新制度)'!$B$8:$U$65536,17,FALSE))</f>
      </c>
      <c r="W18" s="93">
        <f t="shared" si="0"/>
      </c>
      <c r="X18" s="90">
        <f t="shared" si="1"/>
      </c>
      <c r="Y18" s="87">
        <f t="shared" si="2"/>
      </c>
      <c r="Z18" s="99">
        <f t="shared" si="3"/>
      </c>
      <c r="AA18" s="96">
        <f t="shared" si="4"/>
      </c>
      <c r="AB18" s="93">
        <f t="shared" si="5"/>
      </c>
      <c r="AC18" s="59">
        <f>IF(B18="","",ROUNDUP((G18/'6-2_算定表②(旧々・新制度)'!J17*W18)+(I18/'6-2_算定表②(旧々・新制度)'!J17*X18)+(G18/'6-2_算定表②(旧々・新制度)'!J17*Y18)+(I18/'6-2_算定表②(旧々・新制度)'!J17*Z18),0))</f>
      </c>
      <c r="AD18" s="611">
        <f t="shared" si="6"/>
      </c>
      <c r="AE18" s="998">
        <f>IF(B18="","",VLOOKUP($B18,'6-2_算定表②(旧々・新制度)'!$B$8:$AH$65536,33,FALSE))</f>
      </c>
      <c r="AF18" s="999">
        <f>IF(AD18="","",VLOOKUP($B18,'6-2_算定表③(旧・旧制度)'!$B$8:$U$65536,3,FALSE))</f>
      </c>
      <c r="AG18" s="1000">
        <f>IF(AE18="","",VLOOKUP($B18,'6-2_算定表③(旧・旧制度)'!$B$8:$U$65536,3,FALSE))</f>
      </c>
      <c r="AI18" s="60">
        <f t="shared" si="9"/>
      </c>
      <c r="AJ18" s="60">
        <f t="shared" si="7"/>
      </c>
    </row>
    <row r="19" spans="1:36" s="53" customFormat="1" ht="18.75" customHeight="1">
      <c r="A19" s="27">
        <f t="shared" si="8"/>
      </c>
      <c r="B19" s="240"/>
      <c r="C19" s="313">
        <f>IF($B19="","",VLOOKUP($B19,'6-2_算定表②(旧々・新制度)'!$B$8:$U$65536,2,FALSE))</f>
      </c>
      <c r="D19" s="84">
        <f>IF($B19="","",VLOOKUP($B19,'6-2_算定表②(旧々・新制度)'!$B$8:$U$65536,3,FALSE))</f>
      </c>
      <c r="E19" s="84">
        <f>IF($B19="","",VLOOKUP($B19,'6-2_算定表②(旧々・新制度)'!$B$8:$U$65536,6,FALSE))</f>
      </c>
      <c r="F19" s="85">
        <f>IF(B19="","",VLOOKUP($B19,'6-2_算定表②(旧々・新制度)'!$B$8:$U$65536,14,FALSE))</f>
      </c>
      <c r="G19" s="711">
        <f>IF(B19="","",VLOOKUP($B19,'6-2_算定表②(旧々・新制度)'!$B$8:$U$65536,16,FALSE))</f>
      </c>
      <c r="H19" s="85">
        <f>IF(B19="","",VLOOKUP($B19,'6-2_算定表②(旧々・新制度)'!$B$8:$U$65536,17,FALSE))</f>
      </c>
      <c r="I19" s="711">
        <f>IF(B19="","",VLOOKUP($B19,'6-2_算定表②(旧々・新制度)'!$B$8:$U$65536,19,FALSE))</f>
      </c>
      <c r="J19" s="711">
        <f>IF(B19="","",VLOOKUP($B19,'6-2_算定表②(旧々・新制度)'!$B$8:$U$65536,20,FALSE))</f>
      </c>
      <c r="K19" s="716">
        <f>IF($B19="","",VLOOKUP($B19,'6-2_算定表②(旧々・新制度)'!$B$8:$U$65536,14,FALSE))</f>
      </c>
      <c r="L19" s="86">
        <f>IF($B19="","",VLOOKUP($B19,'6-2_算定表②(旧々・新制度)'!$B$8:$U$65536,14,FALSE))</f>
      </c>
      <c r="M19" s="86">
        <f>IF($B19="","",VLOOKUP($B19,'6-2_算定表②(旧々・新制度)'!$B$8:$U$65536,14,FALSE))</f>
      </c>
      <c r="N19" s="86">
        <f>IF($B19="","",VLOOKUP($B19,'6-2_算定表②(旧々・新制度)'!$B$8:$U$65536,17,FALSE))</f>
      </c>
      <c r="O19" s="86">
        <f>IF($B19="","",VLOOKUP($B19,'6-2_算定表②(旧々・新制度)'!$B$8:$U$65536,17,FALSE))</f>
      </c>
      <c r="P19" s="86">
        <f>IF($B19="","",VLOOKUP($B19,'6-2_算定表②(旧々・新制度)'!$B$8:$U$65536,17,FALSE))</f>
      </c>
      <c r="Q19" s="86">
        <f>IF($B19="","",VLOOKUP($B19,'6-2_算定表②(旧々・新制度)'!$B$8:$U$65536,17,FALSE))</f>
      </c>
      <c r="R19" s="86">
        <f>IF($B19="","",VLOOKUP($B19,'6-2_算定表②(旧々・新制度)'!$B$8:$U$65536,17,FALSE))</f>
      </c>
      <c r="S19" s="86">
        <f>IF($B19="","",VLOOKUP($B19,'6-2_算定表②(旧々・新制度)'!$B$8:$U$65536,17,FALSE))</f>
      </c>
      <c r="T19" s="86">
        <f>IF($B19="","",VLOOKUP($B19,'6-2_算定表②(旧々・新制度)'!$B$8:$U$65536,17,FALSE))</f>
      </c>
      <c r="U19" s="86">
        <f>IF($B19="","",VLOOKUP($B19,'6-2_算定表②(旧々・新制度)'!$B$8:$U$65536,17,FALSE))</f>
      </c>
      <c r="V19" s="717">
        <f>IF($B19="","",VLOOKUP($B19,'6-2_算定表②(旧々・新制度)'!$B$8:$U$65536,17,FALSE))</f>
      </c>
      <c r="W19" s="93">
        <f t="shared" si="0"/>
      </c>
      <c r="X19" s="90">
        <f t="shared" si="1"/>
      </c>
      <c r="Y19" s="87">
        <f t="shared" si="2"/>
      </c>
      <c r="Z19" s="99">
        <f t="shared" si="3"/>
      </c>
      <c r="AA19" s="96">
        <f t="shared" si="4"/>
      </c>
      <c r="AB19" s="93">
        <f t="shared" si="5"/>
      </c>
      <c r="AC19" s="59">
        <f>IF(B19="","",ROUNDUP((G19/'6-2_算定表②(旧々・新制度)'!J18*W19)+(I19/'6-2_算定表②(旧々・新制度)'!J18*X19)+(G19/'6-2_算定表②(旧々・新制度)'!J18*Y19)+(I19/'6-2_算定表②(旧々・新制度)'!J18*Z19),0))</f>
      </c>
      <c r="AD19" s="611">
        <f t="shared" si="6"/>
      </c>
      <c r="AE19" s="998">
        <f>IF(B19="","",VLOOKUP($B19,'6-2_算定表②(旧々・新制度)'!$B$8:$AH$65536,33,FALSE))</f>
      </c>
      <c r="AF19" s="999">
        <f>IF(AD19="","",VLOOKUP($B19,'6-2_算定表③(旧・旧制度)'!$B$8:$U$65536,3,FALSE))</f>
      </c>
      <c r="AG19" s="1000">
        <f>IF(AE19="","",VLOOKUP($B19,'6-2_算定表③(旧・旧制度)'!$B$8:$U$65536,3,FALSE))</f>
      </c>
      <c r="AI19" s="60">
        <f t="shared" si="9"/>
      </c>
      <c r="AJ19" s="60">
        <f t="shared" si="7"/>
      </c>
    </row>
    <row r="20" spans="1:36" s="53" customFormat="1" ht="18.75" customHeight="1">
      <c r="A20" s="27">
        <f t="shared" si="8"/>
      </c>
      <c r="B20" s="240"/>
      <c r="C20" s="313">
        <f>IF($B20="","",VLOOKUP($B20,'6-2_算定表②(旧々・新制度)'!$B$8:$U$65536,2,FALSE))</f>
      </c>
      <c r="D20" s="84">
        <f>IF($B20="","",VLOOKUP($B20,'6-2_算定表②(旧々・新制度)'!$B$8:$U$65536,3,FALSE))</f>
      </c>
      <c r="E20" s="84">
        <f>IF($B20="","",VLOOKUP($B20,'6-2_算定表②(旧々・新制度)'!$B$8:$U$65536,6,FALSE))</f>
      </c>
      <c r="F20" s="85">
        <f>IF(B20="","",VLOOKUP($B20,'6-2_算定表②(旧々・新制度)'!$B$8:$U$65536,14,FALSE))</f>
      </c>
      <c r="G20" s="711">
        <f>IF(B20="","",VLOOKUP($B20,'6-2_算定表②(旧々・新制度)'!$B$8:$U$65536,16,FALSE))</f>
      </c>
      <c r="H20" s="85">
        <f>IF(B20="","",VLOOKUP($B20,'6-2_算定表②(旧々・新制度)'!$B$8:$U$65536,17,FALSE))</f>
      </c>
      <c r="I20" s="711">
        <f>IF(B20="","",VLOOKUP($B20,'6-2_算定表②(旧々・新制度)'!$B$8:$U$65536,19,FALSE))</f>
      </c>
      <c r="J20" s="711">
        <f>IF(B20="","",VLOOKUP($B20,'6-2_算定表②(旧々・新制度)'!$B$8:$U$65536,20,FALSE))</f>
      </c>
      <c r="K20" s="716">
        <f>IF($B20="","",VLOOKUP($B20,'6-2_算定表②(旧々・新制度)'!$B$8:$U$65536,14,FALSE))</f>
      </c>
      <c r="L20" s="86">
        <f>IF($B20="","",VLOOKUP($B20,'6-2_算定表②(旧々・新制度)'!$B$8:$U$65536,14,FALSE))</f>
      </c>
      <c r="M20" s="86">
        <f>IF($B20="","",VLOOKUP($B20,'6-2_算定表②(旧々・新制度)'!$B$8:$U$65536,14,FALSE))</f>
      </c>
      <c r="N20" s="86">
        <f>IF($B20="","",VLOOKUP($B20,'6-2_算定表②(旧々・新制度)'!$B$8:$U$65536,17,FALSE))</f>
      </c>
      <c r="O20" s="86">
        <f>IF($B20="","",VLOOKUP($B20,'6-2_算定表②(旧々・新制度)'!$B$8:$U$65536,17,FALSE))</f>
      </c>
      <c r="P20" s="86">
        <f>IF($B20="","",VLOOKUP($B20,'6-2_算定表②(旧々・新制度)'!$B$8:$U$65536,17,FALSE))</f>
      </c>
      <c r="Q20" s="86">
        <f>IF($B20="","",VLOOKUP($B20,'6-2_算定表②(旧々・新制度)'!$B$8:$U$65536,17,FALSE))</f>
      </c>
      <c r="R20" s="86">
        <f>IF($B20="","",VLOOKUP($B20,'6-2_算定表②(旧々・新制度)'!$B$8:$U$65536,17,FALSE))</f>
      </c>
      <c r="S20" s="86">
        <f>IF($B20="","",VLOOKUP($B20,'6-2_算定表②(旧々・新制度)'!$B$8:$U$65536,17,FALSE))</f>
      </c>
      <c r="T20" s="86">
        <f>IF($B20="","",VLOOKUP($B20,'6-2_算定表②(旧々・新制度)'!$B$8:$U$65536,17,FALSE))</f>
      </c>
      <c r="U20" s="86">
        <f>IF($B20="","",VLOOKUP($B20,'6-2_算定表②(旧々・新制度)'!$B$8:$U$65536,17,FALSE))</f>
      </c>
      <c r="V20" s="717">
        <f>IF($B20="","",VLOOKUP($B20,'6-2_算定表②(旧々・新制度)'!$B$8:$U$65536,17,FALSE))</f>
      </c>
      <c r="W20" s="93">
        <f t="shared" si="0"/>
      </c>
      <c r="X20" s="90">
        <f t="shared" si="1"/>
      </c>
      <c r="Y20" s="87">
        <f t="shared" si="2"/>
      </c>
      <c r="Z20" s="99">
        <f t="shared" si="3"/>
      </c>
      <c r="AA20" s="96">
        <f t="shared" si="4"/>
      </c>
      <c r="AB20" s="93">
        <f t="shared" si="5"/>
      </c>
      <c r="AC20" s="59">
        <f>IF(B20="","",ROUNDUP((G20/'6-2_算定表②(旧々・新制度)'!J19*W20)+(I20/'6-2_算定表②(旧々・新制度)'!J19*X20)+(G20/'6-2_算定表②(旧々・新制度)'!J19*Y20)+(I20/'6-2_算定表②(旧々・新制度)'!J19*Z20),0))</f>
      </c>
      <c r="AD20" s="611">
        <f t="shared" si="6"/>
      </c>
      <c r="AE20" s="998">
        <f>IF(B20="","",VLOOKUP($B20,'6-2_算定表②(旧々・新制度)'!$B$8:$AH$65536,33,FALSE))</f>
      </c>
      <c r="AF20" s="999">
        <f>IF(AD20="","",VLOOKUP($B20,'6-2_算定表③(旧・旧制度)'!$B$8:$U$65536,3,FALSE))</f>
      </c>
      <c r="AG20" s="1000">
        <f>IF(AE20="","",VLOOKUP($B20,'6-2_算定表③(旧・旧制度)'!$B$8:$U$65536,3,FALSE))</f>
      </c>
      <c r="AI20" s="60">
        <f t="shared" si="9"/>
      </c>
      <c r="AJ20" s="60">
        <f t="shared" si="7"/>
      </c>
    </row>
    <row r="21" spans="1:36" s="53" customFormat="1" ht="18.75" customHeight="1">
      <c r="A21" s="27">
        <f t="shared" si="8"/>
      </c>
      <c r="B21" s="240"/>
      <c r="C21" s="313">
        <f>IF($B21="","",VLOOKUP($B21,'6-2_算定表②(旧々・新制度)'!$B$8:$U$65536,2,FALSE))</f>
      </c>
      <c r="D21" s="84">
        <f>IF($B21="","",VLOOKUP($B21,'6-2_算定表②(旧々・新制度)'!$B$8:$U$65536,3,FALSE))</f>
      </c>
      <c r="E21" s="84">
        <f>IF($B21="","",VLOOKUP($B21,'6-2_算定表②(旧々・新制度)'!$B$8:$U$65536,6,FALSE))</f>
      </c>
      <c r="F21" s="85">
        <f>IF(B21="","",VLOOKUP($B21,'6-2_算定表②(旧々・新制度)'!$B$8:$U$65536,14,FALSE))</f>
      </c>
      <c r="G21" s="711">
        <f>IF(B21="","",VLOOKUP($B21,'6-2_算定表②(旧々・新制度)'!$B$8:$U$65536,16,FALSE))</f>
      </c>
      <c r="H21" s="85">
        <f>IF(B21="","",VLOOKUP($B21,'6-2_算定表②(旧々・新制度)'!$B$8:$U$65536,17,FALSE))</f>
      </c>
      <c r="I21" s="711">
        <f>IF(B21="","",VLOOKUP($B21,'6-2_算定表②(旧々・新制度)'!$B$8:$U$65536,19,FALSE))</f>
      </c>
      <c r="J21" s="711">
        <f>IF(B21="","",VLOOKUP($B21,'6-2_算定表②(旧々・新制度)'!$B$8:$U$65536,20,FALSE))</f>
      </c>
      <c r="K21" s="716">
        <f>IF($B21="","",VLOOKUP($B21,'6-2_算定表②(旧々・新制度)'!$B$8:$U$65536,14,FALSE))</f>
      </c>
      <c r="L21" s="86">
        <f>IF($B21="","",VLOOKUP($B21,'6-2_算定表②(旧々・新制度)'!$B$8:$U$65536,14,FALSE))</f>
      </c>
      <c r="M21" s="86">
        <f>IF($B21="","",VLOOKUP($B21,'6-2_算定表②(旧々・新制度)'!$B$8:$U$65536,14,FALSE))</f>
      </c>
      <c r="N21" s="86">
        <f>IF($B21="","",VLOOKUP($B21,'6-2_算定表②(旧々・新制度)'!$B$8:$U$65536,17,FALSE))</f>
      </c>
      <c r="O21" s="86">
        <f>IF($B21="","",VLOOKUP($B21,'6-2_算定表②(旧々・新制度)'!$B$8:$U$65536,17,FALSE))</f>
      </c>
      <c r="P21" s="86">
        <f>IF($B21="","",VLOOKUP($B21,'6-2_算定表②(旧々・新制度)'!$B$8:$U$65536,17,FALSE))</f>
      </c>
      <c r="Q21" s="86">
        <f>IF($B21="","",VLOOKUP($B21,'6-2_算定表②(旧々・新制度)'!$B$8:$U$65536,17,FALSE))</f>
      </c>
      <c r="R21" s="86">
        <f>IF($B21="","",VLOOKUP($B21,'6-2_算定表②(旧々・新制度)'!$B$8:$U$65536,17,FALSE))</f>
      </c>
      <c r="S21" s="86">
        <f>IF($B21="","",VLOOKUP($B21,'6-2_算定表②(旧々・新制度)'!$B$8:$U$65536,17,FALSE))</f>
      </c>
      <c r="T21" s="86">
        <f>IF($B21="","",VLOOKUP($B21,'6-2_算定表②(旧々・新制度)'!$B$8:$U$65536,17,FALSE))</f>
      </c>
      <c r="U21" s="86">
        <f>IF($B21="","",VLOOKUP($B21,'6-2_算定表②(旧々・新制度)'!$B$8:$U$65536,17,FALSE))</f>
      </c>
      <c r="V21" s="717">
        <f>IF($B21="","",VLOOKUP($B21,'6-2_算定表②(旧々・新制度)'!$B$8:$U$65536,17,FALSE))</f>
      </c>
      <c r="W21" s="93">
        <f t="shared" si="0"/>
      </c>
      <c r="X21" s="90">
        <f t="shared" si="1"/>
      </c>
      <c r="Y21" s="87">
        <f t="shared" si="2"/>
      </c>
      <c r="Z21" s="99">
        <f t="shared" si="3"/>
      </c>
      <c r="AA21" s="96">
        <f t="shared" si="4"/>
      </c>
      <c r="AB21" s="93">
        <f t="shared" si="5"/>
      </c>
      <c r="AC21" s="59">
        <f>IF(B21="","",ROUNDUP((G21/'6-2_算定表②(旧々・新制度)'!J20*W21)+(I21/'6-2_算定表②(旧々・新制度)'!J20*X21)+(G21/'6-2_算定表②(旧々・新制度)'!J20*Y21)+(I21/'6-2_算定表②(旧々・新制度)'!J20*Z21),0))</f>
      </c>
      <c r="AD21" s="611">
        <f t="shared" si="6"/>
      </c>
      <c r="AE21" s="998">
        <f>IF(B21="","",VLOOKUP($B21,'6-2_算定表②(旧々・新制度)'!$B$8:$AH$65536,33,FALSE))</f>
      </c>
      <c r="AF21" s="999">
        <f>IF(AD21="","",VLOOKUP($B21,'6-2_算定表③(旧・旧制度)'!$B$8:$U$65536,3,FALSE))</f>
      </c>
      <c r="AG21" s="1000">
        <f>IF(AE21="","",VLOOKUP($B21,'6-2_算定表③(旧・旧制度)'!$B$8:$U$65536,3,FALSE))</f>
      </c>
      <c r="AI21" s="60">
        <f t="shared" si="9"/>
      </c>
      <c r="AJ21" s="60">
        <f t="shared" si="7"/>
      </c>
    </row>
    <row r="22" spans="1:36" s="53" customFormat="1" ht="18.75" customHeight="1">
      <c r="A22" s="27">
        <f t="shared" si="8"/>
      </c>
      <c r="B22" s="240"/>
      <c r="C22" s="313">
        <f>IF($B22="","",VLOOKUP($B22,'6-2_算定表②(旧々・新制度)'!$B$8:$U$65536,2,FALSE))</f>
      </c>
      <c r="D22" s="84">
        <f>IF($B22="","",VLOOKUP($B22,'6-2_算定表②(旧々・新制度)'!$B$8:$U$65536,3,FALSE))</f>
      </c>
      <c r="E22" s="84">
        <f>IF($B22="","",VLOOKUP($B22,'6-2_算定表②(旧々・新制度)'!$B$8:$U$65536,6,FALSE))</f>
      </c>
      <c r="F22" s="85">
        <f>IF(B22="","",VLOOKUP($B22,'6-2_算定表②(旧々・新制度)'!$B$8:$U$65536,14,FALSE))</f>
      </c>
      <c r="G22" s="711">
        <f>IF(B22="","",VLOOKUP($B22,'6-2_算定表②(旧々・新制度)'!$B$8:$U$65536,16,FALSE))</f>
      </c>
      <c r="H22" s="85">
        <f>IF(B22="","",VLOOKUP($B22,'6-2_算定表②(旧々・新制度)'!$B$8:$U$65536,17,FALSE))</f>
      </c>
      <c r="I22" s="711">
        <f>IF(B22="","",VLOOKUP($B22,'6-2_算定表②(旧々・新制度)'!$B$8:$U$65536,19,FALSE))</f>
      </c>
      <c r="J22" s="711">
        <f>IF(B22="","",VLOOKUP($B22,'6-2_算定表②(旧々・新制度)'!$B$8:$U$65536,20,FALSE))</f>
      </c>
      <c r="K22" s="716">
        <f>IF($B22="","",VLOOKUP($B22,'6-2_算定表②(旧々・新制度)'!$B$8:$U$65536,14,FALSE))</f>
      </c>
      <c r="L22" s="86">
        <f>IF($B22="","",VLOOKUP($B22,'6-2_算定表②(旧々・新制度)'!$B$8:$U$65536,14,FALSE))</f>
      </c>
      <c r="M22" s="86">
        <f>IF($B22="","",VLOOKUP($B22,'6-2_算定表②(旧々・新制度)'!$B$8:$U$65536,14,FALSE))</f>
      </c>
      <c r="N22" s="86">
        <f>IF($B22="","",VLOOKUP($B22,'6-2_算定表②(旧々・新制度)'!$B$8:$U$65536,17,FALSE))</f>
      </c>
      <c r="O22" s="86">
        <f>IF($B22="","",VLOOKUP($B22,'6-2_算定表②(旧々・新制度)'!$B$8:$U$65536,17,FALSE))</f>
      </c>
      <c r="P22" s="86">
        <f>IF($B22="","",VLOOKUP($B22,'6-2_算定表②(旧々・新制度)'!$B$8:$U$65536,17,FALSE))</f>
      </c>
      <c r="Q22" s="86">
        <f>IF($B22="","",VLOOKUP($B22,'6-2_算定表②(旧々・新制度)'!$B$8:$U$65536,17,FALSE))</f>
      </c>
      <c r="R22" s="86">
        <f>IF($B22="","",VLOOKUP($B22,'6-2_算定表②(旧々・新制度)'!$B$8:$U$65536,17,FALSE))</f>
      </c>
      <c r="S22" s="86">
        <f>IF($B22="","",VLOOKUP($B22,'6-2_算定表②(旧々・新制度)'!$B$8:$U$65536,17,FALSE))</f>
      </c>
      <c r="T22" s="86">
        <f>IF($B22="","",VLOOKUP($B22,'6-2_算定表②(旧々・新制度)'!$B$8:$U$65536,17,FALSE))</f>
      </c>
      <c r="U22" s="86">
        <f>IF($B22="","",VLOOKUP($B22,'6-2_算定表②(旧々・新制度)'!$B$8:$U$65536,17,FALSE))</f>
      </c>
      <c r="V22" s="717">
        <f>IF($B22="","",VLOOKUP($B22,'6-2_算定表②(旧々・新制度)'!$B$8:$U$65536,17,FALSE))</f>
      </c>
      <c r="W22" s="93">
        <f t="shared" si="0"/>
      </c>
      <c r="X22" s="90">
        <f t="shared" si="1"/>
      </c>
      <c r="Y22" s="87">
        <f t="shared" si="2"/>
      </c>
      <c r="Z22" s="99">
        <f t="shared" si="3"/>
      </c>
      <c r="AA22" s="96">
        <f t="shared" si="4"/>
      </c>
      <c r="AB22" s="93">
        <f t="shared" si="5"/>
      </c>
      <c r="AC22" s="59">
        <f>IF(B22="","",ROUNDUP((G22/'6-2_算定表②(旧々・新制度)'!J21*W22)+(I22/'6-2_算定表②(旧々・新制度)'!J21*X22)+(G22/'6-2_算定表②(旧々・新制度)'!J21*Y22)+(I22/'6-2_算定表②(旧々・新制度)'!J21*Z22),0))</f>
      </c>
      <c r="AD22" s="611">
        <f t="shared" si="6"/>
      </c>
      <c r="AE22" s="998">
        <f>IF(B22="","",VLOOKUP($B22,'6-2_算定表②(旧々・新制度)'!$B$8:$AH$65536,33,FALSE))</f>
      </c>
      <c r="AF22" s="999">
        <f>IF(AD22="","",VLOOKUP($B22,'6-2_算定表③(旧・旧制度)'!$B$8:$U$65536,3,FALSE))</f>
      </c>
      <c r="AG22" s="1000">
        <f>IF(AE22="","",VLOOKUP($B22,'6-2_算定表③(旧・旧制度)'!$B$8:$U$65536,3,FALSE))</f>
      </c>
      <c r="AI22" s="60">
        <f t="shared" si="9"/>
      </c>
      <c r="AJ22" s="60">
        <f t="shared" si="7"/>
      </c>
    </row>
    <row r="23" spans="1:36" s="53" customFormat="1" ht="18.75" customHeight="1">
      <c r="A23" s="27">
        <f t="shared" si="8"/>
      </c>
      <c r="B23" s="240"/>
      <c r="C23" s="313">
        <f>IF($B23="","",VLOOKUP($B23,'6-2_算定表②(旧々・新制度)'!$B$8:$U$65536,2,FALSE))</f>
      </c>
      <c r="D23" s="84">
        <f>IF($B23="","",VLOOKUP($B23,'6-2_算定表②(旧々・新制度)'!$B$8:$U$65536,3,FALSE))</f>
      </c>
      <c r="E23" s="84">
        <f>IF($B23="","",VLOOKUP($B23,'6-2_算定表②(旧々・新制度)'!$B$8:$U$65536,6,FALSE))</f>
      </c>
      <c r="F23" s="85">
        <f>IF(B23="","",VLOOKUP($B23,'6-2_算定表②(旧々・新制度)'!$B$8:$U$65536,14,FALSE))</f>
      </c>
      <c r="G23" s="711">
        <f>IF(B23="","",VLOOKUP($B23,'6-2_算定表②(旧々・新制度)'!$B$8:$U$65536,16,FALSE))</f>
      </c>
      <c r="H23" s="85">
        <f>IF(B23="","",VLOOKUP($B23,'6-2_算定表②(旧々・新制度)'!$B$8:$U$65536,17,FALSE))</f>
      </c>
      <c r="I23" s="711">
        <f>IF(B23="","",VLOOKUP($B23,'6-2_算定表②(旧々・新制度)'!$B$8:$U$65536,19,FALSE))</f>
      </c>
      <c r="J23" s="711">
        <f>IF(B23="","",VLOOKUP($B23,'6-2_算定表②(旧々・新制度)'!$B$8:$U$65536,20,FALSE))</f>
      </c>
      <c r="K23" s="716">
        <f>IF($B23="","",VLOOKUP($B23,'6-2_算定表②(旧々・新制度)'!$B$8:$U$65536,14,FALSE))</f>
      </c>
      <c r="L23" s="86">
        <f>IF($B23="","",VLOOKUP($B23,'6-2_算定表②(旧々・新制度)'!$B$8:$U$65536,14,FALSE))</f>
      </c>
      <c r="M23" s="86">
        <f>IF($B23="","",VLOOKUP($B23,'6-2_算定表②(旧々・新制度)'!$B$8:$U$65536,14,FALSE))</f>
      </c>
      <c r="N23" s="86">
        <f>IF($B23="","",VLOOKUP($B23,'6-2_算定表②(旧々・新制度)'!$B$8:$U$65536,17,FALSE))</f>
      </c>
      <c r="O23" s="86">
        <f>IF($B23="","",VLOOKUP($B23,'6-2_算定表②(旧々・新制度)'!$B$8:$U$65536,17,FALSE))</f>
      </c>
      <c r="P23" s="86">
        <f>IF($B23="","",VLOOKUP($B23,'6-2_算定表②(旧々・新制度)'!$B$8:$U$65536,17,FALSE))</f>
      </c>
      <c r="Q23" s="86">
        <f>IF($B23="","",VLOOKUP($B23,'6-2_算定表②(旧々・新制度)'!$B$8:$U$65536,17,FALSE))</f>
      </c>
      <c r="R23" s="86">
        <f>IF($B23="","",VLOOKUP($B23,'6-2_算定表②(旧々・新制度)'!$B$8:$U$65536,17,FALSE))</f>
      </c>
      <c r="S23" s="86">
        <f>IF($B23="","",VLOOKUP($B23,'6-2_算定表②(旧々・新制度)'!$B$8:$U$65536,17,FALSE))</f>
      </c>
      <c r="T23" s="86">
        <f>IF($B23="","",VLOOKUP($B23,'6-2_算定表②(旧々・新制度)'!$B$8:$U$65536,17,FALSE))</f>
      </c>
      <c r="U23" s="86">
        <f>IF($B23="","",VLOOKUP($B23,'6-2_算定表②(旧々・新制度)'!$B$8:$U$65536,17,FALSE))</f>
      </c>
      <c r="V23" s="717">
        <f>IF($B23="","",VLOOKUP($B23,'6-2_算定表②(旧々・新制度)'!$B$8:$U$65536,17,FALSE))</f>
      </c>
      <c r="W23" s="93">
        <f t="shared" si="0"/>
      </c>
      <c r="X23" s="90">
        <f t="shared" si="1"/>
      </c>
      <c r="Y23" s="87">
        <f t="shared" si="2"/>
      </c>
      <c r="Z23" s="99">
        <f t="shared" si="3"/>
      </c>
      <c r="AA23" s="96">
        <f t="shared" si="4"/>
      </c>
      <c r="AB23" s="93">
        <f t="shared" si="5"/>
      </c>
      <c r="AC23" s="59">
        <f>IF(B23="","",ROUNDUP((G23/'6-2_算定表②(旧々・新制度)'!J22*W23)+(I23/'6-2_算定表②(旧々・新制度)'!J22*X23)+(G23/'6-2_算定表②(旧々・新制度)'!J22*Y23)+(I23/'6-2_算定表②(旧々・新制度)'!J22*Z23),0))</f>
      </c>
      <c r="AD23" s="611">
        <f t="shared" si="6"/>
      </c>
      <c r="AE23" s="998">
        <f>IF(B23="","",VLOOKUP($B23,'6-2_算定表②(旧々・新制度)'!$B$8:$AH$65536,33,FALSE))</f>
      </c>
      <c r="AF23" s="999">
        <f>IF(AD23="","",VLOOKUP($B23,'6-2_算定表③(旧・旧制度)'!$B$8:$U$65536,3,FALSE))</f>
      </c>
      <c r="AG23" s="1000">
        <f>IF(AE23="","",VLOOKUP($B23,'6-2_算定表③(旧・旧制度)'!$B$8:$U$65536,3,FALSE))</f>
      </c>
      <c r="AI23" s="60">
        <f t="shared" si="9"/>
      </c>
      <c r="AJ23" s="60">
        <f t="shared" si="7"/>
      </c>
    </row>
    <row r="24" spans="1:36" s="53" customFormat="1" ht="18.75" customHeight="1">
      <c r="A24" s="27">
        <f t="shared" si="8"/>
      </c>
      <c r="B24" s="240"/>
      <c r="C24" s="313">
        <f>IF($B24="","",VLOOKUP($B24,'6-2_算定表②(旧々・新制度)'!$B$8:$U$65536,2,FALSE))</f>
      </c>
      <c r="D24" s="84">
        <f>IF($B24="","",VLOOKUP($B24,'6-2_算定表②(旧々・新制度)'!$B$8:$U$65536,3,FALSE))</f>
      </c>
      <c r="E24" s="84">
        <f>IF($B24="","",VLOOKUP($B24,'6-2_算定表②(旧々・新制度)'!$B$8:$U$65536,6,FALSE))</f>
      </c>
      <c r="F24" s="85">
        <f>IF(B24="","",VLOOKUP($B24,'6-2_算定表②(旧々・新制度)'!$B$8:$U$65536,14,FALSE))</f>
      </c>
      <c r="G24" s="711">
        <f>IF(B24="","",VLOOKUP($B24,'6-2_算定表②(旧々・新制度)'!$B$8:$U$65536,16,FALSE))</f>
      </c>
      <c r="H24" s="85">
        <f>IF(B24="","",VLOOKUP($B24,'6-2_算定表②(旧々・新制度)'!$B$8:$U$65536,17,FALSE))</f>
      </c>
      <c r="I24" s="711">
        <f>IF(B24="","",VLOOKUP($B24,'6-2_算定表②(旧々・新制度)'!$B$8:$U$65536,19,FALSE))</f>
      </c>
      <c r="J24" s="711">
        <f>IF(B24="","",VLOOKUP($B24,'6-2_算定表②(旧々・新制度)'!$B$8:$U$65536,20,FALSE))</f>
      </c>
      <c r="K24" s="716">
        <f>IF($B24="","",VLOOKUP($B24,'6-2_算定表②(旧々・新制度)'!$B$8:$U$65536,14,FALSE))</f>
      </c>
      <c r="L24" s="86">
        <f>IF($B24="","",VLOOKUP($B24,'6-2_算定表②(旧々・新制度)'!$B$8:$U$65536,14,FALSE))</f>
      </c>
      <c r="M24" s="86">
        <f>IF($B24="","",VLOOKUP($B24,'6-2_算定表②(旧々・新制度)'!$B$8:$U$65536,14,FALSE))</f>
      </c>
      <c r="N24" s="86">
        <f>IF($B24="","",VLOOKUP($B24,'6-2_算定表②(旧々・新制度)'!$B$8:$U$65536,17,FALSE))</f>
      </c>
      <c r="O24" s="86">
        <f>IF($B24="","",VLOOKUP($B24,'6-2_算定表②(旧々・新制度)'!$B$8:$U$65536,17,FALSE))</f>
      </c>
      <c r="P24" s="86">
        <f>IF($B24="","",VLOOKUP($B24,'6-2_算定表②(旧々・新制度)'!$B$8:$U$65536,17,FALSE))</f>
      </c>
      <c r="Q24" s="86">
        <f>IF($B24="","",VLOOKUP($B24,'6-2_算定表②(旧々・新制度)'!$B$8:$U$65536,17,FALSE))</f>
      </c>
      <c r="R24" s="86">
        <f>IF($B24="","",VLOOKUP($B24,'6-2_算定表②(旧々・新制度)'!$B$8:$U$65536,17,FALSE))</f>
      </c>
      <c r="S24" s="86">
        <f>IF($B24="","",VLOOKUP($B24,'6-2_算定表②(旧々・新制度)'!$B$8:$U$65536,17,FALSE))</f>
      </c>
      <c r="T24" s="86">
        <f>IF($B24="","",VLOOKUP($B24,'6-2_算定表②(旧々・新制度)'!$B$8:$U$65536,17,FALSE))</f>
      </c>
      <c r="U24" s="86">
        <f>IF($B24="","",VLOOKUP($B24,'6-2_算定表②(旧々・新制度)'!$B$8:$U$65536,17,FALSE))</f>
      </c>
      <c r="V24" s="717">
        <f>IF($B24="","",VLOOKUP($B24,'6-2_算定表②(旧々・新制度)'!$B$8:$U$65536,17,FALSE))</f>
      </c>
      <c r="W24" s="93">
        <f t="shared" si="0"/>
      </c>
      <c r="X24" s="90">
        <f t="shared" si="1"/>
      </c>
      <c r="Y24" s="87">
        <f t="shared" si="2"/>
      </c>
      <c r="Z24" s="99">
        <f t="shared" si="3"/>
      </c>
      <c r="AA24" s="96">
        <f t="shared" si="4"/>
      </c>
      <c r="AB24" s="93">
        <f t="shared" si="5"/>
      </c>
      <c r="AC24" s="59">
        <f>IF(B24="","",ROUNDUP((G24/'6-2_算定表②(旧々・新制度)'!J23*W24)+(I24/'6-2_算定表②(旧々・新制度)'!J23*X24)+(G24/'6-2_算定表②(旧々・新制度)'!J23*Y24)+(I24/'6-2_算定表②(旧々・新制度)'!J23*Z24),0))</f>
      </c>
      <c r="AD24" s="611">
        <f t="shared" si="6"/>
      </c>
      <c r="AE24" s="998">
        <f>IF(B24="","",VLOOKUP($B24,'6-2_算定表②(旧々・新制度)'!$B$8:$AH$65536,33,FALSE))</f>
      </c>
      <c r="AF24" s="999">
        <f>IF(AD24="","",VLOOKUP($B24,'6-2_算定表③(旧・旧制度)'!$B$8:$U$65536,3,FALSE))</f>
      </c>
      <c r="AG24" s="1000">
        <f>IF(AE24="","",VLOOKUP($B24,'6-2_算定表③(旧・旧制度)'!$B$8:$U$65536,3,FALSE))</f>
      </c>
      <c r="AI24" s="60">
        <f t="shared" si="9"/>
      </c>
      <c r="AJ24" s="60">
        <f t="shared" si="7"/>
      </c>
    </row>
    <row r="25" spans="1:36" s="53" customFormat="1" ht="18.75" customHeight="1">
      <c r="A25" s="27">
        <f t="shared" si="8"/>
      </c>
      <c r="B25" s="240"/>
      <c r="C25" s="313">
        <f>IF($B25="","",VLOOKUP($B25,'6-2_算定表②(旧々・新制度)'!$B$8:$U$65536,2,FALSE))</f>
      </c>
      <c r="D25" s="84">
        <f>IF($B25="","",VLOOKUP($B25,'6-2_算定表②(旧々・新制度)'!$B$8:$U$65536,3,FALSE))</f>
      </c>
      <c r="E25" s="84">
        <f>IF($B25="","",VLOOKUP($B25,'6-2_算定表②(旧々・新制度)'!$B$8:$U$65536,6,FALSE))</f>
      </c>
      <c r="F25" s="85">
        <f>IF(B25="","",VLOOKUP($B25,'6-2_算定表②(旧々・新制度)'!$B$8:$U$65536,14,FALSE))</f>
      </c>
      <c r="G25" s="711">
        <f>IF(B25="","",VLOOKUP($B25,'6-2_算定表②(旧々・新制度)'!$B$8:$U$65536,16,FALSE))</f>
      </c>
      <c r="H25" s="85">
        <f>IF(B25="","",VLOOKUP($B25,'6-2_算定表②(旧々・新制度)'!$B$8:$U$65536,17,FALSE))</f>
      </c>
      <c r="I25" s="711">
        <f>IF(B25="","",VLOOKUP($B25,'6-2_算定表②(旧々・新制度)'!$B$8:$U$65536,19,FALSE))</f>
      </c>
      <c r="J25" s="711">
        <f>IF(B25="","",VLOOKUP($B25,'6-2_算定表②(旧々・新制度)'!$B$8:$U$65536,20,FALSE))</f>
      </c>
      <c r="K25" s="716">
        <f>IF($B25="","",VLOOKUP($B25,'6-2_算定表②(旧々・新制度)'!$B$8:$U$65536,14,FALSE))</f>
      </c>
      <c r="L25" s="86">
        <f>IF($B25="","",VLOOKUP($B25,'6-2_算定表②(旧々・新制度)'!$B$8:$U$65536,14,FALSE))</f>
      </c>
      <c r="M25" s="86">
        <f>IF($B25="","",VLOOKUP($B25,'6-2_算定表②(旧々・新制度)'!$B$8:$U$65536,14,FALSE))</f>
      </c>
      <c r="N25" s="86">
        <f>IF($B25="","",VLOOKUP($B25,'6-2_算定表②(旧々・新制度)'!$B$8:$U$65536,17,FALSE))</f>
      </c>
      <c r="O25" s="86">
        <f>IF($B25="","",VLOOKUP($B25,'6-2_算定表②(旧々・新制度)'!$B$8:$U$65536,17,FALSE))</f>
      </c>
      <c r="P25" s="86">
        <f>IF($B25="","",VLOOKUP($B25,'6-2_算定表②(旧々・新制度)'!$B$8:$U$65536,17,FALSE))</f>
      </c>
      <c r="Q25" s="86">
        <f>IF($B25="","",VLOOKUP($B25,'6-2_算定表②(旧々・新制度)'!$B$8:$U$65536,17,FALSE))</f>
      </c>
      <c r="R25" s="86">
        <f>IF($B25="","",VLOOKUP($B25,'6-2_算定表②(旧々・新制度)'!$B$8:$U$65536,17,FALSE))</f>
      </c>
      <c r="S25" s="86">
        <f>IF($B25="","",VLOOKUP($B25,'6-2_算定表②(旧々・新制度)'!$B$8:$U$65536,17,FALSE))</f>
      </c>
      <c r="T25" s="86">
        <f>IF($B25="","",VLOOKUP($B25,'6-2_算定表②(旧々・新制度)'!$B$8:$U$65536,17,FALSE))</f>
      </c>
      <c r="U25" s="86">
        <f>IF($B25="","",VLOOKUP($B25,'6-2_算定表②(旧々・新制度)'!$B$8:$U$65536,17,FALSE))</f>
      </c>
      <c r="V25" s="717">
        <f>IF($B25="","",VLOOKUP($B25,'6-2_算定表②(旧々・新制度)'!$B$8:$U$65536,17,FALSE))</f>
      </c>
      <c r="W25" s="93">
        <f t="shared" si="0"/>
      </c>
      <c r="X25" s="90">
        <f t="shared" si="1"/>
      </c>
      <c r="Y25" s="87">
        <f t="shared" si="2"/>
      </c>
      <c r="Z25" s="99">
        <f t="shared" si="3"/>
      </c>
      <c r="AA25" s="96">
        <f t="shared" si="4"/>
      </c>
      <c r="AB25" s="93">
        <f t="shared" si="5"/>
      </c>
      <c r="AC25" s="59">
        <f>IF(B25="","",ROUNDUP((G25/'6-2_算定表②(旧々・新制度)'!J24*W25)+(I25/'6-2_算定表②(旧々・新制度)'!J24*X25)+(G25/'6-2_算定表②(旧々・新制度)'!J24*Y25)+(I25/'6-2_算定表②(旧々・新制度)'!J24*Z25),0))</f>
      </c>
      <c r="AD25" s="611">
        <f t="shared" si="6"/>
      </c>
      <c r="AE25" s="998">
        <f>IF(B25="","",VLOOKUP($B25,'6-2_算定表②(旧々・新制度)'!$B$8:$AH$65536,33,FALSE))</f>
      </c>
      <c r="AF25" s="999">
        <f>IF(AD25="","",VLOOKUP($B25,'6-2_算定表③(旧・旧制度)'!$B$8:$U$65536,3,FALSE))</f>
      </c>
      <c r="AG25" s="1000">
        <f>IF(AE25="","",VLOOKUP($B25,'6-2_算定表③(旧・旧制度)'!$B$8:$U$65536,3,FALSE))</f>
      </c>
      <c r="AI25" s="60">
        <f t="shared" si="9"/>
      </c>
      <c r="AJ25" s="60">
        <f t="shared" si="7"/>
      </c>
    </row>
    <row r="26" spans="1:36" s="53" customFormat="1" ht="18.75" customHeight="1">
      <c r="A26" s="27">
        <f t="shared" si="8"/>
      </c>
      <c r="B26" s="240"/>
      <c r="C26" s="313">
        <f>IF($B26="","",VLOOKUP($B26,'6-2_算定表②(旧々・新制度)'!$B$8:$U$65536,2,FALSE))</f>
      </c>
      <c r="D26" s="84">
        <f>IF($B26="","",VLOOKUP($B26,'6-2_算定表②(旧々・新制度)'!$B$8:$U$65536,3,FALSE))</f>
      </c>
      <c r="E26" s="84">
        <f>IF($B26="","",VLOOKUP($B26,'6-2_算定表②(旧々・新制度)'!$B$8:$U$65536,6,FALSE))</f>
      </c>
      <c r="F26" s="85">
        <f>IF(B26="","",VLOOKUP($B26,'6-2_算定表②(旧々・新制度)'!$B$8:$U$65536,14,FALSE))</f>
      </c>
      <c r="G26" s="711">
        <f>IF(B26="","",VLOOKUP($B26,'6-2_算定表②(旧々・新制度)'!$B$8:$U$65536,16,FALSE))</f>
      </c>
      <c r="H26" s="85">
        <f>IF(B26="","",VLOOKUP($B26,'6-2_算定表②(旧々・新制度)'!$B$8:$U$65536,17,FALSE))</f>
      </c>
      <c r="I26" s="711">
        <f>IF(B26="","",VLOOKUP($B26,'6-2_算定表②(旧々・新制度)'!$B$8:$U$65536,19,FALSE))</f>
      </c>
      <c r="J26" s="711">
        <f>IF(B26="","",VLOOKUP($B26,'6-2_算定表②(旧々・新制度)'!$B$8:$U$65536,20,FALSE))</f>
      </c>
      <c r="K26" s="716">
        <f>IF($B26="","",VLOOKUP($B26,'6-2_算定表②(旧々・新制度)'!$B$8:$U$65536,14,FALSE))</f>
      </c>
      <c r="L26" s="86">
        <f>IF($B26="","",VLOOKUP($B26,'6-2_算定表②(旧々・新制度)'!$B$8:$U$65536,14,FALSE))</f>
      </c>
      <c r="M26" s="86">
        <f>IF($B26="","",VLOOKUP($B26,'6-2_算定表②(旧々・新制度)'!$B$8:$U$65536,14,FALSE))</f>
      </c>
      <c r="N26" s="86">
        <f>IF($B26="","",VLOOKUP($B26,'6-2_算定表②(旧々・新制度)'!$B$8:$U$65536,17,FALSE))</f>
      </c>
      <c r="O26" s="86">
        <f>IF($B26="","",VLOOKUP($B26,'6-2_算定表②(旧々・新制度)'!$B$8:$U$65536,17,FALSE))</f>
      </c>
      <c r="P26" s="86">
        <f>IF($B26="","",VLOOKUP($B26,'6-2_算定表②(旧々・新制度)'!$B$8:$U$65536,17,FALSE))</f>
      </c>
      <c r="Q26" s="86">
        <f>IF($B26="","",VLOOKUP($B26,'6-2_算定表②(旧々・新制度)'!$B$8:$U$65536,17,FALSE))</f>
      </c>
      <c r="R26" s="86">
        <f>IF($B26="","",VLOOKUP($B26,'6-2_算定表②(旧々・新制度)'!$B$8:$U$65536,17,FALSE))</f>
      </c>
      <c r="S26" s="86">
        <f>IF($B26="","",VLOOKUP($B26,'6-2_算定表②(旧々・新制度)'!$B$8:$U$65536,17,FALSE))</f>
      </c>
      <c r="T26" s="86">
        <f>IF($B26="","",VLOOKUP($B26,'6-2_算定表②(旧々・新制度)'!$B$8:$U$65536,17,FALSE))</f>
      </c>
      <c r="U26" s="86">
        <f>IF($B26="","",VLOOKUP($B26,'6-2_算定表②(旧々・新制度)'!$B$8:$U$65536,17,FALSE))</f>
      </c>
      <c r="V26" s="717">
        <f>IF($B26="","",VLOOKUP($B26,'6-2_算定表②(旧々・新制度)'!$B$8:$U$65536,17,FALSE))</f>
      </c>
      <c r="W26" s="93">
        <f t="shared" si="0"/>
      </c>
      <c r="X26" s="90">
        <f t="shared" si="1"/>
      </c>
      <c r="Y26" s="87">
        <f t="shared" si="2"/>
      </c>
      <c r="Z26" s="99">
        <f t="shared" si="3"/>
      </c>
      <c r="AA26" s="96">
        <f t="shared" si="4"/>
      </c>
      <c r="AB26" s="93">
        <f t="shared" si="5"/>
      </c>
      <c r="AC26" s="59">
        <f>IF(B26="","",ROUNDUP((G26/'6-2_算定表②(旧々・新制度)'!J25*W26)+(I26/'6-2_算定表②(旧々・新制度)'!J25*X26)+(G26/'6-2_算定表②(旧々・新制度)'!J25*Y26)+(I26/'6-2_算定表②(旧々・新制度)'!J25*Z26),0))</f>
      </c>
      <c r="AD26" s="611">
        <f t="shared" si="6"/>
      </c>
      <c r="AE26" s="998">
        <f>IF(B26="","",VLOOKUP($B26,'6-2_算定表②(旧々・新制度)'!$B$8:$AH$65536,33,FALSE))</f>
      </c>
      <c r="AF26" s="999">
        <f>IF(AD26="","",VLOOKUP($B26,'6-2_算定表③(旧・旧制度)'!$B$8:$U$65536,3,FALSE))</f>
      </c>
      <c r="AG26" s="1000">
        <f>IF(AE26="","",VLOOKUP($B26,'6-2_算定表③(旧・旧制度)'!$B$8:$U$65536,3,FALSE))</f>
      </c>
      <c r="AI26" s="60">
        <f t="shared" si="9"/>
      </c>
      <c r="AJ26" s="60">
        <f t="shared" si="7"/>
      </c>
    </row>
    <row r="27" spans="1:36" s="53" customFormat="1" ht="18.75" customHeight="1">
      <c r="A27" s="27">
        <f t="shared" si="8"/>
      </c>
      <c r="B27" s="240"/>
      <c r="C27" s="313">
        <f>IF($B27="","",VLOOKUP($B27,'6-2_算定表②(旧々・新制度)'!$B$8:$U$65536,2,FALSE))</f>
      </c>
      <c r="D27" s="84">
        <f>IF($B27="","",VLOOKUP($B27,'6-2_算定表②(旧々・新制度)'!$B$8:$U$65536,3,FALSE))</f>
      </c>
      <c r="E27" s="84">
        <f>IF($B27="","",VLOOKUP($B27,'6-2_算定表②(旧々・新制度)'!$B$8:$U$65536,6,FALSE))</f>
      </c>
      <c r="F27" s="85">
        <f>IF(B27="","",VLOOKUP($B27,'6-2_算定表②(旧々・新制度)'!$B$8:$U$65536,14,FALSE))</f>
      </c>
      <c r="G27" s="711">
        <f>IF(B27="","",VLOOKUP($B27,'6-2_算定表②(旧々・新制度)'!$B$8:$U$65536,16,FALSE))</f>
      </c>
      <c r="H27" s="85">
        <f>IF(B27="","",VLOOKUP($B27,'6-2_算定表②(旧々・新制度)'!$B$8:$U$65536,17,FALSE))</f>
      </c>
      <c r="I27" s="711">
        <f>IF(B27="","",VLOOKUP($B27,'6-2_算定表②(旧々・新制度)'!$B$8:$U$65536,19,FALSE))</f>
      </c>
      <c r="J27" s="711">
        <f>IF(B27="","",VLOOKUP($B27,'6-2_算定表②(旧々・新制度)'!$B$8:$U$65536,20,FALSE))</f>
      </c>
      <c r="K27" s="716">
        <f>IF($B27="","",VLOOKUP($B27,'6-2_算定表②(旧々・新制度)'!$B$8:$U$65536,14,FALSE))</f>
      </c>
      <c r="L27" s="86">
        <f>IF($B27="","",VLOOKUP($B27,'6-2_算定表②(旧々・新制度)'!$B$8:$U$65536,14,FALSE))</f>
      </c>
      <c r="M27" s="86">
        <f>IF($B27="","",VLOOKUP($B27,'6-2_算定表②(旧々・新制度)'!$B$8:$U$65536,14,FALSE))</f>
      </c>
      <c r="N27" s="86">
        <f>IF($B27="","",VLOOKUP($B27,'6-2_算定表②(旧々・新制度)'!$B$8:$U$65536,17,FALSE))</f>
      </c>
      <c r="O27" s="86">
        <f>IF($B27="","",VLOOKUP($B27,'6-2_算定表②(旧々・新制度)'!$B$8:$U$65536,17,FALSE))</f>
      </c>
      <c r="P27" s="86">
        <f>IF($B27="","",VLOOKUP($B27,'6-2_算定表②(旧々・新制度)'!$B$8:$U$65536,17,FALSE))</f>
      </c>
      <c r="Q27" s="86">
        <f>IF($B27="","",VLOOKUP($B27,'6-2_算定表②(旧々・新制度)'!$B$8:$U$65536,17,FALSE))</f>
      </c>
      <c r="R27" s="86">
        <f>IF($B27="","",VLOOKUP($B27,'6-2_算定表②(旧々・新制度)'!$B$8:$U$65536,17,FALSE))</f>
      </c>
      <c r="S27" s="86">
        <f>IF($B27="","",VLOOKUP($B27,'6-2_算定表②(旧々・新制度)'!$B$8:$U$65536,17,FALSE))</f>
      </c>
      <c r="T27" s="86">
        <f>IF($B27="","",VLOOKUP($B27,'6-2_算定表②(旧々・新制度)'!$B$8:$U$65536,17,FALSE))</f>
      </c>
      <c r="U27" s="86">
        <f>IF($B27="","",VLOOKUP($B27,'6-2_算定表②(旧々・新制度)'!$B$8:$U$65536,17,FALSE))</f>
      </c>
      <c r="V27" s="717">
        <f>IF($B27="","",VLOOKUP($B27,'6-2_算定表②(旧々・新制度)'!$B$8:$U$65536,17,FALSE))</f>
      </c>
      <c r="W27" s="93">
        <f t="shared" si="0"/>
      </c>
      <c r="X27" s="90">
        <f t="shared" si="1"/>
      </c>
      <c r="Y27" s="87">
        <f t="shared" si="2"/>
      </c>
      <c r="Z27" s="99">
        <f t="shared" si="3"/>
      </c>
      <c r="AA27" s="96">
        <f t="shared" si="4"/>
      </c>
      <c r="AB27" s="93">
        <f t="shared" si="5"/>
      </c>
      <c r="AC27" s="59">
        <f>IF(B27="","",ROUNDUP((G27/'6-2_算定表②(旧々・新制度)'!J26*W27)+(I27/'6-2_算定表②(旧々・新制度)'!J26*X27)+(G27/'6-2_算定表②(旧々・新制度)'!J26*Y27)+(I27/'6-2_算定表②(旧々・新制度)'!J26*Z27),0))</f>
      </c>
      <c r="AD27" s="611">
        <f t="shared" si="6"/>
      </c>
      <c r="AE27" s="998">
        <f>IF(B27="","",VLOOKUP($B27,'6-2_算定表②(旧々・新制度)'!$B$8:$AH$65536,33,FALSE))</f>
      </c>
      <c r="AF27" s="999">
        <f>IF(AD27="","",VLOOKUP($B27,'6-2_算定表③(旧・旧制度)'!$B$8:$U$65536,3,FALSE))</f>
      </c>
      <c r="AG27" s="1000">
        <f>IF(AE27="","",VLOOKUP($B27,'6-2_算定表③(旧・旧制度)'!$B$8:$U$65536,3,FALSE))</f>
      </c>
      <c r="AI27" s="60">
        <f t="shared" si="9"/>
      </c>
      <c r="AJ27" s="60">
        <f t="shared" si="7"/>
      </c>
    </row>
    <row r="28" spans="1:36" s="53" customFormat="1" ht="14.25">
      <c r="A28" s="27">
        <f t="shared" si="8"/>
      </c>
      <c r="B28" s="240"/>
      <c r="C28" s="313">
        <f>IF($B28="","",VLOOKUP($B28,'6-2_算定表②(旧々・新制度)'!$B$8:$U$65536,2,FALSE))</f>
      </c>
      <c r="D28" s="84">
        <f>IF($B28="","",VLOOKUP($B28,'6-2_算定表②(旧々・新制度)'!$B$8:$U$65536,3,FALSE))</f>
      </c>
      <c r="E28" s="84">
        <f>IF($B28="","",VLOOKUP($B28,'6-2_算定表②(旧々・新制度)'!$B$8:$U$65536,6,FALSE))</f>
      </c>
      <c r="F28" s="85">
        <f>IF(B28="","",VLOOKUP($B28,'6-2_算定表②(旧々・新制度)'!$B$8:$U$65536,14,FALSE))</f>
      </c>
      <c r="G28" s="711">
        <f>IF(B28="","",VLOOKUP($B28,'6-2_算定表②(旧々・新制度)'!$B$8:$U$65536,16,FALSE))</f>
      </c>
      <c r="H28" s="85">
        <f>IF(B28="","",VLOOKUP($B28,'6-2_算定表②(旧々・新制度)'!$B$8:$U$65536,17,FALSE))</f>
      </c>
      <c r="I28" s="711">
        <f>IF(B28="","",VLOOKUP($B28,'6-2_算定表②(旧々・新制度)'!$B$8:$U$65536,19,FALSE))</f>
      </c>
      <c r="J28" s="711">
        <f>IF(B28="","",VLOOKUP($B28,'6-2_算定表②(旧々・新制度)'!$B$8:$U$65536,20,FALSE))</f>
      </c>
      <c r="K28" s="716">
        <f>IF($B28="","",VLOOKUP($B28,'6-2_算定表②(旧々・新制度)'!$B$8:$U$65536,14,FALSE))</f>
      </c>
      <c r="L28" s="86">
        <f>IF($B28="","",VLOOKUP($B28,'6-2_算定表②(旧々・新制度)'!$B$8:$U$65536,14,FALSE))</f>
      </c>
      <c r="M28" s="86">
        <f>IF($B28="","",VLOOKUP($B28,'6-2_算定表②(旧々・新制度)'!$B$8:$U$65536,14,FALSE))</f>
      </c>
      <c r="N28" s="86">
        <f>IF($B28="","",VLOOKUP($B28,'6-2_算定表②(旧々・新制度)'!$B$8:$U$65536,17,FALSE))</f>
      </c>
      <c r="O28" s="86">
        <f>IF($B28="","",VLOOKUP($B28,'6-2_算定表②(旧々・新制度)'!$B$8:$U$65536,17,FALSE))</f>
      </c>
      <c r="P28" s="86">
        <f>IF($B28="","",VLOOKUP($B28,'6-2_算定表②(旧々・新制度)'!$B$8:$U$65536,17,FALSE))</f>
      </c>
      <c r="Q28" s="86">
        <f>IF($B28="","",VLOOKUP($B28,'6-2_算定表②(旧々・新制度)'!$B$8:$U$65536,17,FALSE))</f>
      </c>
      <c r="R28" s="86">
        <f>IF($B28="","",VLOOKUP($B28,'6-2_算定表②(旧々・新制度)'!$B$8:$U$65536,17,FALSE))</f>
      </c>
      <c r="S28" s="86">
        <f>IF($B28="","",VLOOKUP($B28,'6-2_算定表②(旧々・新制度)'!$B$8:$U$65536,17,FALSE))</f>
      </c>
      <c r="T28" s="86">
        <f>IF($B28="","",VLOOKUP($B28,'6-2_算定表②(旧々・新制度)'!$B$8:$U$65536,17,FALSE))</f>
      </c>
      <c r="U28" s="86">
        <f>IF($B28="","",VLOOKUP($B28,'6-2_算定表②(旧々・新制度)'!$B$8:$U$65536,17,FALSE))</f>
      </c>
      <c r="V28" s="717">
        <f>IF($B28="","",VLOOKUP($B28,'6-2_算定表②(旧々・新制度)'!$B$8:$U$65536,17,FALSE))</f>
      </c>
      <c r="W28" s="93">
        <f t="shared" si="0"/>
      </c>
      <c r="X28" s="90">
        <f t="shared" si="1"/>
      </c>
      <c r="Y28" s="87">
        <f t="shared" si="2"/>
      </c>
      <c r="Z28" s="99">
        <f t="shared" si="3"/>
      </c>
      <c r="AA28" s="96">
        <f t="shared" si="4"/>
      </c>
      <c r="AB28" s="93">
        <f t="shared" si="5"/>
      </c>
      <c r="AC28" s="59">
        <f>IF(B28="","",ROUNDUP((G28/'6-2_算定表②(旧々・新制度)'!J27*W28)+(I28/'6-2_算定表②(旧々・新制度)'!J27*X28)+(G28/'6-2_算定表②(旧々・新制度)'!J27*Y28)+(I28/'6-2_算定表②(旧々・新制度)'!J27*Z28),0))</f>
      </c>
      <c r="AD28" s="611">
        <f t="shared" si="6"/>
      </c>
      <c r="AE28" s="998">
        <f>IF(B28="","",VLOOKUP($B28,'6-2_算定表②(旧々・新制度)'!$B$8:$AH$65536,33,FALSE))</f>
      </c>
      <c r="AF28" s="999">
        <f>IF(AD28="","",VLOOKUP($B28,'6-2_算定表③(旧・旧制度)'!$B$8:$U$65536,3,FALSE))</f>
      </c>
      <c r="AG28" s="1000">
        <f>IF(AE28="","",VLOOKUP($B28,'6-2_算定表③(旧・旧制度)'!$B$8:$U$65536,3,FALSE))</f>
      </c>
      <c r="AI28" s="60">
        <f t="shared" si="9"/>
      </c>
      <c r="AJ28" s="60">
        <f t="shared" si="7"/>
      </c>
    </row>
    <row r="29" spans="1:36" s="53" customFormat="1" ht="18.75" customHeight="1">
      <c r="A29" s="27">
        <f t="shared" si="8"/>
      </c>
      <c r="B29" s="240"/>
      <c r="C29" s="313">
        <f>IF($B29="","",VLOOKUP($B29,'6-2_算定表②(旧々・新制度)'!$B$8:$U$65536,2,FALSE))</f>
      </c>
      <c r="D29" s="84">
        <f>IF($B29="","",VLOOKUP($B29,'6-2_算定表②(旧々・新制度)'!$B$8:$U$65536,3,FALSE))</f>
      </c>
      <c r="E29" s="84">
        <f>IF($B29="","",VLOOKUP($B29,'6-2_算定表②(旧々・新制度)'!$B$8:$U$65536,6,FALSE))</f>
      </c>
      <c r="F29" s="85">
        <f>IF(B29="","",VLOOKUP($B29,'6-2_算定表②(旧々・新制度)'!$B$8:$U$65536,14,FALSE))</f>
      </c>
      <c r="G29" s="711">
        <f>IF(B29="","",VLOOKUP($B29,'6-2_算定表②(旧々・新制度)'!$B$8:$U$65536,16,FALSE))</f>
      </c>
      <c r="H29" s="85">
        <f>IF(B29="","",VLOOKUP($B29,'6-2_算定表②(旧々・新制度)'!$B$8:$U$65536,17,FALSE))</f>
      </c>
      <c r="I29" s="711">
        <f>IF(B29="","",VLOOKUP($B29,'6-2_算定表②(旧々・新制度)'!$B$8:$U$65536,19,FALSE))</f>
      </c>
      <c r="J29" s="711">
        <f>IF(B29="","",VLOOKUP($B29,'6-2_算定表②(旧々・新制度)'!$B$8:$U$65536,20,FALSE))</f>
      </c>
      <c r="K29" s="716">
        <f>IF($B29="","",VLOOKUP($B29,'6-2_算定表②(旧々・新制度)'!$B$8:$U$65536,14,FALSE))</f>
      </c>
      <c r="L29" s="86">
        <f>IF($B29="","",VLOOKUP($B29,'6-2_算定表②(旧々・新制度)'!$B$8:$U$65536,14,FALSE))</f>
      </c>
      <c r="M29" s="86">
        <f>IF($B29="","",VLOOKUP($B29,'6-2_算定表②(旧々・新制度)'!$B$8:$U$65536,14,FALSE))</f>
      </c>
      <c r="N29" s="86">
        <f>IF($B29="","",VLOOKUP($B29,'6-2_算定表②(旧々・新制度)'!$B$8:$U$65536,17,FALSE))</f>
      </c>
      <c r="O29" s="86">
        <f>IF($B29="","",VLOOKUP($B29,'6-2_算定表②(旧々・新制度)'!$B$8:$U$65536,17,FALSE))</f>
      </c>
      <c r="P29" s="86">
        <f>IF($B29="","",VLOOKUP($B29,'6-2_算定表②(旧々・新制度)'!$B$8:$U$65536,17,FALSE))</f>
      </c>
      <c r="Q29" s="86">
        <f>IF($B29="","",VLOOKUP($B29,'6-2_算定表②(旧々・新制度)'!$B$8:$U$65536,17,FALSE))</f>
      </c>
      <c r="R29" s="86">
        <f>IF($B29="","",VLOOKUP($B29,'6-2_算定表②(旧々・新制度)'!$B$8:$U$65536,17,FALSE))</f>
      </c>
      <c r="S29" s="86">
        <f>IF($B29="","",VLOOKUP($B29,'6-2_算定表②(旧々・新制度)'!$B$8:$U$65536,17,FALSE))</f>
      </c>
      <c r="T29" s="86">
        <f>IF($B29="","",VLOOKUP($B29,'6-2_算定表②(旧々・新制度)'!$B$8:$U$65536,17,FALSE))</f>
      </c>
      <c r="U29" s="86">
        <f>IF($B29="","",VLOOKUP($B29,'6-2_算定表②(旧々・新制度)'!$B$8:$U$65536,17,FALSE))</f>
      </c>
      <c r="V29" s="717">
        <f>IF($B29="","",VLOOKUP($B29,'6-2_算定表②(旧々・新制度)'!$B$8:$U$65536,17,FALSE))</f>
      </c>
      <c r="W29" s="93">
        <f t="shared" si="0"/>
      </c>
      <c r="X29" s="90">
        <f t="shared" si="1"/>
      </c>
      <c r="Y29" s="87">
        <f t="shared" si="2"/>
      </c>
      <c r="Z29" s="99">
        <f t="shared" si="3"/>
      </c>
      <c r="AA29" s="96">
        <f t="shared" si="4"/>
      </c>
      <c r="AB29" s="93">
        <f t="shared" si="5"/>
      </c>
      <c r="AC29" s="59">
        <f>IF(B29="","",ROUNDUP((G29/'6-2_算定表②(旧々・新制度)'!J28*W29)+(I29/'6-2_算定表②(旧々・新制度)'!J28*X29)+(G29/'6-2_算定表②(旧々・新制度)'!J28*Y29)+(I29/'6-2_算定表②(旧々・新制度)'!J28*Z29),0))</f>
      </c>
      <c r="AD29" s="611">
        <f t="shared" si="6"/>
      </c>
      <c r="AE29" s="998">
        <f>IF(B29="","",VLOOKUP($B29,'6-2_算定表②(旧々・新制度)'!$B$8:$AH$65536,33,FALSE))</f>
      </c>
      <c r="AF29" s="999">
        <f>IF(AD29="","",VLOOKUP($B29,'6-2_算定表③(旧・旧制度)'!$B$8:$U$65536,3,FALSE))</f>
      </c>
      <c r="AG29" s="1000">
        <f>IF(AE29="","",VLOOKUP($B29,'6-2_算定表③(旧・旧制度)'!$B$8:$U$65536,3,FALSE))</f>
      </c>
      <c r="AI29" s="60">
        <f t="shared" si="9"/>
      </c>
      <c r="AJ29" s="60">
        <f t="shared" si="7"/>
      </c>
    </row>
    <row r="30" spans="1:36" s="53" customFormat="1" ht="18.75" customHeight="1">
      <c r="A30" s="27">
        <f t="shared" si="8"/>
      </c>
      <c r="B30" s="240"/>
      <c r="C30" s="313">
        <f>IF($B30="","",VLOOKUP($B30,'6-2_算定表②(旧々・新制度)'!$B$8:$U$65536,2,FALSE))</f>
      </c>
      <c r="D30" s="84">
        <f>IF($B30="","",VLOOKUP($B30,'6-2_算定表②(旧々・新制度)'!$B$8:$U$65536,3,FALSE))</f>
      </c>
      <c r="E30" s="84">
        <f>IF($B30="","",VLOOKUP($B30,'6-2_算定表②(旧々・新制度)'!$B$8:$U$65536,6,FALSE))</f>
      </c>
      <c r="F30" s="85">
        <f>IF(B30="","",VLOOKUP($B30,'6-2_算定表②(旧々・新制度)'!$B$8:$U$65536,14,FALSE))</f>
      </c>
      <c r="G30" s="711">
        <f>IF(B30="","",VLOOKUP($B30,'6-2_算定表②(旧々・新制度)'!$B$8:$U$65536,16,FALSE))</f>
      </c>
      <c r="H30" s="85">
        <f>IF(B30="","",VLOOKUP($B30,'6-2_算定表②(旧々・新制度)'!$B$8:$U$65536,17,FALSE))</f>
      </c>
      <c r="I30" s="711">
        <f>IF(B30="","",VLOOKUP($B30,'6-2_算定表②(旧々・新制度)'!$B$8:$U$65536,19,FALSE))</f>
      </c>
      <c r="J30" s="711">
        <f>IF(B30="","",VLOOKUP($B30,'6-2_算定表②(旧々・新制度)'!$B$8:$U$65536,20,FALSE))</f>
      </c>
      <c r="K30" s="716">
        <f>IF($B30="","",VLOOKUP($B30,'6-2_算定表②(旧々・新制度)'!$B$8:$U$65536,14,FALSE))</f>
      </c>
      <c r="L30" s="86">
        <f>IF($B30="","",VLOOKUP($B30,'6-2_算定表②(旧々・新制度)'!$B$8:$U$65536,14,FALSE))</f>
      </c>
      <c r="M30" s="86">
        <f>IF($B30="","",VLOOKUP($B30,'6-2_算定表②(旧々・新制度)'!$B$8:$U$65536,14,FALSE))</f>
      </c>
      <c r="N30" s="86">
        <f>IF($B30="","",VLOOKUP($B30,'6-2_算定表②(旧々・新制度)'!$B$8:$U$65536,17,FALSE))</f>
      </c>
      <c r="O30" s="86">
        <f>IF($B30="","",VLOOKUP($B30,'6-2_算定表②(旧々・新制度)'!$B$8:$U$65536,17,FALSE))</f>
      </c>
      <c r="P30" s="86">
        <f>IF($B30="","",VLOOKUP($B30,'6-2_算定表②(旧々・新制度)'!$B$8:$U$65536,17,FALSE))</f>
      </c>
      <c r="Q30" s="86">
        <f>IF($B30="","",VLOOKUP($B30,'6-2_算定表②(旧々・新制度)'!$B$8:$U$65536,17,FALSE))</f>
      </c>
      <c r="R30" s="86">
        <f>IF($B30="","",VLOOKUP($B30,'6-2_算定表②(旧々・新制度)'!$B$8:$U$65536,17,FALSE))</f>
      </c>
      <c r="S30" s="86">
        <f>IF($B30="","",VLOOKUP($B30,'6-2_算定表②(旧々・新制度)'!$B$8:$U$65536,17,FALSE))</f>
      </c>
      <c r="T30" s="86">
        <f>IF($B30="","",VLOOKUP($B30,'6-2_算定表②(旧々・新制度)'!$B$8:$U$65536,17,FALSE))</f>
      </c>
      <c r="U30" s="86">
        <f>IF($B30="","",VLOOKUP($B30,'6-2_算定表②(旧々・新制度)'!$B$8:$U$65536,17,FALSE))</f>
      </c>
      <c r="V30" s="717">
        <f>IF($B30="","",VLOOKUP($B30,'6-2_算定表②(旧々・新制度)'!$B$8:$U$65536,17,FALSE))</f>
      </c>
      <c r="W30" s="93">
        <f t="shared" si="0"/>
      </c>
      <c r="X30" s="90">
        <f t="shared" si="1"/>
      </c>
      <c r="Y30" s="87">
        <f t="shared" si="2"/>
      </c>
      <c r="Z30" s="99">
        <f t="shared" si="3"/>
      </c>
      <c r="AA30" s="96">
        <f t="shared" si="4"/>
      </c>
      <c r="AB30" s="93">
        <f t="shared" si="5"/>
      </c>
      <c r="AC30" s="59">
        <f>IF(B30="","",ROUNDUP((G30/'6-2_算定表②(旧々・新制度)'!J29*W30)+(I30/'6-2_算定表②(旧々・新制度)'!J29*X30)+(G30/'6-2_算定表②(旧々・新制度)'!J29*Y30)+(I30/'6-2_算定表②(旧々・新制度)'!J29*Z30),0))</f>
      </c>
      <c r="AD30" s="611">
        <f t="shared" si="6"/>
      </c>
      <c r="AE30" s="998">
        <f>IF(B30="","",VLOOKUP($B30,'6-2_算定表②(旧々・新制度)'!$B$8:$AH$65536,33,FALSE))</f>
      </c>
      <c r="AF30" s="999">
        <f>IF(AD30="","",VLOOKUP($B30,'6-2_算定表③(旧・旧制度)'!$B$8:$U$65536,3,FALSE))</f>
      </c>
      <c r="AG30" s="1000">
        <f>IF(AE30="","",VLOOKUP($B30,'6-2_算定表③(旧・旧制度)'!$B$8:$U$65536,3,FALSE))</f>
      </c>
      <c r="AI30" s="60">
        <f>IF(A30&gt;0,ASC(C30&amp;H30),"")</f>
      </c>
      <c r="AJ30" s="60">
        <f t="shared" si="7"/>
      </c>
    </row>
    <row r="31" spans="1:36" s="53" customFormat="1" ht="18.75" customHeight="1">
      <c r="A31" s="27">
        <f t="shared" si="8"/>
      </c>
      <c r="B31" s="240"/>
      <c r="C31" s="313">
        <f>IF($B31="","",VLOOKUP($B31,'6-2_算定表②(旧々・新制度)'!$B$8:$U$65536,2,FALSE))</f>
      </c>
      <c r="D31" s="84">
        <f>IF($B31="","",VLOOKUP($B31,'6-2_算定表②(旧々・新制度)'!$B$8:$U$65536,3,FALSE))</f>
      </c>
      <c r="E31" s="84">
        <f>IF($B31="","",VLOOKUP($B31,'6-2_算定表②(旧々・新制度)'!$B$8:$U$65536,6,FALSE))</f>
      </c>
      <c r="F31" s="85">
        <f>IF(B31="","",VLOOKUP($B31,'6-2_算定表②(旧々・新制度)'!$B$8:$U$65536,14,FALSE))</f>
      </c>
      <c r="G31" s="711">
        <f>IF(B31="","",VLOOKUP($B31,'6-2_算定表②(旧々・新制度)'!$B$8:$U$65536,16,FALSE))</f>
      </c>
      <c r="H31" s="85">
        <f>IF(B31="","",VLOOKUP($B31,'6-2_算定表②(旧々・新制度)'!$B$8:$U$65536,17,FALSE))</f>
      </c>
      <c r="I31" s="711">
        <f>IF(B31="","",VLOOKUP($B31,'6-2_算定表②(旧々・新制度)'!$B$8:$U$65536,19,FALSE))</f>
      </c>
      <c r="J31" s="711">
        <f>IF(B31="","",VLOOKUP($B31,'6-2_算定表②(旧々・新制度)'!$B$8:$U$65536,20,FALSE))</f>
      </c>
      <c r="K31" s="716">
        <f>IF($B31="","",VLOOKUP($B31,'6-2_算定表②(旧々・新制度)'!$B$8:$U$65536,14,FALSE))</f>
      </c>
      <c r="L31" s="86">
        <f>IF($B31="","",VLOOKUP($B31,'6-2_算定表②(旧々・新制度)'!$B$8:$U$65536,14,FALSE))</f>
      </c>
      <c r="M31" s="86">
        <f>IF($B31="","",VLOOKUP($B31,'6-2_算定表②(旧々・新制度)'!$B$8:$U$65536,14,FALSE))</f>
      </c>
      <c r="N31" s="86">
        <f>IF($B31="","",VLOOKUP($B31,'6-2_算定表②(旧々・新制度)'!$B$8:$U$65536,17,FALSE))</f>
      </c>
      <c r="O31" s="86">
        <f>IF($B31="","",VLOOKUP($B31,'6-2_算定表②(旧々・新制度)'!$B$8:$U$65536,17,FALSE))</f>
      </c>
      <c r="P31" s="86">
        <f>IF($B31="","",VLOOKUP($B31,'6-2_算定表②(旧々・新制度)'!$B$8:$U$65536,17,FALSE))</f>
      </c>
      <c r="Q31" s="86">
        <f>IF($B31="","",VLOOKUP($B31,'6-2_算定表②(旧々・新制度)'!$B$8:$U$65536,17,FALSE))</f>
      </c>
      <c r="R31" s="86">
        <f>IF($B31="","",VLOOKUP($B31,'6-2_算定表②(旧々・新制度)'!$B$8:$U$65536,17,FALSE))</f>
      </c>
      <c r="S31" s="86">
        <f>IF($B31="","",VLOOKUP($B31,'6-2_算定表②(旧々・新制度)'!$B$8:$U$65536,17,FALSE))</f>
      </c>
      <c r="T31" s="86">
        <f>IF($B31="","",VLOOKUP($B31,'6-2_算定表②(旧々・新制度)'!$B$8:$U$65536,17,FALSE))</f>
      </c>
      <c r="U31" s="86">
        <f>IF($B31="","",VLOOKUP($B31,'6-2_算定表②(旧々・新制度)'!$B$8:$U$65536,17,FALSE))</f>
      </c>
      <c r="V31" s="717">
        <f>IF($B31="","",VLOOKUP($B31,'6-2_算定表②(旧々・新制度)'!$B$8:$U$65536,17,FALSE))</f>
      </c>
      <c r="W31" s="93">
        <f t="shared" si="0"/>
      </c>
      <c r="X31" s="90">
        <f t="shared" si="1"/>
      </c>
      <c r="Y31" s="87">
        <f t="shared" si="2"/>
      </c>
      <c r="Z31" s="99">
        <f t="shared" si="3"/>
      </c>
      <c r="AA31" s="96">
        <f t="shared" si="4"/>
      </c>
      <c r="AB31" s="93">
        <f t="shared" si="5"/>
      </c>
      <c r="AC31" s="59">
        <f>IF(B31="","",ROUNDUP((G31/'6-2_算定表②(旧々・新制度)'!J30*W31)+(I31/'6-2_算定表②(旧々・新制度)'!J30*X31)+(G31/'6-2_算定表②(旧々・新制度)'!J30*Y31)+(I31/'6-2_算定表②(旧々・新制度)'!J30*Z31),0))</f>
      </c>
      <c r="AD31" s="611">
        <f t="shared" si="6"/>
      </c>
      <c r="AE31" s="998">
        <f>IF(B31="","",VLOOKUP($B31,'6-2_算定表②(旧々・新制度)'!$B$8:$AH$65536,33,FALSE))</f>
      </c>
      <c r="AF31" s="999">
        <f>IF(AD31="","",VLOOKUP($B31,'6-2_算定表③(旧・旧制度)'!$B$8:$U$65536,3,FALSE))</f>
      </c>
      <c r="AG31" s="1000">
        <f>IF(AE31="","",VLOOKUP($B31,'6-2_算定表③(旧・旧制度)'!$B$8:$U$65536,3,FALSE))</f>
      </c>
      <c r="AI31" s="60">
        <f>IF(A31&gt;0,ASC(C31&amp;H31),"")</f>
      </c>
      <c r="AJ31" s="60">
        <f t="shared" si="7"/>
      </c>
    </row>
    <row r="32" spans="1:36" s="53" customFormat="1" ht="18.75" customHeight="1">
      <c r="A32" s="27">
        <f t="shared" si="8"/>
      </c>
      <c r="B32" s="240"/>
      <c r="C32" s="313">
        <f>IF($B32="","",VLOOKUP($B32,'6-2_算定表②(旧々・新制度)'!$B$8:$U$65536,2,FALSE))</f>
      </c>
      <c r="D32" s="84">
        <f>IF($B32="","",VLOOKUP($B32,'6-2_算定表②(旧々・新制度)'!$B$8:$U$65536,3,FALSE))</f>
      </c>
      <c r="E32" s="84">
        <f>IF($B32="","",VLOOKUP($B32,'6-2_算定表②(旧々・新制度)'!$B$8:$U$65536,6,FALSE))</f>
      </c>
      <c r="F32" s="85">
        <f>IF(B32="","",VLOOKUP($B32,'6-2_算定表②(旧々・新制度)'!$B$8:$U$65536,14,FALSE))</f>
      </c>
      <c r="G32" s="711">
        <f>IF(B32="","",VLOOKUP($B32,'6-2_算定表②(旧々・新制度)'!$B$8:$U$65536,16,FALSE))</f>
      </c>
      <c r="H32" s="85">
        <f>IF(B32="","",VLOOKUP($B32,'6-2_算定表②(旧々・新制度)'!$B$8:$U$65536,17,FALSE))</f>
      </c>
      <c r="I32" s="711">
        <f>IF(B32="","",VLOOKUP($B32,'6-2_算定表②(旧々・新制度)'!$B$8:$U$65536,19,FALSE))</f>
      </c>
      <c r="J32" s="711">
        <f>IF(B32="","",VLOOKUP($B32,'6-2_算定表②(旧々・新制度)'!$B$8:$U$65536,20,FALSE))</f>
      </c>
      <c r="K32" s="716">
        <f>IF($B32="","",VLOOKUP($B32,'6-2_算定表②(旧々・新制度)'!$B$8:$U$65536,14,FALSE))</f>
      </c>
      <c r="L32" s="86">
        <f>IF($B32="","",VLOOKUP($B32,'6-2_算定表②(旧々・新制度)'!$B$8:$U$65536,14,FALSE))</f>
      </c>
      <c r="M32" s="86">
        <f>IF($B32="","",VLOOKUP($B32,'6-2_算定表②(旧々・新制度)'!$B$8:$U$65536,14,FALSE))</f>
      </c>
      <c r="N32" s="86">
        <f>IF($B32="","",VLOOKUP($B32,'6-2_算定表②(旧々・新制度)'!$B$8:$U$65536,17,FALSE))</f>
      </c>
      <c r="O32" s="86">
        <f>IF($B32="","",VLOOKUP($B32,'6-2_算定表②(旧々・新制度)'!$B$8:$U$65536,17,FALSE))</f>
      </c>
      <c r="P32" s="86">
        <f>IF($B32="","",VLOOKUP($B32,'6-2_算定表②(旧々・新制度)'!$B$8:$U$65536,17,FALSE))</f>
      </c>
      <c r="Q32" s="86">
        <f>IF($B32="","",VLOOKUP($B32,'6-2_算定表②(旧々・新制度)'!$B$8:$U$65536,17,FALSE))</f>
      </c>
      <c r="R32" s="86">
        <f>IF($B32="","",VLOOKUP($B32,'6-2_算定表②(旧々・新制度)'!$B$8:$U$65536,17,FALSE))</f>
      </c>
      <c r="S32" s="86">
        <f>IF($B32="","",VLOOKUP($B32,'6-2_算定表②(旧々・新制度)'!$B$8:$U$65536,17,FALSE))</f>
      </c>
      <c r="T32" s="86">
        <f>IF($B32="","",VLOOKUP($B32,'6-2_算定表②(旧々・新制度)'!$B$8:$U$65536,17,FALSE))</f>
      </c>
      <c r="U32" s="86">
        <f>IF($B32="","",VLOOKUP($B32,'6-2_算定表②(旧々・新制度)'!$B$8:$U$65536,17,FALSE))</f>
      </c>
      <c r="V32" s="717">
        <f>IF($B32="","",VLOOKUP($B32,'6-2_算定表②(旧々・新制度)'!$B$8:$U$65536,17,FALSE))</f>
      </c>
      <c r="W32" s="93">
        <f t="shared" si="0"/>
      </c>
      <c r="X32" s="90">
        <f t="shared" si="1"/>
      </c>
      <c r="Y32" s="87">
        <f t="shared" si="2"/>
      </c>
      <c r="Z32" s="99">
        <f t="shared" si="3"/>
      </c>
      <c r="AA32" s="96">
        <f t="shared" si="4"/>
      </c>
      <c r="AB32" s="93">
        <f t="shared" si="5"/>
      </c>
      <c r="AC32" s="59">
        <f>IF(B32="","",ROUNDUP((G32/'6-2_算定表②(旧々・新制度)'!J31*W32)+(I32/'6-2_算定表②(旧々・新制度)'!J31*X32)+(G32/'6-2_算定表②(旧々・新制度)'!J31*Y32)+(I32/'6-2_算定表②(旧々・新制度)'!J31*Z32),0))</f>
      </c>
      <c r="AD32" s="611">
        <f t="shared" si="6"/>
      </c>
      <c r="AE32" s="998">
        <f>IF(B32="","",VLOOKUP($B32,'6-2_算定表②(旧々・新制度)'!$B$8:$AH$65536,33,FALSE))</f>
      </c>
      <c r="AF32" s="999">
        <f>IF(AD32="","",VLOOKUP($B32,'6-2_算定表③(旧・旧制度)'!$B$8:$U$65536,3,FALSE))</f>
      </c>
      <c r="AG32" s="1000">
        <f>IF(AE32="","",VLOOKUP($B32,'6-2_算定表③(旧・旧制度)'!$B$8:$U$65536,3,FALSE))</f>
      </c>
      <c r="AI32" s="60">
        <f>IF(A32&gt;0,ASC(C32&amp;H32),"")</f>
      </c>
      <c r="AJ32" s="60">
        <f t="shared" si="7"/>
      </c>
    </row>
    <row r="33" spans="1:36" s="53" customFormat="1" ht="18.75" customHeight="1">
      <c r="A33" s="27">
        <f t="shared" si="8"/>
      </c>
      <c r="B33" s="240"/>
      <c r="C33" s="313">
        <f>IF($B33="","",VLOOKUP($B33,'6-2_算定表②(旧々・新制度)'!$B$8:$U$65536,2,FALSE))</f>
      </c>
      <c r="D33" s="84">
        <f>IF($B33="","",VLOOKUP($B33,'6-2_算定表②(旧々・新制度)'!$B$8:$U$65536,3,FALSE))</f>
      </c>
      <c r="E33" s="84">
        <f>IF($B33="","",VLOOKUP($B33,'6-2_算定表②(旧々・新制度)'!$B$8:$U$65536,6,FALSE))</f>
      </c>
      <c r="F33" s="85">
        <f>IF(B33="","",VLOOKUP($B33,'6-2_算定表②(旧々・新制度)'!$B$8:$U$65536,14,FALSE))</f>
      </c>
      <c r="G33" s="711">
        <f>IF(B33="","",VLOOKUP($B33,'6-2_算定表②(旧々・新制度)'!$B$8:$U$65536,16,FALSE))</f>
      </c>
      <c r="H33" s="85">
        <f>IF(B33="","",VLOOKUP($B33,'6-2_算定表②(旧々・新制度)'!$B$8:$U$65536,17,FALSE))</f>
      </c>
      <c r="I33" s="711">
        <f>IF(B33="","",VLOOKUP($B33,'6-2_算定表②(旧々・新制度)'!$B$8:$U$65536,19,FALSE))</f>
      </c>
      <c r="J33" s="711">
        <f>IF(B33="","",VLOOKUP($B33,'6-2_算定表②(旧々・新制度)'!$B$8:$U$65536,20,FALSE))</f>
      </c>
      <c r="K33" s="716">
        <f>IF($B33="","",VLOOKUP($B33,'6-2_算定表②(旧々・新制度)'!$B$8:$U$65536,14,FALSE))</f>
      </c>
      <c r="L33" s="86">
        <f>IF($B33="","",VLOOKUP($B33,'6-2_算定表②(旧々・新制度)'!$B$8:$U$65536,14,FALSE))</f>
      </c>
      <c r="M33" s="86">
        <f>IF($B33="","",VLOOKUP($B33,'6-2_算定表②(旧々・新制度)'!$B$8:$U$65536,14,FALSE))</f>
      </c>
      <c r="N33" s="86">
        <f>IF($B33="","",VLOOKUP($B33,'6-2_算定表②(旧々・新制度)'!$B$8:$U$65536,17,FALSE))</f>
      </c>
      <c r="O33" s="86">
        <f>IF($B33="","",VLOOKUP($B33,'6-2_算定表②(旧々・新制度)'!$B$8:$U$65536,17,FALSE))</f>
      </c>
      <c r="P33" s="86">
        <f>IF($B33="","",VLOOKUP($B33,'6-2_算定表②(旧々・新制度)'!$B$8:$U$65536,17,FALSE))</f>
      </c>
      <c r="Q33" s="86">
        <f>IF($B33="","",VLOOKUP($B33,'6-2_算定表②(旧々・新制度)'!$B$8:$U$65536,17,FALSE))</f>
      </c>
      <c r="R33" s="86">
        <f>IF($B33="","",VLOOKUP($B33,'6-2_算定表②(旧々・新制度)'!$B$8:$U$65536,17,FALSE))</f>
      </c>
      <c r="S33" s="86">
        <f>IF($B33="","",VLOOKUP($B33,'6-2_算定表②(旧々・新制度)'!$B$8:$U$65536,17,FALSE))</f>
      </c>
      <c r="T33" s="86">
        <f>IF($B33="","",VLOOKUP($B33,'6-2_算定表②(旧々・新制度)'!$B$8:$U$65536,17,FALSE))</f>
      </c>
      <c r="U33" s="86">
        <f>IF($B33="","",VLOOKUP($B33,'6-2_算定表②(旧々・新制度)'!$B$8:$U$65536,17,FALSE))</f>
      </c>
      <c r="V33" s="717">
        <f>IF($B33="","",VLOOKUP($B33,'6-2_算定表②(旧々・新制度)'!$B$8:$U$65536,17,FALSE))</f>
      </c>
      <c r="W33" s="93">
        <f t="shared" si="0"/>
      </c>
      <c r="X33" s="90">
        <f t="shared" si="1"/>
      </c>
      <c r="Y33" s="87">
        <f t="shared" si="2"/>
      </c>
      <c r="Z33" s="99">
        <f t="shared" si="3"/>
      </c>
      <c r="AA33" s="96">
        <f t="shared" si="4"/>
      </c>
      <c r="AB33" s="93">
        <f t="shared" si="5"/>
      </c>
      <c r="AC33" s="59">
        <f>IF(B33="","",ROUNDUP((G33/'6-2_算定表②(旧々・新制度)'!J32*W33)+(I33/'6-2_算定表②(旧々・新制度)'!J32*X33)+(G33/'6-2_算定表②(旧々・新制度)'!J32*Y33)+(I33/'6-2_算定表②(旧々・新制度)'!J32*Z33),0))</f>
      </c>
      <c r="AD33" s="611">
        <f t="shared" si="6"/>
      </c>
      <c r="AE33" s="998">
        <f>IF(B33="","",VLOOKUP($B33,'6-2_算定表②(旧々・新制度)'!$B$8:$AH$65536,33,FALSE))</f>
      </c>
      <c r="AF33" s="999">
        <f>IF(AD33="","",VLOOKUP($B33,'6-2_算定表③(旧・旧制度)'!$B$8:$U$65536,3,FALSE))</f>
      </c>
      <c r="AG33" s="1000">
        <f>IF(AE33="","",VLOOKUP($B33,'6-2_算定表③(旧・旧制度)'!$B$8:$U$65536,3,FALSE))</f>
      </c>
      <c r="AI33" s="60">
        <f t="shared" si="9"/>
      </c>
      <c r="AJ33" s="60">
        <f t="shared" si="7"/>
      </c>
    </row>
    <row r="34" spans="1:36" s="53" customFormat="1" ht="18.75" customHeight="1">
      <c r="A34" s="27">
        <f t="shared" si="8"/>
      </c>
      <c r="B34" s="240"/>
      <c r="C34" s="313">
        <f>IF($B34="","",VLOOKUP($B34,'6-2_算定表②(旧々・新制度)'!$B$8:$U$65536,2,FALSE))</f>
      </c>
      <c r="D34" s="84">
        <f>IF($B34="","",VLOOKUP($B34,'6-2_算定表②(旧々・新制度)'!$B$8:$U$65536,3,FALSE))</f>
      </c>
      <c r="E34" s="84">
        <f>IF($B34="","",VLOOKUP($B34,'6-2_算定表②(旧々・新制度)'!$B$8:$U$65536,6,FALSE))</f>
      </c>
      <c r="F34" s="85">
        <f>IF(B34="","",VLOOKUP($B34,'6-2_算定表②(旧々・新制度)'!$B$8:$U$65536,14,FALSE))</f>
      </c>
      <c r="G34" s="711">
        <f>IF(B34="","",VLOOKUP($B34,'6-2_算定表②(旧々・新制度)'!$B$8:$U$65536,16,FALSE))</f>
      </c>
      <c r="H34" s="85">
        <f>IF(B34="","",VLOOKUP($B34,'6-2_算定表②(旧々・新制度)'!$B$8:$U$65536,17,FALSE))</f>
      </c>
      <c r="I34" s="711">
        <f>IF(B34="","",VLOOKUP($B34,'6-2_算定表②(旧々・新制度)'!$B$8:$U$65536,19,FALSE))</f>
      </c>
      <c r="J34" s="711">
        <f>IF(B34="","",VLOOKUP($B34,'6-2_算定表②(旧々・新制度)'!$B$8:$U$65536,20,FALSE))</f>
      </c>
      <c r="K34" s="716">
        <f>IF($B34="","",VLOOKUP($B34,'6-2_算定表②(旧々・新制度)'!$B$8:$U$65536,14,FALSE))</f>
      </c>
      <c r="L34" s="86">
        <f>IF($B34="","",VLOOKUP($B34,'6-2_算定表②(旧々・新制度)'!$B$8:$U$65536,14,FALSE))</f>
      </c>
      <c r="M34" s="86">
        <f>IF($B34="","",VLOOKUP($B34,'6-2_算定表②(旧々・新制度)'!$B$8:$U$65536,14,FALSE))</f>
      </c>
      <c r="N34" s="86">
        <f>IF($B34="","",VLOOKUP($B34,'6-2_算定表②(旧々・新制度)'!$B$8:$U$65536,17,FALSE))</f>
      </c>
      <c r="O34" s="86">
        <f>IF($B34="","",VLOOKUP($B34,'6-2_算定表②(旧々・新制度)'!$B$8:$U$65536,17,FALSE))</f>
      </c>
      <c r="P34" s="86">
        <f>IF($B34="","",VLOOKUP($B34,'6-2_算定表②(旧々・新制度)'!$B$8:$U$65536,17,FALSE))</f>
      </c>
      <c r="Q34" s="86">
        <f>IF($B34="","",VLOOKUP($B34,'6-2_算定表②(旧々・新制度)'!$B$8:$U$65536,17,FALSE))</f>
      </c>
      <c r="R34" s="86">
        <f>IF($B34="","",VLOOKUP($B34,'6-2_算定表②(旧々・新制度)'!$B$8:$U$65536,17,FALSE))</f>
      </c>
      <c r="S34" s="86">
        <f>IF($B34="","",VLOOKUP($B34,'6-2_算定表②(旧々・新制度)'!$B$8:$U$65536,17,FALSE))</f>
      </c>
      <c r="T34" s="86">
        <f>IF($B34="","",VLOOKUP($B34,'6-2_算定表②(旧々・新制度)'!$B$8:$U$65536,17,FALSE))</f>
      </c>
      <c r="U34" s="86">
        <f>IF($B34="","",VLOOKUP($B34,'6-2_算定表②(旧々・新制度)'!$B$8:$U$65536,17,FALSE))</f>
      </c>
      <c r="V34" s="717">
        <f>IF($B34="","",VLOOKUP($B34,'6-2_算定表②(旧々・新制度)'!$B$8:$U$65536,17,FALSE))</f>
      </c>
      <c r="W34" s="93">
        <f t="shared" si="0"/>
      </c>
      <c r="X34" s="90">
        <f t="shared" si="1"/>
      </c>
      <c r="Y34" s="87">
        <f t="shared" si="2"/>
      </c>
      <c r="Z34" s="99">
        <f t="shared" si="3"/>
      </c>
      <c r="AA34" s="96">
        <f t="shared" si="4"/>
      </c>
      <c r="AB34" s="93">
        <f t="shared" si="5"/>
      </c>
      <c r="AC34" s="59">
        <f>IF(B34="","",ROUNDUP((G34/'6-2_算定表②(旧々・新制度)'!J33*W34)+(I34/'6-2_算定表②(旧々・新制度)'!J33*X34)+(G34/'6-2_算定表②(旧々・新制度)'!J33*Y34)+(I34/'6-2_算定表②(旧々・新制度)'!J33*Z34),0))</f>
      </c>
      <c r="AD34" s="611">
        <f t="shared" si="6"/>
      </c>
      <c r="AE34" s="998">
        <f>IF(B34="","",VLOOKUP($B34,'6-2_算定表②(旧々・新制度)'!$B$8:$AH$65536,33,FALSE))</f>
      </c>
      <c r="AF34" s="999">
        <f>IF(AD34="","",VLOOKUP($B34,'6-2_算定表③(旧・旧制度)'!$B$8:$U$65536,3,FALSE))</f>
      </c>
      <c r="AG34" s="1000">
        <f>IF(AE34="","",VLOOKUP($B34,'6-2_算定表③(旧・旧制度)'!$B$8:$U$65536,3,FALSE))</f>
      </c>
      <c r="AI34" s="60">
        <f t="shared" si="9"/>
      </c>
      <c r="AJ34" s="60">
        <f t="shared" si="7"/>
      </c>
    </row>
    <row r="35" spans="1:36" s="53" customFormat="1" ht="18.75" customHeight="1">
      <c r="A35" s="27">
        <f t="shared" si="8"/>
      </c>
      <c r="B35" s="240"/>
      <c r="C35" s="313">
        <f>IF($B35="","",VLOOKUP($B35,'6-2_算定表②(旧々・新制度)'!$B$8:$U$65536,2,FALSE))</f>
      </c>
      <c r="D35" s="84">
        <f>IF($B35="","",VLOOKUP($B35,'6-2_算定表②(旧々・新制度)'!$B$8:$U$65536,3,FALSE))</f>
      </c>
      <c r="E35" s="84">
        <f>IF($B35="","",VLOOKUP($B35,'6-2_算定表②(旧々・新制度)'!$B$8:$U$65536,6,FALSE))</f>
      </c>
      <c r="F35" s="85">
        <f>IF(B35="","",VLOOKUP($B35,'6-2_算定表②(旧々・新制度)'!$B$8:$U$65536,14,FALSE))</f>
      </c>
      <c r="G35" s="711">
        <f>IF(B35="","",VLOOKUP($B35,'6-2_算定表②(旧々・新制度)'!$B$8:$U$65536,16,FALSE))</f>
      </c>
      <c r="H35" s="85">
        <f>IF(B35="","",VLOOKUP($B35,'6-2_算定表②(旧々・新制度)'!$B$8:$U$65536,17,FALSE))</f>
      </c>
      <c r="I35" s="711">
        <f>IF(B35="","",VLOOKUP($B35,'6-2_算定表②(旧々・新制度)'!$B$8:$U$65536,19,FALSE))</f>
      </c>
      <c r="J35" s="711">
        <f>IF(B35="","",VLOOKUP($B35,'6-2_算定表②(旧々・新制度)'!$B$8:$U$65536,20,FALSE))</f>
      </c>
      <c r="K35" s="716">
        <f>IF($B35="","",VLOOKUP($B35,'6-2_算定表②(旧々・新制度)'!$B$8:$U$65536,14,FALSE))</f>
      </c>
      <c r="L35" s="86">
        <f>IF($B35="","",VLOOKUP($B35,'6-2_算定表②(旧々・新制度)'!$B$8:$U$65536,14,FALSE))</f>
      </c>
      <c r="M35" s="86">
        <f>IF($B35="","",VLOOKUP($B35,'6-2_算定表②(旧々・新制度)'!$B$8:$U$65536,14,FALSE))</f>
      </c>
      <c r="N35" s="86">
        <f>IF($B35="","",VLOOKUP($B35,'6-2_算定表②(旧々・新制度)'!$B$8:$U$65536,17,FALSE))</f>
      </c>
      <c r="O35" s="86">
        <f>IF($B35="","",VLOOKUP($B35,'6-2_算定表②(旧々・新制度)'!$B$8:$U$65536,17,FALSE))</f>
      </c>
      <c r="P35" s="86">
        <f>IF($B35="","",VLOOKUP($B35,'6-2_算定表②(旧々・新制度)'!$B$8:$U$65536,17,FALSE))</f>
      </c>
      <c r="Q35" s="86">
        <f>IF($B35="","",VLOOKUP($B35,'6-2_算定表②(旧々・新制度)'!$B$8:$U$65536,17,FALSE))</f>
      </c>
      <c r="R35" s="86">
        <f>IF($B35="","",VLOOKUP($B35,'6-2_算定表②(旧々・新制度)'!$B$8:$U$65536,17,FALSE))</f>
      </c>
      <c r="S35" s="86">
        <f>IF($B35="","",VLOOKUP($B35,'6-2_算定表②(旧々・新制度)'!$B$8:$U$65536,17,FALSE))</f>
      </c>
      <c r="T35" s="86">
        <f>IF($B35="","",VLOOKUP($B35,'6-2_算定表②(旧々・新制度)'!$B$8:$U$65536,17,FALSE))</f>
      </c>
      <c r="U35" s="86">
        <f>IF($B35="","",VLOOKUP($B35,'6-2_算定表②(旧々・新制度)'!$B$8:$U$65536,17,FALSE))</f>
      </c>
      <c r="V35" s="717">
        <f>IF($B35="","",VLOOKUP($B35,'6-2_算定表②(旧々・新制度)'!$B$8:$U$65536,17,FALSE))</f>
      </c>
      <c r="W35" s="93">
        <f t="shared" si="0"/>
      </c>
      <c r="X35" s="90">
        <f t="shared" si="1"/>
      </c>
      <c r="Y35" s="87">
        <f t="shared" si="2"/>
      </c>
      <c r="Z35" s="99">
        <f t="shared" si="3"/>
      </c>
      <c r="AA35" s="96">
        <f t="shared" si="4"/>
      </c>
      <c r="AB35" s="93">
        <f t="shared" si="5"/>
      </c>
      <c r="AC35" s="59">
        <f>IF(B35="","",ROUNDUP((G35/'6-2_算定表②(旧々・新制度)'!J34*W35)+(I35/'6-2_算定表②(旧々・新制度)'!J34*X35)+(G35/'6-2_算定表②(旧々・新制度)'!J34*Y35)+(I35/'6-2_算定表②(旧々・新制度)'!J34*Z35),0))</f>
      </c>
      <c r="AD35" s="611">
        <f t="shared" si="6"/>
      </c>
      <c r="AE35" s="998">
        <f>IF(B35="","",VLOOKUP($B35,'6-2_算定表②(旧々・新制度)'!$B$8:$AH$65536,33,FALSE))</f>
      </c>
      <c r="AF35" s="999">
        <f>IF(AD35="","",VLOOKUP($B35,'6-2_算定表③(旧・旧制度)'!$B$8:$U$65536,3,FALSE))</f>
      </c>
      <c r="AG35" s="1000">
        <f>IF(AE35="","",VLOOKUP($B35,'6-2_算定表③(旧・旧制度)'!$B$8:$U$65536,3,FALSE))</f>
      </c>
      <c r="AI35" s="60">
        <f t="shared" si="9"/>
      </c>
      <c r="AJ35" s="60">
        <f t="shared" si="7"/>
      </c>
    </row>
    <row r="36" spans="1:36" s="53" customFormat="1" ht="18.75" customHeight="1">
      <c r="A36" s="27">
        <f t="shared" si="8"/>
      </c>
      <c r="B36" s="240"/>
      <c r="C36" s="313">
        <f>IF($B36="","",VLOOKUP($B36,'6-2_算定表②(旧々・新制度)'!$B$8:$U$65536,2,FALSE))</f>
      </c>
      <c r="D36" s="84">
        <f>IF($B36="","",VLOOKUP($B36,'6-2_算定表②(旧々・新制度)'!$B$8:$U$65536,3,FALSE))</f>
      </c>
      <c r="E36" s="84">
        <f>IF($B36="","",VLOOKUP($B36,'6-2_算定表②(旧々・新制度)'!$B$8:$U$65536,6,FALSE))</f>
      </c>
      <c r="F36" s="85">
        <f>IF(B36="","",VLOOKUP($B36,'6-2_算定表②(旧々・新制度)'!$B$8:$U$65536,14,FALSE))</f>
      </c>
      <c r="G36" s="711">
        <f>IF(B36="","",VLOOKUP($B36,'6-2_算定表②(旧々・新制度)'!$B$8:$U$65536,16,FALSE))</f>
      </c>
      <c r="H36" s="85">
        <f>IF(B36="","",VLOOKUP($B36,'6-2_算定表②(旧々・新制度)'!$B$8:$U$65536,17,FALSE))</f>
      </c>
      <c r="I36" s="711">
        <f>IF(B36="","",VLOOKUP($B36,'6-2_算定表②(旧々・新制度)'!$B$8:$U$65536,19,FALSE))</f>
      </c>
      <c r="J36" s="711">
        <f>IF(B36="","",VLOOKUP($B36,'6-2_算定表②(旧々・新制度)'!$B$8:$U$65536,20,FALSE))</f>
      </c>
      <c r="K36" s="716">
        <f>IF($B36="","",VLOOKUP($B36,'6-2_算定表②(旧々・新制度)'!$B$8:$U$65536,14,FALSE))</f>
      </c>
      <c r="L36" s="86">
        <f>IF($B36="","",VLOOKUP($B36,'6-2_算定表②(旧々・新制度)'!$B$8:$U$65536,14,FALSE))</f>
      </c>
      <c r="M36" s="86">
        <f>IF($B36="","",VLOOKUP($B36,'6-2_算定表②(旧々・新制度)'!$B$8:$U$65536,14,FALSE))</f>
      </c>
      <c r="N36" s="86">
        <f>IF($B36="","",VLOOKUP($B36,'6-2_算定表②(旧々・新制度)'!$B$8:$U$65536,17,FALSE))</f>
      </c>
      <c r="O36" s="86">
        <f>IF($B36="","",VLOOKUP($B36,'6-2_算定表②(旧々・新制度)'!$B$8:$U$65536,17,FALSE))</f>
      </c>
      <c r="P36" s="86">
        <f>IF($B36="","",VLOOKUP($B36,'6-2_算定表②(旧々・新制度)'!$B$8:$U$65536,17,FALSE))</f>
      </c>
      <c r="Q36" s="86">
        <f>IF($B36="","",VLOOKUP($B36,'6-2_算定表②(旧々・新制度)'!$B$8:$U$65536,17,FALSE))</f>
      </c>
      <c r="R36" s="86">
        <f>IF($B36="","",VLOOKUP($B36,'6-2_算定表②(旧々・新制度)'!$B$8:$U$65536,17,FALSE))</f>
      </c>
      <c r="S36" s="86">
        <f>IF($B36="","",VLOOKUP($B36,'6-2_算定表②(旧々・新制度)'!$B$8:$U$65536,17,FALSE))</f>
      </c>
      <c r="T36" s="86">
        <f>IF($B36="","",VLOOKUP($B36,'6-2_算定表②(旧々・新制度)'!$B$8:$U$65536,17,FALSE))</f>
      </c>
      <c r="U36" s="86">
        <f>IF($B36="","",VLOOKUP($B36,'6-2_算定表②(旧々・新制度)'!$B$8:$U$65536,17,FALSE))</f>
      </c>
      <c r="V36" s="717">
        <f>IF($B36="","",VLOOKUP($B36,'6-2_算定表②(旧々・新制度)'!$B$8:$U$65536,17,FALSE))</f>
      </c>
      <c r="W36" s="93">
        <f t="shared" si="0"/>
      </c>
      <c r="X36" s="90">
        <f t="shared" si="1"/>
      </c>
      <c r="Y36" s="87">
        <f t="shared" si="2"/>
      </c>
      <c r="Z36" s="99">
        <f t="shared" si="3"/>
      </c>
      <c r="AA36" s="96">
        <f t="shared" si="4"/>
      </c>
      <c r="AB36" s="93">
        <f t="shared" si="5"/>
      </c>
      <c r="AC36" s="59">
        <f>IF(B36="","",ROUNDUP((G36/'6-2_算定表②(旧々・新制度)'!J35*W36)+(I36/'6-2_算定表②(旧々・新制度)'!J35*X36)+(G36/'6-2_算定表②(旧々・新制度)'!J35*Y36)+(I36/'6-2_算定表②(旧々・新制度)'!J35*Z36),0))</f>
      </c>
      <c r="AD36" s="611">
        <f t="shared" si="6"/>
      </c>
      <c r="AE36" s="998">
        <f>IF(B36="","",VLOOKUP($B36,'6-2_算定表②(旧々・新制度)'!$B$8:$AH$65536,33,FALSE))</f>
      </c>
      <c r="AF36" s="999">
        <f>IF(AD36="","",VLOOKUP($B36,'6-2_算定表③(旧・旧制度)'!$B$8:$U$65536,3,FALSE))</f>
      </c>
      <c r="AG36" s="1000">
        <f>IF(AE36="","",VLOOKUP($B36,'6-2_算定表③(旧・旧制度)'!$B$8:$U$65536,3,FALSE))</f>
      </c>
      <c r="AI36" s="60">
        <f t="shared" si="9"/>
      </c>
      <c r="AJ36" s="60">
        <f t="shared" si="7"/>
      </c>
    </row>
    <row r="37" spans="1:36" s="53" customFormat="1" ht="18.75" customHeight="1">
      <c r="A37" s="27">
        <f t="shared" si="8"/>
      </c>
      <c r="B37" s="240"/>
      <c r="C37" s="313">
        <f>IF($B37="","",VLOOKUP($B37,'6-2_算定表②(旧々・新制度)'!$B$8:$U$65536,2,FALSE))</f>
      </c>
      <c r="D37" s="84">
        <f>IF($B37="","",VLOOKUP($B37,'6-2_算定表②(旧々・新制度)'!$B$8:$U$65536,3,FALSE))</f>
      </c>
      <c r="E37" s="84">
        <f>IF($B37="","",VLOOKUP($B37,'6-2_算定表②(旧々・新制度)'!$B$8:$U$65536,6,FALSE))</f>
      </c>
      <c r="F37" s="85">
        <f>IF(B37="","",VLOOKUP($B37,'6-2_算定表②(旧々・新制度)'!$B$8:$U$65536,14,FALSE))</f>
      </c>
      <c r="G37" s="711">
        <f>IF(B37="","",VLOOKUP($B37,'6-2_算定表②(旧々・新制度)'!$B$8:$U$65536,16,FALSE))</f>
      </c>
      <c r="H37" s="85">
        <f>IF(B37="","",VLOOKUP($B37,'6-2_算定表②(旧々・新制度)'!$B$8:$U$65536,17,FALSE))</f>
      </c>
      <c r="I37" s="711">
        <f>IF(B37="","",VLOOKUP($B37,'6-2_算定表②(旧々・新制度)'!$B$8:$U$65536,19,FALSE))</f>
      </c>
      <c r="J37" s="711">
        <f>IF(B37="","",VLOOKUP($B37,'6-2_算定表②(旧々・新制度)'!$B$8:$U$65536,20,FALSE))</f>
      </c>
      <c r="K37" s="716">
        <f>IF($B37="","",VLOOKUP($B37,'6-2_算定表②(旧々・新制度)'!$B$8:$U$65536,14,FALSE))</f>
      </c>
      <c r="L37" s="86">
        <f>IF($B37="","",VLOOKUP($B37,'6-2_算定表②(旧々・新制度)'!$B$8:$U$65536,14,FALSE))</f>
      </c>
      <c r="M37" s="86">
        <f>IF($B37="","",VLOOKUP($B37,'6-2_算定表②(旧々・新制度)'!$B$8:$U$65536,14,FALSE))</f>
      </c>
      <c r="N37" s="86">
        <f>IF($B37="","",VLOOKUP($B37,'6-2_算定表②(旧々・新制度)'!$B$8:$U$65536,17,FALSE))</f>
      </c>
      <c r="O37" s="86">
        <f>IF($B37="","",VLOOKUP($B37,'6-2_算定表②(旧々・新制度)'!$B$8:$U$65536,17,FALSE))</f>
      </c>
      <c r="P37" s="86">
        <f>IF($B37="","",VLOOKUP($B37,'6-2_算定表②(旧々・新制度)'!$B$8:$U$65536,17,FALSE))</f>
      </c>
      <c r="Q37" s="86">
        <f>IF($B37="","",VLOOKUP($B37,'6-2_算定表②(旧々・新制度)'!$B$8:$U$65536,17,FALSE))</f>
      </c>
      <c r="R37" s="86">
        <f>IF($B37="","",VLOOKUP($B37,'6-2_算定表②(旧々・新制度)'!$B$8:$U$65536,17,FALSE))</f>
      </c>
      <c r="S37" s="86">
        <f>IF($B37="","",VLOOKUP($B37,'6-2_算定表②(旧々・新制度)'!$B$8:$U$65536,17,FALSE))</f>
      </c>
      <c r="T37" s="86">
        <f>IF($B37="","",VLOOKUP($B37,'6-2_算定表②(旧々・新制度)'!$B$8:$U$65536,17,FALSE))</f>
      </c>
      <c r="U37" s="86">
        <f>IF($B37="","",VLOOKUP($B37,'6-2_算定表②(旧々・新制度)'!$B$8:$U$65536,17,FALSE))</f>
      </c>
      <c r="V37" s="717">
        <f>IF($B37="","",VLOOKUP($B37,'6-2_算定表②(旧々・新制度)'!$B$8:$U$65536,17,FALSE))</f>
      </c>
      <c r="W37" s="93">
        <f t="shared" si="0"/>
      </c>
      <c r="X37" s="90">
        <f t="shared" si="1"/>
      </c>
      <c r="Y37" s="87">
        <f t="shared" si="2"/>
      </c>
      <c r="Z37" s="99">
        <f t="shared" si="3"/>
      </c>
      <c r="AA37" s="96">
        <f t="shared" si="4"/>
      </c>
      <c r="AB37" s="93">
        <f t="shared" si="5"/>
      </c>
      <c r="AC37" s="59">
        <f>IF(B37="","",ROUNDUP((G37/'6-2_算定表②(旧々・新制度)'!J36*W37)+(I37/'6-2_算定表②(旧々・新制度)'!J36*X37)+(G37/'6-2_算定表②(旧々・新制度)'!J36*Y37)+(I37/'6-2_算定表②(旧々・新制度)'!J36*Z37),0))</f>
      </c>
      <c r="AD37" s="611">
        <f t="shared" si="6"/>
      </c>
      <c r="AE37" s="998">
        <f>IF(B37="","",VLOOKUP($B37,'6-2_算定表②(旧々・新制度)'!$B$8:$AH$65536,33,FALSE))</f>
      </c>
      <c r="AF37" s="999">
        <f>IF(AD37="","",VLOOKUP($B37,'6-2_算定表③(旧・旧制度)'!$B$8:$U$65536,3,FALSE))</f>
      </c>
      <c r="AG37" s="1000">
        <f>IF(AE37="","",VLOOKUP($B37,'6-2_算定表③(旧・旧制度)'!$B$8:$U$65536,3,FALSE))</f>
      </c>
      <c r="AI37" s="60">
        <f t="shared" si="9"/>
      </c>
      <c r="AJ37" s="60">
        <f t="shared" si="7"/>
      </c>
    </row>
    <row r="38" spans="1:36" s="53" customFormat="1" ht="18.75" customHeight="1" thickBot="1">
      <c r="A38" s="27">
        <f t="shared" si="8"/>
      </c>
      <c r="B38" s="240"/>
      <c r="C38" s="314">
        <f>IF($B38="","",VLOOKUP($B38,'6-2_算定表②(旧々・新制度)'!$B$8:$U$65536,2,FALSE))</f>
      </c>
      <c r="D38" s="222">
        <f>IF($B38="","",VLOOKUP($B38,'6-2_算定表②(旧々・新制度)'!$B$8:$U$65536,3,FALSE))</f>
      </c>
      <c r="E38" s="222">
        <f>IF($B38="","",VLOOKUP($B38,'6-2_算定表②(旧々・新制度)'!$B$8:$U$65536,6,FALSE))</f>
      </c>
      <c r="F38" s="315">
        <f>IF(B38="","",VLOOKUP($B38,'6-2_算定表②(旧々・新制度)'!$B$8:$U$65536,14,FALSE))</f>
      </c>
      <c r="G38" s="712">
        <f>IF(B38="","",VLOOKUP($B38,'6-2_算定表②(旧々・新制度)'!$B$8:$U$65536,16,FALSE))</f>
      </c>
      <c r="H38" s="315">
        <f>IF(B38="","",VLOOKUP($B38,'6-2_算定表②(旧々・新制度)'!$B$8:$U$65536,17,FALSE))</f>
      </c>
      <c r="I38" s="712">
        <f>IF(B38="","",VLOOKUP($B38,'6-2_算定表②(旧々・新制度)'!$B$8:$U$65536,19,FALSE))</f>
      </c>
      <c r="J38" s="712">
        <f>IF(B38="","",VLOOKUP($B38,'6-2_算定表②(旧々・新制度)'!$B$8:$U$65536,20,FALSE))</f>
      </c>
      <c r="K38" s="718">
        <f>IF($B38="","",VLOOKUP($B38,'6-2_算定表②(旧々・新制度)'!$B$8:$U$65536,14,FALSE))</f>
      </c>
      <c r="L38" s="317">
        <f>IF($B38="","",VLOOKUP($B38,'6-2_算定表②(旧々・新制度)'!$B$8:$U$65536,14,FALSE))</f>
      </c>
      <c r="M38" s="317">
        <f>IF($B38="","",VLOOKUP($B38,'6-2_算定表②(旧々・新制度)'!$B$8:$U$65536,14,FALSE))</f>
      </c>
      <c r="N38" s="317">
        <f>IF($B38="","",VLOOKUP($B38,'6-2_算定表②(旧々・新制度)'!$B$8:$U$65536,17,FALSE))</f>
      </c>
      <c r="O38" s="317">
        <f>IF($B38="","",VLOOKUP($B38,'6-2_算定表②(旧々・新制度)'!$B$8:$U$65536,17,FALSE))</f>
      </c>
      <c r="P38" s="317">
        <f>IF($B38="","",VLOOKUP($B38,'6-2_算定表②(旧々・新制度)'!$B$8:$U$65536,17,FALSE))</f>
      </c>
      <c r="Q38" s="317">
        <f>IF($B38="","",VLOOKUP($B38,'6-2_算定表②(旧々・新制度)'!$B$8:$U$65536,17,FALSE))</f>
      </c>
      <c r="R38" s="317">
        <f>IF($B38="","",VLOOKUP($B38,'6-2_算定表②(旧々・新制度)'!$B$8:$U$65536,17,FALSE))</f>
      </c>
      <c r="S38" s="317">
        <f>IF($B38="","",VLOOKUP($B38,'6-2_算定表②(旧々・新制度)'!$B$8:$U$65536,17,FALSE))</f>
      </c>
      <c r="T38" s="317">
        <f>IF($B38="","",VLOOKUP($B38,'6-2_算定表②(旧々・新制度)'!$B$8:$U$65536,17,FALSE))</f>
      </c>
      <c r="U38" s="317">
        <f>IF($B38="","",VLOOKUP($B38,'6-2_算定表②(旧々・新制度)'!$B$8:$U$65536,17,FALSE))</f>
      </c>
      <c r="V38" s="719">
        <f>IF($B38="","",VLOOKUP($B38,'6-2_算定表②(旧々・新制度)'!$B$8:$U$65536,17,FALSE))</f>
      </c>
      <c r="W38" s="93">
        <f t="shared" si="0"/>
      </c>
      <c r="X38" s="90">
        <f t="shared" si="1"/>
      </c>
      <c r="Y38" s="87">
        <f t="shared" si="2"/>
      </c>
      <c r="Z38" s="99">
        <f t="shared" si="3"/>
      </c>
      <c r="AA38" s="96">
        <f t="shared" si="4"/>
      </c>
      <c r="AB38" s="93">
        <f t="shared" si="5"/>
      </c>
      <c r="AC38" s="316">
        <f>IF(B38="","",ROUNDUP((G38/'6-2_算定表②(旧々・新制度)'!J37*W38)+(I38/'6-2_算定表②(旧々・新制度)'!J37*X38)+(G38/'6-2_算定表②(旧々・新制度)'!J37*Y38)+(I38/'6-2_算定表②(旧々・新制度)'!J37*Z38),0))</f>
      </c>
      <c r="AD38" s="611">
        <f t="shared" si="6"/>
      </c>
      <c r="AE38" s="1001">
        <f>IF(B38="","",VLOOKUP($B38,'6-2_算定表②(旧々・新制度)'!$B$8:$AH$65536,33,FALSE))</f>
      </c>
      <c r="AF38" s="1002">
        <f>IF(AD38="","",VLOOKUP($B38,'6-2_算定表③(旧・旧制度)'!$B$8:$U$65536,3,FALSE))</f>
      </c>
      <c r="AG38" s="1003">
        <f>IF(AE38="","",VLOOKUP($B38,'6-2_算定表③(旧・旧制度)'!$B$8:$U$65536,3,FALSE))</f>
      </c>
      <c r="AI38" s="60">
        <f t="shared" si="9"/>
      </c>
      <c r="AJ38" s="60">
        <f t="shared" si="7"/>
      </c>
    </row>
    <row r="39" spans="1:36" s="65" customFormat="1" ht="18.75" customHeight="1" thickBot="1">
      <c r="A39" s="852" t="s">
        <v>27</v>
      </c>
      <c r="B39" s="984"/>
      <c r="C39" s="984"/>
      <c r="D39" s="984"/>
      <c r="E39" s="985"/>
      <c r="F39" s="985"/>
      <c r="G39" s="985"/>
      <c r="H39" s="985"/>
      <c r="I39" s="985"/>
      <c r="J39" s="618">
        <f>SUM(J9:J38)</f>
        <v>0</v>
      </c>
      <c r="K39" s="707" t="s">
        <v>155</v>
      </c>
      <c r="L39" s="708" t="s">
        <v>155</v>
      </c>
      <c r="M39" s="709" t="s">
        <v>155</v>
      </c>
      <c r="N39" s="707" t="s">
        <v>155</v>
      </c>
      <c r="O39" s="708" t="s">
        <v>155</v>
      </c>
      <c r="P39" s="708" t="s">
        <v>155</v>
      </c>
      <c r="Q39" s="708" t="s">
        <v>155</v>
      </c>
      <c r="R39" s="708" t="s">
        <v>155</v>
      </c>
      <c r="S39" s="708" t="s">
        <v>155</v>
      </c>
      <c r="T39" s="708" t="s">
        <v>155</v>
      </c>
      <c r="U39" s="708" t="s">
        <v>155</v>
      </c>
      <c r="V39" s="709" t="s">
        <v>155</v>
      </c>
      <c r="W39" s="175" t="s">
        <v>155</v>
      </c>
      <c r="X39" s="177" t="s">
        <v>155</v>
      </c>
      <c r="Y39" s="175" t="s">
        <v>155</v>
      </c>
      <c r="Z39" s="178" t="s">
        <v>155</v>
      </c>
      <c r="AA39" s="179" t="s">
        <v>155</v>
      </c>
      <c r="AB39" s="180" t="s">
        <v>155</v>
      </c>
      <c r="AC39" s="612">
        <f>SUM(AC9:AC38)</f>
        <v>0</v>
      </c>
      <c r="AD39" s="64">
        <f>SUM(AD9:AD38)</f>
        <v>0</v>
      </c>
      <c r="AE39" s="986"/>
      <c r="AF39" s="987"/>
      <c r="AG39" s="988"/>
      <c r="AI39" s="66"/>
      <c r="AJ39" s="66"/>
    </row>
    <row r="40" spans="1:36" s="67" customFormat="1" ht="16.5" customHeight="1">
      <c r="A40" s="67" t="s">
        <v>29</v>
      </c>
      <c r="AI40" s="68"/>
      <c r="AJ40" s="68"/>
    </row>
    <row r="41" ht="18.75" customHeight="1">
      <c r="A41" s="243" t="s">
        <v>254</v>
      </c>
    </row>
    <row r="42" ht="18.75" customHeight="1">
      <c r="A42" s="243" t="s">
        <v>71</v>
      </c>
    </row>
    <row r="43" ht="18.75" customHeight="1">
      <c r="A43" s="243" t="s">
        <v>179</v>
      </c>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sheetProtection selectLockedCells="1" selectUnlockedCells="1"/>
  <mergeCells count="78">
    <mergeCell ref="W1:Y1"/>
    <mergeCell ref="Z1:AD1"/>
    <mergeCell ref="AF1:AG1"/>
    <mergeCell ref="W2:Y2"/>
    <mergeCell ref="Z2:AD2"/>
    <mergeCell ref="AF2:AG2"/>
    <mergeCell ref="A4:A8"/>
    <mergeCell ref="B4:B8"/>
    <mergeCell ref="C4:C8"/>
    <mergeCell ref="D4:D8"/>
    <mergeCell ref="E4:E8"/>
    <mergeCell ref="F4:J4"/>
    <mergeCell ref="I6:I7"/>
    <mergeCell ref="J6:J7"/>
    <mergeCell ref="K4:AB4"/>
    <mergeCell ref="AC4:AC7"/>
    <mergeCell ref="AD4:AD7"/>
    <mergeCell ref="AE4:AG8"/>
    <mergeCell ref="F5:J5"/>
    <mergeCell ref="K5:V5"/>
    <mergeCell ref="W5:AB5"/>
    <mergeCell ref="F6:F8"/>
    <mergeCell ref="G6:G7"/>
    <mergeCell ref="H6:H8"/>
    <mergeCell ref="K6:M6"/>
    <mergeCell ref="N6:V6"/>
    <mergeCell ref="W6:W8"/>
    <mergeCell ref="X6:X8"/>
    <mergeCell ref="Y6:Y8"/>
    <mergeCell ref="Z6:Z8"/>
    <mergeCell ref="S7:S8"/>
    <mergeCell ref="T7:T8"/>
    <mergeCell ref="U7:U8"/>
    <mergeCell ref="V7:V8"/>
    <mergeCell ref="AA6:AA8"/>
    <mergeCell ref="AB6:AB8"/>
    <mergeCell ref="K7:K8"/>
    <mergeCell ref="L7:L8"/>
    <mergeCell ref="M7:M8"/>
    <mergeCell ref="N7:N8"/>
    <mergeCell ref="O7:O8"/>
    <mergeCell ref="P7:P8"/>
    <mergeCell ref="Q7:Q8"/>
    <mergeCell ref="R7:R8"/>
    <mergeCell ref="AI7:AI8"/>
    <mergeCell ref="AJ7:AJ8"/>
    <mergeCell ref="AE9:AG9"/>
    <mergeCell ref="AE10:AG10"/>
    <mergeCell ref="AE11:AG11"/>
    <mergeCell ref="AE12:AG12"/>
    <mergeCell ref="AE13:AG13"/>
    <mergeCell ref="AE14:AG14"/>
    <mergeCell ref="AE15:AG15"/>
    <mergeCell ref="AE16:AG16"/>
    <mergeCell ref="AE17:AG17"/>
    <mergeCell ref="AE18:AG18"/>
    <mergeCell ref="AE19:AG19"/>
    <mergeCell ref="AE20:AG20"/>
    <mergeCell ref="AE21:AG21"/>
    <mergeCell ref="AE22:AG22"/>
    <mergeCell ref="AE23:AG23"/>
    <mergeCell ref="AE24:AG24"/>
    <mergeCell ref="AE25:AG25"/>
    <mergeCell ref="AE26:AG26"/>
    <mergeCell ref="AE27:AG27"/>
    <mergeCell ref="AE28:AG28"/>
    <mergeCell ref="AE29:AG29"/>
    <mergeCell ref="AE30:AG30"/>
    <mergeCell ref="AE37:AG37"/>
    <mergeCell ref="AE38:AG38"/>
    <mergeCell ref="A39:I39"/>
    <mergeCell ref="AE39:AG39"/>
    <mergeCell ref="AE31:AG31"/>
    <mergeCell ref="AE32:AG32"/>
    <mergeCell ref="AE33:AG33"/>
    <mergeCell ref="AE34:AG34"/>
    <mergeCell ref="AE35:AG35"/>
    <mergeCell ref="AE36:AG36"/>
  </mergeCells>
  <dataValidations count="2">
    <dataValidation type="list" allowBlank="1" showInputMessage="1" showErrorMessage="1" sqref="K9:V38">
      <formula1>"Ａ,Ｂ,Ｄ"</formula1>
    </dataValidation>
    <dataValidation type="whole" allowBlank="1" showInputMessage="1" showErrorMessage="1" sqref="B14:B38">
      <formula1>1</formula1>
      <formula2>999999</formula2>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49" r:id="rId3"/>
  <legacyDrawing r:id="rId2"/>
</worksheet>
</file>

<file path=xl/worksheets/sheet9.xml><?xml version="1.0" encoding="utf-8"?>
<worksheet xmlns="http://schemas.openxmlformats.org/spreadsheetml/2006/main" xmlns:r="http://schemas.openxmlformats.org/officeDocument/2006/relationships">
  <sheetPr codeName="Sheet2">
    <tabColor rgb="FF00B050"/>
    <pageSetUpPr fitToPage="1"/>
  </sheetPr>
  <dimension ref="A1:W37"/>
  <sheetViews>
    <sheetView view="pageBreakPreview" zoomScaleNormal="75" zoomScaleSheetLayoutView="100" zoomScalePageLayoutView="0" workbookViewId="0" topLeftCell="A1">
      <pane xSplit="1" ySplit="8" topLeftCell="F9" activePane="bottomRight" state="frozen"/>
      <selection pane="topLeft" activeCell="M24" sqref="M24"/>
      <selection pane="topRight" activeCell="M24" sqref="M24"/>
      <selection pane="bottomLeft" activeCell="M24" sqref="M24"/>
      <selection pane="bottomRight" activeCell="P28" sqref="P28"/>
    </sheetView>
  </sheetViews>
  <sheetFormatPr defaultColWidth="9.625" defaultRowHeight="13.5"/>
  <cols>
    <col min="1" max="1" width="6.875" style="40" customWidth="1"/>
    <col min="2" max="4" width="12.50390625" style="40" customWidth="1"/>
    <col min="5" max="5" width="10.25390625" style="40" bestFit="1" customWidth="1"/>
    <col min="6" max="6" width="13.625" style="40" customWidth="1"/>
    <col min="7" max="7" width="13.00390625" style="40" customWidth="1"/>
    <col min="8" max="8" width="11.25390625" style="40" bestFit="1" customWidth="1"/>
    <col min="9" max="10" width="12.25390625" style="40" bestFit="1" customWidth="1"/>
    <col min="11" max="11" width="5.125" style="40" customWidth="1"/>
    <col min="12" max="12" width="10.00390625" style="40" customWidth="1"/>
    <col min="13" max="13" width="8.25390625" style="40" customWidth="1"/>
    <col min="14" max="14" width="14.875" style="40" customWidth="1"/>
    <col min="15" max="15" width="8.25390625" style="40" customWidth="1"/>
    <col min="16" max="16" width="14.875" style="40" customWidth="1"/>
    <col min="17" max="17" width="8.25390625" style="294" customWidth="1"/>
    <col min="18" max="18" width="14.875" style="294" customWidth="1"/>
    <col min="19" max="19" width="3.125" style="40" customWidth="1"/>
    <col min="20" max="21" width="5.625" style="40" customWidth="1"/>
    <col min="22" max="22" width="8.25390625" style="40" customWidth="1"/>
    <col min="23" max="16384" width="9.625" style="40" customWidth="1"/>
  </cols>
  <sheetData>
    <row r="1" ht="18.75" customHeight="1" thickBot="1">
      <c r="A1" s="38" t="s">
        <v>244</v>
      </c>
    </row>
    <row r="2" spans="12:18" ht="24.75" customHeight="1" thickBot="1">
      <c r="L2" s="842" t="s">
        <v>25</v>
      </c>
      <c r="M2" s="843"/>
      <c r="N2" s="846">
        <f>'5_総括表'!E3</f>
        <v>0</v>
      </c>
      <c r="O2" s="847"/>
      <c r="P2" s="842" t="s">
        <v>26</v>
      </c>
      <c r="Q2" s="843"/>
      <c r="R2" s="161">
        <f>'5_総括表'!Z3</f>
        <v>0</v>
      </c>
    </row>
    <row r="3" spans="1:18" ht="24.75" customHeight="1" thickBot="1">
      <c r="A3" s="38"/>
      <c r="F3" s="111"/>
      <c r="G3" s="111"/>
      <c r="I3" s="111"/>
      <c r="L3" s="844" t="s">
        <v>23</v>
      </c>
      <c r="M3" s="845"/>
      <c r="N3" s="846">
        <f>'5_総括表'!E4</f>
        <v>0</v>
      </c>
      <c r="O3" s="847"/>
      <c r="P3" s="844" t="s">
        <v>24</v>
      </c>
      <c r="Q3" s="845"/>
      <c r="R3" s="346">
        <f>'5_総括表'!Z4</f>
        <v>0</v>
      </c>
    </row>
    <row r="4" spans="1:9" ht="18.75" customHeight="1" thickBot="1">
      <c r="A4" s="280" t="s">
        <v>223</v>
      </c>
      <c r="F4" s="112"/>
      <c r="G4" s="112"/>
      <c r="H4" s="112"/>
      <c r="I4" s="112"/>
    </row>
    <row r="5" spans="1:18" s="44" customFormat="1" ht="19.5" customHeight="1" thickBot="1">
      <c r="A5" s="113" t="s">
        <v>17</v>
      </c>
      <c r="B5" s="808" t="s">
        <v>125</v>
      </c>
      <c r="C5" s="284"/>
      <c r="D5" s="285"/>
      <c r="E5" s="809" t="s">
        <v>160</v>
      </c>
      <c r="F5" s="155"/>
      <c r="G5" s="156"/>
      <c r="H5" s="811" t="s">
        <v>147</v>
      </c>
      <c r="I5" s="813" t="s">
        <v>148</v>
      </c>
      <c r="J5" s="813" t="s">
        <v>149</v>
      </c>
      <c r="K5" s="803" t="s">
        <v>245</v>
      </c>
      <c r="L5" s="804"/>
      <c r="M5" s="804"/>
      <c r="N5" s="805"/>
      <c r="O5" s="806" t="s">
        <v>246</v>
      </c>
      <c r="P5" s="807"/>
      <c r="Q5" s="806" t="s">
        <v>247</v>
      </c>
      <c r="R5" s="807"/>
    </row>
    <row r="6" spans="1:20" s="44" customFormat="1" ht="38.25" customHeight="1" thickBot="1">
      <c r="A6" s="815" t="s">
        <v>119</v>
      </c>
      <c r="B6" s="809"/>
      <c r="C6" s="286" t="s">
        <v>211</v>
      </c>
      <c r="D6" s="286" t="s">
        <v>67</v>
      </c>
      <c r="E6" s="810"/>
      <c r="F6" s="114" t="s">
        <v>141</v>
      </c>
      <c r="G6" s="116" t="s">
        <v>124</v>
      </c>
      <c r="H6" s="812"/>
      <c r="I6" s="809"/>
      <c r="J6" s="814"/>
      <c r="K6" s="114" t="s">
        <v>21</v>
      </c>
      <c r="L6" s="115" t="s">
        <v>50</v>
      </c>
      <c r="M6" s="342" t="s">
        <v>49</v>
      </c>
      <c r="N6" s="343" t="s">
        <v>68</v>
      </c>
      <c r="O6" s="342" t="s">
        <v>49</v>
      </c>
      <c r="P6" s="344" t="s">
        <v>68</v>
      </c>
      <c r="Q6" s="336" t="s">
        <v>49</v>
      </c>
      <c r="R6" s="337" t="s">
        <v>68</v>
      </c>
      <c r="T6" s="118" t="s">
        <v>70</v>
      </c>
    </row>
    <row r="7" spans="1:20" s="44" customFormat="1" ht="20.25" customHeight="1" thickBot="1">
      <c r="A7" s="816"/>
      <c r="B7" s="48" t="s">
        <v>126</v>
      </c>
      <c r="C7" s="48" t="s">
        <v>127</v>
      </c>
      <c r="D7" s="48" t="s">
        <v>128</v>
      </c>
      <c r="E7" s="48" t="s">
        <v>144</v>
      </c>
      <c r="F7" s="119" t="s">
        <v>129</v>
      </c>
      <c r="G7" s="121" t="s">
        <v>130</v>
      </c>
      <c r="H7" s="151" t="s">
        <v>131</v>
      </c>
      <c r="I7" s="48" t="s">
        <v>132</v>
      </c>
      <c r="J7" s="47" t="s">
        <v>133</v>
      </c>
      <c r="K7" s="119"/>
      <c r="L7" s="120"/>
      <c r="M7" s="121"/>
      <c r="N7" s="328" t="s">
        <v>102</v>
      </c>
      <c r="O7" s="121"/>
      <c r="P7" s="122" t="s">
        <v>134</v>
      </c>
      <c r="Q7" s="338"/>
      <c r="R7" s="339"/>
      <c r="T7" s="123"/>
    </row>
    <row r="8" spans="1:18" s="130" customFormat="1" ht="20.25" customHeight="1" thickBot="1">
      <c r="A8" s="124"/>
      <c r="B8" s="125" t="s">
        <v>19</v>
      </c>
      <c r="C8" s="125" t="s">
        <v>19</v>
      </c>
      <c r="D8" s="125" t="s">
        <v>19</v>
      </c>
      <c r="E8" s="125" t="s">
        <v>145</v>
      </c>
      <c r="F8" s="126" t="s">
        <v>142</v>
      </c>
      <c r="G8" s="128" t="s">
        <v>143</v>
      </c>
      <c r="H8" s="152" t="s">
        <v>22</v>
      </c>
      <c r="I8" s="125" t="s">
        <v>22</v>
      </c>
      <c r="J8" s="125" t="s">
        <v>22</v>
      </c>
      <c r="K8" s="126"/>
      <c r="L8" s="127" t="s">
        <v>20</v>
      </c>
      <c r="M8" s="128" t="s">
        <v>19</v>
      </c>
      <c r="N8" s="330" t="s">
        <v>20</v>
      </c>
      <c r="O8" s="128" t="s">
        <v>19</v>
      </c>
      <c r="P8" s="129" t="s">
        <v>20</v>
      </c>
      <c r="Q8" s="340" t="s">
        <v>19</v>
      </c>
      <c r="R8" s="341" t="s">
        <v>20</v>
      </c>
    </row>
    <row r="9" spans="1:20" s="44" customFormat="1" ht="18" customHeight="1" thickBot="1">
      <c r="A9" s="817">
        <v>1</v>
      </c>
      <c r="B9" s="1054"/>
      <c r="C9" s="1054"/>
      <c r="D9" s="1054"/>
      <c r="E9" s="1050"/>
      <c r="F9" s="399"/>
      <c r="G9" s="400"/>
      <c r="H9" s="470">
        <f>IF(F9="","",IF(ISERROR(F9+ROUNDDOWN(G9*3/74,0)),"",F9+ROUNDDOWN(G9*3/74,0)))</f>
      </c>
      <c r="I9" s="471">
        <f>IF(H9="","",IF(H9&gt;10032,10032,H9))</f>
      </c>
      <c r="J9" s="472">
        <f>IF(H9="","",MIN(H9,I9))</f>
      </c>
      <c r="K9" s="133" t="s">
        <v>135</v>
      </c>
      <c r="L9" s="70">
        <v>1532</v>
      </c>
      <c r="M9" s="376"/>
      <c r="N9" s="377"/>
      <c r="O9" s="357">
        <f>SUMIF('6-2_算定表③(旧・旧制度)'!$AL:$AL,$T9,'6-2_算定表③(旧・旧制度)'!$AM:$AM)</f>
        <v>0</v>
      </c>
      <c r="P9" s="134">
        <f>SUMIF('6-2_算定表③(旧・旧制度)'!$AL:$AL,$T9,'6-2_算定表③(旧・旧制度)'!$AG:$AG)</f>
        <v>0</v>
      </c>
      <c r="Q9" s="359">
        <f>O9-M9</f>
        <v>0</v>
      </c>
      <c r="R9" s="360">
        <f>P9-N9</f>
        <v>0</v>
      </c>
      <c r="T9" s="135" t="str">
        <f>ASC($A$9&amp;$K9)</f>
        <v>1A</v>
      </c>
    </row>
    <row r="10" spans="1:22" s="44" customFormat="1" ht="18" customHeight="1" thickBot="1">
      <c r="A10" s="817"/>
      <c r="B10" s="1055"/>
      <c r="C10" s="1055"/>
      <c r="D10" s="1055"/>
      <c r="E10" s="1051"/>
      <c r="F10" s="399"/>
      <c r="G10" s="400"/>
      <c r="H10" s="470">
        <f>IF(F10="","",IF(ISERROR(F10+ROUNDDOWN(G10*3/74,0)),"",F10+ROUNDDOWN(G10*3/74,0)))</f>
      </c>
      <c r="I10" s="471">
        <f aca="true" t="shared" si="0" ref="I10:I18">IF(H10="","",IF(H10&gt;10032,10032,H10))</f>
      </c>
      <c r="J10" s="472">
        <f>IF(H10="","",MIN(H10,I10))</f>
      </c>
      <c r="K10" s="136" t="s">
        <v>136</v>
      </c>
      <c r="L10" s="234">
        <v>2814</v>
      </c>
      <c r="M10" s="378"/>
      <c r="N10" s="379"/>
      <c r="O10" s="361">
        <f>SUMIF('6-2_算定表③(旧・旧制度)'!$AL:$AL,$T10,'6-2_算定表③(旧・旧制度)'!$AM:$AM)</f>
        <v>0</v>
      </c>
      <c r="P10" s="138">
        <f>SUMIF('6-2_算定表③(旧・旧制度)'!$AL:$AL,$T10,'6-2_算定表③(旧・旧制度)'!$AG:$AG)</f>
        <v>0</v>
      </c>
      <c r="Q10" s="359">
        <f aca="true" t="shared" si="1" ref="Q10:R19">O10-M10</f>
        <v>0</v>
      </c>
      <c r="R10" s="360">
        <f t="shared" si="1"/>
        <v>0</v>
      </c>
      <c r="T10" s="139" t="str">
        <f>ASC($A$9&amp;$K10)</f>
        <v>1B</v>
      </c>
      <c r="V10" s="55" t="s">
        <v>8</v>
      </c>
    </row>
    <row r="11" spans="1:21" s="44" customFormat="1" ht="18" customHeight="1" thickBot="1">
      <c r="A11" s="817"/>
      <c r="B11" s="1055"/>
      <c r="C11" s="1055"/>
      <c r="D11" s="1055"/>
      <c r="E11" s="1051"/>
      <c r="F11" s="399"/>
      <c r="G11" s="400"/>
      <c r="H11" s="470">
        <f aca="true" t="shared" si="2" ref="H11:H18">IF(F11="","",IF(ISERROR(F11+ROUNDDOWN(G11*3/74,0)),"",F11+ROUNDDOWN(G11*3/74,0)))</f>
      </c>
      <c r="I11" s="471">
        <f t="shared" si="0"/>
      </c>
      <c r="J11" s="472">
        <f>IF(H11="","",MIN(H11,I11))</f>
      </c>
      <c r="K11" s="136" t="s">
        <v>137</v>
      </c>
      <c r="L11" s="235">
        <v>5220</v>
      </c>
      <c r="M11" s="378"/>
      <c r="N11" s="379"/>
      <c r="O11" s="361">
        <f>SUMIF('6-2_算定表③(旧・旧制度)'!$AL:$AL,T11,'6-2_算定表③(旧・旧制度)'!$AM:$AM)+SUMIF('6-2_算定表③(旧・旧制度)'!$AL:$AL,U11,'6-2_算定表③(旧・旧制度)'!$AM:$AM)</f>
        <v>0</v>
      </c>
      <c r="P11" s="138">
        <f>SUMIF('6-2_算定表③(旧・旧制度)'!$AL:$AL,$T11,'6-2_算定表③(旧・旧制度)'!$AG:$AG)+SUMIF('6-2_算定表③(旧・旧制度)'!$AL:$AL,U11,'6-2_算定表③(旧・旧制度)'!$AG:$AG)</f>
        <v>0</v>
      </c>
      <c r="Q11" s="363">
        <f t="shared" si="1"/>
        <v>0</v>
      </c>
      <c r="R11" s="364">
        <f t="shared" si="1"/>
        <v>0</v>
      </c>
      <c r="T11" s="139" t="str">
        <f>ASC($A$9&amp;$K11)</f>
        <v>1C</v>
      </c>
      <c r="U11" s="260"/>
    </row>
    <row r="12" spans="1:20" s="44" customFormat="1" ht="18" customHeight="1" thickBot="1">
      <c r="A12" s="817"/>
      <c r="B12" s="1055"/>
      <c r="C12" s="1055"/>
      <c r="D12" s="1055"/>
      <c r="E12" s="1051"/>
      <c r="F12" s="399"/>
      <c r="G12" s="400"/>
      <c r="H12" s="470"/>
      <c r="I12" s="471"/>
      <c r="J12" s="472"/>
      <c r="K12" s="105" t="s">
        <v>174</v>
      </c>
      <c r="L12" s="236" t="s">
        <v>173</v>
      </c>
      <c r="M12" s="378"/>
      <c r="N12" s="379"/>
      <c r="O12" s="361">
        <f>SUMIF('6-2_算定表③(旧・旧制度)'!$AL:$AL,$T12,'6-2_算定表③(旧・旧制度)'!$AM:$AM)</f>
        <v>0</v>
      </c>
      <c r="P12" s="138">
        <f>SUMIF('6-2_算定表③(旧・旧制度)'!$AL:$AL,$T12,'6-2_算定表③(旧・旧制度)'!$AG:$AG)</f>
        <v>0</v>
      </c>
      <c r="Q12" s="363">
        <f>O12-M12</f>
        <v>0</v>
      </c>
      <c r="R12" s="364">
        <f>P12-N12</f>
        <v>0</v>
      </c>
      <c r="T12" s="139" t="str">
        <f>ASC($A$9&amp;$K12)</f>
        <v>1D</v>
      </c>
    </row>
    <row r="13" spans="1:18" s="44" customFormat="1" ht="18" customHeight="1" thickBot="1">
      <c r="A13" s="817"/>
      <c r="B13" s="1055"/>
      <c r="C13" s="1055"/>
      <c r="D13" s="1055"/>
      <c r="E13" s="1052"/>
      <c r="F13" s="401"/>
      <c r="G13" s="402"/>
      <c r="H13" s="473">
        <f t="shared" si="2"/>
      </c>
      <c r="I13" s="474">
        <f t="shared" si="0"/>
      </c>
      <c r="J13" s="475">
        <f>IF(H13="","",MIN(H13,I13))</f>
      </c>
      <c r="K13" s="823" t="s">
        <v>120</v>
      </c>
      <c r="L13" s="824"/>
      <c r="M13" s="365">
        <f aca="true" t="shared" si="3" ref="M13:R13">SUM(M9:M12)</f>
        <v>0</v>
      </c>
      <c r="N13" s="366">
        <f t="shared" si="3"/>
        <v>0</v>
      </c>
      <c r="O13" s="365">
        <f t="shared" si="3"/>
        <v>0</v>
      </c>
      <c r="P13" s="142">
        <f t="shared" si="3"/>
        <v>0</v>
      </c>
      <c r="Q13" s="368">
        <f t="shared" si="3"/>
        <v>0</v>
      </c>
      <c r="R13" s="369">
        <f t="shared" si="3"/>
        <v>0</v>
      </c>
    </row>
    <row r="14" spans="1:23" s="44" customFormat="1" ht="18" customHeight="1" thickBot="1" thickTop="1">
      <c r="A14" s="825">
        <v>2</v>
      </c>
      <c r="B14" s="1055"/>
      <c r="C14" s="1055"/>
      <c r="D14" s="1055"/>
      <c r="E14" s="1056"/>
      <c r="F14" s="476"/>
      <c r="G14" s="477"/>
      <c r="H14" s="470">
        <f t="shared" si="2"/>
      </c>
      <c r="I14" s="471">
        <f t="shared" si="0"/>
      </c>
      <c r="J14" s="472">
        <f>IF(H14="","",MIN(H14,I14))</f>
      </c>
      <c r="K14" s="133" t="s">
        <v>84</v>
      </c>
      <c r="L14" s="70">
        <v>1532</v>
      </c>
      <c r="M14" s="376"/>
      <c r="N14" s="377"/>
      <c r="O14" s="357">
        <f>SUMIF('6-2_算定表③(旧・旧制度)'!$AL:$AL,$T14,'6-2_算定表③(旧・旧制度)'!$AM:$AM)</f>
        <v>0</v>
      </c>
      <c r="P14" s="134">
        <f>SUMIF('6-2_算定表③(旧・旧制度)'!$AL:$AL,$T14,'6-2_算定表③(旧・旧制度)'!$AG:$AG)</f>
        <v>0</v>
      </c>
      <c r="Q14" s="370">
        <f t="shared" si="1"/>
        <v>0</v>
      </c>
      <c r="R14" s="371">
        <f t="shared" si="1"/>
        <v>0</v>
      </c>
      <c r="T14" s="135" t="str">
        <f>ASC($A$14&amp;$K14)</f>
        <v>2A</v>
      </c>
      <c r="V14" s="143" t="s">
        <v>9</v>
      </c>
      <c r="W14" s="61" t="str">
        <f>IF(D9&gt;=O13,"OK","ERR")</f>
        <v>OK</v>
      </c>
    </row>
    <row r="15" spans="1:23" s="44" customFormat="1" ht="18" customHeight="1" thickBot="1" thickTop="1">
      <c r="A15" s="817"/>
      <c r="B15" s="1055"/>
      <c r="C15" s="1055"/>
      <c r="D15" s="1055"/>
      <c r="E15" s="1057"/>
      <c r="F15" s="476"/>
      <c r="G15" s="477"/>
      <c r="H15" s="470">
        <f t="shared" si="2"/>
      </c>
      <c r="I15" s="471">
        <f t="shared" si="0"/>
      </c>
      <c r="J15" s="472">
        <f>IF(H15="","",MIN(H15,I15))</f>
      </c>
      <c r="K15" s="136" t="s">
        <v>90</v>
      </c>
      <c r="L15" s="234">
        <v>2814</v>
      </c>
      <c r="M15" s="378"/>
      <c r="N15" s="379"/>
      <c r="O15" s="361">
        <f>SUMIF('6-2_算定表③(旧・旧制度)'!$AL:$AL,$T15,'6-2_算定表③(旧・旧制度)'!$AM:$AM)</f>
        <v>0</v>
      </c>
      <c r="P15" s="138">
        <f>SUMIF('6-2_算定表③(旧・旧制度)'!$AL:$AL,$T15,'6-2_算定表③(旧・旧制度)'!$AG:$AG)</f>
        <v>0</v>
      </c>
      <c r="Q15" s="363">
        <f t="shared" si="1"/>
        <v>0</v>
      </c>
      <c r="R15" s="364">
        <f t="shared" si="1"/>
        <v>0</v>
      </c>
      <c r="T15" s="139" t="str">
        <f>ASC($A$14&amp;$K15)</f>
        <v>2B</v>
      </c>
      <c r="V15" s="143" t="s">
        <v>10</v>
      </c>
      <c r="W15" s="61" t="str">
        <f>IF(D14&gt;=O18,"OK","ERR")</f>
        <v>OK</v>
      </c>
    </row>
    <row r="16" spans="1:23" s="44" customFormat="1" ht="18" customHeight="1" thickBot="1" thickTop="1">
      <c r="A16" s="817"/>
      <c r="B16" s="1055"/>
      <c r="C16" s="1055"/>
      <c r="D16" s="1055"/>
      <c r="E16" s="1057"/>
      <c r="F16" s="476"/>
      <c r="G16" s="477"/>
      <c r="H16" s="470">
        <f t="shared" si="2"/>
      </c>
      <c r="I16" s="471">
        <f t="shared" si="0"/>
      </c>
      <c r="J16" s="472">
        <f>IF(H16="","",MIN(H16,I16))</f>
      </c>
      <c r="K16" s="136" t="s">
        <v>91</v>
      </c>
      <c r="L16" s="235">
        <v>5220</v>
      </c>
      <c r="M16" s="378"/>
      <c r="N16" s="379"/>
      <c r="O16" s="361">
        <f>SUMIF('6-2_算定表③(旧・旧制度)'!$AL:$AL,T16,'6-2_算定表③(旧・旧制度)'!$AM:$AM)+SUMIF('6-2_算定表③(旧・旧制度)'!$AL:$AL,U16,'6-2_算定表③(旧・旧制度)'!$AM:$AM)</f>
        <v>0</v>
      </c>
      <c r="P16" s="138">
        <f>SUMIF('6-2_算定表③(旧・旧制度)'!$AL:$AL,$T16,'6-2_算定表③(旧・旧制度)'!$AG:$AG)+SUMIF('6-2_算定表③(旧・旧制度)'!$AL:$AL,U16,'6-2_算定表③(旧・旧制度)'!$AG:$AG)</f>
        <v>0</v>
      </c>
      <c r="Q16" s="363">
        <f>O16-M16</f>
        <v>0</v>
      </c>
      <c r="R16" s="364">
        <f>P16-N16</f>
        <v>0</v>
      </c>
      <c r="T16" s="139" t="str">
        <f>ASC($A$14&amp;$K16)</f>
        <v>2C</v>
      </c>
      <c r="U16" s="260"/>
      <c r="V16" s="143" t="s">
        <v>11</v>
      </c>
      <c r="W16" s="61" t="str">
        <f>IF(D19&gt;=O23,"OK","ERR")</f>
        <v>OK</v>
      </c>
    </row>
    <row r="17" spans="1:20" s="44" customFormat="1" ht="18" customHeight="1" thickBot="1">
      <c r="A17" s="817"/>
      <c r="B17" s="1055"/>
      <c r="C17" s="1055"/>
      <c r="D17" s="1055"/>
      <c r="E17" s="1057"/>
      <c r="F17" s="476"/>
      <c r="G17" s="477"/>
      <c r="H17" s="470"/>
      <c r="I17" s="471"/>
      <c r="J17" s="472"/>
      <c r="K17" s="105" t="s">
        <v>174</v>
      </c>
      <c r="L17" s="236" t="s">
        <v>155</v>
      </c>
      <c r="M17" s="376"/>
      <c r="N17" s="389"/>
      <c r="O17" s="357">
        <f>SUMIF('6-2_算定表③(旧・旧制度)'!$AL:$AL,$T17,'6-2_算定表③(旧・旧制度)'!$AM:$AM)</f>
        <v>0</v>
      </c>
      <c r="P17" s="244">
        <f>SUMIF('6-2_算定表③(旧・旧制度)'!$AL:$AL,$T17,'6-2_算定表③(旧・旧制度)'!$AG:$AG)</f>
        <v>0</v>
      </c>
      <c r="Q17" s="363">
        <f>O17-M17</f>
        <v>0</v>
      </c>
      <c r="R17" s="364">
        <f>P17-N17</f>
        <v>0</v>
      </c>
      <c r="T17" s="139" t="str">
        <f>ASC($A$14&amp;$K17)</f>
        <v>2D</v>
      </c>
    </row>
    <row r="18" spans="1:22" s="44" customFormat="1" ht="18" customHeight="1" thickBot="1">
      <c r="A18" s="826"/>
      <c r="B18" s="1055"/>
      <c r="C18" s="1055"/>
      <c r="D18" s="1055"/>
      <c r="E18" s="1058"/>
      <c r="F18" s="478"/>
      <c r="G18" s="479"/>
      <c r="H18" s="473">
        <f t="shared" si="2"/>
      </c>
      <c r="I18" s="474">
        <f t="shared" si="0"/>
      </c>
      <c r="J18" s="475">
        <f>IF(H18="","",MIN(H18,I18))</f>
      </c>
      <c r="K18" s="823" t="s">
        <v>121</v>
      </c>
      <c r="L18" s="824"/>
      <c r="M18" s="365">
        <f aca="true" t="shared" si="4" ref="M18:R18">SUM(M14:M17)</f>
        <v>0</v>
      </c>
      <c r="N18" s="366">
        <f t="shared" si="4"/>
        <v>0</v>
      </c>
      <c r="O18" s="365">
        <f t="shared" si="4"/>
        <v>0</v>
      </c>
      <c r="P18" s="142">
        <f t="shared" si="4"/>
        <v>0</v>
      </c>
      <c r="Q18" s="368">
        <f t="shared" si="4"/>
        <v>0</v>
      </c>
      <c r="R18" s="369">
        <f t="shared" si="4"/>
        <v>0</v>
      </c>
      <c r="V18" s="55"/>
    </row>
    <row r="19" spans="1:22" s="44" customFormat="1" ht="18" customHeight="1" thickBot="1">
      <c r="A19" s="825">
        <v>3</v>
      </c>
      <c r="B19" s="1055"/>
      <c r="C19" s="1055"/>
      <c r="D19" s="1055"/>
      <c r="E19" s="1056"/>
      <c r="F19" s="476"/>
      <c r="G19" s="477"/>
      <c r="H19" s="470">
        <f>IF(F19="","",IF(ISERROR(F19+ROUNDDOWN(G19*3/74,0)),"",F19+ROUNDDOWN(G19*3/74,0)))</f>
      </c>
      <c r="I19" s="471">
        <f>IF(H19="","",IF(H19&gt;10032,10032,H19))</f>
      </c>
      <c r="J19" s="472">
        <f>IF(H19="","",MIN(H19,I19))</f>
      </c>
      <c r="K19" s="133" t="s">
        <v>84</v>
      </c>
      <c r="L19" s="70">
        <v>1532</v>
      </c>
      <c r="M19" s="376"/>
      <c r="N19" s="377"/>
      <c r="O19" s="357">
        <f>SUMIF('6-2_算定表③(旧・旧制度)'!$AL:$AL,$T19,'6-2_算定表③(旧・旧制度)'!$AM:$AM)</f>
        <v>0</v>
      </c>
      <c r="P19" s="134">
        <f>SUMIF('6-2_算定表③(旧・旧制度)'!$AL:$AL,$T19,'6-2_算定表③(旧・旧制度)'!$AG:$AG)</f>
        <v>0</v>
      </c>
      <c r="Q19" s="390">
        <f t="shared" si="1"/>
        <v>0</v>
      </c>
      <c r="R19" s="391">
        <f t="shared" si="1"/>
        <v>0</v>
      </c>
      <c r="T19" s="135" t="str">
        <f>ASC($A$19&amp;$K19)</f>
        <v>3A</v>
      </c>
      <c r="V19" s="55" t="s">
        <v>13</v>
      </c>
    </row>
    <row r="20" spans="1:23" s="44" customFormat="1" ht="18" customHeight="1" thickBot="1" thickTop="1">
      <c r="A20" s="817"/>
      <c r="B20" s="1055"/>
      <c r="C20" s="1055"/>
      <c r="D20" s="1055"/>
      <c r="E20" s="1057"/>
      <c r="F20" s="476"/>
      <c r="G20" s="477"/>
      <c r="H20" s="470">
        <f>IF(F20="","",IF(ISERROR(F20+ROUNDDOWN(G20*3/74,0)),"",F20+ROUNDDOWN(G20*3/74,0)))</f>
      </c>
      <c r="I20" s="471">
        <f>IF(H20="","",IF(H20&gt;10032,10032,H20))</f>
      </c>
      <c r="J20" s="472">
        <f>IF(H20="","",MIN(H20,I20))</f>
      </c>
      <c r="K20" s="136" t="s">
        <v>90</v>
      </c>
      <c r="L20" s="234">
        <v>2814</v>
      </c>
      <c r="M20" s="378"/>
      <c r="N20" s="379"/>
      <c r="O20" s="361">
        <f>SUMIF('6-2_算定表③(旧・旧制度)'!$AL:$AL,$T20,'6-2_算定表③(旧・旧制度)'!$AM:$AM)</f>
        <v>0</v>
      </c>
      <c r="P20" s="138">
        <f>SUMIF('6-2_算定表③(旧・旧制度)'!$AL:$AL,$T20,'6-2_算定表③(旧・旧制度)'!$AG:$AG)</f>
        <v>0</v>
      </c>
      <c r="Q20" s="363">
        <f aca="true" t="shared" si="5" ref="Q20:R22">O20-M20</f>
        <v>0</v>
      </c>
      <c r="R20" s="364">
        <f t="shared" si="5"/>
        <v>0</v>
      </c>
      <c r="T20" s="139" t="str">
        <f>ASC($A$19&amp;$K20)</f>
        <v>3B</v>
      </c>
      <c r="V20" s="55" t="s">
        <v>49</v>
      </c>
      <c r="W20" s="61" t="str">
        <f>IF(O28=SUM('6-2_算定表③(旧・旧制度)'!AM8:AM44),"OK","ERR")</f>
        <v>OK</v>
      </c>
    </row>
    <row r="21" spans="1:23" s="44" customFormat="1" ht="18" customHeight="1" thickBot="1" thickTop="1">
      <c r="A21" s="817"/>
      <c r="B21" s="1055"/>
      <c r="C21" s="1055"/>
      <c r="D21" s="1055"/>
      <c r="E21" s="1057"/>
      <c r="F21" s="476"/>
      <c r="G21" s="477"/>
      <c r="H21" s="470">
        <f>IF(F21="","",IF(ISERROR(F21+ROUNDDOWN(G21*3/74,0)),"",F21+ROUNDDOWN(G21*3/74,0)))</f>
      </c>
      <c r="I21" s="471">
        <f>IF(H21="","",IF(H21&gt;10032,10032,H21))</f>
      </c>
      <c r="J21" s="472">
        <f>IF(H21="","",MIN(H21,I21))</f>
      </c>
      <c r="K21" s="136" t="s">
        <v>91</v>
      </c>
      <c r="L21" s="235">
        <v>5220</v>
      </c>
      <c r="M21" s="378"/>
      <c r="N21" s="379"/>
      <c r="O21" s="361">
        <f>SUMIF('6-2_算定表③(旧・旧制度)'!$AL:$AL,T21,'6-2_算定表③(旧・旧制度)'!$AM:$AM)+SUMIF('6-2_算定表③(旧・旧制度)'!$AL:$AL,U21,'6-2_算定表③(旧・旧制度)'!$AM:$AM)</f>
        <v>0</v>
      </c>
      <c r="P21" s="138">
        <f>SUMIF('6-2_算定表③(旧・旧制度)'!$AL:$AL,$T21,'6-2_算定表③(旧・旧制度)'!$AG:$AG)+SUMIF('6-2_算定表③(旧・旧制度)'!$AL:$AL,U21,'6-2_算定表③(旧・旧制度)'!$AG:$AG)</f>
        <v>0</v>
      </c>
      <c r="Q21" s="363">
        <f t="shared" si="5"/>
        <v>0</v>
      </c>
      <c r="R21" s="364">
        <f t="shared" si="5"/>
        <v>0</v>
      </c>
      <c r="T21" s="139" t="str">
        <f>ASC($A$19&amp;$K21)</f>
        <v>3C</v>
      </c>
      <c r="U21" s="260"/>
      <c r="V21" s="55" t="s">
        <v>12</v>
      </c>
      <c r="W21" s="61" t="str">
        <f>IF(P28='6-2_算定表③(旧・旧制度)'!AG45,"OK","ERR")</f>
        <v>OK</v>
      </c>
    </row>
    <row r="22" spans="1:20" s="44" customFormat="1" ht="18" customHeight="1" thickBot="1">
      <c r="A22" s="817"/>
      <c r="B22" s="1055"/>
      <c r="C22" s="1055"/>
      <c r="D22" s="1055"/>
      <c r="E22" s="1057"/>
      <c r="F22" s="476"/>
      <c r="G22" s="477"/>
      <c r="H22" s="470"/>
      <c r="I22" s="471"/>
      <c r="J22" s="472"/>
      <c r="K22" s="105" t="s">
        <v>174</v>
      </c>
      <c r="L22" s="236" t="s">
        <v>155</v>
      </c>
      <c r="M22" s="376"/>
      <c r="N22" s="389"/>
      <c r="O22" s="357">
        <f>SUMIF('6-2_算定表③(旧・旧制度)'!$AL:$AL,$T22,'6-2_算定表③(旧・旧制度)'!$AM:$AM)</f>
        <v>0</v>
      </c>
      <c r="P22" s="244">
        <f>SUMIF('6-2_算定表③(旧・旧制度)'!$AL:$AL,$T22,'6-2_算定表③(旧・旧制度)'!$AG:$AG)</f>
        <v>0</v>
      </c>
      <c r="Q22" s="363">
        <f t="shared" si="5"/>
        <v>0</v>
      </c>
      <c r="R22" s="364">
        <f t="shared" si="5"/>
        <v>0</v>
      </c>
      <c r="T22" s="139" t="str">
        <f>ASC($A$19&amp;$K22)</f>
        <v>3D</v>
      </c>
    </row>
    <row r="23" spans="1:22" s="44" customFormat="1" ht="18" customHeight="1" thickBot="1">
      <c r="A23" s="826"/>
      <c r="B23" s="1055"/>
      <c r="C23" s="1055"/>
      <c r="D23" s="1055"/>
      <c r="E23" s="1058"/>
      <c r="F23" s="478"/>
      <c r="G23" s="479"/>
      <c r="H23" s="473">
        <f>IF(F23="","",IF(ISERROR(F23+ROUNDDOWN(G23*3/74,0)),"",F23+ROUNDDOWN(G23*3/74,0)))</f>
      </c>
      <c r="I23" s="474">
        <f>IF(H23="","",IF(H23&gt;10032,10032,H23))</f>
      </c>
      <c r="J23" s="475">
        <f>IF(H23="","",MIN(H23,I23))</f>
      </c>
      <c r="K23" s="823" t="s">
        <v>122</v>
      </c>
      <c r="L23" s="824"/>
      <c r="M23" s="365">
        <f aca="true" t="shared" si="6" ref="M23:R23">SUM(M19:M22)</f>
        <v>0</v>
      </c>
      <c r="N23" s="366">
        <f t="shared" si="6"/>
        <v>0</v>
      </c>
      <c r="O23" s="365">
        <f t="shared" si="6"/>
        <v>0</v>
      </c>
      <c r="P23" s="142">
        <f t="shared" si="6"/>
        <v>0</v>
      </c>
      <c r="Q23" s="368">
        <f t="shared" si="6"/>
        <v>0</v>
      </c>
      <c r="R23" s="369">
        <f t="shared" si="6"/>
        <v>0</v>
      </c>
      <c r="V23" s="55"/>
    </row>
    <row r="24" spans="1:18" s="44" customFormat="1" ht="18" customHeight="1" thickBot="1">
      <c r="A24" s="835" t="s">
        <v>27</v>
      </c>
      <c r="B24" s="1062">
        <f>SUM(B9:B23)</f>
        <v>0</v>
      </c>
      <c r="C24" s="1062">
        <f>SUM(C9:C23)</f>
        <v>0</v>
      </c>
      <c r="D24" s="1059">
        <f>SUM(D9:D23)</f>
        <v>0</v>
      </c>
      <c r="E24" s="1059">
        <f>SUM(E9:E23)</f>
        <v>0</v>
      </c>
      <c r="F24" s="1063"/>
      <c r="G24" s="1064"/>
      <c r="H24" s="1053"/>
      <c r="I24" s="1049"/>
      <c r="J24" s="1049"/>
      <c r="K24" s="258" t="s">
        <v>138</v>
      </c>
      <c r="L24" s="70">
        <v>1532</v>
      </c>
      <c r="M24" s="373">
        <f aca="true" t="shared" si="7" ref="M24:N27">SUM(M9,M14,M19)</f>
        <v>0</v>
      </c>
      <c r="N24" s="358">
        <f t="shared" si="7"/>
        <v>0</v>
      </c>
      <c r="O24" s="373">
        <f aca="true" t="shared" si="8" ref="O24:R27">SUM(O9,O14,O19)</f>
        <v>0</v>
      </c>
      <c r="P24" s="134">
        <f t="shared" si="8"/>
        <v>0</v>
      </c>
      <c r="Q24" s="392">
        <f t="shared" si="8"/>
        <v>0</v>
      </c>
      <c r="R24" s="393">
        <f t="shared" si="8"/>
        <v>0</v>
      </c>
    </row>
    <row r="25" spans="1:22" s="44" customFormat="1" ht="18" customHeight="1" thickBot="1">
      <c r="A25" s="836"/>
      <c r="B25" s="1062"/>
      <c r="C25" s="1062"/>
      <c r="D25" s="1060"/>
      <c r="E25" s="1060"/>
      <c r="F25" s="1063"/>
      <c r="G25" s="1064"/>
      <c r="H25" s="1053"/>
      <c r="I25" s="1049"/>
      <c r="J25" s="1049"/>
      <c r="K25" s="136" t="s">
        <v>139</v>
      </c>
      <c r="L25" s="137">
        <v>2814</v>
      </c>
      <c r="M25" s="374">
        <f t="shared" si="7"/>
        <v>0</v>
      </c>
      <c r="N25" s="362">
        <f t="shared" si="7"/>
        <v>0</v>
      </c>
      <c r="O25" s="374">
        <f t="shared" si="8"/>
        <v>0</v>
      </c>
      <c r="P25" s="138">
        <f t="shared" si="8"/>
        <v>0</v>
      </c>
      <c r="Q25" s="359">
        <f t="shared" si="8"/>
        <v>0</v>
      </c>
      <c r="R25" s="360">
        <f t="shared" si="8"/>
        <v>0</v>
      </c>
      <c r="V25" s="55"/>
    </row>
    <row r="26" spans="1:18" s="44" customFormat="1" ht="18" customHeight="1" thickBot="1">
      <c r="A26" s="836"/>
      <c r="B26" s="1062"/>
      <c r="C26" s="1062"/>
      <c r="D26" s="1060"/>
      <c r="E26" s="1060"/>
      <c r="F26" s="1063"/>
      <c r="G26" s="1064"/>
      <c r="H26" s="1053"/>
      <c r="I26" s="1049"/>
      <c r="J26" s="1049"/>
      <c r="K26" s="136" t="s">
        <v>140</v>
      </c>
      <c r="L26" s="233">
        <v>5220</v>
      </c>
      <c r="M26" s="374">
        <f t="shared" si="7"/>
        <v>0</v>
      </c>
      <c r="N26" s="362">
        <f t="shared" si="7"/>
        <v>0</v>
      </c>
      <c r="O26" s="374">
        <f t="shared" si="8"/>
        <v>0</v>
      </c>
      <c r="P26" s="138">
        <f t="shared" si="8"/>
        <v>0</v>
      </c>
      <c r="Q26" s="359">
        <f t="shared" si="8"/>
        <v>0</v>
      </c>
      <c r="R26" s="360">
        <f t="shared" si="8"/>
        <v>0</v>
      </c>
    </row>
    <row r="27" spans="1:18" s="44" customFormat="1" ht="18" customHeight="1" thickBot="1">
      <c r="A27" s="836"/>
      <c r="B27" s="1062"/>
      <c r="C27" s="1062"/>
      <c r="D27" s="1060"/>
      <c r="E27" s="1060"/>
      <c r="F27" s="1063"/>
      <c r="G27" s="1064"/>
      <c r="H27" s="1053"/>
      <c r="I27" s="1049"/>
      <c r="J27" s="1049"/>
      <c r="K27" s="105" t="s">
        <v>174</v>
      </c>
      <c r="L27" s="236" t="s">
        <v>155</v>
      </c>
      <c r="M27" s="373">
        <f t="shared" si="7"/>
        <v>0</v>
      </c>
      <c r="N27" s="394">
        <f t="shared" si="7"/>
        <v>0</v>
      </c>
      <c r="O27" s="373">
        <f t="shared" si="8"/>
        <v>0</v>
      </c>
      <c r="P27" s="244">
        <f t="shared" si="8"/>
        <v>0</v>
      </c>
      <c r="Q27" s="363">
        <f t="shared" si="8"/>
        <v>0</v>
      </c>
      <c r="R27" s="364">
        <f t="shared" si="8"/>
        <v>0</v>
      </c>
    </row>
    <row r="28" spans="1:19" s="44" customFormat="1" ht="18" customHeight="1" thickBot="1">
      <c r="A28" s="837"/>
      <c r="B28" s="1062"/>
      <c r="C28" s="1062"/>
      <c r="D28" s="1061"/>
      <c r="E28" s="1061"/>
      <c r="F28" s="1063"/>
      <c r="G28" s="1064"/>
      <c r="H28" s="1053"/>
      <c r="I28" s="1049"/>
      <c r="J28" s="1049"/>
      <c r="K28" s="823" t="s">
        <v>156</v>
      </c>
      <c r="L28" s="824"/>
      <c r="M28" s="365">
        <f aca="true" t="shared" si="9" ref="M28:R28">SUM(M24:M27)</f>
        <v>0</v>
      </c>
      <c r="N28" s="366">
        <f t="shared" si="9"/>
        <v>0</v>
      </c>
      <c r="O28" s="365">
        <f t="shared" si="9"/>
        <v>0</v>
      </c>
      <c r="P28" s="142">
        <f t="shared" si="9"/>
        <v>0</v>
      </c>
      <c r="Q28" s="368">
        <f t="shared" si="9"/>
        <v>0</v>
      </c>
      <c r="R28" s="369">
        <f t="shared" si="9"/>
        <v>0</v>
      </c>
      <c r="S28" s="150"/>
    </row>
    <row r="29" spans="1:18" s="292" customFormat="1" ht="11.25" customHeight="1">
      <c r="A29" s="287" t="s">
        <v>29</v>
      </c>
      <c r="B29" s="288"/>
      <c r="C29" s="288"/>
      <c r="D29" s="288"/>
      <c r="E29" s="288"/>
      <c r="F29" s="289"/>
      <c r="G29" s="289"/>
      <c r="H29" s="289"/>
      <c r="I29" s="289"/>
      <c r="J29" s="289"/>
      <c r="K29" s="290"/>
      <c r="L29" s="290"/>
      <c r="M29" s="288"/>
      <c r="N29" s="291"/>
      <c r="O29" s="288"/>
      <c r="P29" s="291"/>
      <c r="Q29" s="291"/>
      <c r="R29" s="291"/>
    </row>
    <row r="30" s="292" customFormat="1" ht="11.25" customHeight="1">
      <c r="A30" s="293" t="s">
        <v>150</v>
      </c>
    </row>
    <row r="31" s="294" customFormat="1" ht="11.25" customHeight="1">
      <c r="A31" s="293" t="s">
        <v>227</v>
      </c>
    </row>
    <row r="32" s="292" customFormat="1" ht="11.25" customHeight="1">
      <c r="A32" s="293" t="s">
        <v>228</v>
      </c>
    </row>
    <row r="33" s="294" customFormat="1" ht="11.25" customHeight="1">
      <c r="A33" s="293" t="s">
        <v>5</v>
      </c>
    </row>
    <row r="34" s="294" customFormat="1" ht="11.25" customHeight="1">
      <c r="A34" s="287" t="s">
        <v>151</v>
      </c>
    </row>
    <row r="35" spans="1:9" s="294" customFormat="1" ht="11.25" customHeight="1">
      <c r="A35" s="287" t="s">
        <v>152</v>
      </c>
      <c r="E35" s="298"/>
      <c r="F35" s="298"/>
      <c r="G35" s="298"/>
      <c r="H35" s="298"/>
      <c r="I35" s="298"/>
    </row>
    <row r="36" s="294" customFormat="1" ht="11.25" customHeight="1">
      <c r="A36" s="293" t="s">
        <v>6</v>
      </c>
    </row>
    <row r="37" s="294" customFormat="1" ht="11.25" customHeight="1">
      <c r="A37" s="287" t="s">
        <v>210</v>
      </c>
    </row>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4">
    <mergeCell ref="Q5:R5"/>
    <mergeCell ref="K5:N5"/>
    <mergeCell ref="O5:P5"/>
    <mergeCell ref="L2:M2"/>
    <mergeCell ref="N2:O2"/>
    <mergeCell ref="P2:Q2"/>
    <mergeCell ref="L3:M3"/>
    <mergeCell ref="N3:O3"/>
    <mergeCell ref="P3:Q3"/>
    <mergeCell ref="A24:A28"/>
    <mergeCell ref="F24:F28"/>
    <mergeCell ref="G24:G28"/>
    <mergeCell ref="B24:B28"/>
    <mergeCell ref="A19:A23"/>
    <mergeCell ref="B19:B23"/>
    <mergeCell ref="C9:C13"/>
    <mergeCell ref="E19:E23"/>
    <mergeCell ref="A9:A13"/>
    <mergeCell ref="C14:C18"/>
    <mergeCell ref="D14:D18"/>
    <mergeCell ref="K23:L23"/>
    <mergeCell ref="K13:L13"/>
    <mergeCell ref="K18:L18"/>
    <mergeCell ref="A14:A18"/>
    <mergeCell ref="E5:E6"/>
    <mergeCell ref="B14:B18"/>
    <mergeCell ref="I24:I28"/>
    <mergeCell ref="I5:I6"/>
    <mergeCell ref="B5:B6"/>
    <mergeCell ref="E24:E28"/>
    <mergeCell ref="D19:D23"/>
    <mergeCell ref="C19:C23"/>
    <mergeCell ref="C24:C28"/>
    <mergeCell ref="D24:D28"/>
    <mergeCell ref="J24:J28"/>
    <mergeCell ref="E9:E13"/>
    <mergeCell ref="J5:J6"/>
    <mergeCell ref="K28:L28"/>
    <mergeCell ref="H24:H28"/>
    <mergeCell ref="A6:A7"/>
    <mergeCell ref="B9:B13"/>
    <mergeCell ref="H5:H6"/>
    <mergeCell ref="D9:D13"/>
    <mergeCell ref="E14:E18"/>
  </mergeCells>
  <dataValidations count="1">
    <dataValidation type="whole" allowBlank="1" showInputMessage="1" showErrorMessage="1" sqref="E9 E14 E19 B9:D23">
      <formula1>0</formula1>
      <formula2>999999</formula2>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2019-02-20T05:05:31Z</cp:lastPrinted>
  <dcterms:created xsi:type="dcterms:W3CDTF">2010-06-30T04:01:38Z</dcterms:created>
  <dcterms:modified xsi:type="dcterms:W3CDTF">2019-02-21T04:31:43Z</dcterms:modified>
  <cp:category/>
  <cp:version/>
  <cp:contentType/>
  <cp:contentStatus/>
</cp:coreProperties>
</file>