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30" windowWidth="7155" windowHeight="9000" tabRatio="779" activeTab="0"/>
  </bookViews>
  <sheets>
    <sheet name="変更交付申請書" sheetId="1" r:id="rId1"/>
    <sheet name="5_総括表" sheetId="2" r:id="rId2"/>
    <sheet name="6-1_集計表①(旧々・旧制度)" sheetId="3" r:id="rId3"/>
    <sheet name="6-2_算定表①(旧々・旧制度)" sheetId="4" r:id="rId4"/>
    <sheet name="6-3_調整額内訳①(旧々・旧制度)" sheetId="5" r:id="rId5"/>
    <sheet name="6-1_集計表②(旧々・新制度)" sheetId="6" r:id="rId6"/>
    <sheet name="6-2_算定表②(旧々・新制度)" sheetId="7" r:id="rId7"/>
    <sheet name="6-3_調整額内訳②(旧々・新制度)" sheetId="8" r:id="rId8"/>
    <sheet name="6-1_集計表③(旧・旧制度)" sheetId="9" r:id="rId9"/>
    <sheet name="6-2_算定表③(旧・旧制度)" sheetId="10" r:id="rId10"/>
    <sheet name="6-3_調整額内訳③(旧・旧制度)" sheetId="11" r:id="rId11"/>
    <sheet name="6-1_集計表④(旧・新制度)" sheetId="12" r:id="rId12"/>
    <sheet name="6-2_算定表④(旧・新制度)" sheetId="13" r:id="rId13"/>
    <sheet name="6-3_調整額内訳④(旧・新制度)" sheetId="14" r:id="rId14"/>
    <sheet name="6-1_集計表⑤(新・新制度)" sheetId="15" r:id="rId15"/>
    <sheet name="6-2_算定表⑤(新・新制度)" sheetId="16" r:id="rId16"/>
    <sheet name="6-3_調整額内訳⑤(新・新制度)" sheetId="17" r:id="rId17"/>
  </sheets>
  <definedNames>
    <definedName name="_xlnm.Print_Area" localSheetId="1">'5_総括表'!$A$1:$AF$39</definedName>
    <definedName name="_xlnm.Print_Area" localSheetId="2">'6-1_集計表①(旧々・旧制度)'!$A$1:$R$37</definedName>
    <definedName name="_xlnm.Print_Area" localSheetId="5">'6-1_集計表②(旧々・新制度)'!$A$1:$R$37</definedName>
    <definedName name="_xlnm.Print_Area" localSheetId="8">'6-1_集計表③(旧・旧制度)'!$A$1:$R$37</definedName>
    <definedName name="_xlnm.Print_Area" localSheetId="11">'6-1_集計表④(旧・新制度)'!$A$1:$R$41</definedName>
    <definedName name="_xlnm.Print_Area" localSheetId="14">'6-1_集計表⑤(新・新制度)'!$A$1:$R$37</definedName>
    <definedName name="_xlnm.Print_Area" localSheetId="3">'6-2_算定表①(旧々・旧制度)'!$A$1:$AD$59</definedName>
    <definedName name="_xlnm.Print_Area" localSheetId="6">'6-2_算定表②(旧々・新制度)'!$A$1:$AD$59</definedName>
    <definedName name="_xlnm.Print_Area" localSheetId="9">'6-2_算定表③(旧・旧制度)'!$A$1:$AD$59</definedName>
    <definedName name="_xlnm.Print_Area" localSheetId="12">'6-2_算定表④(旧・新制度)'!$A$1:$AD$59</definedName>
    <definedName name="_xlnm.Print_Area" localSheetId="15">'6-2_算定表⑤(新・新制度)'!$A$1:$AD$59</definedName>
    <definedName name="_xlnm.Print_Area" localSheetId="4">'6-3_調整額内訳①(旧々・旧制度)'!$A$1:$AG$43</definedName>
    <definedName name="_xlnm.Print_Area" localSheetId="7">'6-3_調整額内訳②(旧々・新制度)'!$A$1:$AG$43</definedName>
    <definedName name="_xlnm.Print_Area" localSheetId="10">'6-3_調整額内訳③(旧・旧制度)'!$A$1:$AI$43</definedName>
    <definedName name="_xlnm.Print_Area" localSheetId="13">'6-3_調整額内訳④(旧・新制度)'!$A$1:$AK$43</definedName>
    <definedName name="_xlnm.Print_Area" localSheetId="16">'6-3_調整額内訳⑤(新・新制度)'!$A$1:$AI$43</definedName>
    <definedName name="_xlnm.Print_Area" localSheetId="0">'変更交付申請書'!$A$1:$P$52</definedName>
    <definedName name="_xlnm.Print_Titles" localSheetId="3">'6-2_算定表①(旧々・旧制度)'!$1:$7</definedName>
    <definedName name="_xlnm.Print_Titles" localSheetId="6">'6-2_算定表②(旧々・新制度)'!$1:$7</definedName>
    <definedName name="_xlnm.Print_Titles" localSheetId="9">'6-2_算定表③(旧・旧制度)'!$1:$7</definedName>
    <definedName name="_xlnm.Print_Titles" localSheetId="12">'6-2_算定表④(旧・新制度)'!$1:$7</definedName>
    <definedName name="_xlnm.Print_Titles" localSheetId="15">'6-2_算定表⑤(新・新制度)'!$1:$7</definedName>
    <definedName name="_xlnm.Print_Titles" localSheetId="4">'6-3_調整額内訳①(旧々・旧制度)'!$1:$8</definedName>
    <definedName name="_xlnm.Print_Titles" localSheetId="7">'6-3_調整額内訳②(旧々・新制度)'!$1:$8</definedName>
    <definedName name="_xlnm.Print_Titles" localSheetId="10">'6-3_調整額内訳③(旧・旧制度)'!$1:$8</definedName>
    <definedName name="_xlnm.Print_Titles" localSheetId="13">'6-3_調整額内訳④(旧・新制度)'!$1:$8</definedName>
    <definedName name="_xlnm.Print_Titles" localSheetId="16">'6-3_調整額内訳⑤(新・新制度)'!$1:$8</definedName>
  </definedNames>
  <calcPr fullCalcOnLoad="1"/>
</workbook>
</file>

<file path=xl/comments10.xml><?xml version="1.0" encoding="utf-8"?>
<comments xmlns="http://schemas.openxmlformats.org/spreadsheetml/2006/main">
  <authors>
    <author>池田　周</author>
    <author>小田　廣子</author>
    <author>小谷　直也</author>
  </authors>
  <commentList>
    <comment ref="M6" authorId="0">
      <text>
        <r>
          <rPr>
            <sz val="10"/>
            <rFont val="ＭＳ Ｐゴシック"/>
            <family val="3"/>
          </rPr>
          <t>23年度の市町村民税所得割額（保護者合算）を入力。</t>
        </r>
      </text>
    </comment>
    <comment ref="P6" authorId="0">
      <text>
        <r>
          <rPr>
            <sz val="10"/>
            <rFont val="ＭＳ Ｐゴシック"/>
            <family val="3"/>
          </rPr>
          <t>23年度の市町村民税所得割額（保護者合算）を入力。</t>
        </r>
      </text>
    </comment>
    <comment ref="O6" authorId="1">
      <text>
        <r>
          <rPr>
            <sz val="10"/>
            <rFont val="ＭＳ Ｐゴシック"/>
            <family val="3"/>
          </rPr>
          <t>29年度のランクを入力
（プルダウンか全角大文字）</t>
        </r>
      </text>
    </comment>
    <comment ref="L6" authorId="1">
      <text>
        <r>
          <rPr>
            <sz val="10"/>
            <rFont val="ＭＳ Ｐゴシック"/>
            <family val="3"/>
          </rPr>
          <t>28年度のランクを入力
（プルダウンか全角大文字）</t>
        </r>
      </text>
    </comment>
    <comment ref="B3" authorId="2">
      <text>
        <r>
          <rPr>
            <b/>
            <sz val="16"/>
            <color indexed="10"/>
            <rFont val="ＭＳ Ｐゴシック"/>
            <family val="3"/>
          </rPr>
          <t>（旧制度）（就学支援金旧制度）　
※平成２３年度～平成２５年度入学の者のみ記入すること</t>
        </r>
      </text>
    </comment>
  </commentList>
</comments>
</file>

<file path=xl/comments13.xml><?xml version="1.0" encoding="utf-8"?>
<comments xmlns="http://schemas.openxmlformats.org/spreadsheetml/2006/main">
  <authors>
    <author>小田　廣子</author>
    <author>池田　周</author>
    <author>小谷　直也</author>
  </authors>
  <commentList>
    <comment ref="L6" authorId="0">
      <text>
        <r>
          <rPr>
            <sz val="10"/>
            <rFont val="ＭＳ Ｐゴシック"/>
            <family val="3"/>
          </rPr>
          <t>28年度のランクを入力
（プルダウンか全角大文字）</t>
        </r>
      </text>
    </comment>
    <comment ref="M6" authorId="1">
      <text>
        <r>
          <rPr>
            <sz val="10"/>
            <rFont val="ＭＳ Ｐゴシック"/>
            <family val="3"/>
          </rPr>
          <t>23年度の市町村民税所得割額（保護者合算）を入力。</t>
        </r>
      </text>
    </comment>
    <comment ref="O6" authorId="0">
      <text>
        <r>
          <rPr>
            <sz val="10"/>
            <rFont val="ＭＳ Ｐゴシック"/>
            <family val="3"/>
          </rPr>
          <t>29年度のランクを入力
（プルダウンか全角大文字）</t>
        </r>
      </text>
    </comment>
    <comment ref="P6" authorId="1">
      <text>
        <r>
          <rPr>
            <sz val="10"/>
            <rFont val="ＭＳ Ｐゴシック"/>
            <family val="3"/>
          </rPr>
          <t>23年度の市町村民税所得割額（保護者合算）を入力。</t>
        </r>
      </text>
    </comment>
    <comment ref="B3" authorId="2">
      <text>
        <r>
          <rPr>
            <b/>
            <sz val="16"/>
            <color indexed="10"/>
            <rFont val="ＭＳ Ｐゴシック"/>
            <family val="3"/>
          </rPr>
          <t>（旧制度）（就学支援金新制度）
※平成２６年度～平成２７年度入学の者のみ記入すること</t>
        </r>
      </text>
    </comment>
  </commentList>
</comments>
</file>

<file path=xl/comments16.xml><?xml version="1.0" encoding="utf-8"?>
<comments xmlns="http://schemas.openxmlformats.org/spreadsheetml/2006/main">
  <authors>
    <author>小田　廣子</author>
    <author>池田　周</author>
    <author>小谷　直也</author>
  </authors>
  <commentList>
    <comment ref="L6" authorId="0">
      <text>
        <r>
          <rPr>
            <sz val="10"/>
            <rFont val="ＭＳ Ｐゴシック"/>
            <family val="3"/>
          </rPr>
          <t>28年度のランクを入力
（プルダウンか全角大文字）</t>
        </r>
      </text>
    </comment>
    <comment ref="M6" authorId="1">
      <text>
        <r>
          <rPr>
            <sz val="10"/>
            <rFont val="ＭＳ Ｐゴシック"/>
            <family val="3"/>
          </rPr>
          <t>23年度の市町村民税所得割額（保護者合算）を入力。</t>
        </r>
      </text>
    </comment>
    <comment ref="O6" authorId="0">
      <text>
        <r>
          <rPr>
            <sz val="10"/>
            <rFont val="ＭＳ Ｐゴシック"/>
            <family val="3"/>
          </rPr>
          <t>29年度のランクを入力
（プルダウンか全角大文字）</t>
        </r>
      </text>
    </comment>
    <comment ref="P6" authorId="1">
      <text>
        <r>
          <rPr>
            <sz val="10"/>
            <rFont val="ＭＳ Ｐゴシック"/>
            <family val="3"/>
          </rPr>
          <t>23年度の市町村民税所得割額（保護者合算）を入力。</t>
        </r>
      </text>
    </comment>
    <comment ref="B3" authorId="2">
      <text>
        <r>
          <rPr>
            <b/>
            <sz val="16"/>
            <color indexed="10"/>
            <rFont val="ＭＳ Ｐゴシック"/>
            <family val="3"/>
          </rPr>
          <t>（新制度）（就学支援金新制度）
※平成２８年度以降入学の者のみ記入すること</t>
        </r>
      </text>
    </comment>
  </commentList>
</comments>
</file>

<file path=xl/comments4.xml><?xml version="1.0" encoding="utf-8"?>
<comments xmlns="http://schemas.openxmlformats.org/spreadsheetml/2006/main">
  <authors>
    <author>小田　廣子</author>
    <author>小谷　直也</author>
  </authors>
  <commentList>
    <comment ref="O6" authorId="0">
      <text>
        <r>
          <rPr>
            <sz val="10"/>
            <rFont val="ＭＳ Ｐゴシック"/>
            <family val="3"/>
          </rPr>
          <t>29年度のランクを入力
（プルダウンか全角大文字）</t>
        </r>
      </text>
    </comment>
    <comment ref="L6" authorId="0">
      <text>
        <r>
          <rPr>
            <sz val="10"/>
            <rFont val="ＭＳ Ｐゴシック"/>
            <family val="3"/>
          </rPr>
          <t>28年度のランクを入力
（プルダウンか全角大文字）</t>
        </r>
      </text>
    </comment>
    <comment ref="B3" authorId="1">
      <text>
        <r>
          <rPr>
            <b/>
            <sz val="16"/>
            <color indexed="10"/>
            <rFont val="ＭＳ Ｐゴシック"/>
            <family val="3"/>
          </rPr>
          <t>（旧々制度）（就学支援金旧制度）　
※平成２２年度以前入学の者のみ記入すること</t>
        </r>
      </text>
    </comment>
  </commentList>
</comments>
</file>

<file path=xl/comments7.xml><?xml version="1.0" encoding="utf-8"?>
<comments xmlns="http://schemas.openxmlformats.org/spreadsheetml/2006/main">
  <authors>
    <author>小田　廣子</author>
    <author>小谷　直也</author>
  </authors>
  <commentList>
    <comment ref="L6" authorId="0">
      <text>
        <r>
          <rPr>
            <sz val="10"/>
            <rFont val="ＭＳ Ｐゴシック"/>
            <family val="3"/>
          </rPr>
          <t>28年度のランクを入力
（プルダウンか全角大文字）</t>
        </r>
      </text>
    </comment>
    <comment ref="O6" authorId="0">
      <text>
        <r>
          <rPr>
            <sz val="10"/>
            <rFont val="ＭＳ Ｐゴシック"/>
            <family val="3"/>
          </rPr>
          <t>29年度のランクを入力
（プルダウンか全角大文字）</t>
        </r>
      </text>
    </comment>
    <comment ref="B3" authorId="1">
      <text>
        <r>
          <rPr>
            <b/>
            <sz val="16"/>
            <color indexed="10"/>
            <rFont val="ＭＳ Ｐゴシック"/>
            <family val="3"/>
          </rPr>
          <t>（旧々制度）（就学支援金新制度）
※平成２２年度以前入学の者のみ記入すること</t>
        </r>
      </text>
    </comment>
  </commentList>
</comments>
</file>

<file path=xl/sharedStrings.xml><?xml version="1.0" encoding="utf-8"?>
<sst xmlns="http://schemas.openxmlformats.org/spreadsheetml/2006/main" count="1533" uniqueCount="260">
  <si>
    <t>(B）</t>
  </si>
  <si>
    <t>(B')</t>
  </si>
  <si>
    <r>
      <t>標準授業料</t>
    </r>
    <r>
      <rPr>
        <sz val="10"/>
        <rFont val="ＭＳ ゴシック"/>
        <family val="3"/>
      </rPr>
      <t xml:space="preserve">
</t>
    </r>
    <r>
      <rPr>
        <sz val="9"/>
        <rFont val="ＭＳ ゴシック"/>
        <family val="3"/>
      </rPr>
      <t>[指定要綱第２条③]</t>
    </r>
    <r>
      <rPr>
        <sz val="10"/>
        <rFont val="ＭＳ ゴシック"/>
        <family val="3"/>
      </rPr>
      <t xml:space="preserve">
@10,032円×B'</t>
    </r>
  </si>
  <si>
    <t>年間授業料
[3-1(ｳ)]
A×B'</t>
  </si>
  <si>
    <t>支援補助金
限  度  額
（年　間）
L×B'</t>
  </si>
  <si>
    <t xml:space="preserve">     除く。）を入力すること。</t>
  </si>
  <si>
    <t xml:space="preserve"> 　　以外の者が管理する費用や、修学旅行積立金等の実費相当分に該当する費用は除く。）の額（年額）を入力すること。</t>
  </si>
  <si>
    <t>備　考</t>
  </si>
  <si>
    <t>整合性Check！</t>
  </si>
  <si>
    <t>１学年</t>
  </si>
  <si>
    <t>２学年</t>
  </si>
  <si>
    <t>３学年</t>
  </si>
  <si>
    <t>申請額</t>
  </si>
  <si>
    <t>【表間】⇔3-2合計値</t>
  </si>
  <si>
    <t>調整額</t>
  </si>
  <si>
    <t>【表間】⇔3-3合計値</t>
  </si>
  <si>
    <t>学年</t>
  </si>
  <si>
    <t>項目</t>
  </si>
  <si>
    <t>所得区分</t>
  </si>
  <si>
    <t>人</t>
  </si>
  <si>
    <t>円</t>
  </si>
  <si>
    <t>所得
区分</t>
  </si>
  <si>
    <t>円/人</t>
  </si>
  <si>
    <t>学校名</t>
  </si>
  <si>
    <t>学校番号</t>
  </si>
  <si>
    <t>設置者名</t>
  </si>
  <si>
    <t>法人番号</t>
  </si>
  <si>
    <t>合　計</t>
  </si>
  <si>
    <t>（単位：円）</t>
  </si>
  <si>
    <t>【注記】</t>
  </si>
  <si>
    <t>集計キー</t>
  </si>
  <si>
    <t>当該年度において受給する就学支援金の額</t>
  </si>
  <si>
    <t>連番</t>
  </si>
  <si>
    <t>補助事業の目的及び内容</t>
  </si>
  <si>
    <t>補助事業の経費の配分</t>
  </si>
  <si>
    <t>補助事業の経費の使用方法</t>
  </si>
  <si>
    <t>補助事業の完了の予定期日</t>
  </si>
  <si>
    <t>補助事業の効果</t>
  </si>
  <si>
    <t>授業料支援の方法</t>
  </si>
  <si>
    <t>生徒の教育に係る経済的負担を軽減するため。</t>
  </si>
  <si>
    <t>全額を授業料の支援に要する経費に配分する。</t>
  </si>
  <si>
    <t>直接、授業料の支援に要する経費に充当する。</t>
  </si>
  <si>
    <t>生徒の教育に係る経済的負担を軽減し、</t>
  </si>
  <si>
    <t>生徒の就学を支援する。</t>
  </si>
  <si>
    <t>１　還付</t>
  </si>
  <si>
    <t>その方法</t>
  </si>
  <si>
    <t>２　授業料と相殺</t>
  </si>
  <si>
    <t>学期分</t>
  </si>
  <si>
    <t>月分</t>
  </si>
  <si>
    <t>生徒数</t>
  </si>
  <si>
    <t>補助限度額</t>
  </si>
  <si>
    <t>7月</t>
  </si>
  <si>
    <t>11月</t>
  </si>
  <si>
    <t>12月</t>
  </si>
  <si>
    <t>4月</t>
  </si>
  <si>
    <t>5月</t>
  </si>
  <si>
    <t>6月</t>
  </si>
  <si>
    <t>1月</t>
  </si>
  <si>
    <t>2月</t>
  </si>
  <si>
    <t>3月</t>
  </si>
  <si>
    <t>前々年収入</t>
  </si>
  <si>
    <t>前年収入</t>
  </si>
  <si>
    <t>月別所得区分</t>
  </si>
  <si>
    <t>調整後の
補助限度額</t>
  </si>
  <si>
    <t>補助限度額
調整額
(E)-(C)</t>
  </si>
  <si>
    <t>補助限度額調整項目</t>
  </si>
  <si>
    <t>調整が必要な理由</t>
  </si>
  <si>
    <t>①のうち、就学支援金の支給を受ける者</t>
  </si>
  <si>
    <t>補助金申請額</t>
  </si>
  <si>
    <t>第６条第１項に規定する当該減免額</t>
  </si>
  <si>
    <t>集計
キー</t>
  </si>
  <si>
    <t>　(2)　行が不足する場合は、空白行を【コピー】の上、【コピーしたセルの挿入】により行を追加すること。</t>
  </si>
  <si>
    <t>設置者所在地</t>
  </si>
  <si>
    <t>代表者名</t>
  </si>
  <si>
    <t>記</t>
  </si>
  <si>
    <t>年間授業料
[3-1(ｳ)]</t>
  </si>
  <si>
    <t>補助対象
（30単位）</t>
  </si>
  <si>
    <t>施設整備費等</t>
  </si>
  <si>
    <t>ﾌﾗｸﾞ</t>
  </si>
  <si>
    <t>(D)</t>
  </si>
  <si>
    <t>(H)</t>
  </si>
  <si>
    <t>(I)</t>
  </si>
  <si>
    <t>(J)</t>
  </si>
  <si>
    <t>(K)</t>
  </si>
  <si>
    <t>Ａ</t>
  </si>
  <si>
    <t>8月</t>
  </si>
  <si>
    <t>9月</t>
  </si>
  <si>
    <t>10月</t>
  </si>
  <si>
    <t>(C)</t>
  </si>
  <si>
    <t>(E)</t>
  </si>
  <si>
    <t>Ｂ</t>
  </si>
  <si>
    <t>Ｃ</t>
  </si>
  <si>
    <t>(L)</t>
  </si>
  <si>
    <t>(M)</t>
  </si>
  <si>
    <t>(N)</t>
  </si>
  <si>
    <t>(O)</t>
  </si>
  <si>
    <t>(P)</t>
  </si>
  <si>
    <t>(Q)</t>
  </si>
  <si>
    <t>(R)</t>
  </si>
  <si>
    <t>授業料の
実質負担額
(M)-(O)-(P)</t>
  </si>
  <si>
    <t>単 位 数</t>
  </si>
  <si>
    <t>(E)</t>
  </si>
  <si>
    <t>(F)</t>
  </si>
  <si>
    <t>(G)</t>
  </si>
  <si>
    <t>(A)</t>
  </si>
  <si>
    <t>(C)</t>
  </si>
  <si>
    <t>補助対象
単 位 数
（30単位）</t>
  </si>
  <si>
    <t>１単位あたり補助限度額</t>
  </si>
  <si>
    <t>補助限度額
 [(H)×3/12
 +(I)×9/12]</t>
  </si>
  <si>
    <t xml:space="preserve">授  業  料  等 </t>
  </si>
  <si>
    <t>補助限度額
 [H×3/12+
  I×9/12]</t>
  </si>
  <si>
    <t>計
J+K</t>
  </si>
  <si>
    <t>転退学等
調 整 額</t>
  </si>
  <si>
    <t>１単位あたりの補助限度額</t>
  </si>
  <si>
    <t>(S)</t>
  </si>
  <si>
    <r>
      <t xml:space="preserve">授業料の額
</t>
    </r>
    <r>
      <rPr>
        <sz val="8"/>
        <rFont val="ＭＳ ゴシック"/>
        <family val="3"/>
      </rPr>
      <t>[第３条第２項]</t>
    </r>
    <r>
      <rPr>
        <sz val="10"/>
        <rFont val="ＭＳ ゴシック"/>
        <family val="3"/>
      </rPr>
      <t xml:space="preserve">
F≧G＝G
F＜G＝F</t>
    </r>
  </si>
  <si>
    <t>F に係る給付型奨学金又は授業料減免等の額</t>
  </si>
  <si>
    <r>
      <t xml:space="preserve">授 業 料
</t>
    </r>
    <r>
      <rPr>
        <sz val="10"/>
        <rFont val="ＭＳ ゴシック"/>
        <family val="3"/>
      </rPr>
      <t>（1単位</t>
    </r>
    <r>
      <rPr>
        <sz val="9"/>
        <rFont val="ＭＳ ゴシック"/>
        <family val="3"/>
      </rPr>
      <t>あたり</t>
    </r>
    <r>
      <rPr>
        <sz val="10"/>
        <rFont val="ＭＳ ゴシック"/>
        <family val="3"/>
      </rPr>
      <t>）</t>
    </r>
  </si>
  <si>
    <t>所得区分別在籍月数</t>
  </si>
  <si>
    <t>年次</t>
  </si>
  <si>
    <t>１年次計</t>
  </si>
  <si>
    <t>２年次計</t>
  </si>
  <si>
    <t>３年次計</t>
  </si>
  <si>
    <t>４年次計</t>
  </si>
  <si>
    <t>ｱ以外の
経常的納付金</t>
  </si>
  <si>
    <r>
      <t xml:space="preserve">在学生徒数
</t>
    </r>
    <r>
      <rPr>
        <sz val="8"/>
        <rFont val="ＭＳ ゴシック"/>
        <family val="3"/>
      </rPr>
      <t>（基準日時点）</t>
    </r>
  </si>
  <si>
    <t>①</t>
  </si>
  <si>
    <t>②</t>
  </si>
  <si>
    <t>③</t>
  </si>
  <si>
    <t>(ｱ)</t>
  </si>
  <si>
    <t>(ｲ)</t>
  </si>
  <si>
    <t>(ｳ)</t>
  </si>
  <si>
    <t>(ｴ)</t>
  </si>
  <si>
    <t>(ｵ)</t>
  </si>
  <si>
    <t>(F)</t>
  </si>
  <si>
    <t>Ａ</t>
  </si>
  <si>
    <t>Ｂ</t>
  </si>
  <si>
    <t>Ｃ</t>
  </si>
  <si>
    <t>Ａ</t>
  </si>
  <si>
    <t>Ｂ</t>
  </si>
  <si>
    <t>Ｃ</t>
  </si>
  <si>
    <r>
      <t xml:space="preserve">授 業 料
</t>
    </r>
    <r>
      <rPr>
        <sz val="9"/>
        <rFont val="ＭＳ ゴシック"/>
        <family val="3"/>
      </rPr>
      <t>（１単位あたり）</t>
    </r>
  </si>
  <si>
    <t>円/１単位</t>
  </si>
  <si>
    <t>円/年間</t>
  </si>
  <si>
    <t>④</t>
  </si>
  <si>
    <t>単位</t>
  </si>
  <si>
    <t>登　録
単位数</t>
  </si>
  <si>
    <r>
      <t xml:space="preserve">授業料
</t>
    </r>
    <r>
      <rPr>
        <sz val="8"/>
        <rFont val="ＭＳ ゴシック"/>
        <family val="3"/>
      </rPr>
      <t>[第3条第1項]</t>
    </r>
    <r>
      <rPr>
        <sz val="10"/>
        <rFont val="ＭＳ ゴシック"/>
        <family val="3"/>
      </rPr>
      <t xml:space="preserve">
ｱ＋(ｲx3/74)</t>
    </r>
  </si>
  <si>
    <r>
      <t xml:space="preserve">標準授業料の額
</t>
    </r>
    <r>
      <rPr>
        <sz val="8"/>
        <rFont val="ＭＳ ゴシック"/>
        <family val="3"/>
      </rPr>
      <t>[指定要綱
第2条第3号]</t>
    </r>
  </si>
  <si>
    <r>
      <t xml:space="preserve">授業料の額
</t>
    </r>
    <r>
      <rPr>
        <sz val="8"/>
        <rFont val="ＭＳ ゴシック"/>
        <family val="3"/>
      </rPr>
      <t xml:space="preserve">[第3条第2項]
</t>
    </r>
    <r>
      <rPr>
        <sz val="10"/>
        <rFont val="ＭＳ ゴシック"/>
        <family val="3"/>
      </rPr>
      <t>ｳ≧ｴ＝ｴ
ｳ＜ｴ＝ｳ</t>
    </r>
  </si>
  <si>
    <t>　(1)　「在学生徒数①」の欄には、基準日（毎年10月1日。ただし、卒業時期が9月30日である生徒については、卒業年度に限り9月30日）時点に在籍する生徒の数（休学中の生徒を含む。）を入力すること。</t>
  </si>
  <si>
    <t>　(4)　「授業料(ｱ)」の欄には、学則等で"授業料"として表示する費用の額（年額）を入力すること。</t>
  </si>
  <si>
    <t>　(5)　「ｱ以外の経常的納付金(ｲ)」の欄には、学則等で"授業料"として表示するもののほか、施設整備費、教育充実費その他名目の如何にかかわらず、原則、在籍する全ての生徒が一律に納付すべき費用（ＰＴＡ会費等の設置者</t>
  </si>
  <si>
    <t>　(1)　行が不足する場合は、空白行を【コピー】の上、【コピーしたセルの挿入】により行を追加すること。</t>
  </si>
  <si>
    <t>→</t>
  </si>
  <si>
    <t>-</t>
  </si>
  <si>
    <t>合　　計</t>
  </si>
  <si>
    <r>
      <t>授  業  料</t>
    </r>
    <r>
      <rPr>
        <sz val="10"/>
        <rFont val="ＭＳ ゴシック"/>
        <family val="3"/>
      </rPr>
      <t xml:space="preserve">
[要綱第３条①]
(C+D)×E/12</t>
    </r>
  </si>
  <si>
    <t>生徒
在籍
期間</t>
  </si>
  <si>
    <t>　(3)　「単位数」の「登録単位数(B')」欄には、生徒の年間登録単位数を入力すること。なお、このとき、「補助対象（30単位)(B)」欄は、年間の補助対象単位数である30単位を上限に自動計算。</t>
  </si>
  <si>
    <t>③の生徒の
登録単位数</t>
  </si>
  <si>
    <t>合　                   計</t>
  </si>
  <si>
    <t>-</t>
  </si>
  <si>
    <t>　(11) 「Fに係る給付型奨学金又は授業料減免等の額(0)」の欄には、生徒が納めるべき「授業料(F)」に対し、給付型奨学金又は授業料の減免等を実施している場合はその額を入力すること。なお、月割計算等により円未満に端数が生じる場合は、円未満を切り上げること。</t>
  </si>
  <si>
    <t>　(12) 「当該年度において受給する就学支援金の額(Q」の欄には、当該年度において、生徒が受給する「就学支援金」の額を入力すること。</t>
  </si>
  <si>
    <t>　(13) 「備考」の欄には、転退学や休学等による就学支援金の受給状況の変化や、保護者等の離婚等による所得区分の変位がある場合には、その内容（理由及び日付など）を簡潔に入力すること。</t>
  </si>
  <si>
    <t>所得割額
前々年収入</t>
  </si>
  <si>
    <t>就学支援金認定番号</t>
  </si>
  <si>
    <t>　(2)　「就学支援金認定番号」の欄には、「高等学校等就学支援金受給資格認定番号」を入力すること。</t>
  </si>
  <si>
    <t>授業料支援補助金</t>
  </si>
  <si>
    <t>就学支援金
認定番号</t>
  </si>
  <si>
    <t>就学支援金
認定番号</t>
  </si>
  <si>
    <t>所得割額
前年収入</t>
  </si>
  <si>
    <t>-</t>
  </si>
  <si>
    <t>Ｄ</t>
  </si>
  <si>
    <t>４学年</t>
  </si>
  <si>
    <t>　(6)　1単位あたりの補助限度額の前々年収入の「所得割額」の欄は、保護者等の"前々年収入に基づく"市町村民税所得割額の合計を入力すること。</t>
  </si>
  <si>
    <t>　(7)　1単位あたりの補助限度額の前年度収入の「所得割額」の欄は、保護者等の"前年度収入に基づく"市町村民税所得割額の合計を入力すること。</t>
  </si>
  <si>
    <t>Ｄ</t>
  </si>
  <si>
    <t>　(3)　「月別所得区分」については、保護者等の前々年又は前年収入に基づくランク（Ａ～Ｄ）が自動的に表示されるので、転退学や休学、学科の修了（卒業）、受給期間の満了により、就学支援金の受給をしない月がある場合は、該当の月に表示される「所得割」セルを削除すること。</t>
  </si>
  <si>
    <t>前年度</t>
  </si>
  <si>
    <t>Ｄ</t>
  </si>
  <si>
    <t>Ｄ</t>
  </si>
  <si>
    <t>担当部課名</t>
  </si>
  <si>
    <t>担当者</t>
  </si>
  <si>
    <t>電話番号</t>
  </si>
  <si>
    <t>前々年度</t>
  </si>
  <si>
    <t>補助金申請額
(R)≧(L)=(L)
(R)＜(L)=(R)</t>
  </si>
  <si>
    <t>補助金申請額
(R)≧(L)=(L)
(R)＜(L)=(M)</t>
  </si>
  <si>
    <t>Ｄ</t>
  </si>
  <si>
    <t>補助限度額
 [(H)×3/12
 +(I)×9/12]</t>
  </si>
  <si>
    <t>Ａ</t>
  </si>
  <si>
    <t>Ｂ</t>
  </si>
  <si>
    <t>Ｃ</t>
  </si>
  <si>
    <t>Ｄ</t>
  </si>
  <si>
    <t>8月</t>
  </si>
  <si>
    <t>9月</t>
  </si>
  <si>
    <t>10月</t>
  </si>
  <si>
    <t>ﾌﾗｸﾞ</t>
  </si>
  <si>
    <t>(H)</t>
  </si>
  <si>
    <t>(I)</t>
  </si>
  <si>
    <t>(C)</t>
  </si>
  <si>
    <t>(E)</t>
  </si>
  <si>
    <t>(D)</t>
  </si>
  <si>
    <t>-</t>
  </si>
  <si>
    <t/>
  </si>
  <si>
    <t>Ｃ１</t>
  </si>
  <si>
    <t>Ｃ２</t>
  </si>
  <si>
    <t>Ｃ１</t>
  </si>
  <si>
    <t>Ｃ２</t>
  </si>
  <si>
    <t>　(6)　学科・コース等によって「授業料（１単位あたり）(ｱ)」又は「ｱ以外の経常的納付金(ｲ)」の額が異なる場合は、額ごとに入力すること。</t>
  </si>
  <si>
    <t>①のうち、大阪府内に住所を有する者</t>
  </si>
  <si>
    <t>(H)</t>
  </si>
  <si>
    <t>(I)</t>
  </si>
  <si>
    <t>(F)に係る給付型奨学金又は授業料減免等の額</t>
  </si>
  <si>
    <t>　</t>
  </si>
  <si>
    <t>印</t>
  </si>
  <si>
    <t>　大阪府教育長　様</t>
  </si>
  <si>
    <r>
      <t>←</t>
    </r>
    <r>
      <rPr>
        <sz val="14"/>
        <color indexed="10"/>
        <rFont val="ＭＳ ゴシック"/>
        <family val="3"/>
      </rPr>
      <t>申請日を入力してください。</t>
    </r>
  </si>
  <si>
    <t>　(1)　２以上の高等学校等を設置する設置者にあっては学校別に作成すること。</t>
  </si>
  <si>
    <t>［通信制課程]（旧々制度）（就学支援金旧制度）　※平成２２年度以前入学の者のみ記入すること</t>
  </si>
  <si>
    <t>［通信制課程]（旧々制度）（就学支援金旧制度）　※平成２２年度以前入学の者のみ記入すること</t>
  </si>
  <si>
    <t>［通信制課程]（旧々制度）（就学支援金新制度）　※平成２２年度以前入学の者のみ記入すること</t>
  </si>
  <si>
    <t>［通信制課程]（旧制度）（就学支援金旧制度）　※平成２３年度～平成２５年度入学の者のみ記入すること</t>
  </si>
  <si>
    <t>［通信制課程]（旧制度）（就学支援金新制度）　※平成２６年度～平成２７年度入学の者のみ記入すること</t>
  </si>
  <si>
    <t>［通信制課程]</t>
  </si>
  <si>
    <t>［通信制課程]</t>
  </si>
  <si>
    <t>　(2)　「大阪府内に住所を有する者②」の欄には、「在学生徒数①」のうち、生徒及びその保護者等が大阪府内に住所を有する生徒の数を入力すること。</t>
  </si>
  <si>
    <t>　(3)　「就学支援金の支給を受ける者③」の欄には、「在学生徒数①」のうち、当該年度において就学支援金の支給を受ける、又は、就学支援金を受けた生徒の数（当該年度１年間、継続して就学支援金の支給を停止している者は</t>
  </si>
  <si>
    <t>　(9)　「授業料(F)」の欄には、当該生徒に係る第３条第１項に規定する授業料の額を入力すること。なお、当該生徒が転退学や休学等をする場合や所得区分「D」に該当する場合は、当該月数分について月割計算（円未満に端数が生じる場合は、円未満切り捨て）により減額調整すること。(※自動計算）</t>
  </si>
  <si>
    <t>　(10)　「標準授業料の額(G)」の欄には、指定要綱第２条第３項に規定する標準授業料の年額（30単位を上限）を入力すること。なお、当該生徒が転退学や休学等をする場合や所得区分「D」に該当する場合は、当該月数分について月割計算（円未満に端数が生じる場合は、円未満切り捨て）により減額調整すること。（※自動計算）</t>
  </si>
  <si>
    <t>［通信制課程]（新制度）（就学支援金新制度）　※平成２８年度以降入学の者のみ記入すること</t>
  </si>
  <si>
    <t>前々年度</t>
  </si>
  <si>
    <t>前年度</t>
  </si>
  <si>
    <t>授業料支援補助金交付要綱第１１条第１項の規定に基づき下記のとおり</t>
  </si>
  <si>
    <t>変更してくださるよう申請します。</t>
  </si>
  <si>
    <t>大阪府補助金交付規則第６条第１項第２号及び大阪府私立高等学校等</t>
  </si>
  <si>
    <t>　１　既交付決定額　　　　　　　　　　　　　　　</t>
  </si>
  <si>
    <t>　２　変更交付申請額　　　　　　　　　　　　　　　</t>
  </si>
  <si>
    <t>　３　差額（２－１）</t>
  </si>
  <si>
    <t>　４　変更理由・内容</t>
  </si>
  <si>
    <t>様式第３号</t>
  </si>
  <si>
    <t>　　　　　　　　補助金変更交付申請書</t>
  </si>
  <si>
    <t>５　総括表</t>
  </si>
  <si>
    <t>６－１　授業料支援補助対象経費　集計表</t>
  </si>
  <si>
    <t>交付決定額（F）</t>
  </si>
  <si>
    <t>変更後（G）</t>
  </si>
  <si>
    <t>差引（G）－（F）</t>
  </si>
  <si>
    <t>６－２　授業料支援補助対象経費算定表</t>
  </si>
  <si>
    <t>　(4)　授業料等における「施設整備費等(D)」の欄には、「６－１　授業料支援補助対象経費　集計表」の「ア以外の経常的納付金（ｲ）」の額（年間）を入力すること。</t>
  </si>
  <si>
    <t>　(8)　転退学や休学等による就学支援金の受給状況の変化や、保護者等の離婚等による所得区分の変更に伴い、補助限度額の調整が必要な生徒は、「６－３　補助限度額調整額内訳」を作成すること。</t>
  </si>
  <si>
    <t>６－３　補助限度額調整額内訳</t>
  </si>
  <si>
    <t>６－２　授業料支援補助対象経費算定表</t>
  </si>
  <si>
    <t>６－２　授業料支援補助対象経費算定表</t>
  </si>
  <si>
    <t>　(1)　「就学支援金認定番号」の欄には、「６－２　授業料支援補助対象経費算定表」の認定番号を入力すること。</t>
  </si>
  <si>
    <t>平成３０年　月　日</t>
  </si>
  <si>
    <t>　　　　　　　　平成２９年度大阪府私立高等学校等授業料支援</t>
  </si>
  <si>
    <t>　(5)　授業料等における「生徒在籍期間(E)」の欄には、平成29年度（H29.4.1-H30.3.31）の生徒の在籍期間（見込み）を入力すること。</t>
  </si>
  <si>
    <t>平成２９年度大阪府私立高等学校等授業料支援補助金について</t>
  </si>
  <si>
    <t xml:space="preserve"> 平成２９年１１月２９日付け大阪府指令教私第２８７７号で交付の決定を受けた</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</si>
</sst>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lt;=999]000;[&lt;=9999]000\-00;000\-0000"/>
    <numFmt numFmtId="179" formatCode="0_ "/>
    <numFmt numFmtId="180" formatCode="#,##0_ ;[Red]\-#,##0\ "/>
    <numFmt numFmtId="181" formatCode="##&quot;年&quot;"/>
    <numFmt numFmtId="182" formatCode="&quot;Yes&quot;;&quot;Yes&quot;;&quot;No&quot;"/>
    <numFmt numFmtId="183" formatCode="&quot;True&quot;;&quot;True&quot;;&quot;False&quot;"/>
    <numFmt numFmtId="184" formatCode="&quot;On&quot;;&quot;On&quot;;&quot;Off&quot;"/>
    <numFmt numFmtId="185" formatCode="#,###_ "/>
    <numFmt numFmtId="186" formatCode="#,##0&quot;円&quot;;[Red]\-#,##0&quot;円&quot;"/>
    <numFmt numFmtId="187" formatCode="&quot;¥&quot;#,##0&quot;円&quot;;[Red]\-#,##0&quot;円&quot;"/>
    <numFmt numFmtId="188" formatCode="0_);[Red]\(0\)"/>
    <numFmt numFmtId="189" formatCode="0000"/>
    <numFmt numFmtId="190" formatCode="[$€-2]\ #,##0.00_);[Red]\([$€-2]\ #,##0.00\)"/>
    <numFmt numFmtId="191" formatCode="#,##0_);[Red]\(#,##0\)"/>
    <numFmt numFmtId="192" formatCode="#,##0&quot;月&quot;"/>
    <numFmt numFmtId="193" formatCode="##&quot;年次&quot;"/>
    <numFmt numFmtId="194" formatCode="&quot;¥&quot;#,##0_);[Red]\(&quot;¥&quot;#,##0\)"/>
    <numFmt numFmtId="195" formatCode="##&quot;年次以上&quot;"/>
    <numFmt numFmtId="196" formatCode="#,##0.0_ "/>
    <numFmt numFmtId="197" formatCode="#,##0.00_ "/>
    <numFmt numFmtId="198" formatCode="&quot;金&quot;#,##0"/>
  </numFmts>
  <fonts count="76">
    <font>
      <sz val="11"/>
      <name val="ＭＳ Ｐゴシック"/>
      <family val="3"/>
    </font>
    <font>
      <sz val="6"/>
      <name val="ＭＳ Ｐゴシック"/>
      <family val="3"/>
    </font>
    <font>
      <sz val="8"/>
      <name val="ＭＳ 明朝"/>
      <family val="1"/>
    </font>
    <font>
      <b/>
      <sz val="14"/>
      <name val="ＭＳ 明朝"/>
      <family val="1"/>
    </font>
    <font>
      <sz val="14"/>
      <name val="ＭＳ 明朝"/>
      <family val="1"/>
    </font>
    <font>
      <sz val="12"/>
      <color indexed="12"/>
      <name val="ＭＳ ゴシック"/>
      <family val="3"/>
    </font>
    <font>
      <sz val="10"/>
      <name val="ＭＳ Ｐゴシック"/>
      <family val="3"/>
    </font>
    <font>
      <u val="single"/>
      <sz val="10"/>
      <color indexed="12"/>
      <name val="ＭＳ Ｐゴシック"/>
      <family val="3"/>
    </font>
    <font>
      <u val="single"/>
      <sz val="10"/>
      <color indexed="36"/>
      <name val="ＭＳ Ｐゴシック"/>
      <family val="3"/>
    </font>
    <font>
      <sz val="12"/>
      <name val="ＭＳ ゴシック"/>
      <family val="3"/>
    </font>
    <font>
      <sz val="10"/>
      <name val="ＭＳ ゴシック"/>
      <family val="3"/>
    </font>
    <font>
      <sz val="16"/>
      <name val="ＭＳ ゴシック"/>
      <family val="3"/>
    </font>
    <font>
      <b/>
      <sz val="12"/>
      <name val="ＭＳ ゴシック"/>
      <family val="3"/>
    </font>
    <font>
      <b/>
      <sz val="14"/>
      <name val="ＭＳ ゴシック"/>
      <family val="3"/>
    </font>
    <font>
      <sz val="11"/>
      <name val="ＭＳ ゴシック"/>
      <family val="3"/>
    </font>
    <font>
      <sz val="11"/>
      <color indexed="12"/>
      <name val="ＭＳ ゴシック"/>
      <family val="3"/>
    </font>
    <font>
      <sz val="8"/>
      <name val="ＭＳ ゴシック"/>
      <family val="3"/>
    </font>
    <font>
      <sz val="10"/>
      <color indexed="9"/>
      <name val="ＭＳ ゴシック"/>
      <family val="3"/>
    </font>
    <font>
      <sz val="10"/>
      <color indexed="12"/>
      <name val="ＭＳ ゴシック"/>
      <family val="3"/>
    </font>
    <font>
      <b/>
      <sz val="12"/>
      <color indexed="18"/>
      <name val="ＭＳ ゴシック"/>
      <family val="3"/>
    </font>
    <font>
      <b/>
      <sz val="12"/>
      <color indexed="10"/>
      <name val="ＭＳ ゴシック"/>
      <family val="3"/>
    </font>
    <font>
      <sz val="8"/>
      <color indexed="12"/>
      <name val="ＭＳ ゴシック"/>
      <family val="3"/>
    </font>
    <font>
      <sz val="9"/>
      <name val="ＭＳ ゴシック"/>
      <family val="3"/>
    </font>
    <font>
      <sz val="14"/>
      <name val="ＭＳ ゴシック"/>
      <family val="3"/>
    </font>
    <font>
      <sz val="9"/>
      <color indexed="12"/>
      <name val="ＭＳ ゴシック"/>
      <family val="3"/>
    </font>
    <font>
      <sz val="9"/>
      <name val="ＭＳ 明朝"/>
      <family val="1"/>
    </font>
    <font>
      <b/>
      <sz val="16"/>
      <name val="ＭＳ ゴシック"/>
      <family val="3"/>
    </font>
    <font>
      <sz val="18"/>
      <name val="ＭＳ ゴシック"/>
      <family val="3"/>
    </font>
    <font>
      <sz val="12"/>
      <color indexed="10"/>
      <name val="ＭＳ ゴシック"/>
      <family val="3"/>
    </font>
    <font>
      <b/>
      <sz val="18"/>
      <name val="ＭＳ ゴシック"/>
      <family val="3"/>
    </font>
    <font>
      <b/>
      <sz val="20"/>
      <name val="ＭＳ ゴシック"/>
      <family val="3"/>
    </font>
    <font>
      <sz val="12"/>
      <name val="ＭＳ Ｐゴシック"/>
      <family val="3"/>
    </font>
    <font>
      <sz val="8"/>
      <name val="ＭＳ Ｐゴシック"/>
      <family val="3"/>
    </font>
    <font>
      <sz val="11"/>
      <name val="ＭＳ 明朝"/>
      <family val="1"/>
    </font>
    <font>
      <sz val="10"/>
      <name val="ＭＳ 明朝"/>
      <family val="1"/>
    </font>
    <font>
      <sz val="14"/>
      <color indexed="10"/>
      <name val="ＭＳ ゴシック"/>
      <family val="3"/>
    </font>
    <font>
      <sz val="12"/>
      <name val="ＭＳ 明朝"/>
      <family val="1"/>
    </font>
    <font>
      <sz val="16"/>
      <color indexed="12"/>
      <name val="ＭＳ 明朝"/>
      <family val="1"/>
    </font>
    <font>
      <b/>
      <sz val="16"/>
      <color indexed="10"/>
      <name val="ＭＳ Ｐゴシック"/>
      <family val="3"/>
    </font>
    <font>
      <sz val="10"/>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FF"/>
      <name val="ＭＳ ゴシック"/>
      <family val="3"/>
    </font>
    <font>
      <b/>
      <sz val="8"/>
      <name val="ＭＳ Ｐゴシック"/>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rgb="FFFFFF99"/>
        <bgColor indexed="64"/>
      </patternFill>
    </fill>
    <fill>
      <patternFill patternType="solid">
        <fgColor theme="0"/>
        <bgColor indexed="64"/>
      </patternFill>
    </fill>
    <fill>
      <patternFill patternType="solid">
        <fgColor rgb="FFFF99FF"/>
        <bgColor indexed="64"/>
      </patternFill>
    </fill>
    <fill>
      <patternFill patternType="solid">
        <fgColor rgb="FFFF99CC"/>
        <bgColor indexed="64"/>
      </patternFill>
    </fill>
    <fill>
      <patternFill patternType="solid">
        <fgColor rgb="FFFFFF00"/>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style="thin"/>
      <top style="medium"/>
      <bottom style="thin"/>
    </border>
    <border>
      <left style="medium"/>
      <right style="thin"/>
      <top style="thin"/>
      <bottom style="thin"/>
    </border>
    <border>
      <left style="medium"/>
      <right style="medium"/>
      <top style="medium"/>
      <bottom style="medium"/>
    </border>
    <border>
      <left style="medium"/>
      <right style="thin"/>
      <top>
        <color indexed="63"/>
      </top>
      <bottom style="thin"/>
    </border>
    <border>
      <left style="medium"/>
      <right style="thin"/>
      <top style="thin"/>
      <bottom>
        <color indexed="63"/>
      </bottom>
    </border>
    <border>
      <left style="medium"/>
      <right style="thin"/>
      <top style="medium"/>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style="thin"/>
    </border>
    <border>
      <left style="medium"/>
      <right style="medium"/>
      <top style="thin"/>
      <bottom style="thin"/>
    </border>
    <border>
      <left style="medium"/>
      <right>
        <color indexed="63"/>
      </right>
      <top style="thin"/>
      <bottom style="thin"/>
    </border>
    <border>
      <left style="thin"/>
      <right style="medium"/>
      <top style="thin"/>
      <bottom style="thin"/>
    </border>
    <border>
      <left style="thick">
        <color indexed="18"/>
      </left>
      <right style="thick">
        <color indexed="18"/>
      </right>
      <top style="thick">
        <color indexed="18"/>
      </top>
      <bottom style="thick">
        <color indexed="18"/>
      </bottom>
    </border>
    <border>
      <left>
        <color indexed="63"/>
      </left>
      <right>
        <color indexed="63"/>
      </right>
      <top style="thick">
        <color indexed="18"/>
      </top>
      <bottom>
        <color indexed="63"/>
      </bottom>
    </border>
    <border>
      <left style="thin"/>
      <right style="medium"/>
      <top>
        <color indexed="63"/>
      </top>
      <bottom style="medium"/>
    </border>
    <border>
      <left style="medium"/>
      <right>
        <color indexed="63"/>
      </right>
      <top style="medium"/>
      <bottom style="thin"/>
    </border>
    <border>
      <left style="thin"/>
      <right style="medium"/>
      <top style="medium"/>
      <bottom style="thin"/>
    </border>
    <border>
      <left style="medium"/>
      <right style="medium"/>
      <top style="medium"/>
      <bottom style="thin"/>
    </border>
    <border>
      <left style="thin"/>
      <right style="thin"/>
      <top style="medium"/>
      <bottom style="thin"/>
    </border>
    <border>
      <left style="medium"/>
      <right>
        <color indexed="63"/>
      </right>
      <top>
        <color indexed="63"/>
      </top>
      <bottom style="thin"/>
    </border>
    <border>
      <left style="thin"/>
      <right style="medium"/>
      <top>
        <color indexed="63"/>
      </top>
      <bottom style="thin"/>
    </border>
    <border>
      <left style="thin"/>
      <right style="thin"/>
      <top>
        <color indexed="63"/>
      </top>
      <bottom style="thin"/>
    </border>
    <border>
      <left>
        <color indexed="63"/>
      </left>
      <right style="medium"/>
      <top>
        <color indexed="63"/>
      </top>
      <bottom style="thin"/>
    </border>
    <border>
      <left style="thin"/>
      <right style="thin"/>
      <top style="thin"/>
      <bottom style="thin"/>
    </border>
    <border>
      <left>
        <color indexed="63"/>
      </left>
      <right style="medium"/>
      <top style="thin"/>
      <bottom style="thin"/>
    </border>
    <border>
      <left style="medium"/>
      <right>
        <color indexed="63"/>
      </right>
      <top style="medium"/>
      <bottom style="medium"/>
    </border>
    <border>
      <left style="thin"/>
      <right>
        <color indexed="63"/>
      </right>
      <top style="medium"/>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medium"/>
      <bottom style="thin"/>
    </border>
    <border>
      <left>
        <color indexed="63"/>
      </left>
      <right style="thin"/>
      <top>
        <color indexed="63"/>
      </top>
      <bottom style="thin"/>
    </border>
    <border>
      <left>
        <color indexed="63"/>
      </left>
      <right style="thin"/>
      <top style="thin"/>
      <bottom style="thin"/>
    </border>
    <border>
      <left>
        <color indexed="63"/>
      </left>
      <right style="medium"/>
      <top style="medium"/>
      <bottom style="medium"/>
    </border>
    <border>
      <left style="thin"/>
      <right style="thin"/>
      <top>
        <color indexed="63"/>
      </top>
      <bottom style="medium"/>
    </border>
    <border>
      <left style="thin"/>
      <right style="thin"/>
      <top style="medium"/>
      <bottom style="medium"/>
    </border>
    <border>
      <left>
        <color indexed="63"/>
      </left>
      <right>
        <color indexed="63"/>
      </right>
      <top style="medium"/>
      <bottom style="medium"/>
    </border>
    <border>
      <left style="medium"/>
      <right style="thin"/>
      <top>
        <color indexed="63"/>
      </top>
      <bottom style="medium"/>
    </border>
    <border>
      <left style="thin"/>
      <right style="medium"/>
      <top style="medium"/>
      <bottom>
        <color indexed="63"/>
      </bottom>
    </border>
    <border>
      <left style="thin"/>
      <right style="medium"/>
      <top style="thin"/>
      <bottom style="medium"/>
    </border>
    <border>
      <left>
        <color indexed="63"/>
      </left>
      <right style="thin"/>
      <top style="thin"/>
      <bottom>
        <color indexed="63"/>
      </bottom>
    </border>
    <border>
      <left style="thin"/>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medium"/>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medium"/>
      <right style="medium"/>
      <top style="thin"/>
      <bottom>
        <color indexed="63"/>
      </bottom>
    </border>
    <border>
      <left style="medium"/>
      <right>
        <color indexed="63"/>
      </right>
      <top style="thin"/>
      <bottom>
        <color indexed="63"/>
      </bottom>
    </border>
    <border>
      <left style="thin"/>
      <right style="medium"/>
      <top style="thin"/>
      <bottom>
        <color indexed="63"/>
      </bottom>
    </border>
    <border>
      <left style="medium"/>
      <right style="medium"/>
      <top style="thin"/>
      <bottom style="medium"/>
    </border>
    <border>
      <left style="thin"/>
      <right>
        <color indexed="63"/>
      </right>
      <top style="medium"/>
      <bottom style="medium"/>
    </border>
    <border>
      <left style="thin"/>
      <right style="medium"/>
      <top style="medium"/>
      <bottom style="medium"/>
    </border>
    <border>
      <left>
        <color indexed="63"/>
      </left>
      <right style="thin"/>
      <top style="medium"/>
      <bottom style="medium"/>
    </border>
    <border>
      <left>
        <color indexed="63"/>
      </left>
      <right style="thin"/>
      <top style="medium"/>
      <bottom>
        <color indexed="63"/>
      </bottom>
    </border>
    <border>
      <left style="thin"/>
      <right style="thin"/>
      <top style="thin"/>
      <bottom style="medium"/>
    </border>
    <border>
      <left style="thin"/>
      <right style="thin"/>
      <top style="medium"/>
      <bottom>
        <color indexed="63"/>
      </bottom>
    </border>
    <border>
      <left style="medium"/>
      <right>
        <color indexed="63"/>
      </right>
      <top style="thin"/>
      <bottom style="medium"/>
    </border>
    <border>
      <left style="medium"/>
      <right style="thin"/>
      <top style="thin"/>
      <bottom style="medium"/>
    </border>
    <border>
      <left>
        <color indexed="63"/>
      </left>
      <right>
        <color indexed="63"/>
      </right>
      <top style="thin"/>
      <bottom style="medium"/>
    </border>
    <border>
      <left style="medium"/>
      <right style="thin"/>
      <top style="medium"/>
      <bottom style="medium"/>
    </border>
    <border>
      <left>
        <color indexed="63"/>
      </left>
      <right>
        <color indexed="63"/>
      </right>
      <top style="thick">
        <color indexed="18"/>
      </top>
      <bottom style="thick">
        <color indexed="18"/>
      </bottom>
    </border>
    <border>
      <left style="thin"/>
      <right>
        <color indexed="63"/>
      </right>
      <top style="thin"/>
      <bottom>
        <color indexed="63"/>
      </bottom>
    </border>
    <border>
      <left>
        <color indexed="63"/>
      </left>
      <right style="medium"/>
      <top style="medium"/>
      <bottom style="thin"/>
    </border>
    <border>
      <left>
        <color indexed="63"/>
      </left>
      <right style="medium"/>
      <top style="thin"/>
      <bottom style="medium"/>
    </border>
    <border>
      <left style="thin"/>
      <right style="medium"/>
      <top>
        <color indexed="63"/>
      </top>
      <bottom>
        <color indexed="63"/>
      </bottom>
    </border>
    <border>
      <left>
        <color indexed="63"/>
      </left>
      <right>
        <color indexed="63"/>
      </right>
      <top style="thin"/>
      <bottom>
        <color indexed="63"/>
      </bottom>
    </border>
    <border>
      <left style="thin"/>
      <right>
        <color indexed="63"/>
      </right>
      <top style="thin"/>
      <bottom style="medium"/>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diagonalUp="1">
      <left style="medium"/>
      <right style="thin"/>
      <top style="medium"/>
      <bottom style="medium"/>
      <diagonal style="thin"/>
    </border>
    <border diagonalUp="1">
      <left style="thin"/>
      <right style="thin"/>
      <top style="medium"/>
      <bottom style="medium"/>
      <diagonal style="thin"/>
    </border>
    <border diagonalUp="1">
      <left>
        <color indexed="63"/>
      </left>
      <right style="medium"/>
      <top style="medium"/>
      <bottom style="medium"/>
      <diagonal style="thin"/>
    </border>
    <border diagonalUp="1">
      <left style="medium"/>
      <right style="medium"/>
      <top style="medium"/>
      <bottom style="medium"/>
      <diagonal style="thin"/>
    </border>
    <border>
      <left style="thin"/>
      <right>
        <color indexed="63"/>
      </right>
      <top>
        <color indexed="63"/>
      </top>
      <bottom style="mediu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0" borderId="0" applyNumberFormat="0" applyFill="0" applyBorder="0" applyAlignment="0" applyProtection="0"/>
    <xf numFmtId="0" fontId="60" fillId="25" borderId="1" applyNumberFormat="0" applyAlignment="0" applyProtection="0"/>
    <xf numFmtId="0" fontId="61"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62" fillId="0" borderId="3" applyNumberFormat="0" applyFill="0" applyAlignment="0" applyProtection="0"/>
    <xf numFmtId="0" fontId="63" fillId="28" borderId="0" applyNumberFormat="0" applyBorder="0" applyAlignment="0" applyProtection="0"/>
    <xf numFmtId="0" fontId="64" fillId="29"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29"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0" borderId="4" applyNumberFormat="0" applyAlignment="0" applyProtection="0"/>
    <xf numFmtId="0" fontId="0" fillId="0" borderId="0">
      <alignment vertical="center"/>
      <protection/>
    </xf>
    <xf numFmtId="0" fontId="57" fillId="0" borderId="0">
      <alignment vertical="center"/>
      <protection/>
    </xf>
    <xf numFmtId="0" fontId="6" fillId="0" borderId="0">
      <alignment/>
      <protection/>
    </xf>
    <xf numFmtId="0" fontId="0" fillId="0" borderId="0">
      <alignment/>
      <protection/>
    </xf>
    <xf numFmtId="0" fontId="6" fillId="0" borderId="0">
      <alignment/>
      <protection/>
    </xf>
    <xf numFmtId="0" fontId="8" fillId="0" borderId="0" applyNumberFormat="0" applyFill="0" applyBorder="0" applyAlignment="0" applyProtection="0"/>
    <xf numFmtId="0" fontId="73" fillId="31" borderId="0" applyNumberFormat="0" applyBorder="0" applyAlignment="0" applyProtection="0"/>
  </cellStyleXfs>
  <cellXfs count="969">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horizontal="distributed" vertical="center" indent="1"/>
    </xf>
    <xf numFmtId="0" fontId="4" fillId="0" borderId="0" xfId="0" applyFont="1" applyBorder="1" applyAlignment="1">
      <alignment horizontal="distributed" vertical="center" indent="1"/>
    </xf>
    <xf numFmtId="0" fontId="4" fillId="0" borderId="0"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3" xfId="0" applyFont="1" applyBorder="1" applyAlignment="1">
      <alignment horizontal="distributed" vertical="center" indent="1"/>
    </xf>
    <xf numFmtId="0" fontId="4" fillId="0" borderId="16"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7"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0" fontId="4" fillId="0" borderId="16" xfId="0" applyFont="1" applyBorder="1" applyAlignment="1">
      <alignment horizontal="distributed" vertical="center" indent="1"/>
    </xf>
    <xf numFmtId="0" fontId="4" fillId="0" borderId="10" xfId="0" applyFont="1" applyBorder="1" applyAlignment="1">
      <alignment horizontal="distributed" vertical="center" indent="1"/>
    </xf>
    <xf numFmtId="0" fontId="4" fillId="0" borderId="11" xfId="0" applyFont="1" applyBorder="1" applyAlignment="1">
      <alignment horizontal="distributed" vertical="center" indent="1"/>
    </xf>
    <xf numFmtId="0" fontId="4" fillId="0" borderId="0" xfId="0" applyFont="1" applyBorder="1" applyAlignment="1">
      <alignment vertical="top" wrapText="1"/>
    </xf>
    <xf numFmtId="0" fontId="4" fillId="0" borderId="0" xfId="0" applyFont="1" applyBorder="1" applyAlignment="1">
      <alignment horizontal="center" vertical="top" wrapText="1"/>
    </xf>
    <xf numFmtId="3" fontId="5" fillId="0" borderId="18" xfId="64" applyNumberFormat="1" applyFont="1" applyFill="1" applyBorder="1" applyAlignment="1">
      <alignment horizontal="right" vertical="center"/>
      <protection/>
    </xf>
    <xf numFmtId="3" fontId="5" fillId="0" borderId="19" xfId="64" applyNumberFormat="1" applyFont="1" applyFill="1" applyBorder="1" applyAlignment="1">
      <alignment horizontal="right" vertical="center"/>
      <protection/>
    </xf>
    <xf numFmtId="0" fontId="2" fillId="0" borderId="0" xfId="0" applyFont="1" applyAlignment="1">
      <alignment vertical="center"/>
    </xf>
    <xf numFmtId="0" fontId="4" fillId="32" borderId="20" xfId="0" applyFont="1" applyFill="1" applyBorder="1" applyAlignment="1" applyProtection="1">
      <alignment vertical="center"/>
      <protection locked="0"/>
    </xf>
    <xf numFmtId="0" fontId="4" fillId="0" borderId="10" xfId="0" applyFont="1" applyFill="1" applyBorder="1" applyAlignment="1">
      <alignment horizontal="center" vertical="center"/>
    </xf>
    <xf numFmtId="0" fontId="4" fillId="0" borderId="10"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protection locked="0"/>
    </xf>
    <xf numFmtId="0" fontId="4" fillId="0" borderId="0" xfId="0" applyFont="1" applyFill="1" applyBorder="1" applyAlignment="1">
      <alignment vertical="center"/>
    </xf>
    <xf numFmtId="3" fontId="5" fillId="0" borderId="21" xfId="64" applyNumberFormat="1" applyFont="1" applyFill="1" applyBorder="1" applyAlignment="1">
      <alignment horizontal="right" vertical="center"/>
      <protection/>
    </xf>
    <xf numFmtId="0" fontId="9" fillId="0" borderId="0" xfId="65" applyFont="1" applyAlignment="1">
      <alignment horizontal="center"/>
      <protection/>
    </xf>
    <xf numFmtId="0" fontId="11" fillId="0" borderId="0" xfId="65" applyFont="1" applyAlignment="1">
      <alignment/>
      <protection/>
    </xf>
    <xf numFmtId="3" fontId="5" fillId="0" borderId="22" xfId="64" applyNumberFormat="1" applyFont="1" applyFill="1" applyBorder="1" applyAlignment="1">
      <alignment horizontal="right" vertical="center"/>
      <protection/>
    </xf>
    <xf numFmtId="0" fontId="12" fillId="0" borderId="0" xfId="0" applyFont="1" applyAlignment="1">
      <alignment vertical="center"/>
    </xf>
    <xf numFmtId="0" fontId="13" fillId="0" borderId="0" xfId="0" applyFont="1" applyAlignment="1">
      <alignment vertical="center"/>
    </xf>
    <xf numFmtId="0" fontId="9" fillId="0" borderId="0" xfId="0" applyFont="1" applyAlignment="1">
      <alignment vertical="center"/>
    </xf>
    <xf numFmtId="0" fontId="5" fillId="0" borderId="0" xfId="0" applyFont="1" applyAlignment="1">
      <alignment horizontal="center" vertical="center"/>
    </xf>
    <xf numFmtId="38" fontId="9" fillId="0" borderId="0" xfId="49" applyFont="1" applyAlignment="1">
      <alignment vertical="center"/>
    </xf>
    <xf numFmtId="0" fontId="9" fillId="0" borderId="0" xfId="0" applyFont="1" applyAlignment="1">
      <alignment horizontal="right" vertical="center"/>
    </xf>
    <xf numFmtId="0" fontId="10" fillId="0" borderId="0" xfId="0" applyFont="1" applyAlignment="1">
      <alignment vertical="center"/>
    </xf>
    <xf numFmtId="0" fontId="14" fillId="0" borderId="23" xfId="0" applyFont="1" applyBorder="1" applyAlignment="1" quotePrefix="1">
      <alignment horizontal="center" vertical="center" wrapText="1"/>
    </xf>
    <xf numFmtId="0" fontId="10" fillId="0" borderId="0" xfId="0" applyFont="1" applyBorder="1" applyAlignment="1">
      <alignment horizontal="center" vertical="center" wrapText="1"/>
    </xf>
    <xf numFmtId="0" fontId="10" fillId="0" borderId="24" xfId="0" applyFont="1" applyBorder="1" applyAlignment="1">
      <alignment horizontal="center" vertical="center"/>
    </xf>
    <xf numFmtId="0" fontId="10" fillId="0" borderId="24" xfId="0" applyFont="1" applyBorder="1" applyAlignment="1">
      <alignment horizontal="center" vertical="center" wrapText="1"/>
    </xf>
    <xf numFmtId="0" fontId="14" fillId="0" borderId="14" xfId="0" applyFont="1" applyBorder="1" applyAlignment="1">
      <alignment horizontal="center" vertical="center" wrapText="1"/>
    </xf>
    <xf numFmtId="0" fontId="10" fillId="0" borderId="15" xfId="0" applyFont="1" applyBorder="1" applyAlignment="1">
      <alignment horizontal="center" vertical="center"/>
    </xf>
    <xf numFmtId="0" fontId="10" fillId="3" borderId="24" xfId="0" applyFont="1" applyFill="1" applyBorder="1" applyAlignment="1">
      <alignment horizontal="center" vertical="center"/>
    </xf>
    <xf numFmtId="177" fontId="9" fillId="32" borderId="25" xfId="0" applyNumberFormat="1" applyFont="1" applyFill="1" applyBorder="1" applyAlignment="1" applyProtection="1">
      <alignment horizontal="right" vertical="center"/>
      <protection locked="0"/>
    </xf>
    <xf numFmtId="177" fontId="9" fillId="32" borderId="16" xfId="0" applyNumberFormat="1" applyFont="1" applyFill="1" applyBorder="1" applyAlignment="1" applyProtection="1">
      <alignment horizontal="right" vertical="center"/>
      <protection locked="0"/>
    </xf>
    <xf numFmtId="0" fontId="10" fillId="0" borderId="0" xfId="0" applyFont="1" applyAlignment="1">
      <alignment vertical="center"/>
    </xf>
    <xf numFmtId="0" fontId="18" fillId="0" borderId="26" xfId="0" applyFont="1" applyBorder="1" applyAlignment="1">
      <alignment horizontal="center" vertical="center"/>
    </xf>
    <xf numFmtId="0" fontId="19" fillId="0" borderId="0" xfId="0" applyFont="1" applyAlignment="1">
      <alignment vertical="center"/>
    </xf>
    <xf numFmtId="0" fontId="9" fillId="32" borderId="27" xfId="0" applyFont="1" applyFill="1" applyBorder="1" applyAlignment="1" applyProtection="1">
      <alignment horizontal="center" vertical="center"/>
      <protection locked="0"/>
    </xf>
    <xf numFmtId="177" fontId="9" fillId="32" borderId="27" xfId="0" applyNumberFormat="1" applyFont="1" applyFill="1" applyBorder="1" applyAlignment="1" applyProtection="1">
      <alignment horizontal="right" vertical="center"/>
      <protection locked="0"/>
    </xf>
    <xf numFmtId="177" fontId="9" fillId="32" borderId="28" xfId="0" applyNumberFormat="1" applyFont="1" applyFill="1" applyBorder="1" applyAlignment="1" applyProtection="1">
      <alignment horizontal="right" vertical="center"/>
      <protection locked="0"/>
    </xf>
    <xf numFmtId="177" fontId="5" fillId="0" borderId="29" xfId="0" applyNumberFormat="1" applyFont="1" applyFill="1" applyBorder="1" applyAlignment="1">
      <alignment vertical="center"/>
    </xf>
    <xf numFmtId="177" fontId="5" fillId="0" borderId="27" xfId="0" applyNumberFormat="1" applyFont="1" applyFill="1" applyBorder="1" applyAlignment="1">
      <alignment vertical="center"/>
    </xf>
    <xf numFmtId="176" fontId="5" fillId="0" borderId="28" xfId="0" applyNumberFormat="1" applyFont="1" applyFill="1" applyBorder="1" applyAlignment="1">
      <alignment vertical="center"/>
    </xf>
    <xf numFmtId="0" fontId="18" fillId="0" borderId="27"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177" fontId="5" fillId="0" borderId="20" xfId="0" applyNumberFormat="1" applyFont="1" applyFill="1" applyBorder="1" applyAlignment="1">
      <alignment vertical="center" shrinkToFit="1"/>
    </xf>
    <xf numFmtId="176" fontId="5" fillId="0" borderId="20" xfId="0" applyNumberFormat="1" applyFont="1" applyFill="1" applyBorder="1" applyAlignment="1">
      <alignment vertical="center" shrinkToFit="1"/>
    </xf>
    <xf numFmtId="177" fontId="5" fillId="3" borderId="20" xfId="0" applyNumberFormat="1" applyFont="1" applyFill="1" applyBorder="1" applyAlignment="1">
      <alignment vertical="center" shrinkToFit="1"/>
    </xf>
    <xf numFmtId="0" fontId="10" fillId="0" borderId="0" xfId="0" applyFont="1" applyAlignment="1">
      <alignment vertical="center" shrinkToFit="1"/>
    </xf>
    <xf numFmtId="0" fontId="18" fillId="0" borderId="0" xfId="0" applyFont="1" applyAlignment="1">
      <alignment horizontal="center" vertical="center" shrinkToFit="1"/>
    </xf>
    <xf numFmtId="0" fontId="16" fillId="0" borderId="0" xfId="0" applyFont="1" applyAlignment="1">
      <alignment vertical="center"/>
    </xf>
    <xf numFmtId="0" fontId="21" fillId="0" borderId="0" xfId="0" applyFont="1" applyAlignment="1">
      <alignment horizontal="center" vertical="center"/>
    </xf>
    <xf numFmtId="0" fontId="14" fillId="0" borderId="0" xfId="0" applyFont="1" applyBorder="1" applyAlignment="1">
      <alignment horizontal="center" vertical="center"/>
    </xf>
    <xf numFmtId="180" fontId="14" fillId="0" borderId="0" xfId="49" applyNumberFormat="1" applyFont="1" applyFill="1" applyBorder="1" applyAlignment="1">
      <alignment vertical="center"/>
    </xf>
    <xf numFmtId="180" fontId="14" fillId="0" borderId="0" xfId="49" applyNumberFormat="1" applyFont="1" applyFill="1" applyBorder="1" applyAlignment="1">
      <alignment horizontal="center" vertical="center"/>
    </xf>
    <xf numFmtId="0" fontId="10" fillId="0" borderId="0" xfId="0" applyFont="1" applyAlignment="1">
      <alignment horizontal="center" vertical="center"/>
    </xf>
    <xf numFmtId="0" fontId="10" fillId="0" borderId="32" xfId="0" applyFont="1" applyBorder="1" applyAlignment="1">
      <alignment horizontal="center" vertical="center"/>
    </xf>
    <xf numFmtId="0" fontId="10" fillId="4" borderId="24" xfId="0" applyFont="1" applyFill="1" applyBorder="1" applyAlignment="1">
      <alignment horizontal="center" vertical="center"/>
    </xf>
    <xf numFmtId="177" fontId="5" fillId="0" borderId="33" xfId="0" applyNumberFormat="1" applyFont="1" applyFill="1" applyBorder="1" applyAlignment="1">
      <alignment horizontal="right" vertical="center"/>
    </xf>
    <xf numFmtId="0" fontId="5" fillId="0" borderId="33" xfId="0" applyFont="1" applyFill="1" applyBorder="1" applyAlignment="1">
      <alignment horizontal="center" vertical="center"/>
    </xf>
    <xf numFmtId="177" fontId="5" fillId="0" borderId="34" xfId="0" applyNumberFormat="1" applyFont="1" applyFill="1" applyBorder="1" applyAlignment="1">
      <alignment vertical="center"/>
    </xf>
    <xf numFmtId="177" fontId="5" fillId="0" borderId="35" xfId="0" applyNumberFormat="1" applyFont="1" applyFill="1" applyBorder="1" applyAlignment="1">
      <alignment vertical="center"/>
    </xf>
    <xf numFmtId="0" fontId="9" fillId="32" borderId="33" xfId="0" applyFont="1" applyFill="1" applyBorder="1" applyAlignment="1" applyProtection="1">
      <alignment horizontal="center" vertical="center" shrinkToFit="1"/>
      <protection locked="0"/>
    </xf>
    <xf numFmtId="0" fontId="9" fillId="32" borderId="36" xfId="0" applyFont="1" applyFill="1" applyBorder="1" applyAlignment="1" applyProtection="1">
      <alignment horizontal="center" vertical="center" shrinkToFit="1"/>
      <protection locked="0"/>
    </xf>
    <xf numFmtId="0" fontId="5" fillId="33" borderId="33" xfId="0" applyFont="1" applyFill="1" applyBorder="1" applyAlignment="1">
      <alignment horizontal="center" vertical="center"/>
    </xf>
    <xf numFmtId="176" fontId="5" fillId="0" borderId="33" xfId="0" applyNumberFormat="1" applyFont="1" applyFill="1" applyBorder="1" applyAlignment="1">
      <alignment vertical="center"/>
    </xf>
    <xf numFmtId="0" fontId="5" fillId="0" borderId="12" xfId="0" applyFont="1" applyFill="1" applyBorder="1" applyAlignment="1">
      <alignment horizontal="center" vertical="center"/>
    </xf>
    <xf numFmtId="177" fontId="5" fillId="0" borderId="12" xfId="0" applyNumberFormat="1" applyFont="1" applyFill="1" applyBorder="1" applyAlignment="1">
      <alignment horizontal="right" vertical="center"/>
    </xf>
    <xf numFmtId="0" fontId="5" fillId="0" borderId="37" xfId="0" applyFont="1" applyFill="1" applyBorder="1" applyAlignment="1">
      <alignment horizontal="center" vertical="center"/>
    </xf>
    <xf numFmtId="177" fontId="5" fillId="0" borderId="38" xfId="0" applyNumberFormat="1" applyFont="1" applyFill="1" applyBorder="1" applyAlignment="1">
      <alignment vertical="center"/>
    </xf>
    <xf numFmtId="177" fontId="5" fillId="0" borderId="26" xfId="0" applyNumberFormat="1" applyFont="1" applyFill="1" applyBorder="1" applyAlignment="1">
      <alignment vertical="center"/>
    </xf>
    <xf numFmtId="0" fontId="9" fillId="32" borderId="37" xfId="0" applyFont="1" applyFill="1" applyBorder="1" applyAlignment="1" applyProtection="1">
      <alignment horizontal="center" vertical="center" shrinkToFit="1"/>
      <protection locked="0"/>
    </xf>
    <xf numFmtId="0" fontId="9" fillId="32" borderId="39" xfId="0" applyFont="1" applyFill="1" applyBorder="1" applyAlignment="1" applyProtection="1">
      <alignment horizontal="center" vertical="center" shrinkToFit="1"/>
      <protection locked="0"/>
    </xf>
    <xf numFmtId="0" fontId="9" fillId="32" borderId="40" xfId="0" applyFont="1" applyFill="1" applyBorder="1" applyAlignment="1" applyProtection="1">
      <alignment horizontal="center" vertical="center" shrinkToFit="1"/>
      <protection locked="0"/>
    </xf>
    <xf numFmtId="0" fontId="5" fillId="33" borderId="37" xfId="0" applyFont="1" applyFill="1" applyBorder="1" applyAlignment="1">
      <alignment horizontal="center" vertical="center"/>
    </xf>
    <xf numFmtId="176" fontId="5" fillId="0" borderId="37" xfId="0" applyNumberFormat="1" applyFont="1" applyFill="1" applyBorder="1" applyAlignment="1">
      <alignment vertical="center"/>
    </xf>
    <xf numFmtId="0" fontId="5" fillId="0" borderId="27" xfId="0" applyFont="1" applyFill="1" applyBorder="1" applyAlignment="1">
      <alignment horizontal="center" vertical="center"/>
    </xf>
    <xf numFmtId="177" fontId="5" fillId="0" borderId="28" xfId="0" applyNumberFormat="1" applyFont="1" applyFill="1" applyBorder="1" applyAlignment="1">
      <alignment horizontal="right" vertical="center"/>
    </xf>
    <xf numFmtId="0" fontId="5" fillId="0" borderId="28" xfId="0" applyFont="1" applyFill="1" applyBorder="1" applyAlignment="1">
      <alignment horizontal="center" vertical="center"/>
    </xf>
    <xf numFmtId="0" fontId="9" fillId="32" borderId="28" xfId="0" applyFont="1" applyFill="1" applyBorder="1" applyAlignment="1" applyProtection="1">
      <alignment horizontal="center" vertical="center" shrinkToFit="1"/>
      <protection locked="0"/>
    </xf>
    <xf numFmtId="0" fontId="9" fillId="32" borderId="41" xfId="0" applyFont="1" applyFill="1" applyBorder="1" applyAlignment="1" applyProtection="1">
      <alignment horizontal="center" vertical="center" shrinkToFit="1"/>
      <protection locked="0"/>
    </xf>
    <xf numFmtId="0" fontId="9" fillId="32" borderId="42" xfId="0" applyFont="1" applyFill="1" applyBorder="1" applyAlignment="1" applyProtection="1">
      <alignment horizontal="center" vertical="center" shrinkToFit="1"/>
      <protection locked="0"/>
    </xf>
    <xf numFmtId="0" fontId="5" fillId="33" borderId="28" xfId="0" applyFont="1" applyFill="1" applyBorder="1" applyAlignment="1">
      <alignment horizontal="center" vertical="center"/>
    </xf>
    <xf numFmtId="177" fontId="5" fillId="0" borderId="43" xfId="0" applyNumberFormat="1" applyFont="1" applyFill="1" applyBorder="1" applyAlignment="1">
      <alignment vertical="center" shrinkToFit="1"/>
    </xf>
    <xf numFmtId="0" fontId="5" fillId="33" borderId="44" xfId="0" applyFont="1" applyFill="1" applyBorder="1" applyAlignment="1">
      <alignment horizontal="center" vertical="center"/>
    </xf>
    <xf numFmtId="0" fontId="5" fillId="33" borderId="45" xfId="0" applyFont="1" applyFill="1" applyBorder="1" applyAlignment="1">
      <alignment horizontal="center" vertical="center"/>
    </xf>
    <xf numFmtId="0" fontId="5" fillId="33" borderId="46" xfId="0" applyFont="1" applyFill="1" applyBorder="1" applyAlignment="1">
      <alignment horizontal="center" vertical="center"/>
    </xf>
    <xf numFmtId="0" fontId="5" fillId="33" borderId="47" xfId="0" applyFont="1" applyFill="1" applyBorder="1" applyAlignment="1">
      <alignment horizontal="center" vertical="center"/>
    </xf>
    <xf numFmtId="0" fontId="5" fillId="33" borderId="48" xfId="0" applyFont="1" applyFill="1" applyBorder="1" applyAlignment="1">
      <alignment horizontal="center" vertical="center"/>
    </xf>
    <xf numFmtId="0" fontId="5" fillId="33" borderId="49" xfId="0" applyFont="1" applyFill="1" applyBorder="1" applyAlignment="1">
      <alignment horizontal="center" vertical="center"/>
    </xf>
    <xf numFmtId="0" fontId="5" fillId="33" borderId="50" xfId="0" applyFont="1" applyFill="1" applyBorder="1" applyAlignment="1">
      <alignment horizontal="center" vertical="center"/>
    </xf>
    <xf numFmtId="0" fontId="5" fillId="33" borderId="51" xfId="0" applyFont="1" applyFill="1" applyBorder="1" applyAlignment="1">
      <alignment horizontal="center" vertical="center"/>
    </xf>
    <xf numFmtId="0" fontId="5" fillId="33" borderId="52" xfId="0" applyFont="1" applyFill="1" applyBorder="1" applyAlignment="1">
      <alignment horizontal="center" vertical="center"/>
    </xf>
    <xf numFmtId="0" fontId="5" fillId="33" borderId="34" xfId="0" applyFont="1" applyFill="1" applyBorder="1" applyAlignment="1">
      <alignment horizontal="center" vertical="center"/>
    </xf>
    <xf numFmtId="0" fontId="5" fillId="33" borderId="38" xfId="0" applyFont="1" applyFill="1" applyBorder="1" applyAlignment="1">
      <alignment horizontal="center" vertical="center"/>
    </xf>
    <xf numFmtId="0" fontId="5" fillId="33" borderId="29" xfId="0" applyFont="1" applyFill="1" applyBorder="1" applyAlignment="1">
      <alignment horizontal="center" vertical="center"/>
    </xf>
    <xf numFmtId="0" fontId="10" fillId="0" borderId="17" xfId="0" applyFont="1" applyBorder="1" applyAlignment="1" quotePrefix="1">
      <alignment horizontal="center" vertical="center"/>
    </xf>
    <xf numFmtId="176" fontId="5" fillId="0" borderId="53" xfId="0" applyNumberFormat="1" applyFont="1" applyFill="1" applyBorder="1" applyAlignment="1">
      <alignment vertical="center" shrinkToFit="1"/>
    </xf>
    <xf numFmtId="0" fontId="10" fillId="0" borderId="54" xfId="0" applyFont="1" applyFill="1" applyBorder="1" applyAlignment="1" quotePrefix="1">
      <alignment horizontal="center" vertical="center"/>
    </xf>
    <xf numFmtId="176" fontId="5" fillId="0" borderId="55" xfId="0" applyNumberFormat="1" applyFont="1" applyFill="1" applyBorder="1" applyAlignment="1">
      <alignment vertical="center" shrinkToFit="1"/>
    </xf>
    <xf numFmtId="0" fontId="9" fillId="0" borderId="56" xfId="0" applyFont="1" applyFill="1" applyBorder="1" applyAlignment="1">
      <alignment horizontal="center" vertical="center" shrinkToFit="1"/>
    </xf>
    <xf numFmtId="0" fontId="14" fillId="0" borderId="32" xfId="0" applyFont="1" applyBorder="1" applyAlignment="1">
      <alignment horizontal="center" vertical="center" wrapText="1"/>
    </xf>
    <xf numFmtId="0" fontId="14" fillId="0" borderId="57" xfId="0" applyFont="1" applyBorder="1" applyAlignment="1">
      <alignment horizontal="center" vertical="center"/>
    </xf>
    <xf numFmtId="0" fontId="14" fillId="0" borderId="15" xfId="0" applyFont="1" applyBorder="1" applyAlignment="1">
      <alignment horizontal="center" vertical="center"/>
    </xf>
    <xf numFmtId="0" fontId="14" fillId="0" borderId="24" xfId="0" applyFont="1" applyBorder="1" applyAlignment="1">
      <alignment horizontal="center" vertical="center" wrapText="1"/>
    </xf>
    <xf numFmtId="0" fontId="14" fillId="0" borderId="57" xfId="0" applyFont="1" applyBorder="1" applyAlignment="1" quotePrefix="1">
      <alignment horizontal="center" vertical="center" wrapText="1"/>
    </xf>
    <xf numFmtId="192" fontId="9" fillId="32" borderId="58" xfId="0" applyNumberFormat="1" applyFont="1" applyFill="1" applyBorder="1" applyAlignment="1">
      <alignment vertical="center"/>
    </xf>
    <xf numFmtId="192" fontId="9" fillId="32" borderId="29" xfId="0" applyNumberFormat="1" applyFont="1" applyFill="1" applyBorder="1" applyAlignment="1">
      <alignment vertical="center"/>
    </xf>
    <xf numFmtId="192" fontId="9" fillId="32" borderId="59" xfId="0" applyNumberFormat="1" applyFont="1" applyFill="1" applyBorder="1" applyAlignment="1">
      <alignment vertical="center"/>
    </xf>
    <xf numFmtId="0" fontId="9" fillId="0" borderId="0" xfId="0" applyFont="1" applyBorder="1" applyAlignment="1">
      <alignment vertical="center"/>
    </xf>
    <xf numFmtId="0" fontId="10" fillId="0" borderId="14" xfId="0" applyFont="1" applyBorder="1" applyAlignment="1">
      <alignment horizontal="right" vertical="center"/>
    </xf>
    <xf numFmtId="0" fontId="10" fillId="0" borderId="16" xfId="0" applyFont="1" applyBorder="1" applyAlignment="1">
      <alignment horizontal="right" vertical="center"/>
    </xf>
    <xf numFmtId="0" fontId="10" fillId="0" borderId="22"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61" xfId="0" applyFont="1" applyBorder="1" applyAlignment="1">
      <alignment horizontal="center" vertical="center" wrapText="1"/>
    </xf>
    <xf numFmtId="0" fontId="10" fillId="3" borderId="62" xfId="0" applyFont="1" applyFill="1" applyBorder="1" applyAlignment="1">
      <alignment horizontal="center" vertical="center" wrapText="1"/>
    </xf>
    <xf numFmtId="0" fontId="17" fillId="34" borderId="20" xfId="0" applyFont="1" applyFill="1" applyBorder="1" applyAlignment="1">
      <alignment horizontal="center" vertical="center" wrapText="1"/>
    </xf>
    <xf numFmtId="0" fontId="10" fillId="0" borderId="57"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54" xfId="0" applyFont="1" applyBorder="1" applyAlignment="1">
      <alignment horizontal="center" vertical="center" wrapText="1"/>
    </xf>
    <xf numFmtId="0" fontId="10" fillId="3" borderId="15" xfId="0" applyFont="1" applyFill="1" applyBorder="1" applyAlignment="1">
      <alignment horizontal="center" vertical="center" wrapText="1"/>
    </xf>
    <xf numFmtId="0" fontId="17" fillId="34" borderId="0" xfId="0" applyFont="1" applyFill="1" applyBorder="1" applyAlignment="1">
      <alignment vertical="center"/>
    </xf>
    <xf numFmtId="0" fontId="10" fillId="0" borderId="12" xfId="0" applyFont="1" applyBorder="1" applyAlignment="1">
      <alignment horizontal="right" vertical="center"/>
    </xf>
    <xf numFmtId="0" fontId="10" fillId="0" borderId="64" xfId="0" applyFont="1" applyBorder="1" applyAlignment="1">
      <alignment horizontal="right" vertical="center"/>
    </xf>
    <xf numFmtId="0" fontId="10" fillId="0" borderId="65" xfId="0" applyFont="1" applyBorder="1" applyAlignment="1">
      <alignment horizontal="right" vertical="center"/>
    </xf>
    <xf numFmtId="0" fontId="10" fillId="0" borderId="66" xfId="0" applyFont="1" applyBorder="1" applyAlignment="1">
      <alignment horizontal="right" vertical="center"/>
    </xf>
    <xf numFmtId="0" fontId="10" fillId="0" borderId="67" xfId="0" applyFont="1" applyBorder="1" applyAlignment="1">
      <alignment horizontal="right" vertical="center"/>
    </xf>
    <xf numFmtId="0" fontId="10" fillId="3" borderId="13" xfId="0" applyFont="1" applyFill="1" applyBorder="1" applyAlignment="1">
      <alignment horizontal="right" vertical="center"/>
    </xf>
    <xf numFmtId="0" fontId="10" fillId="0" borderId="0" xfId="0" applyFont="1" applyAlignment="1">
      <alignment horizontal="right" vertical="center"/>
    </xf>
    <xf numFmtId="180" fontId="5" fillId="0" borderId="64" xfId="49" applyNumberFormat="1" applyFont="1" applyFill="1" applyBorder="1" applyAlignment="1" applyProtection="1">
      <alignment vertical="center"/>
      <protection/>
    </xf>
    <xf numFmtId="180" fontId="5" fillId="0" borderId="64" xfId="49" applyNumberFormat="1" applyFont="1" applyFill="1" applyBorder="1" applyAlignment="1">
      <alignment vertical="center"/>
    </xf>
    <xf numFmtId="0" fontId="14" fillId="0" borderId="65" xfId="0" applyFont="1" applyBorder="1" applyAlignment="1">
      <alignment horizontal="center" vertical="center"/>
    </xf>
    <xf numFmtId="38" fontId="15" fillId="3" borderId="40" xfId="49" applyFont="1" applyFill="1" applyBorder="1" applyAlignment="1">
      <alignment vertical="center"/>
    </xf>
    <xf numFmtId="0" fontId="5" fillId="0" borderId="35" xfId="0" applyFont="1" applyBorder="1" applyAlignment="1">
      <alignment horizontal="center" vertical="center"/>
    </xf>
    <xf numFmtId="0" fontId="14" fillId="0" borderId="19" xfId="0" applyFont="1" applyBorder="1" applyAlignment="1">
      <alignment horizontal="center" vertical="center"/>
    </xf>
    <xf numFmtId="180" fontId="14" fillId="0" borderId="49" xfId="49" applyNumberFormat="1" applyFont="1" applyFill="1" applyBorder="1" applyAlignment="1">
      <alignment vertical="center"/>
    </xf>
    <xf numFmtId="38" fontId="15" fillId="3" borderId="42" xfId="49" applyFont="1" applyFill="1" applyBorder="1" applyAlignment="1">
      <alignment vertical="center"/>
    </xf>
    <xf numFmtId="0" fontId="5" fillId="0" borderId="27" xfId="0" applyFont="1" applyBorder="1" applyAlignment="1">
      <alignment horizontal="center" vertical="center"/>
    </xf>
    <xf numFmtId="180" fontId="5" fillId="0" borderId="24" xfId="49" applyNumberFormat="1" applyFont="1" applyFill="1" applyBorder="1" applyAlignment="1" applyProtection="1">
      <alignment vertical="center"/>
      <protection/>
    </xf>
    <xf numFmtId="180" fontId="5" fillId="0" borderId="24" xfId="49" applyNumberFormat="1" applyFont="1" applyFill="1" applyBorder="1" applyAlignment="1">
      <alignment vertical="center"/>
    </xf>
    <xf numFmtId="38" fontId="15" fillId="3" borderId="53" xfId="49" applyFont="1" applyFill="1" applyBorder="1" applyAlignment="1">
      <alignment vertical="center"/>
    </xf>
    <xf numFmtId="0" fontId="19" fillId="0" borderId="0" xfId="0" applyFont="1" applyAlignment="1">
      <alignment horizontal="center" vertical="center"/>
    </xf>
    <xf numFmtId="0" fontId="14" fillId="0" borderId="12" xfId="0" applyFont="1" applyBorder="1" applyAlignment="1">
      <alignment horizontal="center" vertical="center"/>
    </xf>
    <xf numFmtId="180" fontId="14" fillId="0" borderId="68" xfId="49" applyNumberFormat="1" applyFont="1" applyFill="1" applyBorder="1" applyAlignment="1">
      <alignment vertical="center"/>
    </xf>
    <xf numFmtId="0" fontId="14" fillId="0" borderId="28" xfId="0" applyFont="1" applyBorder="1" applyAlignment="1">
      <alignment horizontal="center" vertical="center"/>
    </xf>
    <xf numFmtId="180" fontId="14" fillId="0" borderId="46" xfId="49" applyNumberFormat="1" applyFont="1" applyFill="1" applyBorder="1" applyAlignment="1">
      <alignment vertical="center"/>
    </xf>
    <xf numFmtId="0" fontId="14" fillId="0" borderId="16" xfId="0" applyFont="1" applyBorder="1" applyAlignment="1">
      <alignment horizontal="center" vertical="center"/>
    </xf>
    <xf numFmtId="180" fontId="14" fillId="0" borderId="69" xfId="49" applyNumberFormat="1" applyFont="1" applyFill="1" applyBorder="1" applyAlignment="1">
      <alignment vertical="center"/>
    </xf>
    <xf numFmtId="0" fontId="20" fillId="0" borderId="0" xfId="0" applyFont="1" applyAlignment="1">
      <alignment horizontal="center" vertical="center"/>
    </xf>
    <xf numFmtId="0" fontId="10" fillId="0" borderId="15" xfId="0" applyFont="1" applyBorder="1" applyAlignment="1">
      <alignment horizontal="center" vertical="center" wrapText="1"/>
    </xf>
    <xf numFmtId="0" fontId="10" fillId="0" borderId="13" xfId="0" applyFont="1" applyBorder="1" applyAlignment="1">
      <alignment horizontal="right" vertical="center"/>
    </xf>
    <xf numFmtId="180" fontId="5" fillId="0" borderId="13" xfId="49" applyNumberFormat="1" applyFont="1" applyFill="1" applyBorder="1" applyAlignment="1" applyProtection="1">
      <alignment vertical="center"/>
      <protection/>
    </xf>
    <xf numFmtId="180" fontId="5" fillId="0" borderId="15" xfId="49" applyNumberFormat="1" applyFont="1" applyFill="1" applyBorder="1" applyAlignment="1" applyProtection="1">
      <alignment vertical="center"/>
      <protection/>
    </xf>
    <xf numFmtId="0" fontId="10" fillId="0" borderId="16" xfId="0" applyFont="1" applyBorder="1" applyAlignment="1">
      <alignment vertical="center" wrapText="1"/>
    </xf>
    <xf numFmtId="0" fontId="10" fillId="0" borderId="10" xfId="0" applyFont="1" applyBorder="1" applyAlignment="1">
      <alignment vertical="center" wrapText="1"/>
    </xf>
    <xf numFmtId="180" fontId="9" fillId="32" borderId="65" xfId="49" applyNumberFormat="1" applyFont="1" applyFill="1" applyBorder="1" applyAlignment="1" applyProtection="1">
      <alignment vertical="center"/>
      <protection locked="0"/>
    </xf>
    <xf numFmtId="180" fontId="9" fillId="32" borderId="67" xfId="49" applyNumberFormat="1" applyFont="1" applyFill="1" applyBorder="1" applyAlignment="1" applyProtection="1">
      <alignment vertical="center"/>
      <protection locked="0"/>
    </xf>
    <xf numFmtId="180" fontId="9" fillId="32" borderId="57" xfId="49" applyNumberFormat="1" applyFont="1" applyFill="1" applyBorder="1" applyAlignment="1" applyProtection="1">
      <alignment vertical="center"/>
      <protection locked="0"/>
    </xf>
    <xf numFmtId="180" fontId="9" fillId="32" borderId="54" xfId="49" applyNumberFormat="1" applyFont="1" applyFill="1" applyBorder="1" applyAlignment="1" applyProtection="1">
      <alignment vertical="center"/>
      <protection locked="0"/>
    </xf>
    <xf numFmtId="0" fontId="15" fillId="0" borderId="20" xfId="0" applyFont="1" applyFill="1" applyBorder="1" applyAlignment="1">
      <alignment horizontal="right" vertical="center"/>
    </xf>
    <xf numFmtId="0" fontId="10" fillId="0" borderId="0" xfId="65" applyFont="1">
      <alignment/>
      <protection/>
    </xf>
    <xf numFmtId="0" fontId="23" fillId="0" borderId="0" xfId="65" applyFont="1" applyAlignment="1">
      <alignment horizontal="center"/>
      <protection/>
    </xf>
    <xf numFmtId="0" fontId="9" fillId="32" borderId="70" xfId="0" applyFont="1" applyFill="1" applyBorder="1" applyAlignment="1" applyProtection="1">
      <alignment horizontal="center" vertical="center"/>
      <protection locked="0"/>
    </xf>
    <xf numFmtId="177" fontId="9" fillId="32" borderId="71" xfId="0" applyNumberFormat="1" applyFont="1" applyFill="1" applyBorder="1" applyAlignment="1" applyProtection="1">
      <alignment horizontal="right" vertical="center"/>
      <protection locked="0"/>
    </xf>
    <xf numFmtId="192" fontId="9" fillId="32" borderId="72" xfId="0" applyNumberFormat="1" applyFont="1" applyFill="1" applyBorder="1" applyAlignment="1">
      <alignment vertical="center"/>
    </xf>
    <xf numFmtId="0" fontId="14" fillId="0" borderId="25" xfId="0" applyFont="1" applyBorder="1" applyAlignment="1">
      <alignment horizontal="distributed" vertical="center"/>
    </xf>
    <xf numFmtId="0" fontId="14" fillId="0" borderId="73" xfId="0" applyFont="1" applyBorder="1" applyAlignment="1">
      <alignment horizontal="distributed" vertical="center"/>
    </xf>
    <xf numFmtId="0" fontId="15" fillId="0" borderId="25" xfId="0" applyFont="1" applyFill="1" applyBorder="1" applyAlignment="1">
      <alignment horizontal="right" vertical="center"/>
    </xf>
    <xf numFmtId="0" fontId="15" fillId="0" borderId="73" xfId="0" applyFont="1" applyFill="1" applyBorder="1" applyAlignment="1">
      <alignment horizontal="right" vertical="center"/>
    </xf>
    <xf numFmtId="0" fontId="22" fillId="0" borderId="0" xfId="0" applyFont="1" applyAlignment="1">
      <alignment vertical="center"/>
    </xf>
    <xf numFmtId="0" fontId="24" fillId="0" borderId="0" xfId="0" applyFont="1" applyAlignment="1">
      <alignment horizontal="center" vertical="center"/>
    </xf>
    <xf numFmtId="0" fontId="25" fillId="0" borderId="0" xfId="0" applyFont="1" applyAlignment="1">
      <alignment vertical="center"/>
    </xf>
    <xf numFmtId="0" fontId="27" fillId="0" borderId="0" xfId="65" applyFont="1">
      <alignment/>
      <protection/>
    </xf>
    <xf numFmtId="0" fontId="28" fillId="0" borderId="0" xfId="65" applyFont="1" applyAlignment="1">
      <alignment vertical="center"/>
      <protection/>
    </xf>
    <xf numFmtId="180" fontId="14" fillId="0" borderId="49" xfId="49" applyNumberFormat="1" applyFont="1" applyFill="1" applyBorder="1" applyAlignment="1">
      <alignment horizontal="center" vertical="center"/>
    </xf>
    <xf numFmtId="180" fontId="14" fillId="0" borderId="46" xfId="49" applyNumberFormat="1" applyFont="1" applyFill="1" applyBorder="1" applyAlignment="1">
      <alignment horizontal="center" vertical="center"/>
    </xf>
    <xf numFmtId="177" fontId="5" fillId="0" borderId="43" xfId="0" applyNumberFormat="1" applyFont="1" applyFill="1" applyBorder="1" applyAlignment="1">
      <alignment horizontal="center" vertical="center" shrinkToFit="1"/>
    </xf>
    <xf numFmtId="177" fontId="5" fillId="0" borderId="55" xfId="0" applyNumberFormat="1" applyFont="1" applyFill="1" applyBorder="1" applyAlignment="1">
      <alignment horizontal="center" vertical="center" shrinkToFit="1"/>
    </xf>
    <xf numFmtId="177" fontId="5" fillId="0" borderId="53" xfId="0" applyNumberFormat="1" applyFont="1" applyFill="1" applyBorder="1" applyAlignment="1">
      <alignment horizontal="center" vertical="center" shrinkToFit="1"/>
    </xf>
    <xf numFmtId="177" fontId="5" fillId="0" borderId="74" xfId="0" applyNumberFormat="1" applyFont="1" applyFill="1" applyBorder="1" applyAlignment="1">
      <alignment horizontal="center" vertical="center" shrinkToFit="1"/>
    </xf>
    <xf numFmtId="177" fontId="5" fillId="0" borderId="75" xfId="0" applyNumberFormat="1" applyFont="1" applyFill="1" applyBorder="1" applyAlignment="1">
      <alignment horizontal="center" vertical="center" shrinkToFit="1"/>
    </xf>
    <xf numFmtId="177" fontId="5" fillId="0" borderId="76" xfId="0" applyNumberFormat="1" applyFont="1" applyFill="1" applyBorder="1" applyAlignment="1">
      <alignment horizontal="center" vertical="center" shrinkToFit="1"/>
    </xf>
    <xf numFmtId="177" fontId="5" fillId="0" borderId="56" xfId="0" applyNumberFormat="1" applyFont="1" applyFill="1" applyBorder="1" applyAlignment="1">
      <alignment horizontal="center" vertical="center" shrinkToFit="1"/>
    </xf>
    <xf numFmtId="3" fontId="5" fillId="0" borderId="27" xfId="64" applyNumberFormat="1" applyFont="1" applyFill="1" applyBorder="1" applyAlignment="1">
      <alignment horizontal="right" vertical="center"/>
      <protection/>
    </xf>
    <xf numFmtId="0" fontId="14" fillId="0" borderId="17" xfId="0" applyFont="1" applyBorder="1" applyAlignment="1">
      <alignment horizontal="center" vertical="center" wrapText="1"/>
    </xf>
    <xf numFmtId="0" fontId="9" fillId="0" borderId="75" xfId="0" applyFont="1" applyFill="1" applyBorder="1" applyAlignment="1">
      <alignment horizontal="center" vertical="center" shrinkToFit="1"/>
    </xf>
    <xf numFmtId="191" fontId="9" fillId="0" borderId="75" xfId="0" applyNumberFormat="1" applyFont="1" applyFill="1" applyBorder="1" applyAlignment="1">
      <alignment horizontal="right" vertical="center" shrinkToFit="1"/>
    </xf>
    <xf numFmtId="177" fontId="9" fillId="0" borderId="43" xfId="0" applyNumberFormat="1" applyFont="1" applyFill="1" applyBorder="1" applyAlignment="1">
      <alignment horizontal="right" vertical="center" shrinkToFit="1"/>
    </xf>
    <xf numFmtId="0" fontId="9" fillId="0" borderId="55" xfId="0" applyFont="1" applyFill="1" applyBorder="1" applyAlignment="1">
      <alignment horizontal="center" vertical="center" shrinkToFit="1"/>
    </xf>
    <xf numFmtId="177" fontId="9" fillId="0" borderId="56" xfId="0" applyNumberFormat="1" applyFont="1" applyFill="1" applyBorder="1" applyAlignment="1">
      <alignment horizontal="right" vertical="center" shrinkToFit="1"/>
    </xf>
    <xf numFmtId="177" fontId="9" fillId="0" borderId="75" xfId="0" applyNumberFormat="1" applyFont="1" applyFill="1" applyBorder="1" applyAlignment="1">
      <alignment horizontal="center" vertical="center" shrinkToFit="1"/>
    </xf>
    <xf numFmtId="0" fontId="29" fillId="0" borderId="0" xfId="0" applyFont="1" applyAlignment="1" quotePrefix="1">
      <alignment horizontal="left" vertical="center"/>
    </xf>
    <xf numFmtId="0" fontId="30" fillId="0" borderId="0" xfId="0" applyFont="1" applyAlignment="1">
      <alignment vertical="center"/>
    </xf>
    <xf numFmtId="0" fontId="31" fillId="0" borderId="77" xfId="0" applyFont="1" applyFill="1" applyBorder="1" applyAlignment="1" applyProtection="1">
      <alignment horizontal="center" vertical="center" wrapText="1" shrinkToFit="1"/>
      <protection locked="0"/>
    </xf>
    <xf numFmtId="191" fontId="74" fillId="0" borderId="58" xfId="0" applyNumberFormat="1" applyFont="1" applyFill="1" applyBorder="1" applyAlignment="1" applyProtection="1">
      <alignment horizontal="right" vertical="center"/>
      <protection locked="0"/>
    </xf>
    <xf numFmtId="191" fontId="74" fillId="0" borderId="29" xfId="0" applyNumberFormat="1" applyFont="1" applyFill="1" applyBorder="1" applyAlignment="1" applyProtection="1">
      <alignment horizontal="right" vertical="center"/>
      <protection locked="0"/>
    </xf>
    <xf numFmtId="191" fontId="74" fillId="0" borderId="72" xfId="0" applyNumberFormat="1" applyFont="1" applyFill="1" applyBorder="1" applyAlignment="1" applyProtection="1">
      <alignment horizontal="right" vertical="center"/>
      <protection locked="0"/>
    </xf>
    <xf numFmtId="191" fontId="74" fillId="0" borderId="59" xfId="0" applyNumberFormat="1" applyFont="1" applyFill="1" applyBorder="1" applyAlignment="1" applyProtection="1">
      <alignment horizontal="right" vertical="center"/>
      <protection locked="0"/>
    </xf>
    <xf numFmtId="177" fontId="31" fillId="32" borderId="36" xfId="0" applyNumberFormat="1" applyFont="1" applyFill="1" applyBorder="1" applyAlignment="1" applyProtection="1">
      <alignment horizontal="right" vertical="center" shrinkToFit="1"/>
      <protection locked="0"/>
    </xf>
    <xf numFmtId="177" fontId="31" fillId="32" borderId="41" xfId="0" applyNumberFormat="1" applyFont="1" applyFill="1" applyBorder="1" applyAlignment="1" applyProtection="1">
      <alignment horizontal="right" vertical="center" shrinkToFit="1"/>
      <protection locked="0"/>
    </xf>
    <xf numFmtId="177" fontId="31" fillId="32" borderId="78" xfId="0" applyNumberFormat="1" applyFont="1" applyFill="1" applyBorder="1" applyAlignment="1" applyProtection="1">
      <alignment horizontal="right" vertical="center" shrinkToFit="1"/>
      <protection locked="0"/>
    </xf>
    <xf numFmtId="191" fontId="74" fillId="0" borderId="23" xfId="0" applyNumberFormat="1" applyFont="1" applyFill="1" applyBorder="1" applyAlignment="1">
      <alignment horizontal="right" vertical="center"/>
    </xf>
    <xf numFmtId="191" fontId="9" fillId="32" borderId="10" xfId="0" applyNumberFormat="1" applyFont="1" applyFill="1" applyBorder="1" applyAlignment="1">
      <alignment horizontal="right" vertical="center"/>
    </xf>
    <xf numFmtId="192" fontId="9" fillId="32" borderId="58" xfId="0" applyNumberFormat="1" applyFont="1" applyFill="1" applyBorder="1" applyAlignment="1">
      <alignment horizontal="right" vertical="center"/>
    </xf>
    <xf numFmtId="177" fontId="74" fillId="0" borderId="23" xfId="0" applyNumberFormat="1" applyFont="1" applyFill="1" applyBorder="1" applyAlignment="1">
      <alignment horizontal="right" vertical="center"/>
    </xf>
    <xf numFmtId="176" fontId="5" fillId="0" borderId="67"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7" fontId="5" fillId="0" borderId="25" xfId="0" applyNumberFormat="1" applyFont="1" applyFill="1" applyBorder="1" applyAlignment="1">
      <alignment horizontal="right" vertical="center"/>
    </xf>
    <xf numFmtId="177" fontId="74" fillId="32" borderId="27" xfId="0" applyNumberFormat="1" applyFont="1" applyFill="1" applyBorder="1" applyAlignment="1" applyProtection="1">
      <alignment horizontal="right" vertical="center"/>
      <protection locked="0"/>
    </xf>
    <xf numFmtId="177" fontId="5" fillId="3" borderId="12" xfId="0" applyNumberFormat="1" applyFont="1" applyFill="1" applyBorder="1" applyAlignment="1">
      <alignment horizontal="right" vertical="center"/>
    </xf>
    <xf numFmtId="0" fontId="19" fillId="0" borderId="0" xfId="0" applyFont="1" applyAlignment="1">
      <alignment horizontal="right" vertical="center"/>
    </xf>
    <xf numFmtId="177" fontId="9" fillId="32" borderId="41" xfId="0" applyNumberFormat="1" applyFont="1" applyFill="1" applyBorder="1" applyAlignment="1" applyProtection="1">
      <alignment horizontal="right" vertical="center"/>
      <protection locked="0"/>
    </xf>
    <xf numFmtId="177" fontId="9" fillId="32" borderId="78" xfId="0" applyNumberFormat="1" applyFont="1" applyFill="1" applyBorder="1" applyAlignment="1" applyProtection="1">
      <alignment horizontal="right" vertical="center"/>
      <protection locked="0"/>
    </xf>
    <xf numFmtId="0" fontId="9" fillId="32" borderId="25" xfId="0" applyFont="1" applyFill="1" applyBorder="1" applyAlignment="1" applyProtection="1">
      <alignment horizontal="right" vertical="center"/>
      <protection locked="0"/>
    </xf>
    <xf numFmtId="177" fontId="31" fillId="32" borderId="79" xfId="0" applyNumberFormat="1" applyFont="1" applyFill="1" applyBorder="1" applyAlignment="1" applyProtection="1">
      <alignment horizontal="right" vertical="center" shrinkToFit="1"/>
      <protection locked="0"/>
    </xf>
    <xf numFmtId="177" fontId="5" fillId="0" borderId="58" xfId="0" applyNumberFormat="1" applyFont="1" applyFill="1" applyBorder="1" applyAlignment="1">
      <alignment horizontal="right" vertical="center"/>
    </xf>
    <xf numFmtId="177" fontId="74" fillId="32" borderId="70" xfId="0" applyNumberFormat="1" applyFont="1" applyFill="1" applyBorder="1" applyAlignment="1" applyProtection="1">
      <alignment horizontal="right" vertical="center"/>
      <protection locked="0"/>
    </xf>
    <xf numFmtId="0" fontId="9" fillId="32" borderId="27" xfId="0" applyFont="1" applyFill="1" applyBorder="1" applyAlignment="1" applyProtection="1">
      <alignment horizontal="right" vertical="center"/>
      <protection locked="0"/>
    </xf>
    <xf numFmtId="191" fontId="74" fillId="0" borderId="19" xfId="0" applyNumberFormat="1" applyFont="1" applyFill="1" applyBorder="1" applyAlignment="1">
      <alignment horizontal="right" vertical="center"/>
    </xf>
    <xf numFmtId="191" fontId="9" fillId="32" borderId="49" xfId="0" applyNumberFormat="1" applyFont="1" applyFill="1" applyBorder="1" applyAlignment="1">
      <alignment horizontal="right" vertical="center"/>
    </xf>
    <xf numFmtId="192" fontId="9" fillId="32" borderId="29" xfId="0" applyNumberFormat="1" applyFont="1" applyFill="1" applyBorder="1" applyAlignment="1">
      <alignment horizontal="right" vertical="center"/>
    </xf>
    <xf numFmtId="177" fontId="74" fillId="0" borderId="19" xfId="0" applyNumberFormat="1" applyFont="1" applyFill="1" applyBorder="1" applyAlignment="1">
      <alignment horizontal="right" vertical="center"/>
    </xf>
    <xf numFmtId="177" fontId="74" fillId="0" borderId="42" xfId="0" applyNumberFormat="1" applyFont="1" applyFill="1" applyBorder="1" applyAlignment="1">
      <alignment horizontal="right" vertical="center"/>
    </xf>
    <xf numFmtId="177" fontId="5" fillId="0" borderId="29" xfId="0" applyNumberFormat="1" applyFont="1" applyFill="1" applyBorder="1" applyAlignment="1">
      <alignment horizontal="right" vertical="center"/>
    </xf>
    <xf numFmtId="176" fontId="5" fillId="0" borderId="41" xfId="0" applyNumberFormat="1" applyFont="1" applyFill="1" applyBorder="1" applyAlignment="1">
      <alignment horizontal="right" vertical="center"/>
    </xf>
    <xf numFmtId="176" fontId="5" fillId="0" borderId="49" xfId="0" applyNumberFormat="1" applyFont="1" applyFill="1" applyBorder="1" applyAlignment="1">
      <alignment horizontal="right" vertical="center"/>
    </xf>
    <xf numFmtId="177" fontId="5" fillId="0" borderId="27" xfId="0" applyNumberFormat="1" applyFont="1" applyFill="1" applyBorder="1" applyAlignment="1">
      <alignment horizontal="right" vertical="center"/>
    </xf>
    <xf numFmtId="177" fontId="5" fillId="3" borderId="28" xfId="0" applyNumberFormat="1" applyFont="1" applyFill="1" applyBorder="1" applyAlignment="1">
      <alignment horizontal="right" vertical="center"/>
    </xf>
    <xf numFmtId="0" fontId="9" fillId="32" borderId="73" xfId="0" applyFont="1" applyFill="1" applyBorder="1" applyAlignment="1" applyProtection="1">
      <alignment horizontal="right" vertical="center"/>
      <protection locked="0"/>
    </xf>
    <xf numFmtId="177" fontId="9" fillId="32" borderId="73" xfId="0" applyNumberFormat="1" applyFont="1" applyFill="1" applyBorder="1" applyAlignment="1" applyProtection="1">
      <alignment horizontal="right" vertical="center"/>
      <protection locked="0"/>
    </xf>
    <xf numFmtId="177" fontId="9" fillId="32" borderId="80" xfId="0" applyNumberFormat="1" applyFont="1" applyFill="1" applyBorder="1" applyAlignment="1" applyProtection="1">
      <alignment horizontal="right" vertical="center"/>
      <protection locked="0"/>
    </xf>
    <xf numFmtId="191" fontId="74" fillId="0" borderId="81" xfId="0" applyNumberFormat="1" applyFont="1" applyFill="1" applyBorder="1" applyAlignment="1">
      <alignment horizontal="right" vertical="center"/>
    </xf>
    <xf numFmtId="191" fontId="9" fillId="32" borderId="82" xfId="0" applyNumberFormat="1" applyFont="1" applyFill="1" applyBorder="1" applyAlignment="1">
      <alignment horizontal="right" vertical="center"/>
    </xf>
    <xf numFmtId="192" fontId="9" fillId="32" borderId="59" xfId="0" applyNumberFormat="1" applyFont="1" applyFill="1" applyBorder="1" applyAlignment="1">
      <alignment horizontal="right" vertical="center"/>
    </xf>
    <xf numFmtId="177" fontId="74" fillId="0" borderId="81" xfId="0" applyNumberFormat="1" applyFont="1" applyFill="1" applyBorder="1" applyAlignment="1">
      <alignment horizontal="right" vertical="center"/>
    </xf>
    <xf numFmtId="177" fontId="5" fillId="0" borderId="59" xfId="0" applyNumberFormat="1" applyFont="1" applyFill="1" applyBorder="1" applyAlignment="1">
      <alignment horizontal="right" vertical="center"/>
    </xf>
    <xf numFmtId="177" fontId="5" fillId="0" borderId="80" xfId="0" applyNumberFormat="1" applyFont="1" applyFill="1" applyBorder="1" applyAlignment="1">
      <alignment horizontal="right" vertical="center"/>
    </xf>
    <xf numFmtId="176" fontId="5" fillId="0" borderId="78" xfId="0" applyNumberFormat="1" applyFont="1" applyFill="1" applyBorder="1" applyAlignment="1">
      <alignment horizontal="right" vertical="center"/>
    </xf>
    <xf numFmtId="176" fontId="5" fillId="0" borderId="82" xfId="0" applyNumberFormat="1" applyFont="1" applyFill="1" applyBorder="1" applyAlignment="1">
      <alignment horizontal="right" vertical="center"/>
    </xf>
    <xf numFmtId="177" fontId="5" fillId="0" borderId="73" xfId="0" applyNumberFormat="1" applyFont="1" applyFill="1" applyBorder="1" applyAlignment="1">
      <alignment horizontal="right" vertical="center"/>
    </xf>
    <xf numFmtId="177" fontId="74" fillId="32" borderId="73" xfId="0" applyNumberFormat="1" applyFont="1" applyFill="1" applyBorder="1" applyAlignment="1" applyProtection="1">
      <alignment horizontal="right" vertical="center"/>
      <protection locked="0"/>
    </xf>
    <xf numFmtId="177" fontId="5" fillId="3" borderId="80" xfId="0" applyNumberFormat="1" applyFont="1" applyFill="1" applyBorder="1" applyAlignment="1">
      <alignment horizontal="right" vertical="center"/>
    </xf>
    <xf numFmtId="177" fontId="5" fillId="0" borderId="83" xfId="0" applyNumberFormat="1" applyFont="1" applyFill="1" applyBorder="1" applyAlignment="1">
      <alignment horizontal="center" vertical="center" shrinkToFit="1"/>
    </xf>
    <xf numFmtId="0" fontId="9" fillId="32" borderId="47" xfId="0" applyFont="1" applyFill="1" applyBorder="1" applyAlignment="1" applyProtection="1">
      <alignment horizontal="center" vertical="center" shrinkToFit="1"/>
      <protection locked="0"/>
    </xf>
    <xf numFmtId="0" fontId="13" fillId="0" borderId="0" xfId="0" applyFont="1" applyAlignment="1">
      <alignment vertical="center" shrinkToFit="1"/>
    </xf>
    <xf numFmtId="0" fontId="9" fillId="0" borderId="0" xfId="0" applyFont="1" applyAlignment="1">
      <alignment vertical="center" shrinkToFit="1"/>
    </xf>
    <xf numFmtId="0" fontId="12" fillId="0" borderId="0" xfId="0" applyFont="1" applyAlignment="1">
      <alignment vertical="center" shrinkToFit="1"/>
    </xf>
    <xf numFmtId="0" fontId="16" fillId="0" borderId="0" xfId="0" applyFont="1" applyAlignment="1">
      <alignment vertical="center" shrinkToFit="1"/>
    </xf>
    <xf numFmtId="0" fontId="22" fillId="0" borderId="0" xfId="0" applyFont="1" applyAlignment="1">
      <alignment vertical="center" shrinkToFit="1"/>
    </xf>
    <xf numFmtId="177" fontId="9" fillId="32" borderId="36" xfId="0" applyNumberFormat="1" applyFont="1" applyFill="1" applyBorder="1" applyAlignment="1" applyProtection="1">
      <alignment horizontal="right" vertical="center"/>
      <protection locked="0"/>
    </xf>
    <xf numFmtId="0" fontId="9" fillId="32" borderId="35" xfId="0" applyNumberFormat="1" applyFont="1" applyFill="1" applyBorder="1" applyAlignment="1" applyProtection="1">
      <alignment horizontal="center" vertical="center"/>
      <protection locked="0"/>
    </xf>
    <xf numFmtId="180" fontId="14" fillId="0" borderId="49" xfId="49" applyNumberFormat="1" applyFont="1" applyFill="1" applyBorder="1" applyAlignment="1">
      <alignment horizontal="right" vertical="center"/>
    </xf>
    <xf numFmtId="180" fontId="14" fillId="0" borderId="41" xfId="49" applyNumberFormat="1" applyFont="1" applyFill="1" applyBorder="1" applyAlignment="1">
      <alignment vertical="center"/>
    </xf>
    <xf numFmtId="180" fontId="14" fillId="0" borderId="41" xfId="49" applyNumberFormat="1" applyFont="1" applyFill="1" applyBorder="1" applyAlignment="1">
      <alignment horizontal="right" vertical="center"/>
    </xf>
    <xf numFmtId="180" fontId="14" fillId="0" borderId="54" xfId="49" applyNumberFormat="1" applyFont="1" applyFill="1" applyBorder="1" applyAlignment="1">
      <alignment horizontal="center" vertical="center"/>
    </xf>
    <xf numFmtId="0" fontId="9" fillId="32" borderId="25" xfId="0" applyFont="1" applyFill="1" applyBorder="1" applyAlignment="1" applyProtection="1">
      <alignment horizontal="center" vertical="center"/>
      <protection locked="0"/>
    </xf>
    <xf numFmtId="0" fontId="9" fillId="32" borderId="27" xfId="0" applyNumberFormat="1" applyFont="1" applyFill="1" applyBorder="1" applyAlignment="1" applyProtection="1">
      <alignment horizontal="center" vertical="center"/>
      <protection locked="0"/>
    </xf>
    <xf numFmtId="177" fontId="9" fillId="32" borderId="19" xfId="0" applyNumberFormat="1" applyFont="1" applyFill="1" applyBorder="1" applyAlignment="1" applyProtection="1">
      <alignment horizontal="right" vertical="center"/>
      <protection locked="0"/>
    </xf>
    <xf numFmtId="0" fontId="9" fillId="32" borderId="73" xfId="0" applyNumberFormat="1" applyFont="1" applyFill="1" applyBorder="1" applyAlignment="1" applyProtection="1">
      <alignment horizontal="center" vertical="center"/>
      <protection locked="0"/>
    </xf>
    <xf numFmtId="0" fontId="9" fillId="32" borderId="27" xfId="0" applyNumberFormat="1" applyFont="1" applyFill="1" applyBorder="1" applyAlignment="1" applyProtection="1">
      <alignment horizontal="center" vertical="center" shrinkToFit="1"/>
      <protection locked="0"/>
    </xf>
    <xf numFmtId="0" fontId="5" fillId="0" borderId="33" xfId="0" applyNumberFormat="1" applyFont="1" applyFill="1" applyBorder="1" applyAlignment="1">
      <alignment horizontal="center" vertical="center"/>
    </xf>
    <xf numFmtId="0" fontId="20" fillId="0" borderId="0" xfId="0" applyFont="1" applyBorder="1" applyAlignment="1">
      <alignment horizontal="center" vertical="center"/>
    </xf>
    <xf numFmtId="0" fontId="32" fillId="0" borderId="0" xfId="0" applyFont="1" applyAlignment="1">
      <alignment vertical="center"/>
    </xf>
    <xf numFmtId="38" fontId="15" fillId="3" borderId="13" xfId="49" applyFont="1" applyFill="1" applyBorder="1" applyAlignment="1">
      <alignment vertical="center"/>
    </xf>
    <xf numFmtId="0" fontId="10" fillId="0" borderId="14" xfId="0" applyFont="1" applyBorder="1" applyAlignment="1" quotePrefix="1">
      <alignment horizontal="center" vertical="center"/>
    </xf>
    <xf numFmtId="0" fontId="31" fillId="0" borderId="11" xfId="0" applyFont="1" applyFill="1" applyBorder="1" applyAlignment="1" applyProtection="1">
      <alignment horizontal="center" vertical="center" wrapText="1" shrinkToFit="1"/>
      <protection locked="0"/>
    </xf>
    <xf numFmtId="0" fontId="14" fillId="0" borderId="63" xfId="0" applyFont="1" applyBorder="1" applyAlignment="1">
      <alignment horizontal="center" vertical="center"/>
    </xf>
    <xf numFmtId="0" fontId="9" fillId="0" borderId="0" xfId="0" applyFont="1" applyAlignment="1">
      <alignment horizontal="center" vertical="center"/>
    </xf>
    <xf numFmtId="177" fontId="5" fillId="0" borderId="33" xfId="0" applyNumberFormat="1" applyFont="1" applyFill="1" applyBorder="1" applyAlignment="1">
      <alignment horizontal="center" vertical="center"/>
    </xf>
    <xf numFmtId="0" fontId="16" fillId="0" borderId="0" xfId="0" applyFont="1" applyAlignment="1">
      <alignment horizontal="center" vertical="center"/>
    </xf>
    <xf numFmtId="0" fontId="22" fillId="0" borderId="0" xfId="0" applyFont="1" applyAlignment="1">
      <alignment horizontal="center" vertical="center"/>
    </xf>
    <xf numFmtId="0" fontId="9" fillId="35" borderId="28" xfId="0" applyFont="1" applyFill="1" applyBorder="1" applyAlignment="1" applyProtection="1">
      <alignment horizontal="center" vertical="center"/>
      <protection locked="0"/>
    </xf>
    <xf numFmtId="177" fontId="9" fillId="0" borderId="79" xfId="0" applyNumberFormat="1" applyFont="1" applyFill="1" applyBorder="1" applyAlignment="1" applyProtection="1">
      <alignment horizontal="right" vertical="center"/>
      <protection locked="0"/>
    </xf>
    <xf numFmtId="177" fontId="9" fillId="0" borderId="41" xfId="0" applyNumberFormat="1" applyFont="1" applyFill="1" applyBorder="1" applyAlignment="1" applyProtection="1">
      <alignment horizontal="right" vertical="center"/>
      <protection locked="0"/>
    </xf>
    <xf numFmtId="177" fontId="9" fillId="0" borderId="78" xfId="0" applyNumberFormat="1" applyFont="1" applyFill="1" applyBorder="1" applyAlignment="1" applyProtection="1">
      <alignment horizontal="right" vertical="center"/>
      <protection locked="0"/>
    </xf>
    <xf numFmtId="0" fontId="31" fillId="35" borderId="12" xfId="0" applyFont="1" applyFill="1" applyBorder="1" applyAlignment="1">
      <alignment horizontal="center" vertical="center" shrinkToFit="1"/>
    </xf>
    <xf numFmtId="0" fontId="31" fillId="35" borderId="28" xfId="0" applyFont="1" applyFill="1" applyBorder="1" applyAlignment="1">
      <alignment horizontal="center" vertical="center" shrinkToFit="1"/>
    </xf>
    <xf numFmtId="0" fontId="31" fillId="35" borderId="80" xfId="0" applyFont="1" applyFill="1" applyBorder="1" applyAlignment="1">
      <alignment horizontal="center" vertical="center" shrinkToFit="1"/>
    </xf>
    <xf numFmtId="0" fontId="14" fillId="0" borderId="15" xfId="0" applyFont="1" applyBorder="1" applyAlignment="1">
      <alignment horizontal="center" vertical="center" wrapText="1"/>
    </xf>
    <xf numFmtId="0" fontId="10" fillId="0" borderId="65"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23" xfId="0" applyFont="1" applyBorder="1" applyAlignment="1">
      <alignment horizontal="center" vertical="center"/>
    </xf>
    <xf numFmtId="0" fontId="9" fillId="35" borderId="71" xfId="0" applyFont="1" applyFill="1" applyBorder="1" applyAlignment="1" applyProtection="1">
      <alignment horizontal="center" vertical="center"/>
      <protection locked="0"/>
    </xf>
    <xf numFmtId="0" fontId="9" fillId="35" borderId="33" xfId="0" applyFont="1" applyFill="1" applyBorder="1" applyAlignment="1" applyProtection="1">
      <alignment horizontal="center" vertical="center"/>
      <protection locked="0"/>
    </xf>
    <xf numFmtId="0" fontId="9" fillId="32" borderId="35" xfId="0" applyNumberFormat="1" applyFont="1" applyFill="1" applyBorder="1" applyAlignment="1" applyProtection="1">
      <alignment horizontal="center" vertical="center" shrinkToFit="1"/>
      <protection locked="0"/>
    </xf>
    <xf numFmtId="0" fontId="5" fillId="0" borderId="12" xfId="0" applyFont="1" applyBorder="1" applyAlignment="1">
      <alignment horizontal="center" vertical="center"/>
    </xf>
    <xf numFmtId="0" fontId="20" fillId="0" borderId="84" xfId="0" applyFont="1" applyBorder="1" applyAlignment="1">
      <alignment horizontal="center" vertical="center"/>
    </xf>
    <xf numFmtId="0" fontId="18" fillId="0" borderId="28" xfId="0" applyFont="1" applyFill="1" applyBorder="1" applyAlignment="1" applyProtection="1">
      <alignment horizontal="left" vertical="center" shrinkToFit="1"/>
      <protection/>
    </xf>
    <xf numFmtId="0" fontId="18" fillId="0" borderId="49" xfId="0" applyFont="1" applyFill="1" applyBorder="1" applyAlignment="1" applyProtection="1">
      <alignment horizontal="left" vertical="center" shrinkToFit="1"/>
      <protection/>
    </xf>
    <xf numFmtId="0" fontId="18" fillId="0" borderId="42" xfId="0" applyFont="1" applyFill="1" applyBorder="1" applyAlignment="1" applyProtection="1">
      <alignment horizontal="left" vertical="center" shrinkToFit="1"/>
      <protection/>
    </xf>
    <xf numFmtId="0" fontId="0" fillId="0" borderId="63" xfId="0" applyFont="1" applyFill="1" applyBorder="1" applyAlignment="1" applyProtection="1">
      <alignment horizontal="center" vertical="center" shrinkToFit="1"/>
      <protection locked="0"/>
    </xf>
    <xf numFmtId="0" fontId="0" fillId="0" borderId="15"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shrinkToFit="1"/>
      <protection locked="0"/>
    </xf>
    <xf numFmtId="0" fontId="34" fillId="0" borderId="0" xfId="65" applyFont="1">
      <alignment/>
      <protection/>
    </xf>
    <xf numFmtId="0" fontId="33" fillId="0" borderId="46" xfId="63" applyFont="1" applyFill="1" applyBorder="1" applyAlignment="1">
      <alignment horizontal="distributed" vertical="center"/>
      <protection/>
    </xf>
    <xf numFmtId="0" fontId="4" fillId="0" borderId="0" xfId="65" applyFont="1">
      <alignment/>
      <protection/>
    </xf>
    <xf numFmtId="0" fontId="4" fillId="0" borderId="0" xfId="65" applyFont="1" applyAlignment="1">
      <alignment horizontal="center"/>
      <protection/>
    </xf>
    <xf numFmtId="0" fontId="34" fillId="0" borderId="0" xfId="65" applyFont="1" applyAlignment="1">
      <alignment horizontal="right"/>
      <protection/>
    </xf>
    <xf numFmtId="0" fontId="34" fillId="0" borderId="0" xfId="65" applyFont="1" applyAlignment="1">
      <alignment horizontal="distributed"/>
      <protection/>
    </xf>
    <xf numFmtId="0" fontId="34" fillId="0" borderId="0" xfId="65" applyFont="1" applyAlignment="1">
      <alignment horizontal="distributed" vertical="center"/>
      <protection/>
    </xf>
    <xf numFmtId="0" fontId="34" fillId="0" borderId="0" xfId="65" applyFont="1" applyAlignment="1">
      <alignment vertical="center"/>
      <protection/>
    </xf>
    <xf numFmtId="0" fontId="27" fillId="0" borderId="0" xfId="65" applyFont="1" applyAlignment="1">
      <alignment horizontal="left"/>
      <protection/>
    </xf>
    <xf numFmtId="0" fontId="36" fillId="0" borderId="0" xfId="65" applyFont="1" applyAlignment="1">
      <alignment horizontal="center"/>
      <protection/>
    </xf>
    <xf numFmtId="0" fontId="34" fillId="0" borderId="51" xfId="65" applyFont="1" applyBorder="1">
      <alignment/>
      <protection/>
    </xf>
    <xf numFmtId="0" fontId="34" fillId="0" borderId="45" xfId="65" applyFont="1" applyBorder="1">
      <alignment/>
      <protection/>
    </xf>
    <xf numFmtId="0" fontId="34" fillId="0" borderId="60" xfId="65" applyFont="1" applyBorder="1">
      <alignment/>
      <protection/>
    </xf>
    <xf numFmtId="0" fontId="34" fillId="0" borderId="85" xfId="65" applyFont="1" applyBorder="1">
      <alignment/>
      <protection/>
    </xf>
    <xf numFmtId="0" fontId="36" fillId="0" borderId="0" xfId="65" applyFont="1">
      <alignment/>
      <protection/>
    </xf>
    <xf numFmtId="0" fontId="32" fillId="0" borderId="0" xfId="0" applyFont="1" applyFill="1" applyAlignment="1">
      <alignment vertical="center"/>
    </xf>
    <xf numFmtId="0" fontId="12" fillId="0" borderId="0" xfId="0" applyFont="1" applyFill="1" applyAlignment="1" quotePrefix="1">
      <alignment horizontal="left" vertical="center"/>
    </xf>
    <xf numFmtId="0" fontId="26" fillId="0" borderId="0" xfId="0" applyFont="1" applyFill="1" applyAlignment="1" quotePrefix="1">
      <alignment horizontal="left" vertical="center"/>
    </xf>
    <xf numFmtId="0" fontId="12" fillId="0" borderId="0" xfId="0" applyFont="1" applyFill="1" applyAlignment="1">
      <alignment vertical="center"/>
    </xf>
    <xf numFmtId="0" fontId="29" fillId="0" borderId="0" xfId="0" applyFont="1" applyFill="1" applyAlignment="1" quotePrefix="1">
      <alignment horizontal="left" vertical="center"/>
    </xf>
    <xf numFmtId="0" fontId="10" fillId="0" borderId="56" xfId="0" applyFont="1" applyBorder="1" applyAlignment="1">
      <alignment vertical="center" wrapText="1"/>
    </xf>
    <xf numFmtId="0" fontId="10" fillId="0" borderId="53" xfId="0" applyFont="1" applyBorder="1" applyAlignment="1">
      <alignment vertical="center" wrapText="1"/>
    </xf>
    <xf numFmtId="0" fontId="16" fillId="0" borderId="64" xfId="0" applyFont="1" applyBorder="1" applyAlignment="1">
      <alignment horizontal="left" vertical="center" wrapText="1"/>
    </xf>
    <xf numFmtId="0" fontId="16" fillId="0" borderId="0" xfId="0" applyFont="1" applyFill="1" applyAlignment="1" applyProtection="1">
      <alignment vertical="center"/>
      <protection locked="0"/>
    </xf>
    <xf numFmtId="180" fontId="21" fillId="0" borderId="0" xfId="49" applyNumberFormat="1" applyFont="1" applyFill="1" applyBorder="1" applyAlignment="1">
      <alignment vertical="center"/>
    </xf>
    <xf numFmtId="180" fontId="16" fillId="0" borderId="0" xfId="49" applyNumberFormat="1" applyFont="1" applyFill="1" applyBorder="1" applyAlignment="1">
      <alignment vertical="center"/>
    </xf>
    <xf numFmtId="0" fontId="16" fillId="0" borderId="0" xfId="0" applyFont="1" applyFill="1" applyBorder="1" applyAlignment="1">
      <alignment horizontal="center" vertical="center"/>
    </xf>
    <xf numFmtId="38" fontId="21" fillId="0" borderId="0" xfId="49" applyFont="1" applyFill="1" applyBorder="1" applyAlignment="1">
      <alignment vertical="center"/>
    </xf>
    <xf numFmtId="0" fontId="16" fillId="0" borderId="0" xfId="0" applyFont="1" applyFill="1" applyAlignment="1">
      <alignment vertical="center"/>
    </xf>
    <xf numFmtId="0" fontId="16" fillId="0" borderId="0" xfId="0" applyFont="1" applyFill="1" applyAlignment="1" applyProtection="1">
      <alignment vertical="center"/>
      <protection locked="0"/>
    </xf>
    <xf numFmtId="0" fontId="9" fillId="0" borderId="0" xfId="0" applyFont="1" applyFill="1" applyAlignment="1">
      <alignment vertical="center"/>
    </xf>
    <xf numFmtId="0" fontId="10" fillId="0" borderId="0" xfId="0" applyFont="1" applyFill="1" applyAlignment="1">
      <alignment vertical="center"/>
    </xf>
    <xf numFmtId="0" fontId="10" fillId="0" borderId="0" xfId="0" applyFont="1" applyFill="1" applyAlignment="1">
      <alignment horizontal="center" vertical="center"/>
    </xf>
    <xf numFmtId="0" fontId="18" fillId="0" borderId="0" xfId="0" applyFont="1" applyFill="1" applyAlignment="1">
      <alignment horizontal="center" vertical="center"/>
    </xf>
    <xf numFmtId="0" fontId="5" fillId="0" borderId="28" xfId="0" applyNumberFormat="1" applyFont="1" applyFill="1" applyBorder="1" applyAlignment="1">
      <alignment horizontal="right" vertical="center"/>
    </xf>
    <xf numFmtId="0" fontId="5" fillId="0" borderId="28" xfId="0" applyNumberFormat="1" applyFont="1" applyFill="1" applyBorder="1" applyAlignment="1">
      <alignment horizontal="center" vertical="center"/>
    </xf>
    <xf numFmtId="0" fontId="9" fillId="32" borderId="71" xfId="0" applyNumberFormat="1" applyFont="1" applyFill="1" applyBorder="1" applyAlignment="1" applyProtection="1">
      <alignment horizontal="right" vertical="center"/>
      <protection locked="0"/>
    </xf>
    <xf numFmtId="0" fontId="74" fillId="0" borderId="72" xfId="0" applyNumberFormat="1" applyFont="1" applyFill="1" applyBorder="1" applyAlignment="1" applyProtection="1">
      <alignment horizontal="right" vertical="center"/>
      <protection locked="0"/>
    </xf>
    <xf numFmtId="0" fontId="9" fillId="32" borderId="72" xfId="0" applyNumberFormat="1" applyFont="1" applyFill="1" applyBorder="1" applyAlignment="1">
      <alignment vertical="center"/>
    </xf>
    <xf numFmtId="0" fontId="9" fillId="0" borderId="0" xfId="0" applyNumberFormat="1" applyFont="1" applyFill="1" applyAlignment="1">
      <alignment vertical="center"/>
    </xf>
    <xf numFmtId="0" fontId="5" fillId="0" borderId="29" xfId="0" applyNumberFormat="1" applyFont="1" applyFill="1" applyBorder="1" applyAlignment="1">
      <alignment vertical="center"/>
    </xf>
    <xf numFmtId="0" fontId="9" fillId="32" borderId="28" xfId="0" applyNumberFormat="1" applyFont="1" applyFill="1" applyBorder="1" applyAlignment="1" applyProtection="1">
      <alignment horizontal="right" vertical="center"/>
      <protection locked="0"/>
    </xf>
    <xf numFmtId="0" fontId="74" fillId="0" borderId="29" xfId="0" applyNumberFormat="1" applyFont="1" applyFill="1" applyBorder="1" applyAlignment="1" applyProtection="1">
      <alignment horizontal="right" vertical="center"/>
      <protection locked="0"/>
    </xf>
    <xf numFmtId="0" fontId="74" fillId="0" borderId="19" xfId="0" applyNumberFormat="1" applyFont="1" applyFill="1" applyBorder="1" applyAlignment="1">
      <alignment horizontal="right" vertical="center"/>
    </xf>
    <xf numFmtId="0" fontId="9" fillId="32" borderId="49" xfId="0" applyNumberFormat="1" applyFont="1" applyFill="1" applyBorder="1" applyAlignment="1">
      <alignment horizontal="right" vertical="center"/>
    </xf>
    <xf numFmtId="0" fontId="9" fillId="32" borderId="29" xfId="0" applyNumberFormat="1" applyFont="1" applyFill="1" applyBorder="1" applyAlignment="1">
      <alignment horizontal="right" vertical="center"/>
    </xf>
    <xf numFmtId="0" fontId="4" fillId="0" borderId="0" xfId="0" applyNumberFormat="1" applyFont="1" applyBorder="1" applyAlignment="1">
      <alignment vertical="center"/>
    </xf>
    <xf numFmtId="0" fontId="34" fillId="0" borderId="0" xfId="65" applyFont="1" applyAlignment="1">
      <alignment vertical="center" wrapText="1"/>
      <protection/>
    </xf>
    <xf numFmtId="0" fontId="4" fillId="0" borderId="0" xfId="65" applyFont="1" applyAlignment="1">
      <alignment vertical="center" shrinkToFit="1"/>
      <protection/>
    </xf>
    <xf numFmtId="0" fontId="31" fillId="35" borderId="67" xfId="0" applyFont="1" applyFill="1" applyBorder="1" applyAlignment="1" applyProtection="1">
      <alignment vertical="center" wrapText="1" shrinkToFit="1"/>
      <protection locked="0"/>
    </xf>
    <xf numFmtId="0" fontId="31" fillId="35" borderId="54" xfId="0" applyFont="1" applyFill="1" applyBorder="1" applyAlignment="1" applyProtection="1">
      <alignment vertical="center" shrinkToFit="1"/>
      <protection locked="0"/>
    </xf>
    <xf numFmtId="0" fontId="31" fillId="0" borderId="67" xfId="0" applyFont="1" applyFill="1" applyBorder="1" applyAlignment="1" applyProtection="1">
      <alignment vertical="center" wrapText="1" shrinkToFit="1"/>
      <protection locked="0"/>
    </xf>
    <xf numFmtId="0" fontId="31" fillId="0" borderId="54" xfId="0" applyFont="1" applyFill="1" applyBorder="1" applyAlignment="1" applyProtection="1">
      <alignment vertical="center" shrinkToFit="1"/>
      <protection locked="0"/>
    </xf>
    <xf numFmtId="0" fontId="31" fillId="0" borderId="58" xfId="0" applyFont="1" applyFill="1" applyBorder="1" applyAlignment="1" applyProtection="1">
      <alignment horizontal="center" vertical="center" wrapText="1" shrinkToFit="1"/>
      <protection locked="0"/>
    </xf>
    <xf numFmtId="0" fontId="9" fillId="0" borderId="43" xfId="0" applyFont="1" applyFill="1" applyBorder="1" applyAlignment="1">
      <alignment horizontal="center" vertical="center" shrinkToFit="1"/>
    </xf>
    <xf numFmtId="0" fontId="9" fillId="0" borderId="53" xfId="0" applyFont="1" applyFill="1" applyBorder="1" applyAlignment="1">
      <alignment horizontal="center" vertical="center" shrinkToFit="1"/>
    </xf>
    <xf numFmtId="0" fontId="5" fillId="36" borderId="33" xfId="0" applyNumberFormat="1" applyFont="1" applyFill="1" applyBorder="1" applyAlignment="1">
      <alignment horizontal="center" vertical="center"/>
    </xf>
    <xf numFmtId="0" fontId="9" fillId="32" borderId="86" xfId="0" applyFont="1" applyFill="1" applyBorder="1" applyAlignment="1" applyProtection="1">
      <alignment horizontal="center" vertical="center" shrinkToFit="1"/>
      <protection locked="0"/>
    </xf>
    <xf numFmtId="0" fontId="5" fillId="36" borderId="28" xfId="0" applyNumberFormat="1" applyFont="1" applyFill="1" applyBorder="1" applyAlignment="1">
      <alignment horizontal="center" vertical="center"/>
    </xf>
    <xf numFmtId="0" fontId="9" fillId="32" borderId="49" xfId="0" applyFont="1" applyFill="1" applyBorder="1" applyAlignment="1" applyProtection="1">
      <alignment horizontal="center" vertical="center" shrinkToFit="1"/>
      <protection locked="0"/>
    </xf>
    <xf numFmtId="0" fontId="5" fillId="36" borderId="80" xfId="0" applyNumberFormat="1" applyFont="1" applyFill="1" applyBorder="1" applyAlignment="1">
      <alignment horizontal="center" vertical="center"/>
    </xf>
    <xf numFmtId="0" fontId="5" fillId="0" borderId="80" xfId="0" applyFont="1" applyFill="1" applyBorder="1" applyAlignment="1">
      <alignment horizontal="center" vertical="center"/>
    </xf>
    <xf numFmtId="177" fontId="5" fillId="0" borderId="59" xfId="0" applyNumberFormat="1" applyFont="1" applyFill="1" applyBorder="1" applyAlignment="1">
      <alignment vertical="center"/>
    </xf>
    <xf numFmtId="177" fontId="5" fillId="0" borderId="73" xfId="0" applyNumberFormat="1" applyFont="1" applyFill="1" applyBorder="1" applyAlignment="1">
      <alignment vertical="center"/>
    </xf>
    <xf numFmtId="0" fontId="9" fillId="32" borderId="80" xfId="0" applyFont="1" applyFill="1" applyBorder="1" applyAlignment="1" applyProtection="1">
      <alignment horizontal="center" vertical="center" shrinkToFit="1"/>
      <protection locked="0"/>
    </xf>
    <xf numFmtId="0" fontId="9" fillId="32" borderId="78" xfId="0" applyFont="1" applyFill="1" applyBorder="1" applyAlignment="1" applyProtection="1">
      <alignment horizontal="center" vertical="center" shrinkToFit="1"/>
      <protection locked="0"/>
    </xf>
    <xf numFmtId="0" fontId="9" fillId="32" borderId="82" xfId="0" applyFont="1" applyFill="1" applyBorder="1" applyAlignment="1" applyProtection="1">
      <alignment horizontal="center" vertical="center" shrinkToFit="1"/>
      <protection locked="0"/>
    </xf>
    <xf numFmtId="0" fontId="9" fillId="32" borderId="87" xfId="0" applyFont="1" applyFill="1" applyBorder="1" applyAlignment="1" applyProtection="1">
      <alignment horizontal="center" vertical="center" shrinkToFit="1"/>
      <protection locked="0"/>
    </xf>
    <xf numFmtId="176" fontId="5" fillId="36" borderId="39" xfId="0" applyNumberFormat="1" applyFont="1" applyFill="1" applyBorder="1" applyAlignment="1">
      <alignment horizontal="right" vertical="center"/>
    </xf>
    <xf numFmtId="177" fontId="5" fillId="0" borderId="35" xfId="0" applyNumberFormat="1" applyFont="1" applyFill="1" applyBorder="1" applyAlignment="1">
      <alignment horizontal="right" vertical="center"/>
    </xf>
    <xf numFmtId="0" fontId="4" fillId="0" borderId="0" xfId="65" applyFont="1" applyAlignment="1">
      <alignment/>
      <protection/>
    </xf>
    <xf numFmtId="0" fontId="6" fillId="0" borderId="0" xfId="65" applyAlignment="1">
      <alignment/>
      <protection/>
    </xf>
    <xf numFmtId="0" fontId="4" fillId="0" borderId="0" xfId="65" applyFont="1" applyAlignment="1">
      <alignment vertical="center"/>
      <protection/>
    </xf>
    <xf numFmtId="0" fontId="10" fillId="0" borderId="0" xfId="65" applyFont="1" applyAlignment="1">
      <alignment vertical="center"/>
      <protection/>
    </xf>
    <xf numFmtId="0" fontId="10" fillId="0" borderId="0" xfId="65" applyFont="1" applyFill="1" applyAlignment="1">
      <alignment vertical="center"/>
      <protection/>
    </xf>
    <xf numFmtId="0" fontId="34" fillId="0" borderId="0" xfId="65" applyFont="1" applyFill="1" applyAlignment="1">
      <alignment vertical="center"/>
      <protection/>
    </xf>
    <xf numFmtId="198" fontId="4" fillId="0" borderId="0" xfId="0" applyNumberFormat="1" applyFont="1" applyFill="1" applyAlignment="1">
      <alignment vertical="center" wrapText="1"/>
    </xf>
    <xf numFmtId="0" fontId="4" fillId="0" borderId="0" xfId="65" applyFont="1" applyFill="1" applyAlignment="1">
      <alignment vertical="center"/>
      <protection/>
    </xf>
    <xf numFmtId="0" fontId="10" fillId="0" borderId="0" xfId="65" applyFont="1" applyAlignment="1">
      <alignment horizontal="center" vertical="center"/>
      <protection/>
    </xf>
    <xf numFmtId="0" fontId="10" fillId="0" borderId="15"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13" xfId="0" applyFont="1" applyFill="1" applyBorder="1" applyAlignment="1">
      <alignment horizontal="right" vertical="center"/>
    </xf>
    <xf numFmtId="0" fontId="10" fillId="0" borderId="67" xfId="0" applyFont="1" applyFill="1" applyBorder="1" applyAlignment="1">
      <alignment horizontal="right" vertical="center"/>
    </xf>
    <xf numFmtId="0" fontId="10" fillId="0" borderId="67"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66"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23"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18" xfId="0" applyFont="1" applyFill="1" applyBorder="1" applyAlignment="1">
      <alignment horizontal="right" vertical="center"/>
    </xf>
    <xf numFmtId="0" fontId="10" fillId="0" borderId="34" xfId="0" applyFont="1" applyFill="1" applyBorder="1" applyAlignment="1">
      <alignment horizontal="right" vertical="center"/>
    </xf>
    <xf numFmtId="0" fontId="10" fillId="0" borderId="61"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0" fillId="0" borderId="32" xfId="0" applyFont="1" applyFill="1" applyBorder="1" applyAlignment="1" applyProtection="1">
      <alignment horizontal="center" vertical="center" shrinkToFit="1"/>
      <protection locked="0"/>
    </xf>
    <xf numFmtId="0" fontId="10" fillId="0" borderId="32" xfId="0" applyFont="1" applyFill="1" applyBorder="1" applyAlignment="1">
      <alignment horizontal="center" vertical="center"/>
    </xf>
    <xf numFmtId="0" fontId="10" fillId="0" borderId="24" xfId="0" applyFont="1" applyFill="1" applyBorder="1" applyAlignment="1">
      <alignment horizontal="center" vertical="center"/>
    </xf>
    <xf numFmtId="0" fontId="10" fillId="37" borderId="62" xfId="0" applyFont="1" applyFill="1" applyBorder="1" applyAlignment="1">
      <alignment horizontal="center" vertical="center" wrapText="1"/>
    </xf>
    <xf numFmtId="0" fontId="0" fillId="0" borderId="0" xfId="0" applyBorder="1" applyAlignment="1">
      <alignment vertical="center" shrinkToFit="1"/>
    </xf>
    <xf numFmtId="0" fontId="15" fillId="0" borderId="24" xfId="0" applyFont="1" applyFill="1" applyBorder="1" applyAlignment="1">
      <alignment horizontal="right" vertical="center"/>
    </xf>
    <xf numFmtId="38" fontId="15" fillId="3" borderId="0" xfId="49" applyFont="1" applyFill="1" applyBorder="1" applyAlignment="1">
      <alignment vertical="center"/>
    </xf>
    <xf numFmtId="0" fontId="14" fillId="0" borderId="0" xfId="0" applyFont="1" applyBorder="1" applyAlignment="1">
      <alignment horizontal="distributed" vertical="center"/>
    </xf>
    <xf numFmtId="0" fontId="15" fillId="0" borderId="0" xfId="0" applyFont="1" applyFill="1" applyBorder="1" applyAlignment="1">
      <alignment vertical="center" shrinkToFit="1"/>
    </xf>
    <xf numFmtId="38" fontId="15" fillId="3" borderId="49" xfId="49" applyFont="1" applyFill="1" applyBorder="1" applyAlignment="1">
      <alignment vertical="center"/>
    </xf>
    <xf numFmtId="38" fontId="15" fillId="3" borderId="48" xfId="49" applyFont="1" applyFill="1" applyBorder="1" applyAlignment="1">
      <alignment vertical="center"/>
    </xf>
    <xf numFmtId="0" fontId="9" fillId="0" borderId="0" xfId="65" applyFont="1" applyAlignment="1">
      <alignment horizontal="center" vertical="center"/>
      <protection/>
    </xf>
    <xf numFmtId="49" fontId="36" fillId="0" borderId="0" xfId="65" applyNumberFormat="1" applyFont="1" applyAlignment="1">
      <alignment horizontal="right" vertical="center"/>
      <protection/>
    </xf>
    <xf numFmtId="38" fontId="10" fillId="0" borderId="0" xfId="49" applyFont="1" applyFill="1" applyAlignment="1">
      <alignment horizontal="right" vertical="center"/>
    </xf>
    <xf numFmtId="38" fontId="34" fillId="0" borderId="0" xfId="49" applyFont="1" applyAlignment="1">
      <alignment horizontal="right"/>
    </xf>
    <xf numFmtId="38" fontId="34" fillId="0" borderId="0" xfId="49" applyFont="1" applyFill="1" applyAlignment="1">
      <alignment horizontal="right" vertical="center"/>
    </xf>
    <xf numFmtId="38" fontId="15" fillId="0" borderId="67" xfId="49" applyFont="1" applyFill="1" applyBorder="1" applyAlignment="1">
      <alignment vertical="center"/>
    </xf>
    <xf numFmtId="38" fontId="15" fillId="0" borderId="40" xfId="49" applyFont="1" applyFill="1" applyBorder="1" applyAlignment="1">
      <alignment vertical="center"/>
    </xf>
    <xf numFmtId="38" fontId="15" fillId="0" borderId="19" xfId="49" applyFont="1" applyFill="1" applyBorder="1" applyAlignment="1">
      <alignment vertical="center"/>
    </xf>
    <xf numFmtId="38" fontId="15" fillId="0" borderId="29" xfId="49" applyFont="1" applyFill="1" applyBorder="1" applyAlignment="1">
      <alignment vertical="center"/>
    </xf>
    <xf numFmtId="38" fontId="15" fillId="0" borderId="41" xfId="49" applyFont="1" applyFill="1" applyBorder="1" applyAlignment="1">
      <alignment vertical="center"/>
    </xf>
    <xf numFmtId="38" fontId="15" fillId="0" borderId="42" xfId="49" applyFont="1" applyFill="1" applyBorder="1" applyAlignment="1">
      <alignment vertical="center"/>
    </xf>
    <xf numFmtId="38" fontId="15" fillId="0" borderId="22" xfId="49" applyFont="1" applyFill="1" applyBorder="1" applyAlignment="1">
      <alignment vertical="center"/>
    </xf>
    <xf numFmtId="38" fontId="15" fillId="0" borderId="72" xfId="49" applyFont="1" applyFill="1" applyBorder="1" applyAlignment="1">
      <alignment vertical="center"/>
    </xf>
    <xf numFmtId="38" fontId="15" fillId="0" borderId="55" xfId="49" applyFont="1" applyBorder="1" applyAlignment="1">
      <alignment vertical="center"/>
    </xf>
    <xf numFmtId="38" fontId="15" fillId="0" borderId="53" xfId="49" applyFont="1" applyFill="1" applyBorder="1" applyAlignment="1">
      <alignment vertical="center"/>
    </xf>
    <xf numFmtId="38" fontId="15" fillId="0" borderId="55" xfId="49" applyFont="1" applyFill="1" applyBorder="1" applyAlignment="1">
      <alignment vertical="center"/>
    </xf>
    <xf numFmtId="38" fontId="15" fillId="0" borderId="83" xfId="49" applyFont="1" applyFill="1" applyBorder="1" applyAlignment="1">
      <alignment vertical="center"/>
    </xf>
    <xf numFmtId="38" fontId="15" fillId="0" borderId="75" xfId="49" applyFont="1" applyFill="1" applyBorder="1" applyAlignment="1">
      <alignment vertical="center"/>
    </xf>
    <xf numFmtId="38" fontId="15" fillId="0" borderId="21" xfId="49" applyFont="1" applyFill="1" applyBorder="1" applyAlignment="1">
      <alignment vertical="center"/>
    </xf>
    <xf numFmtId="38" fontId="15" fillId="0" borderId="38" xfId="49" applyFont="1" applyFill="1" applyBorder="1" applyAlignment="1">
      <alignment vertical="center"/>
    </xf>
    <xf numFmtId="38" fontId="15" fillId="0" borderId="79" xfId="49" applyFont="1" applyFill="1" applyBorder="1" applyAlignment="1">
      <alignment vertical="center"/>
    </xf>
    <xf numFmtId="38" fontId="15" fillId="0" borderId="67" xfId="49" applyFont="1" applyBorder="1" applyAlignment="1">
      <alignment vertical="center"/>
    </xf>
    <xf numFmtId="38" fontId="15" fillId="0" borderId="41" xfId="49" applyFont="1" applyBorder="1" applyAlignment="1">
      <alignment vertical="center"/>
    </xf>
    <xf numFmtId="38" fontId="15" fillId="3" borderId="86" xfId="49" applyFont="1" applyFill="1" applyBorder="1" applyAlignment="1">
      <alignment vertical="center"/>
    </xf>
    <xf numFmtId="38" fontId="15" fillId="35" borderId="67" xfId="49" applyFont="1" applyFill="1" applyBorder="1" applyAlignment="1">
      <alignment vertical="center"/>
    </xf>
    <xf numFmtId="38" fontId="15" fillId="35" borderId="40" xfId="49" applyFont="1" applyFill="1" applyBorder="1" applyAlignment="1">
      <alignment vertical="center"/>
    </xf>
    <xf numFmtId="38" fontId="15" fillId="35" borderId="41" xfId="49" applyFont="1" applyFill="1" applyBorder="1" applyAlignment="1">
      <alignment vertical="center"/>
    </xf>
    <xf numFmtId="38" fontId="15" fillId="35" borderId="42" xfId="49" applyFont="1" applyFill="1" applyBorder="1" applyAlignment="1">
      <alignment vertical="center"/>
    </xf>
    <xf numFmtId="38" fontId="15" fillId="35" borderId="79" xfId="49" applyFont="1" applyFill="1" applyBorder="1" applyAlignment="1">
      <alignment vertical="center"/>
    </xf>
    <xf numFmtId="38" fontId="15" fillId="35" borderId="86" xfId="49" applyFont="1" applyFill="1" applyBorder="1" applyAlignment="1">
      <alignment vertical="center"/>
    </xf>
    <xf numFmtId="0" fontId="10" fillId="38" borderId="13" xfId="0" applyFont="1" applyFill="1" applyBorder="1" applyAlignment="1">
      <alignment horizontal="center" vertical="center" wrapText="1"/>
    </xf>
    <xf numFmtId="0" fontId="10" fillId="38" borderId="15" xfId="0" applyFont="1" applyFill="1" applyBorder="1" applyAlignment="1">
      <alignment horizontal="center" vertical="center" wrapText="1"/>
    </xf>
    <xf numFmtId="0" fontId="10" fillId="38" borderId="0" xfId="0" applyFont="1" applyFill="1" applyBorder="1" applyAlignment="1">
      <alignment horizontal="right" vertical="center"/>
    </xf>
    <xf numFmtId="38" fontId="15" fillId="38" borderId="48" xfId="49" applyFont="1" applyFill="1" applyBorder="1" applyAlignment="1">
      <alignment vertical="center"/>
    </xf>
    <xf numFmtId="38" fontId="15" fillId="38" borderId="49" xfId="49" applyFont="1" applyFill="1" applyBorder="1" applyAlignment="1">
      <alignment vertical="center"/>
    </xf>
    <xf numFmtId="38" fontId="15" fillId="38" borderId="56" xfId="49" applyFont="1" applyFill="1" applyBorder="1" applyAlignment="1">
      <alignment vertical="center"/>
    </xf>
    <xf numFmtId="38" fontId="15" fillId="38" borderId="47" xfId="49" applyFont="1" applyFill="1" applyBorder="1" applyAlignment="1">
      <alignment vertical="center"/>
    </xf>
    <xf numFmtId="38" fontId="15" fillId="35" borderId="13" xfId="49" applyFont="1" applyFill="1" applyBorder="1" applyAlignment="1">
      <alignment vertical="center"/>
    </xf>
    <xf numFmtId="38" fontId="15" fillId="0" borderId="65" xfId="49" applyFont="1" applyFill="1" applyBorder="1" applyAlignment="1">
      <alignment vertical="center"/>
    </xf>
    <xf numFmtId="38" fontId="15" fillId="0" borderId="88" xfId="49" applyFont="1" applyFill="1" applyBorder="1" applyAlignment="1">
      <alignment vertical="center"/>
    </xf>
    <xf numFmtId="38" fontId="15" fillId="0" borderId="23" xfId="49" applyFont="1" applyFill="1" applyBorder="1" applyAlignment="1">
      <alignment horizontal="right" vertical="center"/>
    </xf>
    <xf numFmtId="38" fontId="15" fillId="0" borderId="58" xfId="49" applyFont="1" applyFill="1" applyBorder="1" applyAlignment="1">
      <alignment vertical="center"/>
    </xf>
    <xf numFmtId="38" fontId="15" fillId="0" borderId="13" xfId="49" applyFont="1" applyFill="1" applyBorder="1" applyAlignment="1">
      <alignment vertical="center"/>
    </xf>
    <xf numFmtId="38" fontId="15" fillId="0" borderId="23" xfId="49" applyFont="1" applyFill="1" applyBorder="1" applyAlignment="1">
      <alignment vertical="center"/>
    </xf>
    <xf numFmtId="38" fontId="15" fillId="0" borderId="57" xfId="49" applyFont="1" applyFill="1" applyBorder="1" applyAlignment="1">
      <alignment vertical="center"/>
    </xf>
    <xf numFmtId="38" fontId="15" fillId="0" borderId="32" xfId="49" applyFont="1" applyFill="1" applyBorder="1" applyAlignment="1">
      <alignment vertical="center"/>
    </xf>
    <xf numFmtId="177" fontId="5" fillId="0" borderId="71" xfId="0" applyNumberFormat="1" applyFont="1" applyFill="1" applyBorder="1" applyAlignment="1">
      <alignment horizontal="right" vertical="center"/>
    </xf>
    <xf numFmtId="176" fontId="5" fillId="36" borderId="67" xfId="0" applyNumberFormat="1" applyFont="1" applyFill="1" applyBorder="1" applyAlignment="1">
      <alignment horizontal="right" vertical="center"/>
    </xf>
    <xf numFmtId="176" fontId="5" fillId="0" borderId="89" xfId="0" applyNumberFormat="1" applyFont="1" applyFill="1" applyBorder="1" applyAlignment="1">
      <alignment horizontal="right" vertical="center"/>
    </xf>
    <xf numFmtId="38" fontId="9" fillId="32" borderId="65" xfId="49" applyFont="1" applyFill="1" applyBorder="1" applyAlignment="1" applyProtection="1">
      <alignment vertical="center"/>
      <protection locked="0"/>
    </xf>
    <xf numFmtId="38" fontId="9" fillId="32" borderId="67" xfId="49" applyFont="1" applyFill="1" applyBorder="1" applyAlignment="1" applyProtection="1">
      <alignment vertical="center"/>
      <protection locked="0"/>
    </xf>
    <xf numFmtId="38" fontId="9" fillId="32" borderId="57" xfId="49" applyFont="1" applyFill="1" applyBorder="1" applyAlignment="1" applyProtection="1">
      <alignment vertical="center"/>
      <protection locked="0"/>
    </xf>
    <xf numFmtId="38" fontId="9" fillId="32" borderId="54" xfId="49" applyFont="1" applyFill="1" applyBorder="1" applyAlignment="1" applyProtection="1">
      <alignment vertical="center"/>
      <protection locked="0"/>
    </xf>
    <xf numFmtId="38" fontId="9" fillId="32" borderId="25" xfId="49" applyFont="1" applyFill="1" applyBorder="1" applyAlignment="1" applyProtection="1">
      <alignment horizontal="right" vertical="center"/>
      <protection locked="0"/>
    </xf>
    <xf numFmtId="38" fontId="9" fillId="32" borderId="27" xfId="49" applyFont="1" applyFill="1" applyBorder="1" applyAlignment="1" applyProtection="1">
      <alignment horizontal="right" vertical="center"/>
      <protection locked="0"/>
    </xf>
    <xf numFmtId="38" fontId="9" fillId="32" borderId="70" xfId="49" applyFont="1" applyFill="1" applyBorder="1" applyAlignment="1" applyProtection="1">
      <alignment horizontal="right" vertical="center"/>
      <protection locked="0"/>
    </xf>
    <xf numFmtId="38" fontId="74" fillId="0" borderId="23" xfId="49" applyFont="1" applyFill="1" applyBorder="1" applyAlignment="1">
      <alignment vertical="center"/>
    </xf>
    <xf numFmtId="38" fontId="9" fillId="32" borderId="10" xfId="49" applyFont="1" applyFill="1" applyBorder="1" applyAlignment="1">
      <alignment vertical="center"/>
    </xf>
    <xf numFmtId="38" fontId="74" fillId="0" borderId="19" xfId="49" applyFont="1" applyFill="1" applyBorder="1" applyAlignment="1">
      <alignment vertical="center"/>
    </xf>
    <xf numFmtId="38" fontId="9" fillId="32" borderId="49" xfId="49" applyFont="1" applyFill="1" applyBorder="1" applyAlignment="1">
      <alignment vertical="center"/>
    </xf>
    <xf numFmtId="38" fontId="74" fillId="0" borderId="22" xfId="49" applyFont="1" applyFill="1" applyBorder="1" applyAlignment="1">
      <alignment vertical="center"/>
    </xf>
    <xf numFmtId="38" fontId="9" fillId="32" borderId="89" xfId="49" applyFont="1" applyFill="1" applyBorder="1" applyAlignment="1">
      <alignment vertical="center"/>
    </xf>
    <xf numFmtId="38" fontId="74" fillId="0" borderId="81" xfId="49" applyFont="1" applyFill="1" applyBorder="1" applyAlignment="1">
      <alignment vertical="center"/>
    </xf>
    <xf numFmtId="38" fontId="74" fillId="0" borderId="18" xfId="49" applyFont="1" applyFill="1" applyBorder="1" applyAlignment="1">
      <alignment vertical="center"/>
    </xf>
    <xf numFmtId="38" fontId="74" fillId="0" borderId="11" xfId="49" applyFont="1" applyFill="1" applyBorder="1" applyAlignment="1">
      <alignment vertical="center"/>
    </xf>
    <xf numFmtId="38" fontId="74" fillId="0" borderId="65" xfId="49" applyFont="1" applyFill="1" applyBorder="1" applyAlignment="1">
      <alignment vertical="center"/>
    </xf>
    <xf numFmtId="38" fontId="74" fillId="0" borderId="42" xfId="49" applyFont="1" applyFill="1" applyBorder="1" applyAlignment="1">
      <alignment vertical="center"/>
    </xf>
    <xf numFmtId="38" fontId="74" fillId="0" borderId="62" xfId="49" applyFont="1" applyFill="1" applyBorder="1" applyAlignment="1">
      <alignment vertical="center"/>
    </xf>
    <xf numFmtId="38" fontId="9" fillId="0" borderId="56" xfId="49" applyFont="1" applyFill="1" applyBorder="1" applyAlignment="1">
      <alignment horizontal="right" vertical="center" shrinkToFit="1"/>
    </xf>
    <xf numFmtId="38" fontId="9" fillId="0" borderId="75" xfId="49" applyFont="1" applyFill="1" applyBorder="1" applyAlignment="1">
      <alignment horizontal="center" vertical="center" shrinkToFit="1"/>
    </xf>
    <xf numFmtId="38" fontId="9" fillId="0" borderId="75" xfId="49" applyFont="1" applyFill="1" applyBorder="1" applyAlignment="1">
      <alignment horizontal="right" vertical="center" shrinkToFit="1"/>
    </xf>
    <xf numFmtId="38" fontId="9" fillId="0" borderId="56" xfId="49" applyFont="1" applyFill="1" applyBorder="1" applyAlignment="1">
      <alignment horizontal="center" vertical="center" shrinkToFit="1"/>
    </xf>
    <xf numFmtId="38" fontId="5" fillId="0" borderId="34" xfId="49" applyFont="1" applyFill="1" applyBorder="1" applyAlignment="1">
      <alignment horizontal="right" vertical="center"/>
    </xf>
    <xf numFmtId="38" fontId="5" fillId="0" borderId="29" xfId="49" applyFont="1" applyFill="1" applyBorder="1" applyAlignment="1">
      <alignment horizontal="right" vertical="center"/>
    </xf>
    <xf numFmtId="38" fontId="5" fillId="0" borderId="59" xfId="49" applyFont="1" applyFill="1" applyBorder="1" applyAlignment="1">
      <alignment horizontal="right" vertical="center"/>
    </xf>
    <xf numFmtId="38" fontId="5" fillId="0" borderId="12" xfId="49" applyFont="1" applyFill="1" applyBorder="1" applyAlignment="1">
      <alignment vertical="center"/>
    </xf>
    <xf numFmtId="38" fontId="5" fillId="0" borderId="67" xfId="49" applyFont="1" applyFill="1" applyBorder="1" applyAlignment="1">
      <alignment vertical="center"/>
    </xf>
    <xf numFmtId="38" fontId="5" fillId="0" borderId="0" xfId="49" applyFont="1" applyFill="1" applyBorder="1" applyAlignment="1">
      <alignment vertical="center"/>
    </xf>
    <xf numFmtId="38" fontId="5" fillId="0" borderId="35" xfId="49" applyFont="1" applyFill="1" applyBorder="1" applyAlignment="1">
      <alignment vertical="center"/>
    </xf>
    <xf numFmtId="38" fontId="5" fillId="0" borderId="25" xfId="49" applyFont="1" applyFill="1" applyBorder="1" applyAlignment="1">
      <alignment vertical="center"/>
    </xf>
    <xf numFmtId="38" fontId="9" fillId="32" borderId="25" xfId="49" applyFont="1" applyFill="1" applyBorder="1" applyAlignment="1" applyProtection="1">
      <alignment vertical="center"/>
      <protection locked="0"/>
    </xf>
    <xf numFmtId="38" fontId="74" fillId="32" borderId="27" xfId="49" applyFont="1" applyFill="1" applyBorder="1" applyAlignment="1" applyProtection="1">
      <alignment vertical="center"/>
      <protection locked="0"/>
    </xf>
    <xf numFmtId="38" fontId="5" fillId="3" borderId="12" xfId="49" applyFont="1" applyFill="1" applyBorder="1" applyAlignment="1">
      <alignment vertical="center"/>
    </xf>
    <xf numFmtId="38" fontId="5" fillId="0" borderId="28" xfId="49" applyFont="1" applyFill="1" applyBorder="1" applyAlignment="1">
      <alignment vertical="center"/>
    </xf>
    <xf numFmtId="38" fontId="5" fillId="0" borderId="41" xfId="49" applyFont="1" applyFill="1" applyBorder="1" applyAlignment="1">
      <alignment vertical="center"/>
    </xf>
    <xf numFmtId="38" fontId="5" fillId="0" borderId="49" xfId="49" applyFont="1" applyFill="1" applyBorder="1" applyAlignment="1">
      <alignment vertical="center"/>
    </xf>
    <xf numFmtId="38" fontId="5" fillId="0" borderId="27" xfId="49" applyFont="1" applyFill="1" applyBorder="1" applyAlignment="1">
      <alignment vertical="center"/>
    </xf>
    <xf numFmtId="38" fontId="9" fillId="32" borderId="27" xfId="49" applyFont="1" applyFill="1" applyBorder="1" applyAlignment="1" applyProtection="1">
      <alignment vertical="center"/>
      <protection locked="0"/>
    </xf>
    <xf numFmtId="38" fontId="5" fillId="3" borderId="28" xfId="49" applyFont="1" applyFill="1" applyBorder="1" applyAlignment="1">
      <alignment vertical="center"/>
    </xf>
    <xf numFmtId="38" fontId="5" fillId="0" borderId="73" xfId="49" applyFont="1" applyFill="1" applyBorder="1" applyAlignment="1">
      <alignment vertical="center"/>
    </xf>
    <xf numFmtId="38" fontId="5" fillId="0" borderId="43" xfId="49" applyFont="1" applyFill="1" applyBorder="1" applyAlignment="1">
      <alignment vertical="center" shrinkToFit="1"/>
    </xf>
    <xf numFmtId="38" fontId="5" fillId="0" borderId="55" xfId="49" applyFont="1" applyFill="1" applyBorder="1" applyAlignment="1">
      <alignment vertical="center" shrinkToFit="1"/>
    </xf>
    <xf numFmtId="38" fontId="5" fillId="0" borderId="53" xfId="49" applyFont="1" applyFill="1" applyBorder="1" applyAlignment="1">
      <alignment vertical="center" shrinkToFit="1"/>
    </xf>
    <xf numFmtId="38" fontId="5" fillId="0" borderId="20" xfId="49" applyFont="1" applyFill="1" applyBorder="1" applyAlignment="1">
      <alignment vertical="center" shrinkToFit="1"/>
    </xf>
    <xf numFmtId="38" fontId="5" fillId="3" borderId="20" xfId="49" applyFont="1" applyFill="1" applyBorder="1" applyAlignment="1">
      <alignment vertical="center" shrinkToFit="1"/>
    </xf>
    <xf numFmtId="38" fontId="5" fillId="0" borderId="33" xfId="49" applyFont="1" applyFill="1" applyBorder="1" applyAlignment="1">
      <alignment horizontal="right" vertical="center"/>
    </xf>
    <xf numFmtId="38" fontId="5" fillId="0" borderId="33" xfId="49" applyFont="1" applyFill="1" applyBorder="1" applyAlignment="1">
      <alignment horizontal="center" vertical="center"/>
    </xf>
    <xf numFmtId="38" fontId="9" fillId="32" borderId="33" xfId="49" applyFont="1" applyFill="1" applyBorder="1" applyAlignment="1" applyProtection="1">
      <alignment horizontal="center" vertical="center" shrinkToFit="1"/>
      <protection locked="0"/>
    </xf>
    <xf numFmtId="38" fontId="9" fillId="32" borderId="36" xfId="49" applyFont="1" applyFill="1" applyBorder="1" applyAlignment="1" applyProtection="1">
      <alignment horizontal="center" vertical="center" shrinkToFit="1"/>
      <protection locked="0"/>
    </xf>
    <xf numFmtId="38" fontId="9" fillId="32" borderId="47" xfId="49" applyFont="1" applyFill="1" applyBorder="1" applyAlignment="1" applyProtection="1">
      <alignment horizontal="center" vertical="center" shrinkToFit="1"/>
      <protection locked="0"/>
    </xf>
    <xf numFmtId="38" fontId="5" fillId="33" borderId="33" xfId="49" applyFont="1" applyFill="1" applyBorder="1" applyAlignment="1">
      <alignment horizontal="center" vertical="center"/>
    </xf>
    <xf numFmtId="38" fontId="5" fillId="33" borderId="44" xfId="49" applyFont="1" applyFill="1" applyBorder="1" applyAlignment="1">
      <alignment horizontal="center" vertical="center"/>
    </xf>
    <xf numFmtId="38" fontId="5" fillId="33" borderId="34" xfId="49" applyFont="1" applyFill="1" applyBorder="1" applyAlignment="1">
      <alignment horizontal="center" vertical="center"/>
    </xf>
    <xf numFmtId="38" fontId="5" fillId="33" borderId="18" xfId="49" applyFont="1" applyFill="1" applyBorder="1" applyAlignment="1">
      <alignment horizontal="center" vertical="center"/>
    </xf>
    <xf numFmtId="38" fontId="5" fillId="33" borderId="47" xfId="49" applyFont="1" applyFill="1" applyBorder="1" applyAlignment="1">
      <alignment horizontal="center" vertical="center"/>
    </xf>
    <xf numFmtId="38" fontId="5" fillId="33" borderId="86" xfId="49" applyFont="1" applyFill="1" applyBorder="1" applyAlignment="1">
      <alignment horizontal="center" vertical="center"/>
    </xf>
    <xf numFmtId="38" fontId="5" fillId="0" borderId="33" xfId="49" applyFont="1" applyFill="1" applyBorder="1" applyAlignment="1">
      <alignment vertical="center"/>
    </xf>
    <xf numFmtId="38" fontId="5" fillId="0" borderId="12" xfId="49" applyFont="1" applyFill="1" applyBorder="1" applyAlignment="1">
      <alignment horizontal="right" vertical="center"/>
    </xf>
    <xf numFmtId="38" fontId="5" fillId="0" borderId="37" xfId="49" applyFont="1" applyFill="1" applyBorder="1" applyAlignment="1">
      <alignment horizontal="center" vertical="center"/>
    </xf>
    <xf numFmtId="38" fontId="5" fillId="0" borderId="38" xfId="49" applyFont="1" applyFill="1" applyBorder="1" applyAlignment="1">
      <alignment horizontal="right" vertical="center"/>
    </xf>
    <xf numFmtId="38" fontId="5" fillId="0" borderId="26" xfId="49" applyFont="1" applyFill="1" applyBorder="1" applyAlignment="1">
      <alignment vertical="center"/>
    </xf>
    <xf numFmtId="38" fontId="9" fillId="32" borderId="37" xfId="49" applyFont="1" applyFill="1" applyBorder="1" applyAlignment="1" applyProtection="1">
      <alignment horizontal="center" vertical="center" shrinkToFit="1"/>
      <protection locked="0"/>
    </xf>
    <xf numFmtId="38" fontId="9" fillId="32" borderId="39" xfId="49" applyFont="1" applyFill="1" applyBorder="1" applyAlignment="1" applyProtection="1">
      <alignment horizontal="center" vertical="center" shrinkToFit="1"/>
      <protection locked="0"/>
    </xf>
    <xf numFmtId="38" fontId="9" fillId="32" borderId="40" xfId="49" applyFont="1" applyFill="1" applyBorder="1" applyAlignment="1" applyProtection="1">
      <alignment horizontal="center" vertical="center" shrinkToFit="1"/>
      <protection locked="0"/>
    </xf>
    <xf numFmtId="38" fontId="5" fillId="33" borderId="37" xfId="49" applyFont="1" applyFill="1" applyBorder="1" applyAlignment="1">
      <alignment horizontal="center" vertical="center"/>
    </xf>
    <xf numFmtId="38" fontId="5" fillId="33" borderId="45" xfId="49" applyFont="1" applyFill="1" applyBorder="1" applyAlignment="1">
      <alignment horizontal="center" vertical="center"/>
    </xf>
    <xf numFmtId="38" fontId="5" fillId="33" borderId="38" xfId="49" applyFont="1" applyFill="1" applyBorder="1" applyAlignment="1">
      <alignment horizontal="center" vertical="center"/>
    </xf>
    <xf numFmtId="38" fontId="5" fillId="33" borderId="19" xfId="49" applyFont="1" applyFill="1" applyBorder="1" applyAlignment="1">
      <alignment horizontal="center" vertical="center"/>
    </xf>
    <xf numFmtId="38" fontId="5" fillId="33" borderId="49" xfId="49" applyFont="1" applyFill="1" applyBorder="1" applyAlignment="1">
      <alignment horizontal="center" vertical="center"/>
    </xf>
    <xf numFmtId="38" fontId="5" fillId="33" borderId="42" xfId="49" applyFont="1" applyFill="1" applyBorder="1" applyAlignment="1">
      <alignment horizontal="center" vertical="center"/>
    </xf>
    <xf numFmtId="38" fontId="5" fillId="0" borderId="37" xfId="49" applyFont="1" applyFill="1" applyBorder="1" applyAlignment="1">
      <alignment vertical="center"/>
    </xf>
    <xf numFmtId="38" fontId="5" fillId="0" borderId="28" xfId="49" applyFont="1" applyFill="1" applyBorder="1" applyAlignment="1">
      <alignment horizontal="right" vertical="center"/>
    </xf>
    <xf numFmtId="38" fontId="5" fillId="0" borderId="28" xfId="49" applyFont="1" applyFill="1" applyBorder="1" applyAlignment="1">
      <alignment horizontal="center" vertical="center"/>
    </xf>
    <xf numFmtId="38" fontId="9" fillId="32" borderId="28" xfId="49" applyFont="1" applyFill="1" applyBorder="1" applyAlignment="1" applyProtection="1">
      <alignment horizontal="center" vertical="center" shrinkToFit="1"/>
      <protection locked="0"/>
    </xf>
    <xf numFmtId="38" fontId="9" fillId="32" borderId="41" xfId="49" applyFont="1" applyFill="1" applyBorder="1" applyAlignment="1" applyProtection="1">
      <alignment horizontal="center" vertical="center" shrinkToFit="1"/>
      <protection locked="0"/>
    </xf>
    <xf numFmtId="38" fontId="9" fillId="32" borderId="42" xfId="49" applyFont="1" applyFill="1" applyBorder="1" applyAlignment="1" applyProtection="1">
      <alignment horizontal="center" vertical="center" shrinkToFit="1"/>
      <protection locked="0"/>
    </xf>
    <xf numFmtId="38" fontId="5" fillId="33" borderId="28" xfId="49" applyFont="1" applyFill="1" applyBorder="1" applyAlignment="1">
      <alignment horizontal="center" vertical="center"/>
    </xf>
    <xf numFmtId="38" fontId="5" fillId="33" borderId="46" xfId="49" applyFont="1" applyFill="1" applyBorder="1" applyAlignment="1">
      <alignment horizontal="center" vertical="center"/>
    </xf>
    <xf numFmtId="38" fontId="5" fillId="33" borderId="29" xfId="49" applyFont="1" applyFill="1" applyBorder="1" applyAlignment="1">
      <alignment horizontal="center" vertical="center"/>
    </xf>
    <xf numFmtId="38" fontId="5" fillId="33" borderId="81" xfId="49" applyFont="1" applyFill="1" applyBorder="1" applyAlignment="1">
      <alignment horizontal="center" vertical="center"/>
    </xf>
    <xf numFmtId="38" fontId="5" fillId="33" borderId="82" xfId="49" applyFont="1" applyFill="1" applyBorder="1" applyAlignment="1">
      <alignment horizontal="center" vertical="center"/>
    </xf>
    <xf numFmtId="38" fontId="5" fillId="33" borderId="87" xfId="49" applyFont="1" applyFill="1" applyBorder="1" applyAlignment="1">
      <alignment horizontal="center" vertical="center"/>
    </xf>
    <xf numFmtId="38" fontId="9" fillId="0" borderId="55" xfId="49" applyFont="1" applyFill="1" applyBorder="1" applyAlignment="1">
      <alignment horizontal="center" vertical="center" shrinkToFit="1"/>
    </xf>
    <xf numFmtId="38" fontId="9" fillId="35" borderId="33" xfId="49" applyFont="1" applyFill="1" applyBorder="1" applyAlignment="1" applyProtection="1">
      <alignment horizontal="center" vertical="center"/>
      <protection locked="0"/>
    </xf>
    <xf numFmtId="38" fontId="31" fillId="32" borderId="36" xfId="49" applyFont="1" applyFill="1" applyBorder="1" applyAlignment="1" applyProtection="1">
      <alignment horizontal="right" vertical="center" shrinkToFit="1"/>
      <protection locked="0"/>
    </xf>
    <xf numFmtId="38" fontId="9" fillId="35" borderId="28" xfId="49" applyFont="1" applyFill="1" applyBorder="1" applyAlignment="1" applyProtection="1">
      <alignment horizontal="center" vertical="center"/>
      <protection locked="0"/>
    </xf>
    <xf numFmtId="38" fontId="9" fillId="32" borderId="36" xfId="49" applyFont="1" applyFill="1" applyBorder="1" applyAlignment="1" applyProtection="1">
      <alignment horizontal="right" vertical="center"/>
      <protection locked="0"/>
    </xf>
    <xf numFmtId="38" fontId="31" fillId="32" borderId="41" xfId="49" applyFont="1" applyFill="1" applyBorder="1" applyAlignment="1" applyProtection="1">
      <alignment horizontal="right" vertical="center" shrinkToFit="1"/>
      <protection locked="0"/>
    </xf>
    <xf numFmtId="38" fontId="9" fillId="32" borderId="41" xfId="49" applyFont="1" applyFill="1" applyBorder="1" applyAlignment="1" applyProtection="1">
      <alignment horizontal="right" vertical="center"/>
      <protection locked="0"/>
    </xf>
    <xf numFmtId="38" fontId="9" fillId="35" borderId="71" xfId="49" applyFont="1" applyFill="1" applyBorder="1" applyAlignment="1" applyProtection="1">
      <alignment horizontal="center" vertical="center"/>
      <protection locked="0"/>
    </xf>
    <xf numFmtId="38" fontId="31" fillId="32" borderId="78" xfId="49" applyFont="1" applyFill="1" applyBorder="1" applyAlignment="1" applyProtection="1">
      <alignment horizontal="right" vertical="center" shrinkToFit="1"/>
      <protection locked="0"/>
    </xf>
    <xf numFmtId="38" fontId="9" fillId="32" borderId="78" xfId="49" applyFont="1" applyFill="1" applyBorder="1" applyAlignment="1" applyProtection="1">
      <alignment horizontal="right" vertical="center"/>
      <protection locked="0"/>
    </xf>
    <xf numFmtId="38" fontId="5" fillId="33" borderId="50" xfId="49" applyFont="1" applyFill="1" applyBorder="1" applyAlignment="1">
      <alignment horizontal="center" vertical="center"/>
    </xf>
    <xf numFmtId="38" fontId="5" fillId="33" borderId="51" xfId="49" applyFont="1" applyFill="1" applyBorder="1" applyAlignment="1">
      <alignment horizontal="center" vertical="center"/>
    </xf>
    <xf numFmtId="38" fontId="5" fillId="33" borderId="48" xfId="49" applyFont="1" applyFill="1" applyBorder="1" applyAlignment="1">
      <alignment horizontal="center" vertical="center"/>
    </xf>
    <xf numFmtId="38" fontId="5" fillId="33" borderId="21" xfId="49" applyFont="1" applyFill="1" applyBorder="1" applyAlignment="1">
      <alignment horizontal="center" vertical="center"/>
    </xf>
    <xf numFmtId="38" fontId="5" fillId="33" borderId="40" xfId="49" applyFont="1" applyFill="1" applyBorder="1" applyAlignment="1">
      <alignment horizontal="center" vertical="center"/>
    </xf>
    <xf numFmtId="38" fontId="5" fillId="33" borderId="52" xfId="49" applyFont="1" applyFill="1" applyBorder="1" applyAlignment="1">
      <alignment horizontal="center" vertical="center"/>
    </xf>
    <xf numFmtId="38" fontId="5" fillId="0" borderId="43" xfId="49" applyFont="1" applyFill="1" applyBorder="1" applyAlignment="1">
      <alignment horizontal="center" vertical="center" shrinkToFit="1"/>
    </xf>
    <xf numFmtId="38" fontId="5" fillId="0" borderId="55" xfId="49" applyFont="1" applyFill="1" applyBorder="1" applyAlignment="1">
      <alignment horizontal="center" vertical="center" shrinkToFit="1"/>
    </xf>
    <xf numFmtId="38" fontId="5" fillId="0" borderId="53" xfId="49" applyFont="1" applyFill="1" applyBorder="1" applyAlignment="1">
      <alignment horizontal="center" vertical="center" shrinkToFit="1"/>
    </xf>
    <xf numFmtId="38" fontId="5" fillId="0" borderId="74" xfId="49" applyFont="1" applyFill="1" applyBorder="1" applyAlignment="1">
      <alignment horizontal="center" vertical="center" shrinkToFit="1"/>
    </xf>
    <xf numFmtId="38" fontId="5" fillId="0" borderId="75" xfId="49" applyFont="1" applyFill="1" applyBorder="1" applyAlignment="1">
      <alignment horizontal="center" vertical="center" shrinkToFit="1"/>
    </xf>
    <xf numFmtId="38" fontId="5" fillId="0" borderId="76" xfId="49" applyFont="1" applyFill="1" applyBorder="1" applyAlignment="1">
      <alignment horizontal="center" vertical="center" shrinkToFit="1"/>
    </xf>
    <xf numFmtId="38" fontId="5" fillId="0" borderId="56" xfId="49" applyFont="1" applyFill="1" applyBorder="1" applyAlignment="1">
      <alignment horizontal="center" vertical="center" shrinkToFit="1"/>
    </xf>
    <xf numFmtId="38" fontId="5" fillId="0" borderId="83" xfId="49" applyFont="1" applyFill="1" applyBorder="1" applyAlignment="1">
      <alignment horizontal="center" vertical="center" shrinkToFit="1"/>
    </xf>
    <xf numFmtId="38" fontId="9" fillId="35" borderId="25" xfId="49" applyFont="1" applyFill="1" applyBorder="1" applyAlignment="1" applyProtection="1">
      <alignment horizontal="center" vertical="center"/>
      <protection locked="0"/>
    </xf>
    <xf numFmtId="38" fontId="31" fillId="32" borderId="47" xfId="49" applyFont="1" applyFill="1" applyBorder="1" applyAlignment="1" applyProtection="1">
      <alignment horizontal="right" vertical="center" shrinkToFit="1"/>
      <protection locked="0"/>
    </xf>
    <xf numFmtId="38" fontId="9" fillId="35" borderId="35" xfId="49" applyFont="1" applyFill="1" applyBorder="1" applyAlignment="1" applyProtection="1">
      <alignment horizontal="center" vertical="center"/>
      <protection locked="0"/>
    </xf>
    <xf numFmtId="38" fontId="9" fillId="32" borderId="47" xfId="49" applyFont="1" applyFill="1" applyBorder="1" applyAlignment="1" applyProtection="1">
      <alignment horizontal="right" vertical="center"/>
      <protection locked="0"/>
    </xf>
    <xf numFmtId="38" fontId="9" fillId="35" borderId="27" xfId="49" applyFont="1" applyFill="1" applyBorder="1" applyAlignment="1" applyProtection="1">
      <alignment horizontal="center" vertical="center"/>
      <protection locked="0"/>
    </xf>
    <xf numFmtId="38" fontId="31" fillId="32" borderId="49" xfId="49" applyFont="1" applyFill="1" applyBorder="1" applyAlignment="1" applyProtection="1">
      <alignment horizontal="right" vertical="center" shrinkToFit="1"/>
      <protection locked="0"/>
    </xf>
    <xf numFmtId="38" fontId="9" fillId="32" borderId="49" xfId="49" applyFont="1" applyFill="1" applyBorder="1" applyAlignment="1" applyProtection="1">
      <alignment horizontal="right" vertical="center"/>
      <protection locked="0"/>
    </xf>
    <xf numFmtId="38" fontId="9" fillId="35" borderId="73" xfId="49" applyFont="1" applyFill="1" applyBorder="1" applyAlignment="1" applyProtection="1">
      <alignment horizontal="center" vertical="center"/>
      <protection locked="0"/>
    </xf>
    <xf numFmtId="38" fontId="31" fillId="32" borderId="82" xfId="49" applyFont="1" applyFill="1" applyBorder="1" applyAlignment="1" applyProtection="1">
      <alignment horizontal="right" vertical="center" shrinkToFit="1"/>
      <protection locked="0"/>
    </xf>
    <xf numFmtId="38" fontId="9" fillId="32" borderId="82" xfId="49" applyFont="1" applyFill="1" applyBorder="1" applyAlignment="1" applyProtection="1">
      <alignment horizontal="right" vertical="center"/>
      <protection locked="0"/>
    </xf>
    <xf numFmtId="38" fontId="9" fillId="0" borderId="14" xfId="49" applyFont="1" applyFill="1" applyBorder="1" applyAlignment="1">
      <alignment horizontal="center" vertical="center" shrinkToFit="1"/>
    </xf>
    <xf numFmtId="38" fontId="5" fillId="33" borderId="80" xfId="49" applyFont="1" applyFill="1" applyBorder="1" applyAlignment="1">
      <alignment horizontal="center" vertical="center"/>
    </xf>
    <xf numFmtId="38" fontId="5" fillId="33" borderId="90" xfId="49" applyFont="1" applyFill="1" applyBorder="1" applyAlignment="1">
      <alignment horizontal="center" vertical="center"/>
    </xf>
    <xf numFmtId="38" fontId="5" fillId="33" borderId="59" xfId="49" applyFont="1" applyFill="1" applyBorder="1" applyAlignment="1">
      <alignment horizontal="center" vertical="center"/>
    </xf>
    <xf numFmtId="0" fontId="18" fillId="0" borderId="28" xfId="0" applyFont="1" applyFill="1" applyBorder="1" applyAlignment="1" applyProtection="1">
      <alignment vertical="center" shrinkToFit="1"/>
      <protection/>
    </xf>
    <xf numFmtId="0" fontId="18" fillId="0" borderId="49" xfId="0" applyFont="1" applyFill="1" applyBorder="1" applyAlignment="1" applyProtection="1">
      <alignment vertical="center" shrinkToFit="1"/>
      <protection/>
    </xf>
    <xf numFmtId="0" fontId="18" fillId="0" borderId="42" xfId="0" applyFont="1" applyFill="1" applyBorder="1" applyAlignment="1" applyProtection="1">
      <alignment vertical="center" shrinkToFit="1"/>
      <protection/>
    </xf>
    <xf numFmtId="38" fontId="5" fillId="0" borderId="13" xfId="49" applyFont="1" applyFill="1" applyBorder="1" applyAlignment="1" applyProtection="1">
      <alignment vertical="center"/>
      <protection/>
    </xf>
    <xf numFmtId="38" fontId="5" fillId="0" borderId="64" xfId="49" applyFont="1" applyFill="1" applyBorder="1" applyAlignment="1">
      <alignment vertical="center"/>
    </xf>
    <xf numFmtId="38" fontId="5" fillId="0" borderId="64" xfId="49" applyFont="1" applyFill="1" applyBorder="1" applyAlignment="1" applyProtection="1">
      <alignment vertical="center"/>
      <protection/>
    </xf>
    <xf numFmtId="38" fontId="5" fillId="0" borderId="15" xfId="49" applyFont="1" applyFill="1" applyBorder="1" applyAlignment="1" applyProtection="1">
      <alignment vertical="center"/>
      <protection/>
    </xf>
    <xf numFmtId="38" fontId="5" fillId="0" borderId="24" xfId="49" applyFont="1" applyFill="1" applyBorder="1" applyAlignment="1">
      <alignment vertical="center"/>
    </xf>
    <xf numFmtId="38" fontId="5" fillId="0" borderId="24" xfId="49" applyFont="1" applyFill="1" applyBorder="1" applyAlignment="1" applyProtection="1">
      <alignment vertical="center"/>
      <protection/>
    </xf>
    <xf numFmtId="38" fontId="9" fillId="35" borderId="65" xfId="49" applyFont="1" applyFill="1" applyBorder="1" applyAlignment="1" applyProtection="1">
      <alignment vertical="center"/>
      <protection locked="0"/>
    </xf>
    <xf numFmtId="38" fontId="9" fillId="35" borderId="67" xfId="49" applyFont="1" applyFill="1" applyBorder="1" applyAlignment="1" applyProtection="1">
      <alignment vertical="center"/>
      <protection locked="0"/>
    </xf>
    <xf numFmtId="38" fontId="9" fillId="35" borderId="57" xfId="49" applyFont="1" applyFill="1" applyBorder="1" applyAlignment="1" applyProtection="1">
      <alignment vertical="center"/>
      <protection locked="0"/>
    </xf>
    <xf numFmtId="38" fontId="9" fillId="35" borderId="54" xfId="49" applyFont="1" applyFill="1" applyBorder="1" applyAlignment="1" applyProtection="1">
      <alignment vertical="center"/>
      <protection locked="0"/>
    </xf>
    <xf numFmtId="38" fontId="15" fillId="37" borderId="55" xfId="49" applyFont="1" applyFill="1" applyBorder="1" applyAlignment="1">
      <alignment vertical="center"/>
    </xf>
    <xf numFmtId="0" fontId="10" fillId="0" borderId="0" xfId="65" applyFont="1" applyAlignment="1">
      <alignment horizontal="left" vertical="top" wrapText="1"/>
      <protection/>
    </xf>
    <xf numFmtId="0" fontId="39" fillId="0" borderId="46" xfId="63" applyFont="1" applyFill="1" applyBorder="1" applyAlignment="1">
      <alignment horizontal="center" vertical="center" wrapText="1"/>
      <protection/>
    </xf>
    <xf numFmtId="0" fontId="39" fillId="0" borderId="49" xfId="63" applyFont="1" applyFill="1" applyBorder="1" applyAlignment="1">
      <alignment horizontal="center" vertical="center" wrapText="1"/>
      <protection/>
    </xf>
    <xf numFmtId="0" fontId="39" fillId="0" borderId="52" xfId="63" applyFont="1" applyFill="1" applyBorder="1" applyAlignment="1">
      <alignment horizontal="center" vertical="center" wrapText="1"/>
      <protection/>
    </xf>
    <xf numFmtId="0" fontId="34" fillId="0" borderId="46" xfId="63" applyFont="1" applyFill="1" applyBorder="1" applyAlignment="1">
      <alignment horizontal="center" vertical="center" wrapText="1"/>
      <protection/>
    </xf>
    <xf numFmtId="0" fontId="34" fillId="0" borderId="49" xfId="63" applyFont="1" applyFill="1" applyBorder="1" applyAlignment="1">
      <alignment horizontal="center" vertical="center" wrapText="1"/>
      <protection/>
    </xf>
    <xf numFmtId="0" fontId="34" fillId="0" borderId="52" xfId="63" applyFont="1" applyFill="1" applyBorder="1" applyAlignment="1">
      <alignment horizontal="center" vertical="center" wrapText="1"/>
      <protection/>
    </xf>
    <xf numFmtId="0" fontId="37" fillId="0" borderId="85" xfId="65" applyFont="1" applyBorder="1" applyAlignment="1">
      <alignment horizontal="center" vertical="center"/>
      <protection/>
    </xf>
    <xf numFmtId="0" fontId="37" fillId="0" borderId="89" xfId="65" applyFont="1" applyBorder="1" applyAlignment="1">
      <alignment horizontal="center" vertical="center"/>
      <protection/>
    </xf>
    <xf numFmtId="0" fontId="37" fillId="0" borderId="60" xfId="65" applyFont="1" applyBorder="1" applyAlignment="1">
      <alignment horizontal="center" vertical="center"/>
      <protection/>
    </xf>
    <xf numFmtId="0" fontId="37" fillId="0" borderId="68" xfId="65" applyFont="1" applyBorder="1" applyAlignment="1">
      <alignment horizontal="center" vertical="center"/>
      <protection/>
    </xf>
    <xf numFmtId="0" fontId="37" fillId="0" borderId="0" xfId="65" applyFont="1" applyBorder="1" applyAlignment="1">
      <alignment horizontal="center" vertical="center"/>
      <protection/>
    </xf>
    <xf numFmtId="0" fontId="37" fillId="0" borderId="66" xfId="65" applyFont="1" applyBorder="1" applyAlignment="1">
      <alignment horizontal="center" vertical="center"/>
      <protection/>
    </xf>
    <xf numFmtId="0" fontId="37" fillId="0" borderId="45" xfId="65" applyFont="1" applyBorder="1" applyAlignment="1">
      <alignment horizontal="center" vertical="center"/>
      <protection/>
    </xf>
    <xf numFmtId="0" fontId="37" fillId="0" borderId="48" xfId="65" applyFont="1" applyBorder="1" applyAlignment="1">
      <alignment horizontal="center" vertical="center"/>
      <protection/>
    </xf>
    <xf numFmtId="0" fontId="37" fillId="0" borderId="51" xfId="65" applyFont="1" applyBorder="1" applyAlignment="1">
      <alignment horizontal="center" vertical="center"/>
      <protection/>
    </xf>
    <xf numFmtId="0" fontId="34" fillId="0" borderId="68" xfId="65" applyFont="1" applyBorder="1" applyAlignment="1">
      <alignment vertical="distributed"/>
      <protection/>
    </xf>
    <xf numFmtId="0" fontId="34" fillId="0" borderId="66" xfId="65" applyFont="1" applyBorder="1" applyAlignment="1">
      <alignment vertical="distributed"/>
      <protection/>
    </xf>
    <xf numFmtId="0" fontId="4" fillId="0" borderId="0" xfId="65" applyFont="1" applyAlignment="1">
      <alignment horizontal="center"/>
      <protection/>
    </xf>
    <xf numFmtId="38" fontId="4" fillId="0" borderId="0" xfId="49" applyFont="1" applyFill="1" applyAlignment="1">
      <alignment horizontal="right" vertical="center" wrapText="1"/>
    </xf>
    <xf numFmtId="38" fontId="4" fillId="0" borderId="0" xfId="49" applyFont="1" applyFill="1" applyAlignment="1">
      <alignment horizontal="right" vertical="center"/>
    </xf>
    <xf numFmtId="0" fontId="34" fillId="0" borderId="0" xfId="65" applyFont="1" applyAlignment="1">
      <alignment horizontal="center" vertical="center" shrinkToFit="1"/>
      <protection/>
    </xf>
    <xf numFmtId="0" fontId="34" fillId="0" borderId="0" xfId="65" applyFont="1" applyAlignment="1">
      <alignment horizontal="center" vertical="center" wrapText="1"/>
      <protection/>
    </xf>
    <xf numFmtId="0" fontId="34" fillId="0" borderId="0" xfId="65" applyFont="1" applyAlignment="1">
      <alignment horizontal="right" vertical="center"/>
      <protection/>
    </xf>
    <xf numFmtId="0" fontId="28" fillId="39" borderId="0" xfId="65" applyFont="1" applyFill="1" applyAlignment="1">
      <alignment vertical="top" wrapText="1"/>
      <protection/>
    </xf>
    <xf numFmtId="0" fontId="4" fillId="0" borderId="0" xfId="65" applyFont="1" applyAlignment="1">
      <alignment horizontal="left"/>
      <protection/>
    </xf>
    <xf numFmtId="0" fontId="4" fillId="0" borderId="0" xfId="65" applyFont="1" applyAlignment="1">
      <alignment horizontal="distributed"/>
      <protection/>
    </xf>
    <xf numFmtId="0" fontId="4" fillId="0" borderId="25" xfId="0" applyFont="1" applyBorder="1" applyAlignment="1">
      <alignment horizontal="center" vertical="center"/>
    </xf>
    <xf numFmtId="0" fontId="4" fillId="0" borderId="73" xfId="0" applyFont="1" applyBorder="1" applyAlignment="1">
      <alignment horizontal="center" vertical="center"/>
    </xf>
    <xf numFmtId="0" fontId="4" fillId="32" borderId="33" xfId="0" applyFont="1" applyFill="1" applyBorder="1" applyAlignment="1" applyProtection="1">
      <alignment horizontal="left" vertical="center" shrinkToFit="1"/>
      <protection locked="0"/>
    </xf>
    <xf numFmtId="0" fontId="0" fillId="0" borderId="47" xfId="0" applyBorder="1" applyAlignment="1">
      <alignment horizontal="left" vertical="center" shrinkToFit="1"/>
    </xf>
    <xf numFmtId="0" fontId="0" fillId="0" borderId="86" xfId="0" applyBorder="1" applyAlignment="1">
      <alignment horizontal="left" vertical="center" shrinkToFit="1"/>
    </xf>
    <xf numFmtId="0" fontId="4" fillId="32" borderId="80" xfId="0" applyFont="1" applyFill="1" applyBorder="1" applyAlignment="1" applyProtection="1">
      <alignment horizontal="left" vertical="center" shrinkToFit="1"/>
      <protection locked="0"/>
    </xf>
    <xf numFmtId="0" fontId="0" fillId="0" borderId="82" xfId="0" applyBorder="1" applyAlignment="1">
      <alignment horizontal="left" vertical="center" shrinkToFit="1"/>
    </xf>
    <xf numFmtId="0" fontId="0" fillId="0" borderId="87" xfId="0" applyBorder="1" applyAlignment="1">
      <alignment horizontal="left" vertical="center" shrinkToFit="1"/>
    </xf>
    <xf numFmtId="0" fontId="4" fillId="0" borderId="12" xfId="0" applyFont="1" applyBorder="1" applyAlignment="1">
      <alignment horizontal="distributed" vertical="center" indent="1"/>
    </xf>
    <xf numFmtId="0" fontId="4" fillId="0" borderId="0" xfId="0" applyFont="1" applyBorder="1" applyAlignment="1">
      <alignment horizontal="distributed" vertical="center" indent="1"/>
    </xf>
    <xf numFmtId="0" fontId="4" fillId="0" borderId="13" xfId="0" applyFont="1" applyBorder="1" applyAlignment="1">
      <alignment horizontal="distributed" vertical="center" indent="1"/>
    </xf>
    <xf numFmtId="0" fontId="4" fillId="0" borderId="80" xfId="0" applyFont="1" applyBorder="1" applyAlignment="1">
      <alignment horizontal="distributed" vertical="center"/>
    </xf>
    <xf numFmtId="0" fontId="4" fillId="0" borderId="82" xfId="0" applyFont="1" applyBorder="1" applyAlignment="1">
      <alignment horizontal="distributed" vertical="center"/>
    </xf>
    <xf numFmtId="0" fontId="4" fillId="0" borderId="87" xfId="0" applyFont="1" applyBorder="1" applyAlignment="1">
      <alignment horizontal="distributed" vertical="center"/>
    </xf>
    <xf numFmtId="0" fontId="4" fillId="0" borderId="25" xfId="0" applyFont="1" applyBorder="1" applyAlignment="1">
      <alignment horizontal="distributed" vertical="center"/>
    </xf>
    <xf numFmtId="0" fontId="4" fillId="32" borderId="16" xfId="0" applyFont="1" applyFill="1" applyBorder="1" applyAlignment="1">
      <alignment vertical="center"/>
    </xf>
    <xf numFmtId="0" fontId="0" fillId="32" borderId="10" xfId="0" applyFill="1" applyBorder="1" applyAlignment="1">
      <alignment vertical="center"/>
    </xf>
    <xf numFmtId="0" fontId="0" fillId="32" borderId="11" xfId="0" applyFill="1" applyBorder="1" applyAlignment="1">
      <alignment vertical="center"/>
    </xf>
    <xf numFmtId="0" fontId="4" fillId="32" borderId="80" xfId="0" applyFont="1" applyFill="1" applyBorder="1" applyAlignment="1">
      <alignment vertical="center"/>
    </xf>
    <xf numFmtId="0" fontId="0" fillId="32" borderId="82" xfId="0" applyFill="1" applyBorder="1" applyAlignment="1">
      <alignment vertical="center"/>
    </xf>
    <xf numFmtId="0" fontId="0" fillId="32" borderId="80" xfId="0" applyFill="1" applyBorder="1" applyAlignment="1">
      <alignment vertical="center"/>
    </xf>
    <xf numFmtId="0" fontId="0" fillId="32" borderId="87" xfId="0" applyFill="1" applyBorder="1" applyAlignment="1">
      <alignment vertical="center"/>
    </xf>
    <xf numFmtId="0" fontId="4" fillId="32" borderId="91" xfId="0" applyFont="1" applyFill="1" applyBorder="1" applyAlignment="1" applyProtection="1">
      <alignment horizontal="center" vertical="center"/>
      <protection locked="0"/>
    </xf>
    <xf numFmtId="58" fontId="4" fillId="0" borderId="0" xfId="0" applyNumberFormat="1" applyFont="1" applyFill="1" applyBorder="1" applyAlignment="1" applyProtection="1">
      <alignment horizontal="left" vertical="center"/>
      <protection locked="0"/>
    </xf>
    <xf numFmtId="0" fontId="4" fillId="32" borderId="92" xfId="0" applyFont="1" applyFill="1" applyBorder="1" applyAlignment="1" applyProtection="1">
      <alignment horizontal="left" vertical="top" wrapText="1"/>
      <protection locked="0"/>
    </xf>
    <xf numFmtId="0" fontId="4" fillId="32" borderId="93" xfId="0" applyFont="1" applyFill="1" applyBorder="1" applyAlignment="1" applyProtection="1">
      <alignment horizontal="left" vertical="top" wrapText="1"/>
      <protection locked="0"/>
    </xf>
    <xf numFmtId="0" fontId="4" fillId="32" borderId="94" xfId="0" applyFont="1" applyFill="1" applyBorder="1" applyAlignment="1" applyProtection="1">
      <alignment horizontal="left" vertical="top" wrapText="1"/>
      <protection locked="0"/>
    </xf>
    <xf numFmtId="0" fontId="4" fillId="32" borderId="95" xfId="0" applyFont="1" applyFill="1" applyBorder="1" applyAlignment="1" applyProtection="1">
      <alignment horizontal="left" vertical="top" wrapText="1"/>
      <protection locked="0"/>
    </xf>
    <xf numFmtId="0" fontId="4" fillId="32" borderId="0" xfId="0" applyFont="1" applyFill="1" applyBorder="1" applyAlignment="1" applyProtection="1">
      <alignment horizontal="left" vertical="top" wrapText="1"/>
      <protection locked="0"/>
    </xf>
    <xf numFmtId="0" fontId="4" fillId="32" borderId="96" xfId="0" applyFont="1" applyFill="1" applyBorder="1" applyAlignment="1" applyProtection="1">
      <alignment horizontal="left" vertical="top" wrapText="1"/>
      <protection locked="0"/>
    </xf>
    <xf numFmtId="0" fontId="4" fillId="32" borderId="97" xfId="0" applyFont="1" applyFill="1" applyBorder="1" applyAlignment="1" applyProtection="1">
      <alignment horizontal="left" vertical="top" wrapText="1"/>
      <protection locked="0"/>
    </xf>
    <xf numFmtId="0" fontId="4" fillId="32" borderId="91" xfId="0" applyFont="1" applyFill="1" applyBorder="1" applyAlignment="1" applyProtection="1">
      <alignment horizontal="left" vertical="top" wrapText="1"/>
      <protection locked="0"/>
    </xf>
    <xf numFmtId="0" fontId="4" fillId="32" borderId="98" xfId="0" applyFont="1" applyFill="1" applyBorder="1" applyAlignment="1" applyProtection="1">
      <alignment horizontal="left" vertical="top" wrapText="1"/>
      <protection locked="0"/>
    </xf>
    <xf numFmtId="0" fontId="10" fillId="0" borderId="43" xfId="0" applyFont="1" applyBorder="1" applyAlignment="1">
      <alignment horizontal="center" vertical="center"/>
    </xf>
    <xf numFmtId="0" fontId="10" fillId="0" borderId="56" xfId="0" applyFont="1" applyBorder="1" applyAlignment="1">
      <alignment horizontal="center" vertical="center"/>
    </xf>
    <xf numFmtId="0" fontId="10" fillId="0" borderId="53" xfId="0" applyFont="1" applyBorder="1" applyAlignment="1">
      <alignment horizontal="center" vertical="center"/>
    </xf>
    <xf numFmtId="0" fontId="10" fillId="0" borderId="43" xfId="0" applyFont="1" applyFill="1" applyBorder="1" applyAlignment="1">
      <alignment horizontal="center" vertical="center"/>
    </xf>
    <xf numFmtId="0" fontId="10" fillId="0" borderId="53" xfId="0" applyFont="1" applyFill="1" applyBorder="1" applyAlignment="1">
      <alignment horizontal="center" vertical="center"/>
    </xf>
    <xf numFmtId="0" fontId="10" fillId="0" borderId="43" xfId="0" applyFont="1" applyBorder="1" applyAlignment="1">
      <alignment horizontal="center" vertical="center" wrapText="1"/>
    </xf>
    <xf numFmtId="0" fontId="10" fillId="0" borderId="25" xfId="0" applyFont="1" applyBorder="1" applyAlignment="1">
      <alignment horizontal="center" vertical="center" wrapText="1"/>
    </xf>
    <xf numFmtId="0" fontId="0" fillId="0" borderId="64" xfId="0" applyBorder="1" applyAlignment="1">
      <alignment horizontal="center" vertical="center"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5" xfId="0" applyFont="1" applyBorder="1" applyAlignment="1">
      <alignment horizontal="center" vertical="center"/>
    </xf>
    <xf numFmtId="179" fontId="10" fillId="0" borderId="64" xfId="0" applyNumberFormat="1" applyFont="1" applyBorder="1" applyAlignment="1">
      <alignment horizontal="left"/>
    </xf>
    <xf numFmtId="179" fontId="10" fillId="0" borderId="24" xfId="0" applyNumberFormat="1" applyFont="1" applyBorder="1" applyAlignment="1">
      <alignment horizontal="left"/>
    </xf>
    <xf numFmtId="193" fontId="9" fillId="0" borderId="12" xfId="0" applyNumberFormat="1" applyFont="1" applyBorder="1" applyAlignment="1">
      <alignment horizontal="center" vertical="center" textRotation="255"/>
    </xf>
    <xf numFmtId="180" fontId="9" fillId="32" borderId="24" xfId="49" applyNumberFormat="1" applyFont="1" applyFill="1" applyBorder="1" applyAlignment="1" applyProtection="1">
      <alignment vertical="center"/>
      <protection locked="0"/>
    </xf>
    <xf numFmtId="180" fontId="9" fillId="32" borderId="20" xfId="49" applyNumberFormat="1" applyFont="1" applyFill="1" applyBorder="1" applyAlignment="1" applyProtection="1">
      <alignment vertical="center"/>
      <protection locked="0"/>
    </xf>
    <xf numFmtId="180" fontId="9" fillId="32" borderId="64" xfId="49" applyNumberFormat="1" applyFont="1" applyFill="1" applyBorder="1" applyAlignment="1" applyProtection="1">
      <alignment vertical="center"/>
      <protection locked="0"/>
    </xf>
    <xf numFmtId="0" fontId="31" fillId="0" borderId="64" xfId="0" applyFont="1" applyBorder="1" applyAlignment="1">
      <alignment vertical="center"/>
    </xf>
    <xf numFmtId="0" fontId="31" fillId="0" borderId="24" xfId="0" applyFont="1" applyBorder="1" applyAlignment="1">
      <alignment vertical="center"/>
    </xf>
    <xf numFmtId="0" fontId="14" fillId="0" borderId="43" xfId="0" applyFont="1" applyBorder="1" applyAlignment="1">
      <alignment horizontal="center" vertical="center"/>
    </xf>
    <xf numFmtId="0" fontId="14" fillId="0" borderId="56" xfId="0" applyFont="1" applyBorder="1" applyAlignment="1">
      <alignment horizontal="center" vertical="center"/>
    </xf>
    <xf numFmtId="193" fontId="9" fillId="0" borderId="16" xfId="0" applyNumberFormat="1" applyFont="1" applyBorder="1" applyAlignment="1">
      <alignment horizontal="center" vertical="center" textRotation="255"/>
    </xf>
    <xf numFmtId="193" fontId="9" fillId="0" borderId="17" xfId="0" applyNumberFormat="1" applyFont="1" applyBorder="1" applyAlignment="1">
      <alignment horizontal="center" vertical="center" textRotation="255"/>
    </xf>
    <xf numFmtId="180" fontId="9" fillId="32" borderId="25" xfId="49" applyNumberFormat="1" applyFont="1" applyFill="1" applyBorder="1" applyAlignment="1" applyProtection="1">
      <alignment vertical="center"/>
      <protection locked="0"/>
    </xf>
    <xf numFmtId="180" fontId="9" fillId="0" borderId="99" xfId="49" applyNumberFormat="1" applyFont="1" applyBorder="1" applyAlignment="1">
      <alignment vertical="center"/>
    </xf>
    <xf numFmtId="193" fontId="9" fillId="0" borderId="25" xfId="0" applyNumberFormat="1" applyFont="1" applyBorder="1" applyAlignment="1">
      <alignment horizontal="center" vertical="center" textRotation="255"/>
    </xf>
    <xf numFmtId="193" fontId="9" fillId="0" borderId="64" xfId="0" applyNumberFormat="1" applyFont="1" applyBorder="1" applyAlignment="1">
      <alignment horizontal="center" vertical="center" textRotation="255"/>
    </xf>
    <xf numFmtId="193" fontId="9" fillId="0" borderId="24" xfId="0" applyNumberFormat="1" applyFont="1" applyBorder="1" applyAlignment="1">
      <alignment horizontal="center" vertical="center" textRotation="255"/>
    </xf>
    <xf numFmtId="180" fontId="9" fillId="0" borderId="100" xfId="49" applyNumberFormat="1" applyFont="1" applyBorder="1" applyAlignment="1">
      <alignment vertical="center"/>
    </xf>
    <xf numFmtId="180" fontId="9" fillId="0" borderId="101" xfId="49" applyNumberFormat="1" applyFont="1" applyBorder="1" applyAlignment="1">
      <alignment vertical="center"/>
    </xf>
    <xf numFmtId="180" fontId="9" fillId="0" borderId="102" xfId="49" applyNumberFormat="1" applyFont="1" applyBorder="1" applyAlignment="1">
      <alignment vertical="center"/>
    </xf>
    <xf numFmtId="181" fontId="9" fillId="0" borderId="16" xfId="0" applyNumberFormat="1" applyFont="1" applyBorder="1" applyAlignment="1">
      <alignment horizontal="center" vertical="center" textRotation="255"/>
    </xf>
    <xf numFmtId="181" fontId="9" fillId="0" borderId="12" xfId="0" applyNumberFormat="1" applyFont="1" applyBorder="1" applyAlignment="1">
      <alignment horizontal="center" vertical="center" textRotation="255"/>
    </xf>
    <xf numFmtId="181" fontId="9" fillId="0" borderId="17" xfId="0" applyNumberFormat="1" applyFont="1" applyBorder="1" applyAlignment="1">
      <alignment horizontal="center" vertical="center" textRotation="255"/>
    </xf>
    <xf numFmtId="180" fontId="5" fillId="0" borderId="20" xfId="49" applyNumberFormat="1" applyFont="1" applyBorder="1" applyAlignment="1">
      <alignment vertical="center"/>
    </xf>
    <xf numFmtId="180" fontId="5" fillId="0" borderId="25" xfId="49" applyNumberFormat="1" applyFont="1" applyBorder="1" applyAlignment="1">
      <alignment vertical="center"/>
    </xf>
    <xf numFmtId="180" fontId="5" fillId="0" borderId="64" xfId="49" applyNumberFormat="1" applyFont="1" applyBorder="1" applyAlignment="1">
      <alignment vertical="center"/>
    </xf>
    <xf numFmtId="180" fontId="5" fillId="0" borderId="24" xfId="49" applyNumberFormat="1" applyFont="1" applyBorder="1" applyAlignment="1">
      <alignment vertical="center"/>
    </xf>
    <xf numFmtId="0" fontId="14" fillId="0" borderId="43" xfId="0" applyFont="1" applyBorder="1" applyAlignment="1">
      <alignment horizontal="distributed" vertical="center"/>
    </xf>
    <xf numFmtId="0" fontId="14" fillId="0" borderId="53" xfId="0" applyFont="1" applyBorder="1" applyAlignment="1">
      <alignment horizontal="distributed" vertical="center"/>
    </xf>
    <xf numFmtId="0" fontId="14" fillId="0" borderId="17" xfId="0" applyFont="1" applyBorder="1" applyAlignment="1">
      <alignment horizontal="distributed" vertical="center"/>
    </xf>
    <xf numFmtId="0" fontId="14" fillId="0" borderId="15" xfId="0" applyFont="1" applyBorder="1" applyAlignment="1">
      <alignment horizontal="distributed" vertical="center"/>
    </xf>
    <xf numFmtId="0" fontId="15" fillId="0" borderId="56" xfId="0" applyFont="1" applyFill="1" applyBorder="1" applyAlignment="1">
      <alignment horizontal="left" vertical="center" shrinkToFit="1"/>
    </xf>
    <xf numFmtId="0" fontId="15" fillId="0" borderId="53" xfId="0" applyFont="1" applyFill="1" applyBorder="1" applyAlignment="1">
      <alignment horizontal="left" vertical="center" shrinkToFit="1"/>
    </xf>
    <xf numFmtId="0" fontId="10" fillId="32" borderId="80" xfId="0" applyFont="1" applyFill="1" applyBorder="1" applyAlignment="1" applyProtection="1">
      <alignment vertical="center" shrinkToFit="1"/>
      <protection locked="0"/>
    </xf>
    <xf numFmtId="0" fontId="10" fillId="32" borderId="82" xfId="0" applyFont="1" applyFill="1" applyBorder="1" applyAlignment="1" applyProtection="1">
      <alignment vertical="center" shrinkToFit="1"/>
      <protection locked="0"/>
    </xf>
    <xf numFmtId="0" fontId="10" fillId="32" borderId="87" xfId="0" applyFont="1" applyFill="1" applyBorder="1" applyAlignment="1" applyProtection="1">
      <alignment vertical="center" shrinkToFit="1"/>
      <protection locked="0"/>
    </xf>
    <xf numFmtId="0" fontId="10" fillId="32" borderId="28" xfId="0" applyFont="1" applyFill="1" applyBorder="1" applyAlignment="1" applyProtection="1">
      <alignment vertical="center" shrinkToFit="1"/>
      <protection locked="0"/>
    </xf>
    <xf numFmtId="0" fontId="10" fillId="32" borderId="49" xfId="0" applyFont="1" applyFill="1" applyBorder="1" applyAlignment="1" applyProtection="1">
      <alignment vertical="center" shrinkToFit="1"/>
      <protection locked="0"/>
    </xf>
    <xf numFmtId="0" fontId="10" fillId="32" borderId="42" xfId="0" applyFont="1" applyFill="1" applyBorder="1" applyAlignment="1" applyProtection="1">
      <alignment vertical="center" shrinkToFit="1"/>
      <protection locked="0"/>
    </xf>
    <xf numFmtId="0" fontId="9" fillId="0" borderId="43" xfId="0" applyFont="1" applyFill="1" applyBorder="1" applyAlignment="1">
      <alignment horizontal="center" vertical="center" shrinkToFit="1"/>
    </xf>
    <xf numFmtId="0" fontId="0" fillId="0" borderId="56" xfId="0" applyBorder="1" applyAlignment="1">
      <alignment horizontal="center" vertical="center" shrinkToFit="1"/>
    </xf>
    <xf numFmtId="0" fontId="0" fillId="0" borderId="53" xfId="0" applyBorder="1" applyAlignment="1">
      <alignment horizontal="center" vertical="center" shrinkToFit="1"/>
    </xf>
    <xf numFmtId="0" fontId="10" fillId="0" borderId="43" xfId="0" applyFont="1" applyFill="1" applyBorder="1" applyAlignment="1">
      <alignment horizontal="left" vertical="center" shrinkToFit="1"/>
    </xf>
    <xf numFmtId="0" fontId="10" fillId="0" borderId="56" xfId="0" applyFont="1" applyFill="1" applyBorder="1" applyAlignment="1">
      <alignment horizontal="left" vertical="center" shrinkToFit="1"/>
    </xf>
    <xf numFmtId="0" fontId="10" fillId="0" borderId="53" xfId="0" applyFont="1" applyFill="1" applyBorder="1" applyAlignment="1">
      <alignment horizontal="left" vertical="center" shrinkToFit="1"/>
    </xf>
    <xf numFmtId="0" fontId="10" fillId="0" borderId="16" xfId="0" applyFont="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0" fontId="10" fillId="0" borderId="11" xfId="0" applyFont="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13" xfId="0" applyFont="1" applyBorder="1" applyAlignment="1" applyProtection="1">
      <alignment horizontal="center" vertical="center"/>
      <protection/>
    </xf>
    <xf numFmtId="0" fontId="10" fillId="0" borderId="17" xfId="0" applyFont="1" applyBorder="1" applyAlignment="1" applyProtection="1">
      <alignment horizontal="center" vertical="center"/>
      <protection/>
    </xf>
    <xf numFmtId="0" fontId="10" fillId="0" borderId="14" xfId="0" applyFont="1" applyBorder="1" applyAlignment="1" applyProtection="1">
      <alignment horizontal="center" vertical="center"/>
      <protection/>
    </xf>
    <xf numFmtId="0" fontId="10" fillId="0" borderId="15" xfId="0" applyFont="1" applyBorder="1" applyAlignment="1" applyProtection="1">
      <alignment horizontal="center" vertical="center"/>
      <protection/>
    </xf>
    <xf numFmtId="0" fontId="17" fillId="34" borderId="35" xfId="0" applyFont="1" applyFill="1" applyBorder="1" applyAlignment="1">
      <alignment horizontal="center" vertical="center" wrapText="1"/>
    </xf>
    <xf numFmtId="0" fontId="17" fillId="34" borderId="27" xfId="0" applyFont="1" applyFill="1" applyBorder="1" applyAlignment="1">
      <alignment horizontal="center" vertical="center" wrapText="1"/>
    </xf>
    <xf numFmtId="0" fontId="17" fillId="34" borderId="70" xfId="0" applyFont="1" applyFill="1" applyBorder="1" applyAlignment="1">
      <alignment horizontal="center" vertical="center" wrapText="1"/>
    </xf>
    <xf numFmtId="0" fontId="17" fillId="34" borderId="73" xfId="0" applyFont="1" applyFill="1" applyBorder="1" applyAlignment="1">
      <alignment horizontal="center" vertical="center" wrapText="1"/>
    </xf>
    <xf numFmtId="0" fontId="10" fillId="32" borderId="16" xfId="0" applyFont="1" applyFill="1" applyBorder="1" applyAlignment="1" applyProtection="1">
      <alignment vertical="center" shrinkToFit="1"/>
      <protection locked="0"/>
    </xf>
    <xf numFmtId="0" fontId="10" fillId="32" borderId="10" xfId="0" applyFont="1" applyFill="1" applyBorder="1" applyAlignment="1" applyProtection="1">
      <alignment vertical="center" shrinkToFit="1"/>
      <protection locked="0"/>
    </xf>
    <xf numFmtId="0" fontId="10" fillId="32" borderId="11" xfId="0" applyFont="1" applyFill="1" applyBorder="1" applyAlignment="1" applyProtection="1">
      <alignment vertical="center" shrinkToFit="1"/>
      <protection locked="0"/>
    </xf>
    <xf numFmtId="0" fontId="10" fillId="0" borderId="64" xfId="0" applyFont="1" applyBorder="1" applyAlignment="1">
      <alignment horizontal="center" vertical="center" wrapText="1"/>
    </xf>
    <xf numFmtId="0" fontId="10" fillId="0" borderId="58" xfId="0" applyFont="1" applyBorder="1" applyAlignment="1" quotePrefix="1">
      <alignment horizontal="center" vertical="center" wrapText="1"/>
    </xf>
    <xf numFmtId="0" fontId="10" fillId="0" borderId="88" xfId="0" applyFont="1" applyBorder="1" applyAlignment="1" quotePrefix="1">
      <alignment horizontal="center" vertical="center" wrapText="1"/>
    </xf>
    <xf numFmtId="0" fontId="14" fillId="0" borderId="58" xfId="0" applyFont="1" applyBorder="1" applyAlignment="1">
      <alignment horizontal="center" vertical="center" wrapText="1"/>
    </xf>
    <xf numFmtId="0" fontId="14" fillId="0" borderId="88" xfId="0" applyFont="1" applyBorder="1" applyAlignment="1">
      <alignment horizontal="center" vertical="center" wrapText="1"/>
    </xf>
    <xf numFmtId="0" fontId="10" fillId="0" borderId="23" xfId="0" applyFont="1" applyBorder="1" applyAlignment="1" quotePrefix="1">
      <alignment horizontal="center" vertical="center" wrapText="1"/>
    </xf>
    <xf numFmtId="0" fontId="10" fillId="0" borderId="65" xfId="0" applyFont="1" applyBorder="1" applyAlignment="1" quotePrefix="1">
      <alignment horizontal="center" vertical="center" wrapText="1"/>
    </xf>
    <xf numFmtId="0" fontId="10" fillId="0" borderId="79" xfId="0" applyFont="1" applyFill="1" applyBorder="1" applyAlignment="1" quotePrefix="1">
      <alignment horizontal="center" vertical="center" wrapText="1"/>
    </xf>
    <xf numFmtId="0" fontId="10" fillId="0" borderId="67" xfId="0" applyFont="1" applyFill="1" applyBorder="1" applyAlignment="1" quotePrefix="1">
      <alignment horizontal="center" vertical="center" wrapText="1"/>
    </xf>
    <xf numFmtId="0" fontId="10" fillId="35" borderId="23" xfId="0" applyFont="1" applyFill="1" applyBorder="1" applyAlignment="1">
      <alignment horizontal="center" vertical="center" textRotation="255"/>
    </xf>
    <xf numFmtId="0" fontId="10" fillId="35" borderId="57" xfId="0" applyFont="1" applyFill="1" applyBorder="1" applyAlignment="1">
      <alignment horizontal="center" vertical="center" textRotation="255"/>
    </xf>
    <xf numFmtId="0" fontId="14" fillId="0" borderId="58" xfId="0" applyFont="1" applyBorder="1" applyAlignment="1" quotePrefix="1">
      <alignment horizontal="center" vertical="center" wrapText="1"/>
    </xf>
    <xf numFmtId="0" fontId="14" fillId="0" borderId="88" xfId="0" applyFont="1" applyBorder="1" applyAlignment="1" quotePrefix="1">
      <alignment horizontal="center" vertical="center" wrapText="1"/>
    </xf>
    <xf numFmtId="0" fontId="31" fillId="0" borderId="16" xfId="0" applyFont="1" applyFill="1" applyBorder="1" applyAlignment="1" applyProtection="1">
      <alignment horizontal="center" vertical="center" wrapText="1" shrinkToFit="1"/>
      <protection locked="0"/>
    </xf>
    <xf numFmtId="0" fontId="31" fillId="0" borderId="10" xfId="0" applyFont="1" applyFill="1" applyBorder="1" applyAlignment="1" applyProtection="1">
      <alignment horizontal="center" vertical="center" wrapText="1" shrinkToFit="1"/>
      <protection locked="0"/>
    </xf>
    <xf numFmtId="0" fontId="31" fillId="0" borderId="11" xfId="0" applyFont="1" applyFill="1" applyBorder="1" applyAlignment="1" applyProtection="1">
      <alignment horizontal="center" vertical="center" wrapText="1" shrinkToFit="1"/>
      <protection locked="0"/>
    </xf>
    <xf numFmtId="0" fontId="14" fillId="0" borderId="23" xfId="0" applyFont="1" applyBorder="1" applyAlignment="1" quotePrefix="1">
      <alignment horizontal="center" vertical="center" wrapText="1"/>
    </xf>
    <xf numFmtId="0" fontId="14" fillId="0" borderId="65" xfId="0" applyFont="1" applyBorder="1" applyAlignment="1" quotePrefix="1">
      <alignment horizontal="center" vertical="center" wrapText="1"/>
    </xf>
    <xf numFmtId="0" fontId="14" fillId="0" borderId="56" xfId="0" applyFont="1" applyBorder="1" applyAlignment="1">
      <alignment vertical="center"/>
    </xf>
    <xf numFmtId="0" fontId="14" fillId="0" borderId="53" xfId="0" applyFont="1" applyBorder="1" applyAlignment="1">
      <alignment vertical="center"/>
    </xf>
    <xf numFmtId="0" fontId="10" fillId="3" borderId="25" xfId="0" applyFont="1" applyFill="1" applyBorder="1" applyAlignment="1">
      <alignment horizontal="center" vertical="center" wrapText="1"/>
    </xf>
    <xf numFmtId="0" fontId="10" fillId="3" borderId="64" xfId="0" applyFont="1" applyFill="1" applyBorder="1" applyAlignment="1">
      <alignment horizontal="center" vertical="center" wrapText="1"/>
    </xf>
    <xf numFmtId="0" fontId="14" fillId="0" borderId="79" xfId="0" applyFont="1" applyBorder="1" applyAlignment="1">
      <alignment horizontal="center" vertical="center" wrapText="1"/>
    </xf>
    <xf numFmtId="0" fontId="14" fillId="0" borderId="67" xfId="0" applyFont="1" applyBorder="1" applyAlignment="1">
      <alignment horizontal="center" vertical="center" wrapText="1"/>
    </xf>
    <xf numFmtId="0" fontId="15" fillId="0" borderId="16" xfId="0" applyFont="1" applyFill="1" applyBorder="1" applyAlignment="1">
      <alignment horizontal="left" vertical="center" shrinkToFit="1"/>
    </xf>
    <xf numFmtId="0" fontId="0" fillId="0" borderId="10" xfId="0" applyBorder="1" applyAlignment="1">
      <alignment vertical="center"/>
    </xf>
    <xf numFmtId="0" fontId="0" fillId="0" borderId="11" xfId="0" applyBorder="1" applyAlignment="1">
      <alignment vertical="center"/>
    </xf>
    <xf numFmtId="0" fontId="15" fillId="0" borderId="80" xfId="0" applyFont="1" applyFill="1" applyBorder="1" applyAlignment="1">
      <alignment horizontal="left" vertical="center" shrinkToFit="1"/>
    </xf>
    <xf numFmtId="0" fontId="0" fillId="0" borderId="82" xfId="0" applyBorder="1" applyAlignment="1">
      <alignment vertical="center"/>
    </xf>
    <xf numFmtId="0" fontId="0" fillId="0" borderId="87" xfId="0" applyBorder="1" applyAlignment="1">
      <alignment vertical="center"/>
    </xf>
    <xf numFmtId="0" fontId="10" fillId="0" borderId="64" xfId="0" applyFont="1" applyBorder="1" applyAlignment="1">
      <alignment horizontal="center" vertical="center"/>
    </xf>
    <xf numFmtId="0" fontId="10" fillId="0" borderId="24"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textRotation="255"/>
    </xf>
    <xf numFmtId="0" fontId="10" fillId="0" borderId="64" xfId="0" applyFont="1" applyBorder="1" applyAlignment="1">
      <alignment horizontal="center" vertical="center" textRotation="255"/>
    </xf>
    <xf numFmtId="0" fontId="10" fillId="0" borderId="24" xfId="0" applyFont="1" applyBorder="1" applyAlignment="1">
      <alignment horizontal="center" vertical="center" textRotation="255"/>
    </xf>
    <xf numFmtId="0" fontId="14" fillId="0" borderId="43" xfId="0" applyFont="1" applyBorder="1" applyAlignment="1" quotePrefix="1">
      <alignment horizontal="center" vertical="center" wrapText="1"/>
    </xf>
    <xf numFmtId="0" fontId="14" fillId="0" borderId="53"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25" xfId="0" applyFont="1" applyBorder="1" applyAlignment="1" quotePrefix="1">
      <alignment horizontal="center" vertical="center" wrapText="1"/>
    </xf>
    <xf numFmtId="0" fontId="14" fillId="0" borderId="64" xfId="0" applyFont="1" applyBorder="1" applyAlignment="1" quotePrefix="1">
      <alignment horizontal="center" vertical="center" wrapText="1"/>
    </xf>
    <xf numFmtId="0" fontId="10" fillId="0" borderId="23" xfId="0" applyFont="1" applyBorder="1" applyAlignment="1">
      <alignment horizontal="center" vertical="center" wrapText="1"/>
    </xf>
    <xf numFmtId="0" fontId="10" fillId="0" borderId="65" xfId="0" applyFont="1" applyBorder="1" applyAlignment="1">
      <alignment horizontal="center" vertical="center" wrapText="1"/>
    </xf>
    <xf numFmtId="0" fontId="14" fillId="0" borderId="25" xfId="0" applyFont="1" applyBorder="1" applyAlignment="1">
      <alignment horizontal="distributed" vertical="center"/>
    </xf>
    <xf numFmtId="0" fontId="15" fillId="0" borderId="10" xfId="0" applyFont="1" applyFill="1" applyBorder="1" applyAlignment="1">
      <alignment horizontal="left" vertical="center" shrinkToFit="1"/>
    </xf>
    <xf numFmtId="0" fontId="15" fillId="0" borderId="11" xfId="0" applyFont="1" applyFill="1" applyBorder="1" applyAlignment="1">
      <alignment horizontal="left" vertical="center" shrinkToFit="1"/>
    </xf>
    <xf numFmtId="0" fontId="15" fillId="0" borderId="16" xfId="0" applyFont="1" applyFill="1" applyBorder="1" applyAlignment="1">
      <alignment horizontal="right" vertical="center"/>
    </xf>
    <xf numFmtId="0" fontId="0" fillId="0" borderId="11" xfId="0" applyBorder="1" applyAlignment="1">
      <alignment horizontal="right" vertical="center"/>
    </xf>
    <xf numFmtId="0" fontId="14" fillId="0" borderId="73" xfId="0" applyFont="1" applyBorder="1" applyAlignment="1">
      <alignment horizontal="distributed" vertical="center"/>
    </xf>
    <xf numFmtId="0" fontId="15" fillId="0" borderId="82" xfId="0" applyFont="1" applyFill="1" applyBorder="1" applyAlignment="1">
      <alignment horizontal="left" vertical="center" shrinkToFit="1"/>
    </xf>
    <xf numFmtId="0" fontId="15" fillId="0" borderId="87" xfId="0" applyFont="1" applyFill="1" applyBorder="1" applyAlignment="1">
      <alignment horizontal="left" vertical="center" shrinkToFit="1"/>
    </xf>
    <xf numFmtId="0" fontId="15" fillId="0" borderId="80" xfId="0" applyFont="1" applyFill="1" applyBorder="1" applyAlignment="1">
      <alignment horizontal="right" vertical="center"/>
    </xf>
    <xf numFmtId="0" fontId="0" fillId="0" borderId="87" xfId="0" applyBorder="1" applyAlignment="1">
      <alignment horizontal="right" vertical="center"/>
    </xf>
    <xf numFmtId="0" fontId="10" fillId="0" borderId="58" xfId="0" applyFont="1" applyBorder="1" applyAlignment="1">
      <alignment horizontal="center" vertical="center" wrapText="1"/>
    </xf>
    <xf numFmtId="0" fontId="10" fillId="0" borderId="88" xfId="0" applyFont="1" applyBorder="1" applyAlignment="1">
      <alignment horizontal="center" vertical="center" wrapText="1"/>
    </xf>
    <xf numFmtId="0" fontId="10" fillId="0" borderId="25" xfId="0" applyFont="1" applyBorder="1" applyAlignment="1" quotePrefix="1">
      <alignment horizontal="center" vertical="center" wrapText="1"/>
    </xf>
    <xf numFmtId="0" fontId="0" fillId="0" borderId="64" xfId="0" applyBorder="1" applyAlignment="1">
      <alignment horizontal="center" vertical="center"/>
    </xf>
    <xf numFmtId="0" fontId="10" fillId="0" borderId="16" xfId="0" applyFont="1" applyBorder="1" applyAlignment="1">
      <alignment horizontal="center" vertical="center"/>
    </xf>
    <xf numFmtId="0" fontId="10" fillId="0" borderId="10" xfId="0" applyFont="1" applyBorder="1" applyAlignment="1">
      <alignment horizontal="center" vertical="center"/>
    </xf>
    <xf numFmtId="0" fontId="10" fillId="4" borderId="25" xfId="0" applyFont="1" applyFill="1" applyBorder="1" applyAlignment="1">
      <alignment horizontal="center" vertical="center" wrapText="1"/>
    </xf>
    <xf numFmtId="0" fontId="10" fillId="4" borderId="64" xfId="0" applyFont="1" applyFill="1" applyBorder="1" applyAlignment="1">
      <alignment horizontal="center" vertical="center" wrapText="1"/>
    </xf>
    <xf numFmtId="0" fontId="10" fillId="4" borderId="64" xfId="0" applyFont="1" applyFill="1" applyBorder="1" applyAlignment="1">
      <alignment horizontal="center" vertical="center"/>
    </xf>
    <xf numFmtId="0" fontId="10" fillId="0" borderId="16"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xf>
    <xf numFmtId="0" fontId="10" fillId="0" borderId="1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3"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Border="1" applyAlignment="1">
      <alignment horizontal="center" vertical="center"/>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4" fillId="0" borderId="10"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10" fillId="0" borderId="43" xfId="0" applyFont="1" applyBorder="1" applyAlignment="1">
      <alignment horizontal="distributed" vertical="center" indent="3"/>
    </xf>
    <xf numFmtId="0" fontId="10" fillId="0" borderId="56" xfId="0" applyFont="1" applyBorder="1" applyAlignment="1">
      <alignment horizontal="distributed" vertical="center" indent="3"/>
    </xf>
    <xf numFmtId="0" fontId="10" fillId="0" borderId="53" xfId="0" applyFont="1" applyBorder="1" applyAlignment="1">
      <alignment horizontal="distributed" vertical="center" indent="3"/>
    </xf>
    <xf numFmtId="0" fontId="10" fillId="0" borderId="16" xfId="0" applyFont="1" applyBorder="1" applyAlignment="1">
      <alignment horizontal="center" vertical="center" textRotation="255"/>
    </xf>
    <xf numFmtId="0" fontId="10" fillId="0" borderId="12" xfId="0" applyFont="1" applyBorder="1" applyAlignment="1">
      <alignment horizontal="center" vertical="center" textRotation="255"/>
    </xf>
    <xf numFmtId="0" fontId="10" fillId="0" borderId="17" xfId="0" applyFont="1" applyBorder="1" applyAlignment="1">
      <alignment horizontal="center" vertical="center" textRotation="255"/>
    </xf>
    <xf numFmtId="0" fontId="10" fillId="0" borderId="43" xfId="0" applyFont="1" applyBorder="1" applyAlignment="1">
      <alignment horizontal="distributed" vertical="center" indent="4"/>
    </xf>
    <xf numFmtId="0" fontId="10" fillId="0" borderId="56" xfId="0" applyFont="1" applyBorder="1" applyAlignment="1">
      <alignment horizontal="distributed" vertical="center" indent="4"/>
    </xf>
    <xf numFmtId="0" fontId="10" fillId="0" borderId="53" xfId="0" applyFont="1" applyBorder="1" applyAlignment="1">
      <alignment horizontal="distributed" vertical="center" indent="4"/>
    </xf>
    <xf numFmtId="0" fontId="10" fillId="0" borderId="69" xfId="0" applyFont="1" applyBorder="1" applyAlignment="1">
      <alignment horizontal="center" vertical="center"/>
    </xf>
    <xf numFmtId="0" fontId="10" fillId="0" borderId="68" xfId="0" applyFont="1" applyBorder="1" applyAlignment="1">
      <alignment horizontal="center" vertical="center"/>
    </xf>
    <xf numFmtId="0" fontId="10" fillId="0" borderId="103" xfId="0" applyFont="1" applyBorder="1" applyAlignment="1">
      <alignment horizontal="center" vertical="center"/>
    </xf>
    <xf numFmtId="0" fontId="10" fillId="0" borderId="58" xfId="0" applyFont="1" applyBorder="1" applyAlignment="1">
      <alignment horizontal="center" vertical="center"/>
    </xf>
    <xf numFmtId="0" fontId="10" fillId="0" borderId="88" xfId="0" applyFont="1" applyBorder="1" applyAlignment="1">
      <alignment horizontal="center" vertical="center"/>
    </xf>
    <xf numFmtId="0" fontId="10" fillId="0" borderId="32" xfId="0" applyFont="1" applyBorder="1" applyAlignment="1">
      <alignment horizontal="center" vertical="center"/>
    </xf>
    <xf numFmtId="0" fontId="10" fillId="0" borderId="79" xfId="0" applyFont="1" applyBorder="1" applyAlignment="1">
      <alignment horizontal="center" vertical="center"/>
    </xf>
    <xf numFmtId="0" fontId="10" fillId="0" borderId="54" xfId="0" applyFont="1" applyBorder="1" applyAlignment="1">
      <alignment horizontal="center" vertical="center"/>
    </xf>
    <xf numFmtId="0" fontId="10" fillId="0" borderId="23" xfId="0" applyFont="1" applyBorder="1" applyAlignment="1">
      <alignment horizontal="center" vertical="center"/>
    </xf>
    <xf numFmtId="0" fontId="10" fillId="0" borderId="57" xfId="0" applyFont="1" applyBorder="1" applyAlignment="1">
      <alignment horizontal="center" vertical="center"/>
    </xf>
    <xf numFmtId="0" fontId="17" fillId="34" borderId="25" xfId="0" applyFont="1" applyFill="1" applyBorder="1" applyAlignment="1">
      <alignment horizontal="center" vertical="center" wrapText="1"/>
    </xf>
    <xf numFmtId="0" fontId="17" fillId="34" borderId="24" xfId="0" applyFont="1" applyFill="1" applyBorder="1" applyAlignment="1">
      <alignment horizontal="center" vertical="center" wrapText="1"/>
    </xf>
    <xf numFmtId="0" fontId="18" fillId="0" borderId="33" xfId="0" applyFont="1" applyFill="1" applyBorder="1" applyAlignment="1" applyProtection="1">
      <alignment horizontal="left" vertical="center" shrinkToFit="1"/>
      <protection/>
    </xf>
    <xf numFmtId="0" fontId="18" fillId="0" borderId="47" xfId="0" applyFont="1" applyFill="1" applyBorder="1" applyAlignment="1" applyProtection="1">
      <alignment horizontal="left" vertical="center" shrinkToFit="1"/>
      <protection/>
    </xf>
    <xf numFmtId="0" fontId="18" fillId="0" borderId="86" xfId="0" applyFont="1" applyFill="1" applyBorder="1" applyAlignment="1" applyProtection="1">
      <alignment horizontal="left" vertical="center" shrinkToFit="1"/>
      <protection/>
    </xf>
    <xf numFmtId="0" fontId="18" fillId="0" borderId="37" xfId="0" applyFont="1" applyFill="1" applyBorder="1" applyAlignment="1" applyProtection="1">
      <alignment horizontal="left" vertical="center" shrinkToFit="1"/>
      <protection/>
    </xf>
    <xf numFmtId="0" fontId="18" fillId="0" borderId="48" xfId="0" applyFont="1" applyFill="1" applyBorder="1" applyAlignment="1" applyProtection="1">
      <alignment horizontal="left" vertical="center" shrinkToFit="1"/>
      <protection/>
    </xf>
    <xf numFmtId="0" fontId="18" fillId="0" borderId="40" xfId="0" applyFont="1" applyFill="1" applyBorder="1" applyAlignment="1" applyProtection="1">
      <alignment horizontal="left" vertical="center" shrinkToFit="1"/>
      <protection/>
    </xf>
    <xf numFmtId="0" fontId="10" fillId="0" borderId="77" xfId="0" applyFont="1" applyBorder="1" applyAlignment="1">
      <alignment horizontal="center" vertical="center" textRotation="255"/>
    </xf>
    <xf numFmtId="0" fontId="10" fillId="0" borderId="66" xfId="0" applyFont="1" applyBorder="1" applyAlignment="1">
      <alignment horizontal="center" vertical="center" textRotation="255"/>
    </xf>
    <xf numFmtId="0" fontId="10" fillId="0" borderId="63" xfId="0" applyFont="1" applyBorder="1" applyAlignment="1">
      <alignment horizontal="center" vertical="center" textRotation="255"/>
    </xf>
    <xf numFmtId="0" fontId="10" fillId="0" borderId="10" xfId="0" applyFont="1" applyBorder="1" applyAlignment="1">
      <alignment horizontal="center" vertical="center" textRotation="255"/>
    </xf>
    <xf numFmtId="0" fontId="10" fillId="0" borderId="0" xfId="0" applyFont="1" applyBorder="1" applyAlignment="1">
      <alignment horizontal="center" vertical="center" textRotation="255"/>
    </xf>
    <xf numFmtId="0" fontId="10" fillId="0" borderId="14" xfId="0" applyFont="1" applyBorder="1" applyAlignment="1">
      <alignment horizontal="center" vertical="center" textRotation="255"/>
    </xf>
    <xf numFmtId="0" fontId="18" fillId="0" borderId="28" xfId="0" applyFont="1" applyFill="1" applyBorder="1" applyAlignment="1" applyProtection="1">
      <alignment horizontal="left" vertical="center" shrinkToFit="1"/>
      <protection/>
    </xf>
    <xf numFmtId="0" fontId="18" fillId="0" borderId="49" xfId="0" applyFont="1" applyFill="1" applyBorder="1" applyAlignment="1" applyProtection="1">
      <alignment horizontal="left" vertical="center" shrinkToFit="1"/>
      <protection/>
    </xf>
    <xf numFmtId="0" fontId="18" fillId="0" borderId="42" xfId="0" applyFont="1" applyFill="1" applyBorder="1" applyAlignment="1" applyProtection="1">
      <alignment horizontal="left" vertical="center" shrinkToFit="1"/>
      <protection/>
    </xf>
    <xf numFmtId="0" fontId="9" fillId="0" borderId="56" xfId="0" applyFont="1" applyFill="1" applyBorder="1" applyAlignment="1">
      <alignment horizontal="center" vertical="center" shrinkToFit="1"/>
    </xf>
    <xf numFmtId="0" fontId="18" fillId="0" borderId="28" xfId="0" applyFont="1" applyFill="1" applyBorder="1" applyAlignment="1" applyProtection="1">
      <alignment vertical="center" shrinkToFit="1"/>
      <protection/>
    </xf>
    <xf numFmtId="0" fontId="18" fillId="0" borderId="49" xfId="0" applyFont="1" applyFill="1" applyBorder="1" applyAlignment="1" applyProtection="1">
      <alignment vertical="center" shrinkToFit="1"/>
      <protection/>
    </xf>
    <xf numFmtId="0" fontId="18" fillId="0" borderId="42" xfId="0" applyFont="1" applyFill="1" applyBorder="1" applyAlignment="1" applyProtection="1">
      <alignment vertical="center" shrinkToFit="1"/>
      <protection/>
    </xf>
    <xf numFmtId="0" fontId="18" fillId="0" borderId="80" xfId="0" applyFont="1" applyFill="1" applyBorder="1" applyAlignment="1" applyProtection="1">
      <alignment vertical="center" shrinkToFit="1"/>
      <protection/>
    </xf>
    <xf numFmtId="0" fontId="18" fillId="0" borderId="82" xfId="0" applyFont="1" applyFill="1" applyBorder="1" applyAlignment="1" applyProtection="1">
      <alignment vertical="center" shrinkToFit="1"/>
      <protection/>
    </xf>
    <xf numFmtId="0" fontId="18" fillId="0" borderId="87" xfId="0" applyFont="1" applyFill="1" applyBorder="1" applyAlignment="1" applyProtection="1">
      <alignment vertical="center" shrinkToFit="1"/>
      <protection/>
    </xf>
    <xf numFmtId="0" fontId="18" fillId="0" borderId="33" xfId="0" applyFont="1" applyFill="1" applyBorder="1" applyAlignment="1" applyProtection="1">
      <alignment vertical="center" shrinkToFit="1"/>
      <protection/>
    </xf>
    <xf numFmtId="0" fontId="18" fillId="0" borderId="47" xfId="0" applyFont="1" applyFill="1" applyBorder="1" applyAlignment="1" applyProtection="1">
      <alignment vertical="center" shrinkToFit="1"/>
      <protection/>
    </xf>
    <xf numFmtId="0" fontId="18" fillId="0" borderId="86" xfId="0" applyFont="1" applyFill="1" applyBorder="1" applyAlignment="1" applyProtection="1">
      <alignment vertical="center" shrinkToFit="1"/>
      <protection/>
    </xf>
    <xf numFmtId="0" fontId="10" fillId="0" borderId="77" xfId="0" applyFont="1" applyFill="1" applyBorder="1" applyAlignment="1">
      <alignment horizontal="center" vertical="center" textRotation="255"/>
    </xf>
    <xf numFmtId="0" fontId="10" fillId="0" borderId="66" xfId="0" applyFont="1" applyFill="1" applyBorder="1" applyAlignment="1">
      <alignment horizontal="center" vertical="center" textRotation="255"/>
    </xf>
    <xf numFmtId="0" fontId="10" fillId="0" borderId="63" xfId="0" applyFont="1" applyFill="1" applyBorder="1" applyAlignment="1">
      <alignment horizontal="center" vertical="center" textRotation="255"/>
    </xf>
    <xf numFmtId="0" fontId="10" fillId="0" borderId="10" xfId="0" applyFont="1" applyFill="1" applyBorder="1" applyAlignment="1">
      <alignment horizontal="center" vertical="center" textRotation="255"/>
    </xf>
    <xf numFmtId="0" fontId="10" fillId="0" borderId="0" xfId="0" applyFont="1" applyFill="1" applyBorder="1" applyAlignment="1">
      <alignment horizontal="center" vertical="center" textRotation="255"/>
    </xf>
    <xf numFmtId="0" fontId="10" fillId="0" borderId="14" xfId="0" applyFont="1" applyFill="1" applyBorder="1" applyAlignment="1">
      <alignment horizontal="center" vertical="center" textRotation="255"/>
    </xf>
    <xf numFmtId="0" fontId="10" fillId="0" borderId="23" xfId="0" applyFont="1" applyFill="1" applyBorder="1" applyAlignment="1">
      <alignment horizontal="center" vertical="center"/>
    </xf>
    <xf numFmtId="0" fontId="10" fillId="0" borderId="57" xfId="0" applyFont="1" applyFill="1" applyBorder="1" applyAlignment="1">
      <alignment horizontal="center" vertical="center"/>
    </xf>
    <xf numFmtId="0" fontId="10" fillId="0" borderId="79" xfId="0" applyFont="1" applyFill="1" applyBorder="1" applyAlignment="1">
      <alignment horizontal="center" vertical="center"/>
    </xf>
    <xf numFmtId="0" fontId="10" fillId="0" borderId="54" xfId="0" applyFont="1" applyFill="1" applyBorder="1" applyAlignment="1">
      <alignment horizontal="center" vertical="center"/>
    </xf>
    <xf numFmtId="0" fontId="10" fillId="0" borderId="58"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56" xfId="0" applyFont="1" applyFill="1" applyBorder="1" applyAlignment="1">
      <alignment horizontal="center" vertical="center"/>
    </xf>
    <xf numFmtId="0" fontId="10" fillId="0" borderId="43" xfId="0" applyFont="1" applyFill="1" applyBorder="1" applyAlignment="1">
      <alignment horizontal="distributed" vertical="center" indent="4"/>
    </xf>
    <xf numFmtId="0" fontId="10" fillId="0" borderId="56" xfId="0" applyFont="1" applyFill="1" applyBorder="1" applyAlignment="1">
      <alignment horizontal="distributed" vertical="center" indent="4"/>
    </xf>
    <xf numFmtId="0" fontId="10" fillId="0" borderId="53" xfId="0" applyFont="1" applyFill="1" applyBorder="1" applyAlignment="1">
      <alignment horizontal="distributed" vertical="center" indent="4"/>
    </xf>
    <xf numFmtId="0" fontId="10" fillId="0" borderId="16"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69" xfId="0" applyFont="1" applyFill="1" applyBorder="1" applyAlignment="1">
      <alignment horizontal="center" vertical="center"/>
    </xf>
    <xf numFmtId="0" fontId="10" fillId="0" borderId="68" xfId="0" applyFont="1" applyFill="1" applyBorder="1" applyAlignment="1">
      <alignment horizontal="center" vertical="center"/>
    </xf>
    <xf numFmtId="0" fontId="10" fillId="0" borderId="103" xfId="0" applyFont="1" applyFill="1" applyBorder="1" applyAlignment="1">
      <alignment horizontal="center" vertical="center"/>
    </xf>
    <xf numFmtId="0" fontId="10" fillId="0" borderId="88" xfId="0" applyFont="1" applyFill="1" applyBorder="1" applyAlignment="1">
      <alignment horizontal="center" vertical="center"/>
    </xf>
    <xf numFmtId="0" fontId="10" fillId="0" borderId="10" xfId="0" applyFont="1" applyFill="1" applyBorder="1" applyAlignment="1">
      <alignment horizontal="center" vertical="center"/>
    </xf>
    <xf numFmtId="0" fontId="14" fillId="0" borderId="10" xfId="0" applyFont="1" applyFill="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10" fillId="0" borderId="43" xfId="0" applyFont="1" applyFill="1" applyBorder="1" applyAlignment="1">
      <alignment horizontal="distributed" vertical="center" indent="3"/>
    </xf>
    <xf numFmtId="0" fontId="10" fillId="0" borderId="56" xfId="0" applyFont="1" applyFill="1" applyBorder="1" applyAlignment="1">
      <alignment horizontal="distributed" vertical="center" indent="3"/>
    </xf>
    <xf numFmtId="0" fontId="10" fillId="0" borderId="53" xfId="0" applyFont="1" applyFill="1" applyBorder="1" applyAlignment="1">
      <alignment horizontal="distributed" vertical="center" indent="3"/>
    </xf>
    <xf numFmtId="0" fontId="10" fillId="0" borderId="16" xfId="0" applyFont="1" applyFill="1" applyBorder="1" applyAlignment="1">
      <alignment horizontal="center" vertical="center" textRotation="255"/>
    </xf>
    <xf numFmtId="0" fontId="10" fillId="0" borderId="12" xfId="0" applyFont="1" applyFill="1" applyBorder="1" applyAlignment="1">
      <alignment horizontal="center" vertical="center" textRotation="255"/>
    </xf>
    <xf numFmtId="0" fontId="10" fillId="0" borderId="17" xfId="0" applyFont="1" applyFill="1" applyBorder="1" applyAlignment="1">
      <alignment horizontal="center" vertical="center" textRotation="255"/>
    </xf>
    <xf numFmtId="0" fontId="10" fillId="0" borderId="58" xfId="0" applyFont="1" applyFill="1" applyBorder="1" applyAlignment="1">
      <alignment horizontal="center" vertical="center" wrapText="1"/>
    </xf>
    <xf numFmtId="0" fontId="10" fillId="0" borderId="88" xfId="0" applyFont="1" applyFill="1" applyBorder="1" applyAlignment="1">
      <alignment horizontal="center" vertical="center" wrapText="1"/>
    </xf>
    <xf numFmtId="0" fontId="10" fillId="0" borderId="25" xfId="0" applyFont="1" applyFill="1" applyBorder="1" applyAlignment="1">
      <alignment horizontal="center" vertical="center" textRotation="255"/>
    </xf>
    <xf numFmtId="0" fontId="10" fillId="0" borderId="64" xfId="0" applyFont="1" applyFill="1" applyBorder="1" applyAlignment="1">
      <alignment horizontal="center" vertical="center" textRotation="255"/>
    </xf>
    <xf numFmtId="0" fontId="10" fillId="0" borderId="24" xfId="0" applyFont="1" applyFill="1" applyBorder="1" applyAlignment="1">
      <alignment horizontal="center" vertical="center" textRotation="255"/>
    </xf>
    <xf numFmtId="0" fontId="10" fillId="0" borderId="25" xfId="0" applyFont="1" applyFill="1" applyBorder="1" applyAlignment="1">
      <alignment horizontal="center" vertical="center" wrapText="1"/>
    </xf>
    <xf numFmtId="0" fontId="10" fillId="0" borderId="64"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5" xfId="0" applyFont="1" applyFill="1" applyBorder="1" applyAlignment="1" quotePrefix="1">
      <alignment horizontal="center" vertical="center" wrapText="1"/>
    </xf>
    <xf numFmtId="0" fontId="0" fillId="0" borderId="64" xfId="0" applyFill="1" applyBorder="1" applyAlignment="1">
      <alignment horizontal="center" vertical="center"/>
    </xf>
    <xf numFmtId="38" fontId="9" fillId="0" borderId="102" xfId="49" applyFont="1" applyBorder="1" applyAlignment="1">
      <alignment vertical="center"/>
    </xf>
    <xf numFmtId="38" fontId="9" fillId="32" borderId="64" xfId="49" applyFont="1" applyFill="1" applyBorder="1" applyAlignment="1" applyProtection="1">
      <alignment vertical="center"/>
      <protection locked="0"/>
    </xf>
    <xf numFmtId="38" fontId="31" fillId="0" borderId="64" xfId="49" applyFont="1" applyBorder="1" applyAlignment="1">
      <alignment vertical="center"/>
    </xf>
    <xf numFmtId="38" fontId="31" fillId="0" borderId="24" xfId="49" applyFont="1" applyBorder="1" applyAlignment="1">
      <alignment vertical="center"/>
    </xf>
    <xf numFmtId="38" fontId="9" fillId="0" borderId="101" xfId="49" applyFont="1" applyBorder="1" applyAlignment="1">
      <alignment vertical="center"/>
    </xf>
    <xf numFmtId="38" fontId="9" fillId="32" borderId="24" xfId="49" applyFont="1" applyFill="1" applyBorder="1" applyAlignment="1" applyProtection="1">
      <alignment vertical="center"/>
      <protection locked="0"/>
    </xf>
    <xf numFmtId="38" fontId="9" fillId="35" borderId="20" xfId="49" applyFont="1" applyFill="1" applyBorder="1" applyAlignment="1" applyProtection="1">
      <alignment vertical="center"/>
      <protection locked="0"/>
    </xf>
    <xf numFmtId="38" fontId="9" fillId="35" borderId="25" xfId="49" applyFont="1" applyFill="1" applyBorder="1" applyAlignment="1" applyProtection="1">
      <alignment vertical="center"/>
      <protection locked="0"/>
    </xf>
    <xf numFmtId="38" fontId="31" fillId="35" borderId="64" xfId="49" applyFont="1" applyFill="1" applyBorder="1" applyAlignment="1">
      <alignment vertical="center"/>
    </xf>
    <xf numFmtId="38" fontId="31" fillId="35" borderId="24" xfId="49" applyFont="1" applyFill="1" applyBorder="1" applyAlignment="1">
      <alignment vertical="center"/>
    </xf>
    <xf numFmtId="38" fontId="5" fillId="0" borderId="25" xfId="49" applyFont="1" applyBorder="1" applyAlignment="1">
      <alignment vertical="center"/>
    </xf>
    <xf numFmtId="38" fontId="5" fillId="0" borderId="64" xfId="49" applyFont="1" applyBorder="1" applyAlignment="1">
      <alignment vertical="center"/>
    </xf>
    <xf numFmtId="38" fontId="5" fillId="0" borderId="24" xfId="49" applyFont="1" applyBorder="1" applyAlignment="1">
      <alignment vertical="center"/>
    </xf>
    <xf numFmtId="38" fontId="5" fillId="0" borderId="20" xfId="49" applyFont="1" applyBorder="1" applyAlignment="1">
      <alignment vertical="center"/>
    </xf>
    <xf numFmtId="38" fontId="9" fillId="0" borderId="99" xfId="49" applyFont="1" applyBorder="1" applyAlignment="1">
      <alignment vertical="center"/>
    </xf>
    <xf numFmtId="38" fontId="9" fillId="0" borderId="100" xfId="49" applyFont="1" applyBorder="1" applyAlignment="1">
      <alignment vertical="center"/>
    </xf>
    <xf numFmtId="0" fontId="31" fillId="35" borderId="79" xfId="0" applyFont="1" applyFill="1" applyBorder="1" applyAlignment="1" applyProtection="1">
      <alignment horizontal="center" vertical="center" wrapText="1" shrinkToFit="1"/>
      <protection locked="0"/>
    </xf>
    <xf numFmtId="0" fontId="31" fillId="35" borderId="54" xfId="0" applyFont="1" applyFill="1" applyBorder="1" applyAlignment="1" applyProtection="1">
      <alignment horizontal="center" vertical="center" shrinkToFit="1"/>
      <protection locked="0"/>
    </xf>
    <xf numFmtId="0" fontId="14" fillId="0" borderId="53" xfId="0" applyFont="1" applyBorder="1" applyAlignment="1">
      <alignment horizontal="center" vertical="center"/>
    </xf>
    <xf numFmtId="0" fontId="10" fillId="0" borderId="10" xfId="0" applyFont="1" applyBorder="1" applyAlignment="1" quotePrefix="1">
      <alignment horizontal="center" vertical="center" wrapText="1"/>
    </xf>
    <xf numFmtId="0" fontId="10" fillId="0" borderId="0" xfId="0" applyFont="1" applyBorder="1" applyAlignment="1" quotePrefix="1">
      <alignment horizontal="center" vertical="center" wrapText="1"/>
    </xf>
    <xf numFmtId="0" fontId="14" fillId="0" borderId="64" xfId="0" applyFont="1" applyBorder="1" applyAlignment="1">
      <alignment horizontal="center" vertical="center" wrapText="1"/>
    </xf>
    <xf numFmtId="0" fontId="14" fillId="0" borderId="11" xfId="0" applyFont="1" applyBorder="1" applyAlignment="1" quotePrefix="1">
      <alignment horizontal="center" vertical="center" wrapText="1"/>
    </xf>
    <xf numFmtId="0" fontId="14" fillId="0" borderId="13" xfId="0" applyFont="1" applyBorder="1" applyAlignment="1" quotePrefix="1">
      <alignment horizontal="center" vertical="center" wrapText="1"/>
    </xf>
    <xf numFmtId="0" fontId="14" fillId="0" borderId="16" xfId="0" applyFont="1" applyBorder="1" applyAlignment="1" quotePrefix="1">
      <alignment horizontal="center" vertical="center" wrapText="1"/>
    </xf>
    <xf numFmtId="0" fontId="14" fillId="0" borderId="12" xfId="0" applyFont="1" applyBorder="1" applyAlignment="1" quotePrefix="1">
      <alignment horizontal="center" vertical="center" wrapText="1"/>
    </xf>
    <xf numFmtId="0" fontId="17" fillId="34" borderId="26" xfId="0" applyFont="1" applyFill="1" applyBorder="1" applyAlignment="1">
      <alignment horizontal="center" vertical="center" wrapText="1"/>
    </xf>
    <xf numFmtId="0" fontId="10" fillId="0" borderId="12"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0" fillId="3" borderId="64" xfId="0" applyFont="1" applyFill="1" applyBorder="1" applyAlignment="1">
      <alignment horizontal="center" vertical="center"/>
    </xf>
    <xf numFmtId="0" fontId="10" fillId="0" borderId="11" xfId="0" applyFont="1" applyBorder="1" applyAlignment="1" quotePrefix="1">
      <alignment horizontal="center" vertical="center" wrapText="1"/>
    </xf>
    <xf numFmtId="0" fontId="10" fillId="0" borderId="13" xfId="0" applyFont="1" applyBorder="1" applyAlignment="1" quotePrefix="1">
      <alignment horizontal="center" vertical="center" wrapText="1"/>
    </xf>
    <xf numFmtId="0" fontId="14" fillId="0" borderId="11" xfId="0" applyFont="1" applyBorder="1" applyAlignment="1">
      <alignment horizontal="center" vertical="center" wrapText="1"/>
    </xf>
    <xf numFmtId="0" fontId="14" fillId="0" borderId="13" xfId="0" applyFont="1" applyBorder="1" applyAlignment="1">
      <alignment horizontal="center" vertical="center" wrapText="1"/>
    </xf>
    <xf numFmtId="0" fontId="10" fillId="0" borderId="55" xfId="0" applyFont="1" applyBorder="1" applyAlignment="1">
      <alignment horizontal="center" vertical="center"/>
    </xf>
    <xf numFmtId="0" fontId="10" fillId="0" borderId="23" xfId="0" applyFont="1" applyFill="1" applyBorder="1" applyAlignment="1">
      <alignment horizontal="center" vertical="center" textRotation="255"/>
    </xf>
    <xf numFmtId="0" fontId="10" fillId="0" borderId="65" xfId="0" applyFont="1" applyFill="1" applyBorder="1" applyAlignment="1">
      <alignment horizontal="center" vertical="center" textRotation="255"/>
    </xf>
    <xf numFmtId="0" fontId="10" fillId="0" borderId="57" xfId="0" applyFont="1" applyFill="1" applyBorder="1" applyAlignment="1">
      <alignment horizontal="center" vertical="center" textRotation="255"/>
    </xf>
    <xf numFmtId="0" fontId="10" fillId="0" borderId="11" xfId="0" applyFont="1" applyFill="1" applyBorder="1" applyAlignment="1">
      <alignment horizontal="center" vertical="center" textRotation="255"/>
    </xf>
    <xf numFmtId="0" fontId="10" fillId="0" borderId="13" xfId="0" applyFont="1" applyFill="1" applyBorder="1" applyAlignment="1">
      <alignment horizontal="center" vertical="center" textRotation="255"/>
    </xf>
    <xf numFmtId="0" fontId="10" fillId="0" borderId="15" xfId="0" applyFont="1" applyFill="1" applyBorder="1" applyAlignment="1">
      <alignment horizontal="center" vertical="center" textRotation="255"/>
    </xf>
    <xf numFmtId="0" fontId="10" fillId="0" borderId="20" xfId="0" applyFont="1" applyBorder="1" applyAlignment="1">
      <alignment horizontal="center" vertical="center"/>
    </xf>
    <xf numFmtId="0" fontId="10" fillId="0" borderId="25" xfId="0" applyFont="1" applyBorder="1" applyAlignment="1">
      <alignment horizontal="center" vertical="center" wrapText="1" shrinkToFit="1"/>
    </xf>
    <xf numFmtId="0" fontId="10" fillId="0" borderId="64" xfId="0" applyFont="1" applyBorder="1" applyAlignment="1">
      <alignment horizontal="center" vertical="center" shrinkToFit="1"/>
    </xf>
    <xf numFmtId="0" fontId="10" fillId="0" borderId="24" xfId="0" applyFont="1" applyBorder="1" applyAlignment="1">
      <alignment horizontal="center" vertical="center" shrinkToFit="1"/>
    </xf>
    <xf numFmtId="0" fontId="15" fillId="0" borderId="0" xfId="0" applyFont="1" applyFill="1" applyBorder="1" applyAlignment="1">
      <alignment horizontal="left" vertical="center" shrinkToFit="1"/>
    </xf>
    <xf numFmtId="0" fontId="0" fillId="0" borderId="0" xfId="0" applyBorder="1" applyAlignment="1">
      <alignment horizontal="left" vertical="center" shrinkToFit="1"/>
    </xf>
    <xf numFmtId="0" fontId="18" fillId="0" borderId="37" xfId="0" applyFont="1" applyFill="1" applyBorder="1" applyAlignment="1" applyProtection="1">
      <alignment vertical="center" shrinkToFit="1"/>
      <protection/>
    </xf>
    <xf numFmtId="0" fontId="18" fillId="0" borderId="48" xfId="0" applyFont="1" applyFill="1" applyBorder="1" applyAlignment="1" applyProtection="1">
      <alignment vertical="center" shrinkToFit="1"/>
      <protection/>
    </xf>
    <xf numFmtId="0" fontId="18" fillId="0" borderId="40" xfId="0" applyFont="1" applyFill="1" applyBorder="1" applyAlignment="1" applyProtection="1">
      <alignment vertical="center" shrinkToFit="1"/>
      <protection/>
    </xf>
    <xf numFmtId="0" fontId="18" fillId="0" borderId="16" xfId="0" applyFont="1" applyFill="1" applyBorder="1" applyAlignment="1" applyProtection="1">
      <alignment vertical="center" shrinkToFit="1"/>
      <protection/>
    </xf>
    <xf numFmtId="0" fontId="18" fillId="0" borderId="10" xfId="0" applyFont="1" applyFill="1" applyBorder="1" applyAlignment="1" applyProtection="1">
      <alignment vertical="center" shrinkToFit="1"/>
      <protection/>
    </xf>
    <xf numFmtId="0" fontId="18" fillId="0" borderId="11" xfId="0" applyFont="1" applyFill="1" applyBorder="1" applyAlignment="1" applyProtection="1">
      <alignment vertical="center" shrinkToFit="1"/>
      <protection/>
    </xf>
    <xf numFmtId="0" fontId="10" fillId="0" borderId="23" xfId="0" applyFont="1" applyBorder="1" applyAlignment="1">
      <alignment horizontal="center" vertical="center" textRotation="255"/>
    </xf>
    <xf numFmtId="0" fontId="10" fillId="0" borderId="65" xfId="0" applyFont="1" applyBorder="1" applyAlignment="1">
      <alignment horizontal="center" vertical="center" textRotation="255"/>
    </xf>
    <xf numFmtId="0" fontId="10" fillId="0" borderId="57" xfId="0" applyFont="1" applyBorder="1" applyAlignment="1">
      <alignment horizontal="center" vertical="center" textRotation="255"/>
    </xf>
    <xf numFmtId="0" fontId="10" fillId="0" borderId="11" xfId="0" applyFont="1" applyBorder="1" applyAlignment="1">
      <alignment horizontal="center" vertical="center" textRotation="255"/>
    </xf>
    <xf numFmtId="0" fontId="10" fillId="0" borderId="13" xfId="0" applyFont="1" applyBorder="1" applyAlignment="1">
      <alignment horizontal="center" vertical="center" textRotation="255"/>
    </xf>
    <xf numFmtId="0" fontId="10" fillId="0" borderId="15" xfId="0" applyFont="1" applyBorder="1" applyAlignment="1">
      <alignment horizontal="center" vertical="center" textRotation="255"/>
    </xf>
    <xf numFmtId="0" fontId="10" fillId="35" borderId="25" xfId="0" applyFont="1" applyFill="1" applyBorder="1" applyAlignment="1">
      <alignment horizontal="center" vertical="center" textRotation="255"/>
    </xf>
    <xf numFmtId="0" fontId="10" fillId="35" borderId="24" xfId="0" applyFont="1" applyFill="1" applyBorder="1" applyAlignment="1">
      <alignment horizontal="center" vertical="center" textRotation="255"/>
    </xf>
    <xf numFmtId="0" fontId="31" fillId="35" borderId="10" xfId="0" applyFont="1" applyFill="1" applyBorder="1" applyAlignment="1" applyProtection="1">
      <alignment horizontal="center" vertical="center" wrapText="1" shrinkToFit="1"/>
      <protection locked="0"/>
    </xf>
    <xf numFmtId="0" fontId="31" fillId="35" borderId="14" xfId="0" applyFont="1" applyFill="1" applyBorder="1" applyAlignment="1" applyProtection="1">
      <alignment horizontal="center" vertical="center" shrinkToFit="1"/>
      <protection locked="0"/>
    </xf>
    <xf numFmtId="0" fontId="18" fillId="0" borderId="80" xfId="0" applyFont="1" applyFill="1" applyBorder="1" applyAlignment="1" applyProtection="1">
      <alignment horizontal="left" vertical="center" shrinkToFit="1"/>
      <protection/>
    </xf>
    <xf numFmtId="0" fontId="18" fillId="0" borderId="82" xfId="0" applyFont="1" applyFill="1" applyBorder="1" applyAlignment="1" applyProtection="1">
      <alignment horizontal="left" vertical="center" shrinkToFit="1"/>
      <protection/>
    </xf>
    <xf numFmtId="0" fontId="18" fillId="0" borderId="87" xfId="0" applyFont="1" applyFill="1" applyBorder="1" applyAlignment="1" applyProtection="1">
      <alignment horizontal="left" vertical="center" shrinkToFi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2" xfId="62"/>
    <cellStyle name="標準 2 2" xfId="63"/>
    <cellStyle name="標準_ひな形" xfId="64"/>
    <cellStyle name="標準_様式第２号　授業料支援補助金交付申請書"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6</xdr:row>
      <xdr:rowOff>180975</xdr:rowOff>
    </xdr:to>
    <xdr:sp>
      <xdr:nvSpPr>
        <xdr:cNvPr id="1" name="Line 1"/>
        <xdr:cNvSpPr>
          <a:spLocks/>
        </xdr:cNvSpPr>
      </xdr:nvSpPr>
      <xdr:spPr>
        <a:xfrm>
          <a:off x="9525" y="1114425"/>
          <a:ext cx="51435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6</xdr:row>
      <xdr:rowOff>180975</xdr:rowOff>
    </xdr:to>
    <xdr:sp>
      <xdr:nvSpPr>
        <xdr:cNvPr id="1" name="Line 1"/>
        <xdr:cNvSpPr>
          <a:spLocks/>
        </xdr:cNvSpPr>
      </xdr:nvSpPr>
      <xdr:spPr>
        <a:xfrm>
          <a:off x="9525" y="1114425"/>
          <a:ext cx="51435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6</xdr:row>
      <xdr:rowOff>180975</xdr:rowOff>
    </xdr:to>
    <xdr:sp>
      <xdr:nvSpPr>
        <xdr:cNvPr id="1" name="Line 1"/>
        <xdr:cNvSpPr>
          <a:spLocks/>
        </xdr:cNvSpPr>
      </xdr:nvSpPr>
      <xdr:spPr>
        <a:xfrm>
          <a:off x="9525" y="1114425"/>
          <a:ext cx="51435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6</xdr:row>
      <xdr:rowOff>180975</xdr:rowOff>
    </xdr:to>
    <xdr:sp>
      <xdr:nvSpPr>
        <xdr:cNvPr id="1" name="Line 1"/>
        <xdr:cNvSpPr>
          <a:spLocks/>
        </xdr:cNvSpPr>
      </xdr:nvSpPr>
      <xdr:spPr>
        <a:xfrm>
          <a:off x="9525" y="1114425"/>
          <a:ext cx="51435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6</xdr:row>
      <xdr:rowOff>180975</xdr:rowOff>
    </xdr:to>
    <xdr:sp>
      <xdr:nvSpPr>
        <xdr:cNvPr id="1" name="Line 1"/>
        <xdr:cNvSpPr>
          <a:spLocks/>
        </xdr:cNvSpPr>
      </xdr:nvSpPr>
      <xdr:spPr>
        <a:xfrm>
          <a:off x="9525" y="1114425"/>
          <a:ext cx="51435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4.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sheetPr>
  <dimension ref="A1:V51"/>
  <sheetViews>
    <sheetView tabSelected="1" view="pageBreakPreview" zoomScaleSheetLayoutView="100" zoomScalePageLayoutView="0" workbookViewId="0" topLeftCell="A1">
      <selection activeCell="S27" sqref="S27"/>
    </sheetView>
  </sheetViews>
  <sheetFormatPr defaultColWidth="8.00390625" defaultRowHeight="13.5"/>
  <cols>
    <col min="1" max="6" width="8.125" style="314" customWidth="1"/>
    <col min="7" max="7" width="12.875" style="314" customWidth="1"/>
    <col min="8" max="16" width="4.125" style="314" customWidth="1"/>
    <col min="17" max="16384" width="8.00390625" style="314" customWidth="1"/>
  </cols>
  <sheetData>
    <row r="1" ht="14.25">
      <c r="A1" s="328" t="s">
        <v>241</v>
      </c>
    </row>
    <row r="2" spans="8:15" ht="12">
      <c r="H2" s="327"/>
      <c r="I2" s="326"/>
      <c r="J2" s="611"/>
      <c r="K2" s="612"/>
      <c r="L2" s="612"/>
      <c r="M2" s="612"/>
      <c r="N2" s="612"/>
      <c r="O2" s="613"/>
    </row>
    <row r="3" spans="8:15" ht="12" customHeight="1">
      <c r="H3" s="620" t="s">
        <v>26</v>
      </c>
      <c r="I3" s="621"/>
      <c r="J3" s="614"/>
      <c r="K3" s="615"/>
      <c r="L3" s="615"/>
      <c r="M3" s="615"/>
      <c r="N3" s="615"/>
      <c r="O3" s="616"/>
    </row>
    <row r="4" spans="8:15" ht="12">
      <c r="H4" s="325"/>
      <c r="I4" s="324"/>
      <c r="J4" s="617"/>
      <c r="K4" s="618"/>
      <c r="L4" s="618"/>
      <c r="M4" s="618"/>
      <c r="N4" s="618"/>
      <c r="O4" s="619"/>
    </row>
    <row r="9" spans="9:18" ht="21">
      <c r="I9" s="323"/>
      <c r="J9" s="420"/>
      <c r="K9" s="323"/>
      <c r="L9" s="35"/>
      <c r="M9" s="323"/>
      <c r="N9" s="35"/>
      <c r="O9" s="421" t="s">
        <v>255</v>
      </c>
      <c r="Q9" s="322" t="s">
        <v>218</v>
      </c>
      <c r="R9" s="194"/>
    </row>
    <row r="12" ht="17.25">
      <c r="A12" s="316" t="s">
        <v>217</v>
      </c>
    </row>
    <row r="16" spans="7:16" ht="16.5" customHeight="1">
      <c r="G16" s="320" t="s">
        <v>72</v>
      </c>
      <c r="I16" s="626"/>
      <c r="J16" s="626"/>
      <c r="K16" s="626"/>
      <c r="L16" s="626"/>
      <c r="M16" s="626"/>
      <c r="N16" s="626"/>
      <c r="O16" s="626"/>
      <c r="P16" s="626"/>
    </row>
    <row r="17" spans="7:16" ht="12">
      <c r="G17" s="321"/>
      <c r="I17" s="361"/>
      <c r="J17" s="361"/>
      <c r="K17" s="361"/>
      <c r="L17" s="361"/>
      <c r="M17" s="361"/>
      <c r="N17" s="361"/>
      <c r="O17" s="361"/>
      <c r="P17" s="361"/>
    </row>
    <row r="18" spans="7:16" ht="17.25">
      <c r="G18" s="320" t="s">
        <v>25</v>
      </c>
      <c r="I18" s="625"/>
      <c r="J18" s="625"/>
      <c r="K18" s="625"/>
      <c r="L18" s="625"/>
      <c r="M18" s="625"/>
      <c r="N18" s="625"/>
      <c r="O18" s="625"/>
      <c r="P18" s="362"/>
    </row>
    <row r="19" spans="9:16" ht="12">
      <c r="I19" s="321"/>
      <c r="J19" s="321"/>
      <c r="K19" s="321"/>
      <c r="L19" s="321"/>
      <c r="M19" s="321"/>
      <c r="N19" s="321"/>
      <c r="O19" s="321"/>
      <c r="P19" s="321"/>
    </row>
    <row r="20" spans="7:16" ht="17.25" customHeight="1">
      <c r="G20" s="320" t="s">
        <v>73</v>
      </c>
      <c r="I20" s="627" t="s">
        <v>216</v>
      </c>
      <c r="J20" s="627"/>
      <c r="K20" s="627"/>
      <c r="L20" s="627"/>
      <c r="M20" s="627"/>
      <c r="N20" s="627"/>
      <c r="O20" s="627"/>
      <c r="P20" s="321"/>
    </row>
    <row r="21" spans="7:14" ht="18.75">
      <c r="G21" s="319"/>
      <c r="I21" s="36"/>
      <c r="J21" s="36"/>
      <c r="K21" s="36"/>
      <c r="L21" s="36"/>
      <c r="M21" s="36"/>
      <c r="N21" s="318"/>
    </row>
    <row r="22" spans="7:14" ht="18.75">
      <c r="G22" s="319"/>
      <c r="I22" s="36"/>
      <c r="J22" s="36"/>
      <c r="K22" s="36"/>
      <c r="L22" s="36"/>
      <c r="M22" s="36"/>
      <c r="N22" s="318"/>
    </row>
    <row r="23" ht="17.25">
      <c r="A23" s="316" t="s">
        <v>256</v>
      </c>
    </row>
    <row r="24" ht="17.25">
      <c r="A24" s="316" t="s">
        <v>242</v>
      </c>
    </row>
    <row r="25" ht="21" customHeight="1"/>
    <row r="26" ht="17.25" customHeight="1"/>
    <row r="27" spans="1:16" ht="18.75" customHeight="1">
      <c r="A27" s="630" t="s">
        <v>259</v>
      </c>
      <c r="B27" s="630"/>
      <c r="C27" s="630"/>
      <c r="D27" s="630"/>
      <c r="E27" s="630"/>
      <c r="F27" s="630"/>
      <c r="G27" s="630"/>
      <c r="H27" s="630"/>
      <c r="I27" s="630"/>
      <c r="J27" s="630"/>
      <c r="K27" s="630"/>
      <c r="L27" s="630"/>
      <c r="M27" s="630"/>
      <c r="N27" s="630"/>
      <c r="O27" s="630"/>
      <c r="P27" s="630"/>
    </row>
    <row r="28" spans="1:16" ht="18.75" customHeight="1">
      <c r="A28" s="630" t="s">
        <v>258</v>
      </c>
      <c r="B28" s="630"/>
      <c r="C28" s="630"/>
      <c r="D28" s="630"/>
      <c r="E28" s="630"/>
      <c r="F28" s="630"/>
      <c r="G28" s="630"/>
      <c r="H28" s="630"/>
      <c r="I28" s="630"/>
      <c r="J28" s="630"/>
      <c r="K28" s="630"/>
      <c r="L28" s="630"/>
      <c r="M28" s="630"/>
      <c r="N28" s="630"/>
      <c r="O28" s="630"/>
      <c r="P28" s="630"/>
    </row>
    <row r="29" spans="1:16" ht="17.25">
      <c r="A29" s="630" t="s">
        <v>236</v>
      </c>
      <c r="B29" s="630"/>
      <c r="C29" s="630"/>
      <c r="D29" s="630"/>
      <c r="E29" s="630"/>
      <c r="F29" s="630"/>
      <c r="G29" s="630"/>
      <c r="H29" s="630"/>
      <c r="I29" s="630"/>
      <c r="J29" s="630"/>
      <c r="K29" s="630"/>
      <c r="L29" s="630"/>
      <c r="M29" s="630"/>
      <c r="N29" s="630"/>
      <c r="O29" s="630"/>
      <c r="P29" s="630"/>
    </row>
    <row r="30" spans="1:16" ht="17.25">
      <c r="A30" s="630" t="s">
        <v>234</v>
      </c>
      <c r="B30" s="630"/>
      <c r="C30" s="630"/>
      <c r="D30" s="630"/>
      <c r="E30" s="630"/>
      <c r="F30" s="630"/>
      <c r="G30" s="630"/>
      <c r="H30" s="630"/>
      <c r="I30" s="630"/>
      <c r="J30" s="630"/>
      <c r="K30" s="630"/>
      <c r="L30" s="630"/>
      <c r="M30" s="630"/>
      <c r="N30" s="630"/>
      <c r="O30" s="630"/>
      <c r="P30" s="630"/>
    </row>
    <row r="31" spans="1:16" ht="17.25">
      <c r="A31" s="629" t="s">
        <v>235</v>
      </c>
      <c r="B31" s="629"/>
      <c r="C31" s="629"/>
      <c r="D31" s="629"/>
      <c r="E31" s="629"/>
      <c r="F31" s="629"/>
      <c r="G31" s="629"/>
      <c r="H31" s="629"/>
      <c r="I31" s="629"/>
      <c r="J31" s="629"/>
      <c r="K31" s="629"/>
      <c r="L31" s="629"/>
      <c r="M31" s="629"/>
      <c r="N31" s="629"/>
      <c r="O31" s="629"/>
      <c r="P31" s="316"/>
    </row>
    <row r="32" spans="1:15" ht="17.25">
      <c r="A32" s="384"/>
      <c r="B32" s="385"/>
      <c r="C32" s="385"/>
      <c r="D32" s="385"/>
      <c r="E32" s="385"/>
      <c r="F32" s="385"/>
      <c r="G32" s="385"/>
      <c r="H32" s="385"/>
      <c r="I32" s="385"/>
      <c r="J32" s="385"/>
      <c r="K32" s="385"/>
      <c r="L32" s="385"/>
      <c r="M32" s="385"/>
      <c r="N32" s="385"/>
      <c r="O32" s="385"/>
    </row>
    <row r="33" spans="1:16" ht="17.25">
      <c r="A33" s="622" t="s">
        <v>74</v>
      </c>
      <c r="B33" s="622"/>
      <c r="C33" s="622"/>
      <c r="D33" s="622"/>
      <c r="E33" s="622"/>
      <c r="F33" s="622"/>
      <c r="G33" s="622"/>
      <c r="H33" s="622"/>
      <c r="I33" s="622"/>
      <c r="J33" s="622"/>
      <c r="K33" s="622"/>
      <c r="L33" s="622"/>
      <c r="M33" s="622"/>
      <c r="N33" s="622"/>
      <c r="O33" s="622"/>
      <c r="P33" s="622"/>
    </row>
    <row r="34" spans="1:16" ht="17.25">
      <c r="A34" s="182"/>
      <c r="B34" s="182"/>
      <c r="C34" s="182"/>
      <c r="D34" s="182"/>
      <c r="E34" s="182"/>
      <c r="F34" s="182"/>
      <c r="G34" s="182"/>
      <c r="H34" s="182"/>
      <c r="I34" s="182"/>
      <c r="J34" s="182"/>
      <c r="K34" s="182"/>
      <c r="L34" s="182"/>
      <c r="M34" s="182"/>
      <c r="N34" s="182"/>
      <c r="O34" s="182"/>
      <c r="P34" s="317"/>
    </row>
    <row r="35" spans="1:16" ht="17.25">
      <c r="A35" s="182"/>
      <c r="B35" s="182"/>
      <c r="C35" s="182"/>
      <c r="D35" s="182"/>
      <c r="E35" s="182"/>
      <c r="F35" s="182"/>
      <c r="G35" s="182"/>
      <c r="H35" s="182"/>
      <c r="I35" s="182"/>
      <c r="J35" s="182"/>
      <c r="K35" s="182"/>
      <c r="L35" s="182"/>
      <c r="M35" s="182"/>
      <c r="N35" s="182"/>
      <c r="O35" s="182"/>
      <c r="P35" s="317"/>
    </row>
    <row r="36" spans="1:15" ht="12">
      <c r="A36" s="181"/>
      <c r="B36" s="181"/>
      <c r="C36" s="181"/>
      <c r="D36" s="181"/>
      <c r="E36" s="181"/>
      <c r="F36" s="181"/>
      <c r="G36" s="181"/>
      <c r="H36" s="181"/>
      <c r="I36" s="181"/>
      <c r="J36" s="181"/>
      <c r="K36" s="181"/>
      <c r="L36" s="181"/>
      <c r="M36" s="181"/>
      <c r="N36" s="181"/>
      <c r="O36" s="181"/>
    </row>
    <row r="37" spans="1:22" ht="21" customHeight="1">
      <c r="A37" s="386" t="s">
        <v>237</v>
      </c>
      <c r="B37" s="321"/>
      <c r="C37" s="321"/>
      <c r="D37" s="321"/>
      <c r="E37" s="321"/>
      <c r="F37" s="623">
        <f>'6-1_集計表①(旧々・旧制度)'!N28+'6-1_集計表②(旧々・新制度)'!N28+'6-1_集計表③(旧・旧制度)'!N28+'6-1_集計表④(旧・新制度)'!N32+'6-1_集計表⑤(新・新制度)'!N28</f>
        <v>0</v>
      </c>
      <c r="G37" s="623"/>
      <c r="H37" s="386" t="s">
        <v>20</v>
      </c>
      <c r="J37" s="386"/>
      <c r="K37" s="390"/>
      <c r="Q37" s="193" t="s">
        <v>154</v>
      </c>
      <c r="R37" s="628" t="str">
        <f>IF(F37=+'6-2_算定表④(旧・新制度)'!AA45+'6-2_算定表②(旧々・新制度)'!AA45+'6-2_算定表⑤(新・新制度)'!AA45+'6-2_算定表③(旧・旧制度)'!AA45+'6-2_算定表①(旧々・旧制度)'!AA45,"確認OK です。 3-2 授業料支援補助対象経費算定表①～⑤の「補助金申請額の合計(S)」欄と合計値が一致していますので、このまま申請書を印刷してください。","申請額が不一致です。3-2 授業料支援補助対象経費算定表①～⑤の「補助金申請額の合計(S)」欄と合計値が一致していませんので、もう一度確認してください。")</f>
        <v>確認OK です。 3-2 授業料支援補助対象経費算定表①～⑤の「補助金申請額の合計(S)」欄と合計値が一致していますので、このまま申請書を印刷してください。</v>
      </c>
      <c r="S37" s="628"/>
      <c r="T37" s="628"/>
      <c r="U37" s="628"/>
      <c r="V37" s="628"/>
    </row>
    <row r="38" spans="1:22" ht="12" customHeight="1">
      <c r="A38" s="387"/>
      <c r="B38" s="387"/>
      <c r="C38" s="387"/>
      <c r="D38" s="387"/>
      <c r="E38" s="387"/>
      <c r="F38" s="422"/>
      <c r="G38" s="423"/>
      <c r="H38" s="387"/>
      <c r="J38" s="387"/>
      <c r="K38" s="388"/>
      <c r="N38" s="181"/>
      <c r="O38" s="181"/>
      <c r="Q38" s="181"/>
      <c r="R38" s="628"/>
      <c r="S38" s="628"/>
      <c r="T38" s="628"/>
      <c r="U38" s="628"/>
      <c r="V38" s="628"/>
    </row>
    <row r="39" spans="1:22" ht="19.5" customHeight="1">
      <c r="A39" s="386" t="s">
        <v>238</v>
      </c>
      <c r="B39" s="321"/>
      <c r="C39" s="321"/>
      <c r="D39" s="321"/>
      <c r="E39" s="321"/>
      <c r="F39" s="623">
        <f>'6-1_集計表①(旧々・旧制度)'!P28+'6-1_集計表②(旧々・新制度)'!P28+'6-1_集計表③(旧・旧制度)'!P28+'6-1_集計表④(旧・新制度)'!P32+'6-1_集計表⑤(新・新制度)'!P28</f>
        <v>0</v>
      </c>
      <c r="G39" s="623"/>
      <c r="H39" s="386" t="s">
        <v>20</v>
      </c>
      <c r="J39" s="386"/>
      <c r="K39" s="390"/>
      <c r="Q39" s="181"/>
      <c r="R39" s="628"/>
      <c r="S39" s="628"/>
      <c r="T39" s="628"/>
      <c r="U39" s="628"/>
      <c r="V39" s="628"/>
    </row>
    <row r="40" spans="1:22" ht="12">
      <c r="A40" s="321"/>
      <c r="B40" s="321"/>
      <c r="C40" s="321"/>
      <c r="D40" s="321"/>
      <c r="E40" s="321"/>
      <c r="F40" s="424"/>
      <c r="G40" s="423"/>
      <c r="H40" s="321"/>
      <c r="J40" s="321"/>
      <c r="K40" s="389"/>
      <c r="Q40" s="181"/>
      <c r="R40" s="628"/>
      <c r="S40" s="628"/>
      <c r="T40" s="628"/>
      <c r="U40" s="628"/>
      <c r="V40" s="628"/>
    </row>
    <row r="41" spans="1:22" ht="21" customHeight="1">
      <c r="A41" s="386" t="s">
        <v>239</v>
      </c>
      <c r="B41" s="321"/>
      <c r="C41" s="321"/>
      <c r="D41" s="321"/>
      <c r="E41" s="321"/>
      <c r="F41" s="624">
        <f>'6-1_集計表①(旧々・旧制度)'!R28+'6-1_集計表②(旧々・新制度)'!R28+'6-1_集計表③(旧・旧制度)'!R28+'6-1_集計表④(旧・新制度)'!R32+'6-1_集計表⑤(新・新制度)'!R28</f>
        <v>0</v>
      </c>
      <c r="G41" s="624"/>
      <c r="H41" s="386" t="s">
        <v>20</v>
      </c>
      <c r="J41" s="386"/>
      <c r="K41" s="391"/>
      <c r="Q41" s="181"/>
      <c r="R41" s="628"/>
      <c r="S41" s="628"/>
      <c r="T41" s="628"/>
      <c r="U41" s="628"/>
      <c r="V41" s="628"/>
    </row>
    <row r="42" spans="1:22" ht="12">
      <c r="A42" s="321"/>
      <c r="B42" s="321"/>
      <c r="C42" s="321"/>
      <c r="D42" s="321"/>
      <c r="E42" s="321"/>
      <c r="F42" s="321"/>
      <c r="G42" s="321"/>
      <c r="H42" s="321"/>
      <c r="I42" s="321"/>
      <c r="J42" s="321"/>
      <c r="K42" s="321"/>
      <c r="L42" s="321"/>
      <c r="M42" s="321"/>
      <c r="Q42" s="181"/>
      <c r="R42" s="628"/>
      <c r="S42" s="628"/>
      <c r="T42" s="628"/>
      <c r="U42" s="628"/>
      <c r="V42" s="628"/>
    </row>
    <row r="43" spans="1:15" ht="21" customHeight="1">
      <c r="A43" s="386" t="s">
        <v>240</v>
      </c>
      <c r="B43" s="387"/>
      <c r="C43" s="387"/>
      <c r="D43" s="387"/>
      <c r="E43" s="387"/>
      <c r="F43" s="604"/>
      <c r="G43" s="604"/>
      <c r="H43" s="604"/>
      <c r="I43" s="604"/>
      <c r="J43" s="604"/>
      <c r="K43" s="604"/>
      <c r="L43" s="604"/>
      <c r="M43" s="604"/>
      <c r="N43" s="604"/>
      <c r="O43" s="387"/>
    </row>
    <row r="44" spans="1:15" ht="17.25">
      <c r="A44" s="316"/>
      <c r="B44" s="181"/>
      <c r="C44" s="181"/>
      <c r="D44" s="181"/>
      <c r="E44" s="181"/>
      <c r="F44" s="604"/>
      <c r="G44" s="604"/>
      <c r="H44" s="604"/>
      <c r="I44" s="604"/>
      <c r="J44" s="604"/>
      <c r="K44" s="604"/>
      <c r="L44" s="604"/>
      <c r="M44" s="604"/>
      <c r="N44" s="604"/>
      <c r="O44" s="387"/>
    </row>
    <row r="45" spans="1:15" ht="17.25">
      <c r="A45" s="316"/>
      <c r="B45" s="181"/>
      <c r="C45" s="181"/>
      <c r="D45" s="181"/>
      <c r="E45" s="181"/>
      <c r="F45" s="604"/>
      <c r="G45" s="604"/>
      <c r="H45" s="604"/>
      <c r="I45" s="604"/>
      <c r="J45" s="604"/>
      <c r="K45" s="604"/>
      <c r="L45" s="604"/>
      <c r="M45" s="604"/>
      <c r="N45" s="604"/>
      <c r="O45" s="392"/>
    </row>
    <row r="46" spans="1:15" ht="17.25">
      <c r="A46" s="316"/>
      <c r="B46" s="181"/>
      <c r="C46" s="181"/>
      <c r="D46" s="181"/>
      <c r="E46" s="181"/>
      <c r="F46" s="392"/>
      <c r="G46" s="392"/>
      <c r="H46" s="392"/>
      <c r="I46" s="392"/>
      <c r="J46" s="392"/>
      <c r="K46" s="392"/>
      <c r="L46" s="392"/>
      <c r="M46" s="392"/>
      <c r="N46" s="392"/>
      <c r="O46" s="392"/>
    </row>
    <row r="47" spans="1:15" ht="17.25">
      <c r="A47" s="316"/>
      <c r="B47" s="181"/>
      <c r="C47" s="181"/>
      <c r="D47" s="181"/>
      <c r="E47" s="181"/>
      <c r="F47" s="181"/>
      <c r="G47" s="181"/>
      <c r="H47" s="181"/>
      <c r="I47" s="181"/>
      <c r="J47" s="181"/>
      <c r="K47" s="181"/>
      <c r="L47" s="181"/>
      <c r="M47" s="181"/>
      <c r="N47" s="181"/>
      <c r="O47" s="181"/>
    </row>
    <row r="48" spans="1:15" ht="24.75" customHeight="1">
      <c r="A48" s="181"/>
      <c r="B48" s="181"/>
      <c r="C48" s="181"/>
      <c r="D48" s="181"/>
      <c r="E48" s="181"/>
      <c r="F48" s="181"/>
      <c r="G48" s="315" t="s">
        <v>183</v>
      </c>
      <c r="H48" s="605"/>
      <c r="I48" s="606"/>
      <c r="J48" s="606"/>
      <c r="K48" s="606"/>
      <c r="L48" s="606"/>
      <c r="M48" s="606"/>
      <c r="N48" s="606"/>
      <c r="O48" s="607"/>
    </row>
    <row r="49" spans="1:15" ht="24.75" customHeight="1">
      <c r="A49" s="181"/>
      <c r="B49" s="181"/>
      <c r="C49" s="181"/>
      <c r="D49" s="181"/>
      <c r="E49" s="181"/>
      <c r="F49" s="181"/>
      <c r="G49" s="315" t="s">
        <v>184</v>
      </c>
      <c r="H49" s="608"/>
      <c r="I49" s="609"/>
      <c r="J49" s="609"/>
      <c r="K49" s="609"/>
      <c r="L49" s="609"/>
      <c r="M49" s="609"/>
      <c r="N49" s="609"/>
      <c r="O49" s="610"/>
    </row>
    <row r="50" spans="1:15" ht="24.75" customHeight="1">
      <c r="A50" s="181"/>
      <c r="B50" s="181"/>
      <c r="C50" s="181"/>
      <c r="D50" s="181"/>
      <c r="E50" s="181"/>
      <c r="F50" s="181"/>
      <c r="G50" s="315" t="s">
        <v>185</v>
      </c>
      <c r="H50" s="608"/>
      <c r="I50" s="609"/>
      <c r="J50" s="609"/>
      <c r="K50" s="609"/>
      <c r="L50" s="609"/>
      <c r="M50" s="609"/>
      <c r="N50" s="609"/>
      <c r="O50" s="610"/>
    </row>
    <row r="51" spans="1:15" ht="12">
      <c r="A51" s="181"/>
      <c r="B51" s="181"/>
      <c r="C51" s="181"/>
      <c r="D51" s="181"/>
      <c r="E51" s="181"/>
      <c r="F51" s="181"/>
      <c r="G51" s="181"/>
      <c r="H51" s="181"/>
      <c r="I51" s="181"/>
      <c r="J51" s="181"/>
      <c r="K51" s="181"/>
      <c r="L51" s="181"/>
      <c r="M51" s="181"/>
      <c r="N51" s="181"/>
      <c r="O51" s="181"/>
    </row>
  </sheetData>
  <sheetProtection/>
  <mergeCells count="19">
    <mergeCell ref="I18:O18"/>
    <mergeCell ref="I16:P16"/>
    <mergeCell ref="I20:O20"/>
    <mergeCell ref="R37:V42"/>
    <mergeCell ref="A31:O31"/>
    <mergeCell ref="A28:P28"/>
    <mergeCell ref="A27:P27"/>
    <mergeCell ref="A29:P29"/>
    <mergeCell ref="A30:P30"/>
    <mergeCell ref="F43:N45"/>
    <mergeCell ref="H48:O48"/>
    <mergeCell ref="H49:O49"/>
    <mergeCell ref="H50:O50"/>
    <mergeCell ref="J2:O4"/>
    <mergeCell ref="H3:I3"/>
    <mergeCell ref="A33:P33"/>
    <mergeCell ref="F37:G37"/>
    <mergeCell ref="F39:G39"/>
    <mergeCell ref="F41:G41"/>
  </mergeCells>
  <printOptions/>
  <pageMargins left="0.9055118110236221" right="0.9055118110236221" top="1.141732283464567" bottom="0.7480314960629921" header="0.31496062992125984" footer="0.31496062992125984"/>
  <pageSetup cellComments="asDisplayed" fitToHeight="0" fitToWidth="0"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sheetPr codeName="Sheet4">
    <tabColor rgb="FF00B050"/>
  </sheetPr>
  <dimension ref="A1:AJ59"/>
  <sheetViews>
    <sheetView view="pageBreakPreview" zoomScale="75" zoomScaleNormal="75" zoomScaleSheetLayoutView="75" zoomScalePageLayoutView="0" workbookViewId="0" topLeftCell="A1">
      <selection activeCell="A52" sqref="A52"/>
    </sheetView>
  </sheetViews>
  <sheetFormatPr defaultColWidth="9.625" defaultRowHeight="13.5"/>
  <cols>
    <col min="1" max="1" width="6.25390625" style="40" customWidth="1"/>
    <col min="2" max="2" width="19.125" style="40" bestFit="1" customWidth="1"/>
    <col min="3" max="3" width="3.75390625" style="40" customWidth="1"/>
    <col min="4" max="4" width="10.125" style="40" customWidth="1"/>
    <col min="5" max="5" width="10.375" style="40" customWidth="1"/>
    <col min="6" max="6" width="12.25390625" style="40" customWidth="1"/>
    <col min="7" max="7" width="12.375" style="40" customWidth="1"/>
    <col min="8" max="8" width="12.25390625" style="40" bestFit="1" customWidth="1"/>
    <col min="9" max="9" width="5.50390625" style="40" bestFit="1" customWidth="1"/>
    <col min="10" max="10" width="14.125" style="40" bestFit="1" customWidth="1"/>
    <col min="11" max="11" width="13.125" style="40" bestFit="1" customWidth="1"/>
    <col min="12" max="12" width="6.125" style="40" customWidth="1"/>
    <col min="13" max="13" width="9.50390625" style="40" hidden="1" customWidth="1"/>
    <col min="14" max="14" width="10.00390625" style="40" customWidth="1"/>
    <col min="15" max="15" width="5.25390625" style="40" customWidth="1"/>
    <col min="16" max="16" width="10.00390625" style="40" hidden="1" customWidth="1"/>
    <col min="17" max="17" width="10.00390625" style="40" customWidth="1"/>
    <col min="18" max="18" width="10.75390625" style="40" customWidth="1"/>
    <col min="19" max="19" width="10.625" style="40" customWidth="1"/>
    <col min="20" max="20" width="10.875" style="40" customWidth="1"/>
    <col min="21" max="21" width="12.50390625" style="40" customWidth="1"/>
    <col min="22" max="22" width="13.25390625" style="40" customWidth="1"/>
    <col min="23" max="23" width="11.25390625" style="40" customWidth="1"/>
    <col min="24" max="24" width="11.625" style="40" customWidth="1"/>
    <col min="25" max="26" width="11.25390625" style="40" customWidth="1"/>
    <col min="27" max="27" width="13.00390625" style="40" customWidth="1"/>
    <col min="28" max="28" width="1.37890625" style="40" customWidth="1"/>
    <col min="29" max="29" width="9.125" style="40" customWidth="1"/>
    <col min="30" max="30" width="16.375" style="40" customWidth="1"/>
    <col min="31" max="31" width="3.125" style="40" customWidth="1"/>
    <col min="32" max="32" width="5.625" style="41" customWidth="1"/>
    <col min="33" max="33" width="3.125" style="41" customWidth="1"/>
    <col min="34" max="34" width="3.125" style="40" customWidth="1"/>
    <col min="35" max="35" width="8.25390625" style="40" customWidth="1"/>
    <col min="36" max="16384" width="9.625" style="40" customWidth="1"/>
  </cols>
  <sheetData>
    <row r="1" spans="1:30" ht="24.75" customHeight="1">
      <c r="A1" s="213" t="s">
        <v>248</v>
      </c>
      <c r="B1" s="39"/>
      <c r="X1" s="186" t="s">
        <v>25</v>
      </c>
      <c r="Y1" s="761">
        <f>'5_総括表'!E3</f>
        <v>0</v>
      </c>
      <c r="Z1" s="762"/>
      <c r="AA1" s="762"/>
      <c r="AB1" s="763"/>
      <c r="AC1" s="186" t="s">
        <v>26</v>
      </c>
      <c r="AD1" s="188">
        <f>'5_総括表'!Z3</f>
        <v>0</v>
      </c>
    </row>
    <row r="2" spans="1:30" ht="24.75" customHeight="1" thickBot="1">
      <c r="A2" s="42"/>
      <c r="X2" s="187" t="s">
        <v>23</v>
      </c>
      <c r="Y2" s="764">
        <f>'5_総括表'!E4</f>
        <v>0</v>
      </c>
      <c r="Z2" s="765"/>
      <c r="AA2" s="765"/>
      <c r="AB2" s="766"/>
      <c r="AC2" s="187" t="s">
        <v>24</v>
      </c>
      <c r="AD2" s="189">
        <f>'5_総括表'!Z4</f>
        <v>0</v>
      </c>
    </row>
    <row r="3" spans="1:30" ht="31.5" customHeight="1" thickBot="1">
      <c r="A3" s="333" t="s">
        <v>226</v>
      </c>
      <c r="B3" s="332"/>
      <c r="AC3" s="43"/>
      <c r="AD3" s="43" t="s">
        <v>28</v>
      </c>
    </row>
    <row r="4" spans="1:33" s="44" customFormat="1" ht="22.5" customHeight="1" thickBot="1">
      <c r="A4" s="675" t="s">
        <v>32</v>
      </c>
      <c r="B4" s="670" t="s">
        <v>167</v>
      </c>
      <c r="C4" s="770" t="s">
        <v>119</v>
      </c>
      <c r="D4" s="777" t="s">
        <v>117</v>
      </c>
      <c r="E4" s="773" t="s">
        <v>100</v>
      </c>
      <c r="F4" s="774"/>
      <c r="G4" s="775" t="s">
        <v>109</v>
      </c>
      <c r="H4" s="776"/>
      <c r="I4" s="776"/>
      <c r="J4" s="776"/>
      <c r="K4" s="774"/>
      <c r="L4" s="684" t="s">
        <v>113</v>
      </c>
      <c r="M4" s="685"/>
      <c r="N4" s="685"/>
      <c r="O4" s="755"/>
      <c r="P4" s="755"/>
      <c r="Q4" s="755"/>
      <c r="R4" s="755"/>
      <c r="S4" s="755"/>
      <c r="T4" s="756"/>
      <c r="U4" s="670" t="s">
        <v>4</v>
      </c>
      <c r="V4" s="670" t="s">
        <v>115</v>
      </c>
      <c r="W4" s="670" t="s">
        <v>116</v>
      </c>
      <c r="X4" s="670" t="s">
        <v>69</v>
      </c>
      <c r="Y4" s="670" t="s">
        <v>31</v>
      </c>
      <c r="Z4" s="670" t="s">
        <v>99</v>
      </c>
      <c r="AA4" s="757" t="s">
        <v>187</v>
      </c>
      <c r="AB4" s="721" t="s">
        <v>7</v>
      </c>
      <c r="AC4" s="722"/>
      <c r="AD4" s="723"/>
      <c r="AF4" s="730" t="s">
        <v>30</v>
      </c>
      <c r="AG4" s="730" t="s">
        <v>78</v>
      </c>
    </row>
    <row r="5" spans="1:33" s="44" customFormat="1" ht="22.5" customHeight="1" thickBot="1">
      <c r="A5" s="767"/>
      <c r="B5" s="737"/>
      <c r="C5" s="771"/>
      <c r="D5" s="778"/>
      <c r="E5" s="45"/>
      <c r="F5" s="925" t="s">
        <v>76</v>
      </c>
      <c r="G5" s="927" t="s">
        <v>3</v>
      </c>
      <c r="H5" s="759" t="s">
        <v>77</v>
      </c>
      <c r="I5" s="935" t="s">
        <v>158</v>
      </c>
      <c r="J5" s="753" t="s">
        <v>157</v>
      </c>
      <c r="K5" s="925" t="s">
        <v>2</v>
      </c>
      <c r="L5" s="684" t="s">
        <v>186</v>
      </c>
      <c r="M5" s="685"/>
      <c r="N5" s="685"/>
      <c r="O5" s="684" t="s">
        <v>180</v>
      </c>
      <c r="P5" s="685"/>
      <c r="Q5" s="921"/>
      <c r="R5" s="922" t="s">
        <v>110</v>
      </c>
      <c r="S5" s="744" t="s">
        <v>112</v>
      </c>
      <c r="T5" s="933" t="s">
        <v>111</v>
      </c>
      <c r="U5" s="737"/>
      <c r="V5" s="737"/>
      <c r="W5" s="737"/>
      <c r="X5" s="737"/>
      <c r="Y5" s="737"/>
      <c r="Z5" s="737"/>
      <c r="AA5" s="758"/>
      <c r="AB5" s="930"/>
      <c r="AC5" s="931"/>
      <c r="AD5" s="726"/>
      <c r="AF5" s="929"/>
      <c r="AG5" s="929"/>
    </row>
    <row r="6" spans="1:33" s="44" customFormat="1" ht="50.25" customHeight="1">
      <c r="A6" s="767"/>
      <c r="B6" s="737"/>
      <c r="C6" s="771"/>
      <c r="D6" s="924"/>
      <c r="E6" s="300" t="s">
        <v>146</v>
      </c>
      <c r="F6" s="926"/>
      <c r="G6" s="928"/>
      <c r="H6" s="760"/>
      <c r="I6" s="936"/>
      <c r="J6" s="754"/>
      <c r="K6" s="926"/>
      <c r="L6" s="746" t="s">
        <v>18</v>
      </c>
      <c r="M6" s="919" t="s">
        <v>166</v>
      </c>
      <c r="N6" s="214" t="s">
        <v>169</v>
      </c>
      <c r="O6" s="746" t="s">
        <v>18</v>
      </c>
      <c r="P6" s="919" t="s">
        <v>172</v>
      </c>
      <c r="Q6" s="286" t="s">
        <v>169</v>
      </c>
      <c r="R6" s="923"/>
      <c r="S6" s="745"/>
      <c r="T6" s="934"/>
      <c r="U6" s="794"/>
      <c r="V6" s="767"/>
      <c r="W6" s="737"/>
      <c r="X6" s="767"/>
      <c r="Y6" s="767"/>
      <c r="Z6" s="767"/>
      <c r="AA6" s="932"/>
      <c r="AB6" s="724"/>
      <c r="AC6" s="725"/>
      <c r="AD6" s="726"/>
      <c r="AF6" s="731"/>
      <c r="AG6" s="731"/>
    </row>
    <row r="7" spans="1:33" s="44" customFormat="1" ht="17.25" customHeight="1" thickBot="1">
      <c r="A7" s="768"/>
      <c r="B7" s="769"/>
      <c r="C7" s="772"/>
      <c r="D7" s="125" t="s">
        <v>104</v>
      </c>
      <c r="E7" s="301" t="s">
        <v>0</v>
      </c>
      <c r="F7" s="299" t="s">
        <v>1</v>
      </c>
      <c r="G7" s="126" t="s">
        <v>105</v>
      </c>
      <c r="H7" s="49" t="s">
        <v>79</v>
      </c>
      <c r="I7" s="122" t="s">
        <v>101</v>
      </c>
      <c r="J7" s="287" t="s">
        <v>102</v>
      </c>
      <c r="K7" s="124" t="s">
        <v>103</v>
      </c>
      <c r="L7" s="747"/>
      <c r="M7" s="920"/>
      <c r="N7" s="311" t="s">
        <v>212</v>
      </c>
      <c r="O7" s="747"/>
      <c r="P7" s="920"/>
      <c r="Q7" s="312" t="s">
        <v>213</v>
      </c>
      <c r="R7" s="285" t="s">
        <v>82</v>
      </c>
      <c r="S7" s="119" t="s">
        <v>83</v>
      </c>
      <c r="T7" s="50" t="s">
        <v>92</v>
      </c>
      <c r="U7" s="47" t="s">
        <v>93</v>
      </c>
      <c r="V7" s="47" t="s">
        <v>94</v>
      </c>
      <c r="W7" s="47" t="s">
        <v>95</v>
      </c>
      <c r="X7" s="47" t="s">
        <v>96</v>
      </c>
      <c r="Y7" s="47" t="s">
        <v>97</v>
      </c>
      <c r="Z7" s="47" t="s">
        <v>98</v>
      </c>
      <c r="AA7" s="51" t="s">
        <v>114</v>
      </c>
      <c r="AB7" s="727"/>
      <c r="AC7" s="728"/>
      <c r="AD7" s="729"/>
      <c r="AF7" s="733"/>
      <c r="AG7" s="733"/>
    </row>
    <row r="8" spans="1:36" s="54" customFormat="1" ht="18.75" customHeight="1" thickBot="1">
      <c r="A8" s="26">
        <f>IF(B8="","",ROW($A8)-ROW($A$7))</f>
      </c>
      <c r="B8" s="271"/>
      <c r="C8" s="276"/>
      <c r="D8" s="473"/>
      <c r="E8" s="53"/>
      <c r="F8" s="215">
        <f>IF(A8="","",IF(E8&gt;30,30,E8))</f>
      </c>
      <c r="G8" s="476">
        <f>IF(A8="","",(D8*F8))</f>
      </c>
      <c r="H8" s="477"/>
      <c r="I8" s="127"/>
      <c r="J8" s="483">
        <f>IF(A8="","",ROUNDDOWN((H8*I8/12+G8),0))</f>
      </c>
      <c r="K8" s="484">
        <f>IF(A8="","",ROUNDDOWN(10032*F8,0))</f>
      </c>
      <c r="L8" s="304"/>
      <c r="M8" s="219"/>
      <c r="N8" s="492">
        <f>IF($G8="","",IF($L8="Ａ",LOOKUP($D8,{8000,8500,9000,10000,12000},{0,1532,1032,408,408}),IF($L8="Ｂ",LOOKUP($D8,{8000,8500,9000,10000,12000},{782,2814,2814,2814,2814}),IF($L8="Ｃ",LOOKUP($D8,{8000,8500,9000,10000,12000},{3188,5220,5220,5220,5220}),0))))</f>
      </c>
      <c r="O8" s="292"/>
      <c r="P8" s="270"/>
      <c r="Q8" s="492">
        <f>IF($G8="","",IF($O8="Ａ",LOOKUP($D8,{8000,8500,9000,10000,12000},{0,1532,1032,408,408}),IF($O8="Ｂ",LOOKUP($D8,{8000,8500,9000,10000,12000},{782,2814,2814,2814,2814}),IF($O8="Ｃ",LOOKUP($D8,{8000,8500,9000,10000,12000},{3188,5220,5220,5220,5220}),0))))</f>
      </c>
      <c r="R8" s="495">
        <f>IF(ISERROR(ROUNDUP(N8*3/12+Q8*9/12,0)),"",ROUNDUP(N8*3/12+Q8*9/12,0))</f>
      </c>
      <c r="S8" s="496">
        <f>IF(B8="","",SUMIF('6-3_調整額内訳③(旧・旧制度)'!B:B,$B8,'6-3_調整額内訳③(旧・旧制度)'!AF:AF))</f>
      </c>
      <c r="T8" s="497">
        <f>IF(B8="","",SUM(R8:S8))</f>
      </c>
      <c r="U8" s="498">
        <f>IF(B8="","",ROUNDDOWN(T8*F8,0))</f>
      </c>
      <c r="V8" s="499">
        <f>IF(J8&gt;=K8,K8,J8)</f>
      </c>
      <c r="W8" s="500"/>
      <c r="X8" s="499">
        <f>IF(A8="","",IF((J8-V8)&lt;W8,V8-(J8-W8),0))</f>
      </c>
      <c r="Y8" s="501"/>
      <c r="Z8" s="495">
        <f>IF(B8="","",MAX(0,V8-X8-Y8))</f>
      </c>
      <c r="AA8" s="502">
        <f>IF(B8="","",MIN(U8,Z8))</f>
      </c>
      <c r="AB8" s="734"/>
      <c r="AC8" s="735"/>
      <c r="AD8" s="736"/>
      <c r="AF8" s="55">
        <f>IF(A8&gt;0,ASC(C8&amp;O8),"")</f>
      </c>
      <c r="AG8" s="55">
        <f aca="true" t="shared" si="0" ref="AG8:AG44">IF(B8="","",IF(AA8&gt;0,1,0))</f>
      </c>
      <c r="AI8" s="56" t="s">
        <v>15</v>
      </c>
      <c r="AJ8" s="44"/>
    </row>
    <row r="9" spans="1:36" s="54" customFormat="1" ht="18.75" customHeight="1" thickBot="1" thickTop="1">
      <c r="A9" s="37">
        <f aca="true" t="shared" si="1" ref="A9:A44">IF(B9="","",ROW($A9)-ROW($A$7))</f>
      </c>
      <c r="B9" s="277"/>
      <c r="C9" s="57"/>
      <c r="D9" s="474"/>
      <c r="E9" s="278"/>
      <c r="F9" s="216">
        <f aca="true" t="shared" si="2" ref="F9:F44">IF(A9="","",IF(E9&gt;30,30,E9))</f>
      </c>
      <c r="G9" s="478">
        <f aca="true" t="shared" si="3" ref="G9:G44">IF(A9="","",(D9*F9))</f>
      </c>
      <c r="H9" s="479"/>
      <c r="I9" s="128"/>
      <c r="J9" s="485">
        <f aca="true" t="shared" si="4" ref="J9:J44">IF(A9="","",ROUNDDOWN((H9*I9/12+G9),0))</f>
      </c>
      <c r="K9" s="486">
        <f aca="true" t="shared" si="5" ref="K9:K44">IF(A9="","",ROUNDDOWN(10032*F9,0))</f>
      </c>
      <c r="L9" s="292"/>
      <c r="M9" s="220"/>
      <c r="N9" s="493">
        <f>IF($G9="","",IF($L9="Ａ",LOOKUP($D9,{8000,8500,9000,10000,12000},{0,1532,1032,408,408}),IF($L9="Ｂ",LOOKUP($D9,{8000,8500,9000,10000,12000},{782,2814,2814,2814,2814}),IF($L9="Ｃ",LOOKUP($D9,{8000,8500,9000,10000,12000},{3188,5220,5220,5220,5220}),0))))</f>
      </c>
      <c r="O9" s="292"/>
      <c r="P9" s="232"/>
      <c r="Q9" s="493">
        <f>IF($G9="","",IF($O9="Ａ",LOOKUP($D9,{8000,8500,9000,10000,12000},{0,1532,1032,408,408}),IF($O9="Ｂ",LOOKUP($D9,{8000,8500,9000,10000,12000},{782,2814,2814,2814,2814}),IF($O9="Ｃ",LOOKUP($D9,{8000,8500,9000,10000,12000},{3188,5220,5220,5220,5220}),0))))</f>
      </c>
      <c r="R9" s="503">
        <f aca="true" t="shared" si="6" ref="R9:R44">IF(ISERROR(ROUNDUP(N9*3/12+Q9*9/12,0)),"",ROUNDUP(N9*3/12+Q9*9/12,0))</f>
      </c>
      <c r="S9" s="504">
        <f>IF(B9="","",SUMIF('6-3_調整額内訳③(旧・旧制度)'!B:B,$B9,'6-3_調整額内訳③(旧・旧制度)'!AF:AF))</f>
      </c>
      <c r="T9" s="505">
        <f aca="true" t="shared" si="7" ref="T9:T44">IF(B9="","",SUM(R9:S9))</f>
      </c>
      <c r="U9" s="506">
        <f aca="true" t="shared" si="8" ref="U9:U44">IF(B9="","",ROUNDDOWN(T9*F9,0))</f>
      </c>
      <c r="V9" s="506">
        <f aca="true" t="shared" si="9" ref="V9:V44">IF(J9&gt;=K9,K9,J9)</f>
      </c>
      <c r="W9" s="507"/>
      <c r="X9" s="506">
        <f aca="true" t="shared" si="10" ref="X9:X44">IF(A9="","",IF((J9-V9)&lt;W9,V9-(J9-W9),0))</f>
      </c>
      <c r="Y9" s="501"/>
      <c r="Z9" s="503">
        <f aca="true" t="shared" si="11" ref="Z9:Z44">IF(B9="","",MAX(0,V9-X9-Y9))</f>
      </c>
      <c r="AA9" s="508">
        <f aca="true" t="shared" si="12" ref="AA9:AA44">IF(B9="","",MIN(U9,Z9))</f>
      </c>
      <c r="AB9" s="712"/>
      <c r="AC9" s="713"/>
      <c r="AD9" s="714"/>
      <c r="AF9" s="63">
        <f aca="true" t="shared" si="13" ref="AF9:AF44">IF(A9&gt;0,ASC(C9&amp;O9),"")</f>
      </c>
      <c r="AG9" s="63">
        <f t="shared" si="0"/>
      </c>
      <c r="AI9" s="56" t="s">
        <v>14</v>
      </c>
      <c r="AJ9" s="64" t="str">
        <f>IF(S45='6-3_調整額内訳③(旧・旧制度)'!AF39,"OK","ERR")</f>
        <v>OK</v>
      </c>
    </row>
    <row r="10" spans="1:36" s="54" customFormat="1" ht="18.75" customHeight="1" thickTop="1">
      <c r="A10" s="204">
        <f t="shared" si="1"/>
      </c>
      <c r="B10" s="277"/>
      <c r="C10" s="57"/>
      <c r="D10" s="474"/>
      <c r="E10" s="59"/>
      <c r="F10" s="216">
        <f t="shared" si="2"/>
      </c>
      <c r="G10" s="478">
        <f t="shared" si="3"/>
      </c>
      <c r="H10" s="479"/>
      <c r="I10" s="128"/>
      <c r="J10" s="478">
        <f t="shared" si="4"/>
      </c>
      <c r="K10" s="486">
        <f t="shared" si="5"/>
      </c>
      <c r="L10" s="292"/>
      <c r="M10" s="220"/>
      <c r="N10" s="493">
        <f>IF($G10="","",IF($L10="Ａ",LOOKUP($D10,{8000,8500,9000,10000,12000},{0,1532,1032,408,408}),IF($L10="Ｂ",LOOKUP($D10,{8000,8500,9000,10000,12000},{782,2814,2814,2814,2814}),IF($L10="Ｃ",LOOKUP($D10,{8000,8500,9000,10000,12000},{3188,5220,5220,5220,5220}),0))))</f>
      </c>
      <c r="O10" s="292"/>
      <c r="P10" s="232"/>
      <c r="Q10" s="493">
        <f>IF($G10="","",IF($O10="Ａ",LOOKUP($D10,{8000,8500,9000,10000,12000},{0,1532,1032,408,408}),IF($O10="Ｂ",LOOKUP($D10,{8000,8500,9000,10000,12000},{782,2814,2814,2814,2814}),IF($O10="Ｃ",LOOKUP($D10,{8000,8500,9000,10000,12000},{3188,5220,5220,5220,5220}),0))))</f>
      </c>
      <c r="R10" s="503">
        <f t="shared" si="6"/>
      </c>
      <c r="S10" s="504">
        <f>IF(B10="","",SUMIF('6-3_調整額内訳③(旧・旧制度)'!B:B,$B10,'6-3_調整額内訳③(旧・旧制度)'!AF:AF))</f>
      </c>
      <c r="T10" s="505">
        <f t="shared" si="7"/>
      </c>
      <c r="U10" s="506">
        <f t="shared" si="8"/>
      </c>
      <c r="V10" s="506">
        <f t="shared" si="9"/>
      </c>
      <c r="W10" s="507"/>
      <c r="X10" s="506">
        <f t="shared" si="10"/>
      </c>
      <c r="Y10" s="501"/>
      <c r="Z10" s="503">
        <f t="shared" si="11"/>
      </c>
      <c r="AA10" s="508">
        <f t="shared" si="12"/>
      </c>
      <c r="AB10" s="712"/>
      <c r="AC10" s="713"/>
      <c r="AD10" s="714"/>
      <c r="AF10" s="63">
        <f t="shared" si="13"/>
      </c>
      <c r="AG10" s="63">
        <f t="shared" si="0"/>
      </c>
      <c r="AI10" s="56"/>
      <c r="AJ10" s="65"/>
    </row>
    <row r="11" spans="1:33" s="54" customFormat="1" ht="18.75" customHeight="1">
      <c r="A11" s="204">
        <f t="shared" si="1"/>
      </c>
      <c r="B11" s="277"/>
      <c r="C11" s="57"/>
      <c r="D11" s="474"/>
      <c r="E11" s="59"/>
      <c r="F11" s="216">
        <f t="shared" si="2"/>
      </c>
      <c r="G11" s="478">
        <f t="shared" si="3"/>
      </c>
      <c r="H11" s="479"/>
      <c r="I11" s="128"/>
      <c r="J11" s="478">
        <f t="shared" si="4"/>
      </c>
      <c r="K11" s="486">
        <f t="shared" si="5"/>
      </c>
      <c r="L11" s="292"/>
      <c r="M11" s="220"/>
      <c r="N11" s="493">
        <f>IF($G11="","",IF($L11="Ａ",LOOKUP($D11,{8000,8500,9000,10000,12000},{0,1532,1032,408,408}),IF($L11="Ｂ",LOOKUP($D11,{8000,8500,9000,10000,12000},{782,2814,2814,2814,2814}),IF($L11="Ｃ",LOOKUP($D11,{8000,8500,9000,10000,12000},{3188,5220,5220,5220,5220}),0))))</f>
      </c>
      <c r="O11" s="292"/>
      <c r="P11" s="232"/>
      <c r="Q11" s="493">
        <f>IF($G11="","",IF($O11="Ａ",LOOKUP($D11,{8000,8500,9000,10000,12000},{0,1532,1032,408,408}),IF($O11="Ｂ",LOOKUP($D11,{8000,8500,9000,10000,12000},{782,2814,2814,2814,2814}),IF($O11="Ｃ",LOOKUP($D11,{8000,8500,9000,10000,12000},{3188,5220,5220,5220,5220}),0))))</f>
      </c>
      <c r="R11" s="503">
        <f t="shared" si="6"/>
      </c>
      <c r="S11" s="504">
        <f>IF(B11="","",SUMIF('6-3_調整額内訳③(旧・旧制度)'!B:B,$B11,'6-3_調整額内訳③(旧・旧制度)'!AF:AF))</f>
      </c>
      <c r="T11" s="505">
        <f t="shared" si="7"/>
      </c>
      <c r="U11" s="506">
        <f t="shared" si="8"/>
      </c>
      <c r="V11" s="506">
        <f t="shared" si="9"/>
      </c>
      <c r="W11" s="507"/>
      <c r="X11" s="506">
        <f t="shared" si="10"/>
      </c>
      <c r="Y11" s="501"/>
      <c r="Z11" s="503">
        <f t="shared" si="11"/>
      </c>
      <c r="AA11" s="508">
        <f t="shared" si="12"/>
      </c>
      <c r="AB11" s="712"/>
      <c r="AC11" s="713"/>
      <c r="AD11" s="714"/>
      <c r="AF11" s="63">
        <f t="shared" si="13"/>
      </c>
      <c r="AG11" s="63">
        <f t="shared" si="0"/>
      </c>
    </row>
    <row r="12" spans="1:33" s="54" customFormat="1" ht="18.75" customHeight="1">
      <c r="A12" s="204">
        <f t="shared" si="1"/>
      </c>
      <c r="B12" s="277"/>
      <c r="C12" s="57"/>
      <c r="D12" s="474"/>
      <c r="E12" s="59"/>
      <c r="F12" s="216">
        <f t="shared" si="2"/>
      </c>
      <c r="G12" s="478">
        <f t="shared" si="3"/>
      </c>
      <c r="H12" s="479"/>
      <c r="I12" s="128"/>
      <c r="J12" s="478">
        <f t="shared" si="4"/>
      </c>
      <c r="K12" s="486">
        <f t="shared" si="5"/>
      </c>
      <c r="L12" s="292"/>
      <c r="M12" s="220"/>
      <c r="N12" s="493">
        <f>IF($G12="","",IF($L12="Ａ",LOOKUP($D12,{8000,8500,9000,10000,12000},{0,1532,1032,408,408}),IF($L12="Ｂ",LOOKUP($D12,{8000,8500,9000,10000,12000},{782,2814,2814,2814,2814}),IF($L12="Ｃ",LOOKUP($D12,{8000,8500,9000,10000,12000},{3188,5220,5220,5220,5220}),0))))</f>
      </c>
      <c r="O12" s="292"/>
      <c r="P12" s="232"/>
      <c r="Q12" s="493">
        <f>IF($G12="","",IF($O12="Ａ",LOOKUP($D12,{8000,8500,9000,10000,12000},{0,1532,1032,408,408}),IF($O12="Ｂ",LOOKUP($D12,{8000,8500,9000,10000,12000},{782,2814,2814,2814,2814}),IF($O12="Ｃ",LOOKUP($D12,{8000,8500,9000,10000,12000},{3188,5220,5220,5220,5220}),0))))</f>
      </c>
      <c r="R12" s="503">
        <f t="shared" si="6"/>
      </c>
      <c r="S12" s="504">
        <f>IF(B12="","",SUMIF('6-3_調整額内訳③(旧・旧制度)'!B:B,$B12,'6-3_調整額内訳③(旧・旧制度)'!AF:AF))</f>
      </c>
      <c r="T12" s="505">
        <f t="shared" si="7"/>
      </c>
      <c r="U12" s="506">
        <f t="shared" si="8"/>
      </c>
      <c r="V12" s="506">
        <f t="shared" si="9"/>
      </c>
      <c r="W12" s="507"/>
      <c r="X12" s="506">
        <f t="shared" si="10"/>
      </c>
      <c r="Y12" s="501"/>
      <c r="Z12" s="503">
        <f t="shared" si="11"/>
      </c>
      <c r="AA12" s="508">
        <f t="shared" si="12"/>
      </c>
      <c r="AB12" s="712"/>
      <c r="AC12" s="713"/>
      <c r="AD12" s="714"/>
      <c r="AF12" s="63">
        <f t="shared" si="13"/>
      </c>
      <c r="AG12" s="63">
        <f t="shared" si="0"/>
      </c>
    </row>
    <row r="13" spans="1:33" s="54" customFormat="1" ht="18.75" customHeight="1">
      <c r="A13" s="204">
        <f t="shared" si="1"/>
      </c>
      <c r="B13" s="277"/>
      <c r="C13" s="57"/>
      <c r="D13" s="474"/>
      <c r="E13" s="59"/>
      <c r="F13" s="216">
        <f t="shared" si="2"/>
      </c>
      <c r="G13" s="478">
        <f t="shared" si="3"/>
      </c>
      <c r="H13" s="479"/>
      <c r="I13" s="128"/>
      <c r="J13" s="478">
        <f t="shared" si="4"/>
      </c>
      <c r="K13" s="486">
        <f t="shared" si="5"/>
      </c>
      <c r="L13" s="292"/>
      <c r="M13" s="220"/>
      <c r="N13" s="493">
        <f>IF($G13="","",IF($L13="Ａ",LOOKUP($D13,{8000,8500,9000,10000,12000},{0,1532,1032,408,408}),IF($L13="Ｂ",LOOKUP($D13,{8000,8500,9000,10000,12000},{782,2814,2814,2814,2814}),IF($L13="Ｃ",LOOKUP($D13,{8000,8500,9000,10000,12000},{3188,5220,5220,5220,5220}),0))))</f>
      </c>
      <c r="O13" s="292"/>
      <c r="P13" s="232"/>
      <c r="Q13" s="493">
        <f>IF($G13="","",IF($O13="Ａ",LOOKUP($D13,{8000,8500,9000,10000,12000},{0,1532,1032,408,408}),IF($O13="Ｂ",LOOKUP($D13,{8000,8500,9000,10000,12000},{782,2814,2814,2814,2814}),IF($O13="Ｃ",LOOKUP($D13,{8000,8500,9000,10000,12000},{3188,5220,5220,5220,5220}),0))))</f>
      </c>
      <c r="R13" s="503">
        <f t="shared" si="6"/>
      </c>
      <c r="S13" s="504">
        <f>IF(B13="","",SUMIF('6-3_調整額内訳③(旧・旧制度)'!B:B,$B13,'6-3_調整額内訳③(旧・旧制度)'!AF:AF))</f>
      </c>
      <c r="T13" s="505">
        <f t="shared" si="7"/>
      </c>
      <c r="U13" s="506">
        <f t="shared" si="8"/>
      </c>
      <c r="V13" s="506">
        <f t="shared" si="9"/>
      </c>
      <c r="W13" s="507"/>
      <c r="X13" s="506">
        <f t="shared" si="10"/>
      </c>
      <c r="Y13" s="501"/>
      <c r="Z13" s="503">
        <f t="shared" si="11"/>
      </c>
      <c r="AA13" s="508">
        <f t="shared" si="12"/>
      </c>
      <c r="AB13" s="712"/>
      <c r="AC13" s="713"/>
      <c r="AD13" s="714"/>
      <c r="AF13" s="63">
        <f t="shared" si="13"/>
      </c>
      <c r="AG13" s="63">
        <f t="shared" si="0"/>
      </c>
    </row>
    <row r="14" spans="1:33" s="54" customFormat="1" ht="18.75" customHeight="1">
      <c r="A14" s="204">
        <f t="shared" si="1"/>
      </c>
      <c r="B14" s="277"/>
      <c r="C14" s="57"/>
      <c r="D14" s="474"/>
      <c r="E14" s="59"/>
      <c r="F14" s="216">
        <f t="shared" si="2"/>
      </c>
      <c r="G14" s="478">
        <f t="shared" si="3"/>
      </c>
      <c r="H14" s="479"/>
      <c r="I14" s="128"/>
      <c r="J14" s="478">
        <f t="shared" si="4"/>
      </c>
      <c r="K14" s="486">
        <f t="shared" si="5"/>
      </c>
      <c r="L14" s="292"/>
      <c r="M14" s="220"/>
      <c r="N14" s="493">
        <f>IF($G14="","",IF($L14="Ａ",LOOKUP($D14,{8000,8500,9000,10000,12000},{0,1532,1032,408,408}),IF($L14="Ｂ",LOOKUP($D14,{8000,8500,9000,10000,12000},{782,2814,2814,2814,2814}),IF($L14="Ｃ",LOOKUP($D14,{8000,8500,9000,10000,12000},{3188,5220,5220,5220,5220}),0))))</f>
      </c>
      <c r="O14" s="292"/>
      <c r="P14" s="232"/>
      <c r="Q14" s="493">
        <f>IF($G14="","",IF($O14="Ａ",LOOKUP($D14,{8000,8500,9000,10000,12000},{0,1532,1032,408,408}),IF($O14="Ｂ",LOOKUP($D14,{8000,8500,9000,10000,12000},{782,2814,2814,2814,2814}),IF($O14="Ｃ",LOOKUP($D14,{8000,8500,9000,10000,12000},{3188,5220,5220,5220,5220}),0))))</f>
      </c>
      <c r="R14" s="503">
        <f t="shared" si="6"/>
      </c>
      <c r="S14" s="504">
        <f>IF(B14="","",SUMIF('6-3_調整額内訳③(旧・旧制度)'!B:B,$B14,'6-3_調整額内訳③(旧・旧制度)'!AF:AF))</f>
      </c>
      <c r="T14" s="505">
        <f t="shared" si="7"/>
      </c>
      <c r="U14" s="506">
        <f t="shared" si="8"/>
      </c>
      <c r="V14" s="506">
        <f t="shared" si="9"/>
      </c>
      <c r="W14" s="507"/>
      <c r="X14" s="506">
        <f t="shared" si="10"/>
      </c>
      <c r="Y14" s="501"/>
      <c r="Z14" s="503">
        <f t="shared" si="11"/>
      </c>
      <c r="AA14" s="508">
        <f t="shared" si="12"/>
      </c>
      <c r="AB14" s="712"/>
      <c r="AC14" s="713"/>
      <c r="AD14" s="714"/>
      <c r="AF14" s="63">
        <f t="shared" si="13"/>
      </c>
      <c r="AG14" s="63">
        <f t="shared" si="0"/>
      </c>
    </row>
    <row r="15" spans="1:33" s="54" customFormat="1" ht="18.75" customHeight="1">
      <c r="A15" s="204">
        <f t="shared" si="1"/>
      </c>
      <c r="B15" s="277"/>
      <c r="C15" s="57"/>
      <c r="D15" s="474"/>
      <c r="E15" s="59"/>
      <c r="F15" s="216">
        <f t="shared" si="2"/>
      </c>
      <c r="G15" s="478">
        <f t="shared" si="3"/>
      </c>
      <c r="H15" s="479"/>
      <c r="I15" s="128"/>
      <c r="J15" s="478">
        <f t="shared" si="4"/>
      </c>
      <c r="K15" s="486">
        <f t="shared" si="5"/>
      </c>
      <c r="L15" s="292"/>
      <c r="M15" s="220"/>
      <c r="N15" s="493">
        <f>IF($G15="","",IF($L15="Ａ",LOOKUP($D15,{8000,8500,9000,10000,12000},{0,1532,1032,408,408}),IF($L15="Ｂ",LOOKUP($D15,{8000,8500,9000,10000,12000},{782,2814,2814,2814,2814}),IF($L15="Ｃ",LOOKUP($D15,{8000,8500,9000,10000,12000},{3188,5220,5220,5220,5220}),0))))</f>
      </c>
      <c r="O15" s="292"/>
      <c r="P15" s="232"/>
      <c r="Q15" s="493">
        <f>IF($G15="","",IF($O15="Ａ",LOOKUP($D15,{8000,8500,9000,10000,12000},{0,1532,1032,408,408}),IF($O15="Ｂ",LOOKUP($D15,{8000,8500,9000,10000,12000},{782,2814,2814,2814,2814}),IF($O15="Ｃ",LOOKUP($D15,{8000,8500,9000,10000,12000},{3188,5220,5220,5220,5220}),0))))</f>
      </c>
      <c r="R15" s="503">
        <f t="shared" si="6"/>
      </c>
      <c r="S15" s="504">
        <f>IF(B15="","",SUMIF('6-3_調整額内訳③(旧・旧制度)'!B:B,$B15,'6-3_調整額内訳③(旧・旧制度)'!AF:AF))</f>
      </c>
      <c r="T15" s="505">
        <f t="shared" si="7"/>
      </c>
      <c r="U15" s="506">
        <f t="shared" si="8"/>
      </c>
      <c r="V15" s="506">
        <f t="shared" si="9"/>
      </c>
      <c r="W15" s="507"/>
      <c r="X15" s="506">
        <f t="shared" si="10"/>
      </c>
      <c r="Y15" s="501"/>
      <c r="Z15" s="503">
        <f t="shared" si="11"/>
      </c>
      <c r="AA15" s="508">
        <f t="shared" si="12"/>
      </c>
      <c r="AB15" s="712"/>
      <c r="AC15" s="713"/>
      <c r="AD15" s="714"/>
      <c r="AF15" s="63">
        <f t="shared" si="13"/>
      </c>
      <c r="AG15" s="63">
        <f t="shared" si="0"/>
      </c>
    </row>
    <row r="16" spans="1:33" s="54" customFormat="1" ht="18.75" customHeight="1">
      <c r="A16" s="204">
        <f t="shared" si="1"/>
      </c>
      <c r="B16" s="277"/>
      <c r="C16" s="57"/>
      <c r="D16" s="474"/>
      <c r="E16" s="59"/>
      <c r="F16" s="216">
        <f t="shared" si="2"/>
      </c>
      <c r="G16" s="478">
        <f t="shared" si="3"/>
      </c>
      <c r="H16" s="479"/>
      <c r="I16" s="128"/>
      <c r="J16" s="478">
        <f t="shared" si="4"/>
      </c>
      <c r="K16" s="486">
        <f t="shared" si="5"/>
      </c>
      <c r="L16" s="292"/>
      <c r="M16" s="220"/>
      <c r="N16" s="493">
        <f>IF($G16="","",IF($L16="Ａ",LOOKUP($D16,{8000,8500,9000,10000,12000},{0,1532,1032,408,408}),IF($L16="Ｂ",LOOKUP($D16,{8000,8500,9000,10000,12000},{782,2814,2814,2814,2814}),IF($L16="Ｃ",LOOKUP($D16,{8000,8500,9000,10000,12000},{3188,5220,5220,5220,5220}),0))))</f>
      </c>
      <c r="O16" s="292"/>
      <c r="P16" s="232"/>
      <c r="Q16" s="493">
        <f>IF($G16="","",IF($O16="Ａ",LOOKUP($D16,{8000,8500,9000,10000,12000},{0,1532,1032,408,408}),IF($O16="Ｂ",LOOKUP($D16,{8000,8500,9000,10000,12000},{782,2814,2814,2814,2814}),IF($O16="Ｃ",LOOKUP($D16,{8000,8500,9000,10000,12000},{3188,5220,5220,5220,5220}),0))))</f>
      </c>
      <c r="R16" s="503">
        <f t="shared" si="6"/>
      </c>
      <c r="S16" s="504">
        <f>IF(B16="","",SUMIF('6-3_調整額内訳③(旧・旧制度)'!B:B,$B16,'6-3_調整額内訳③(旧・旧制度)'!AF:AF))</f>
      </c>
      <c r="T16" s="505">
        <f t="shared" si="7"/>
      </c>
      <c r="U16" s="506">
        <f t="shared" si="8"/>
      </c>
      <c r="V16" s="506">
        <f t="shared" si="9"/>
      </c>
      <c r="W16" s="507"/>
      <c r="X16" s="506">
        <f t="shared" si="10"/>
      </c>
      <c r="Y16" s="501"/>
      <c r="Z16" s="503">
        <f t="shared" si="11"/>
      </c>
      <c r="AA16" s="508">
        <f t="shared" si="12"/>
      </c>
      <c r="AB16" s="712"/>
      <c r="AC16" s="713"/>
      <c r="AD16" s="714"/>
      <c r="AF16" s="63">
        <f t="shared" si="13"/>
      </c>
      <c r="AG16" s="63">
        <f t="shared" si="0"/>
      </c>
    </row>
    <row r="17" spans="1:33" s="54" customFormat="1" ht="18.75" customHeight="1">
      <c r="A17" s="204">
        <f t="shared" si="1"/>
      </c>
      <c r="B17" s="277"/>
      <c r="C17" s="57"/>
      <c r="D17" s="474"/>
      <c r="E17" s="59"/>
      <c r="F17" s="216">
        <f t="shared" si="2"/>
      </c>
      <c r="G17" s="478">
        <f t="shared" si="3"/>
      </c>
      <c r="H17" s="479"/>
      <c r="I17" s="128"/>
      <c r="J17" s="478">
        <f t="shared" si="4"/>
      </c>
      <c r="K17" s="486">
        <f t="shared" si="5"/>
      </c>
      <c r="L17" s="292"/>
      <c r="M17" s="220"/>
      <c r="N17" s="493">
        <f>IF($G17="","",IF($L17="Ａ",LOOKUP($D17,{8000,8500,9000,10000,12000},{0,1532,1032,408,408}),IF($L17="Ｂ",LOOKUP($D17,{8000,8500,9000,10000,12000},{782,2814,2814,2814,2814}),IF($L17="Ｃ",LOOKUP($D17,{8000,8500,9000,10000,12000},{3188,5220,5220,5220,5220}),0))))</f>
      </c>
      <c r="O17" s="292"/>
      <c r="P17" s="232"/>
      <c r="Q17" s="493">
        <f>IF($G17="","",IF($O17="Ａ",LOOKUP($D17,{8000,8500,9000,10000,12000},{0,1532,1032,408,408}),IF($O17="Ｂ",LOOKUP($D17,{8000,8500,9000,10000,12000},{782,2814,2814,2814,2814}),IF($O17="Ｃ",LOOKUP($D17,{8000,8500,9000,10000,12000},{3188,5220,5220,5220,5220}),0))))</f>
      </c>
      <c r="R17" s="503">
        <f t="shared" si="6"/>
      </c>
      <c r="S17" s="504">
        <f>IF(B17="","",SUMIF('6-3_調整額内訳③(旧・旧制度)'!B:B,$B17,'6-3_調整額内訳③(旧・旧制度)'!AF:AF))</f>
      </c>
      <c r="T17" s="505">
        <f t="shared" si="7"/>
      </c>
      <c r="U17" s="506">
        <f t="shared" si="8"/>
      </c>
      <c r="V17" s="506">
        <f t="shared" si="9"/>
      </c>
      <c r="W17" s="507"/>
      <c r="X17" s="506">
        <f t="shared" si="10"/>
      </c>
      <c r="Y17" s="501"/>
      <c r="Z17" s="503">
        <f t="shared" si="11"/>
      </c>
      <c r="AA17" s="508">
        <f t="shared" si="12"/>
      </c>
      <c r="AB17" s="712"/>
      <c r="AC17" s="713"/>
      <c r="AD17" s="714"/>
      <c r="AF17" s="63">
        <f t="shared" si="13"/>
      </c>
      <c r="AG17" s="63">
        <f t="shared" si="0"/>
      </c>
    </row>
    <row r="18" spans="1:33" s="54" customFormat="1" ht="18.75" customHeight="1">
      <c r="A18" s="204">
        <f t="shared" si="1"/>
      </c>
      <c r="B18" s="277"/>
      <c r="C18" s="57"/>
      <c r="D18" s="474"/>
      <c r="E18" s="59"/>
      <c r="F18" s="216">
        <f t="shared" si="2"/>
      </c>
      <c r="G18" s="478">
        <f t="shared" si="3"/>
      </c>
      <c r="H18" s="479"/>
      <c r="I18" s="128"/>
      <c r="J18" s="478">
        <f t="shared" si="4"/>
      </c>
      <c r="K18" s="486">
        <f t="shared" si="5"/>
      </c>
      <c r="L18" s="292"/>
      <c r="M18" s="220"/>
      <c r="N18" s="493">
        <f>IF($G18="","",IF($L18="Ａ",LOOKUP($D18,{8000,8500,9000,10000,12000},{0,1532,1032,408,408}),IF($L18="Ｂ",LOOKUP($D18,{8000,8500,9000,10000,12000},{782,2814,2814,2814,2814}),IF($L18="Ｃ",LOOKUP($D18,{8000,8500,9000,10000,12000},{3188,5220,5220,5220,5220}),0))))</f>
      </c>
      <c r="O18" s="292"/>
      <c r="P18" s="232"/>
      <c r="Q18" s="493">
        <f>IF($G18="","",IF($O18="Ａ",LOOKUP($D18,{8000,8500,9000,10000,12000},{0,1532,1032,408,408}),IF($O18="Ｂ",LOOKUP($D18,{8000,8500,9000,10000,12000},{782,2814,2814,2814,2814}),IF($O18="Ｃ",LOOKUP($D18,{8000,8500,9000,10000,12000},{3188,5220,5220,5220,5220}),0))))</f>
      </c>
      <c r="R18" s="503">
        <f t="shared" si="6"/>
      </c>
      <c r="S18" s="504">
        <f>IF(B18="","",SUMIF('6-3_調整額内訳③(旧・旧制度)'!B:B,$B18,'6-3_調整額内訳③(旧・旧制度)'!AF:AF))</f>
      </c>
      <c r="T18" s="505">
        <f t="shared" si="7"/>
      </c>
      <c r="U18" s="506">
        <f t="shared" si="8"/>
      </c>
      <c r="V18" s="506">
        <f t="shared" si="9"/>
      </c>
      <c r="W18" s="507"/>
      <c r="X18" s="506">
        <f t="shared" si="10"/>
      </c>
      <c r="Y18" s="501"/>
      <c r="Z18" s="503">
        <f t="shared" si="11"/>
      </c>
      <c r="AA18" s="508">
        <f t="shared" si="12"/>
      </c>
      <c r="AB18" s="712"/>
      <c r="AC18" s="713"/>
      <c r="AD18" s="714"/>
      <c r="AF18" s="63">
        <f t="shared" si="13"/>
      </c>
      <c r="AG18" s="63">
        <f t="shared" si="0"/>
      </c>
    </row>
    <row r="19" spans="1:33" s="54" customFormat="1" ht="18.75" customHeight="1">
      <c r="A19" s="204">
        <f t="shared" si="1"/>
      </c>
      <c r="B19" s="277"/>
      <c r="C19" s="57"/>
      <c r="D19" s="474"/>
      <c r="E19" s="59"/>
      <c r="F19" s="216">
        <f t="shared" si="2"/>
      </c>
      <c r="G19" s="478">
        <f t="shared" si="3"/>
      </c>
      <c r="H19" s="479"/>
      <c r="I19" s="128"/>
      <c r="J19" s="478">
        <f t="shared" si="4"/>
      </c>
      <c r="K19" s="486">
        <f t="shared" si="5"/>
      </c>
      <c r="L19" s="292"/>
      <c r="M19" s="220"/>
      <c r="N19" s="493">
        <f>IF($G19="","",IF($L19="Ａ",LOOKUP($D19,{8000,8500,9000,10000,12000},{0,1532,1032,408,408}),IF($L19="Ｂ",LOOKUP($D19,{8000,8500,9000,10000,12000},{782,2814,2814,2814,2814}),IF($L19="Ｃ",LOOKUP($D19,{8000,8500,9000,10000,12000},{3188,5220,5220,5220,5220}),0))))</f>
      </c>
      <c r="O19" s="292"/>
      <c r="P19" s="232"/>
      <c r="Q19" s="493">
        <f>IF($G19="","",IF($O19="Ａ",LOOKUP($D19,{8000,8500,9000,10000,12000},{0,1532,1032,408,408}),IF($O19="Ｂ",LOOKUP($D19,{8000,8500,9000,10000,12000},{782,2814,2814,2814,2814}),IF($O19="Ｃ",LOOKUP($D19,{8000,8500,9000,10000,12000},{3188,5220,5220,5220,5220}),0))))</f>
      </c>
      <c r="R19" s="503">
        <f t="shared" si="6"/>
      </c>
      <c r="S19" s="504">
        <f>IF(B19="","",SUMIF('6-3_調整額内訳③(旧・旧制度)'!B:B,$B19,'6-3_調整額内訳③(旧・旧制度)'!AF:AF))</f>
      </c>
      <c r="T19" s="505">
        <f t="shared" si="7"/>
      </c>
      <c r="U19" s="506">
        <f t="shared" si="8"/>
      </c>
      <c r="V19" s="506">
        <f t="shared" si="9"/>
      </c>
      <c r="W19" s="507"/>
      <c r="X19" s="506">
        <f t="shared" si="10"/>
      </c>
      <c r="Y19" s="501"/>
      <c r="Z19" s="503">
        <f t="shared" si="11"/>
      </c>
      <c r="AA19" s="508">
        <f t="shared" si="12"/>
      </c>
      <c r="AB19" s="712"/>
      <c r="AC19" s="713"/>
      <c r="AD19" s="714"/>
      <c r="AF19" s="63">
        <f t="shared" si="13"/>
      </c>
      <c r="AG19" s="63">
        <f t="shared" si="0"/>
      </c>
    </row>
    <row r="20" spans="1:33" s="54" customFormat="1" ht="18.75" customHeight="1">
      <c r="A20" s="204">
        <f t="shared" si="1"/>
      </c>
      <c r="B20" s="277"/>
      <c r="C20" s="57"/>
      <c r="D20" s="474"/>
      <c r="E20" s="59"/>
      <c r="F20" s="216">
        <f t="shared" si="2"/>
      </c>
      <c r="G20" s="478">
        <f t="shared" si="3"/>
      </c>
      <c r="H20" s="479"/>
      <c r="I20" s="128"/>
      <c r="J20" s="478">
        <f t="shared" si="4"/>
      </c>
      <c r="K20" s="486">
        <f t="shared" si="5"/>
      </c>
      <c r="L20" s="292"/>
      <c r="M20" s="220"/>
      <c r="N20" s="493">
        <f>IF($G20="","",IF($L20="Ａ",LOOKUP($D20,{8000,8500,9000,10000,12000},{0,1532,1032,408,408}),IF($L20="Ｂ",LOOKUP($D20,{8000,8500,9000,10000,12000},{782,2814,2814,2814,2814}),IF($L20="Ｃ",LOOKUP($D20,{8000,8500,9000,10000,12000},{3188,5220,5220,5220,5220}),0))))</f>
      </c>
      <c r="O20" s="292"/>
      <c r="P20" s="232"/>
      <c r="Q20" s="493">
        <f>IF($G20="","",IF($O20="Ａ",LOOKUP($D20,{8000,8500,9000,10000,12000},{0,1532,1032,408,408}),IF($O20="Ｂ",LOOKUP($D20,{8000,8500,9000,10000,12000},{782,2814,2814,2814,2814}),IF($O20="Ｃ",LOOKUP($D20,{8000,8500,9000,10000,12000},{3188,5220,5220,5220,5220}),0))))</f>
      </c>
      <c r="R20" s="503">
        <f t="shared" si="6"/>
      </c>
      <c r="S20" s="504">
        <f>IF(B20="","",SUMIF('6-3_調整額内訳③(旧・旧制度)'!B:B,$B20,'6-3_調整額内訳③(旧・旧制度)'!AF:AF))</f>
      </c>
      <c r="T20" s="505">
        <f t="shared" si="7"/>
      </c>
      <c r="U20" s="506">
        <f t="shared" si="8"/>
      </c>
      <c r="V20" s="506">
        <f t="shared" si="9"/>
      </c>
      <c r="W20" s="507"/>
      <c r="X20" s="506">
        <f t="shared" si="10"/>
      </c>
      <c r="Y20" s="501"/>
      <c r="Z20" s="503">
        <f t="shared" si="11"/>
      </c>
      <c r="AA20" s="508">
        <f t="shared" si="12"/>
      </c>
      <c r="AB20" s="712"/>
      <c r="AC20" s="713"/>
      <c r="AD20" s="714"/>
      <c r="AF20" s="63">
        <f t="shared" si="13"/>
      </c>
      <c r="AG20" s="63">
        <f t="shared" si="0"/>
      </c>
    </row>
    <row r="21" spans="1:33" s="54" customFormat="1" ht="18.75" customHeight="1">
      <c r="A21" s="204">
        <f t="shared" si="1"/>
      </c>
      <c r="B21" s="277"/>
      <c r="C21" s="57"/>
      <c r="D21" s="474"/>
      <c r="E21" s="59"/>
      <c r="F21" s="216">
        <f t="shared" si="2"/>
      </c>
      <c r="G21" s="478">
        <f t="shared" si="3"/>
      </c>
      <c r="H21" s="479"/>
      <c r="I21" s="128"/>
      <c r="J21" s="478">
        <f t="shared" si="4"/>
      </c>
      <c r="K21" s="486">
        <f t="shared" si="5"/>
      </c>
      <c r="L21" s="292"/>
      <c r="M21" s="220"/>
      <c r="N21" s="493">
        <f>IF($G21="","",IF($L21="Ａ",LOOKUP($D21,{8000,8500,9000,10000,12000},{0,1532,1032,408,408}),IF($L21="Ｂ",LOOKUP($D21,{8000,8500,9000,10000,12000},{782,2814,2814,2814,2814}),IF($L21="Ｃ",LOOKUP($D21,{8000,8500,9000,10000,12000},{3188,5220,5220,5220,5220}),0))))</f>
      </c>
      <c r="O21" s="292"/>
      <c r="P21" s="232"/>
      <c r="Q21" s="493">
        <f>IF($G21="","",IF($O21="Ａ",LOOKUP($D21,{8000,8500,9000,10000,12000},{0,1532,1032,408,408}),IF($O21="Ｂ",LOOKUP($D21,{8000,8500,9000,10000,12000},{782,2814,2814,2814,2814}),IF($O21="Ｃ",LOOKUP($D21,{8000,8500,9000,10000,12000},{3188,5220,5220,5220,5220}),0))))</f>
      </c>
      <c r="R21" s="503">
        <f t="shared" si="6"/>
      </c>
      <c r="S21" s="504">
        <f>IF(B21="","",SUMIF('6-3_調整額内訳③(旧・旧制度)'!B:B,$B21,'6-3_調整額内訳③(旧・旧制度)'!AF:AF))</f>
      </c>
      <c r="T21" s="505">
        <f t="shared" si="7"/>
      </c>
      <c r="U21" s="506">
        <f t="shared" si="8"/>
      </c>
      <c r="V21" s="506">
        <f t="shared" si="9"/>
      </c>
      <c r="W21" s="507"/>
      <c r="X21" s="506">
        <f t="shared" si="10"/>
      </c>
      <c r="Y21" s="501"/>
      <c r="Z21" s="503">
        <f t="shared" si="11"/>
      </c>
      <c r="AA21" s="508">
        <f t="shared" si="12"/>
      </c>
      <c r="AB21" s="712"/>
      <c r="AC21" s="713"/>
      <c r="AD21" s="714"/>
      <c r="AF21" s="63">
        <f t="shared" si="13"/>
      </c>
      <c r="AG21" s="63">
        <f t="shared" si="0"/>
      </c>
    </row>
    <row r="22" spans="1:33" s="54" customFormat="1" ht="18.75" customHeight="1">
      <c r="A22" s="204">
        <f t="shared" si="1"/>
      </c>
      <c r="B22" s="277"/>
      <c r="C22" s="57"/>
      <c r="D22" s="474"/>
      <c r="E22" s="59"/>
      <c r="F22" s="216">
        <f t="shared" si="2"/>
      </c>
      <c r="G22" s="478">
        <f t="shared" si="3"/>
      </c>
      <c r="H22" s="479"/>
      <c r="I22" s="128"/>
      <c r="J22" s="478">
        <f t="shared" si="4"/>
      </c>
      <c r="K22" s="486">
        <f t="shared" si="5"/>
      </c>
      <c r="L22" s="292"/>
      <c r="M22" s="220"/>
      <c r="N22" s="493">
        <f>IF($G22="","",IF($L22="Ａ",LOOKUP($D22,{8000,8500,9000,10000,12000},{0,1532,1032,408,408}),IF($L22="Ｂ",LOOKUP($D22,{8000,8500,9000,10000,12000},{782,2814,2814,2814,2814}),IF($L22="Ｃ",LOOKUP($D22,{8000,8500,9000,10000,12000},{3188,5220,5220,5220,5220}),0))))</f>
      </c>
      <c r="O22" s="292"/>
      <c r="P22" s="232"/>
      <c r="Q22" s="493">
        <f>IF($G22="","",IF($O22="Ａ",LOOKUP($D22,{8000,8500,9000,10000,12000},{0,1532,1032,408,408}),IF($O22="Ｂ",LOOKUP($D22,{8000,8500,9000,10000,12000},{782,2814,2814,2814,2814}),IF($O22="Ｃ",LOOKUP($D22,{8000,8500,9000,10000,12000},{3188,5220,5220,5220,5220}),0))))</f>
      </c>
      <c r="R22" s="503">
        <f t="shared" si="6"/>
      </c>
      <c r="S22" s="504">
        <f>IF(B22="","",SUMIF('6-3_調整額内訳③(旧・旧制度)'!B:B,$B22,'6-3_調整額内訳③(旧・旧制度)'!AF:AF))</f>
      </c>
      <c r="T22" s="505">
        <f t="shared" si="7"/>
      </c>
      <c r="U22" s="506">
        <f t="shared" si="8"/>
      </c>
      <c r="V22" s="506">
        <f t="shared" si="9"/>
      </c>
      <c r="W22" s="507"/>
      <c r="X22" s="506">
        <f t="shared" si="10"/>
      </c>
      <c r="Y22" s="501"/>
      <c r="Z22" s="503">
        <f t="shared" si="11"/>
      </c>
      <c r="AA22" s="508">
        <f t="shared" si="12"/>
      </c>
      <c r="AB22" s="712"/>
      <c r="AC22" s="713"/>
      <c r="AD22" s="714"/>
      <c r="AF22" s="63">
        <f t="shared" si="13"/>
      </c>
      <c r="AG22" s="63">
        <f t="shared" si="0"/>
      </c>
    </row>
    <row r="23" spans="1:33" s="54" customFormat="1" ht="18.75" customHeight="1">
      <c r="A23" s="204">
        <f t="shared" si="1"/>
      </c>
      <c r="B23" s="277"/>
      <c r="C23" s="57"/>
      <c r="D23" s="474"/>
      <c r="E23" s="59"/>
      <c r="F23" s="216">
        <f t="shared" si="2"/>
      </c>
      <c r="G23" s="478">
        <f t="shared" si="3"/>
      </c>
      <c r="H23" s="479"/>
      <c r="I23" s="128"/>
      <c r="J23" s="478">
        <f t="shared" si="4"/>
      </c>
      <c r="K23" s="486">
        <f t="shared" si="5"/>
      </c>
      <c r="L23" s="292"/>
      <c r="M23" s="220"/>
      <c r="N23" s="493">
        <f>IF($G23="","",IF($L23="Ａ",LOOKUP($D23,{8000,8500,9000,10000,12000},{0,1532,1032,408,408}),IF($L23="Ｂ",LOOKUP($D23,{8000,8500,9000,10000,12000},{782,2814,2814,2814,2814}),IF($L23="Ｃ",LOOKUP($D23,{8000,8500,9000,10000,12000},{3188,5220,5220,5220,5220}),0))))</f>
      </c>
      <c r="O23" s="292"/>
      <c r="P23" s="232"/>
      <c r="Q23" s="493">
        <f>IF($G23="","",IF($O23="Ａ",LOOKUP($D23,{8000,8500,9000,10000,12000},{0,1532,1032,408,408}),IF($O23="Ｂ",LOOKUP($D23,{8000,8500,9000,10000,12000},{782,2814,2814,2814,2814}),IF($O23="Ｃ",LOOKUP($D23,{8000,8500,9000,10000,12000},{3188,5220,5220,5220,5220}),0))))</f>
      </c>
      <c r="R23" s="503">
        <f t="shared" si="6"/>
      </c>
      <c r="S23" s="504">
        <f>IF(B23="","",SUMIF('6-3_調整額内訳③(旧・旧制度)'!B:B,$B23,'6-3_調整額内訳③(旧・旧制度)'!AF:AF))</f>
      </c>
      <c r="T23" s="505">
        <f t="shared" si="7"/>
      </c>
      <c r="U23" s="506">
        <f t="shared" si="8"/>
      </c>
      <c r="V23" s="506">
        <f t="shared" si="9"/>
      </c>
      <c r="W23" s="507"/>
      <c r="X23" s="506">
        <f t="shared" si="10"/>
      </c>
      <c r="Y23" s="501"/>
      <c r="Z23" s="503">
        <f t="shared" si="11"/>
      </c>
      <c r="AA23" s="508">
        <f t="shared" si="12"/>
      </c>
      <c r="AB23" s="712"/>
      <c r="AC23" s="713"/>
      <c r="AD23" s="714"/>
      <c r="AF23" s="63">
        <f t="shared" si="13"/>
      </c>
      <c r="AG23" s="63">
        <f t="shared" si="0"/>
      </c>
    </row>
    <row r="24" spans="1:33" s="54" customFormat="1" ht="18.75" customHeight="1">
      <c r="A24" s="204">
        <f t="shared" si="1"/>
      </c>
      <c r="B24" s="277"/>
      <c r="C24" s="57"/>
      <c r="D24" s="474"/>
      <c r="E24" s="59"/>
      <c r="F24" s="216">
        <f t="shared" si="2"/>
      </c>
      <c r="G24" s="478">
        <f t="shared" si="3"/>
      </c>
      <c r="H24" s="479"/>
      <c r="I24" s="128"/>
      <c r="J24" s="478">
        <f t="shared" si="4"/>
      </c>
      <c r="K24" s="486">
        <f t="shared" si="5"/>
      </c>
      <c r="L24" s="292"/>
      <c r="M24" s="220"/>
      <c r="N24" s="493">
        <f>IF($G24="","",IF($L24="Ａ",LOOKUP($D24,{8000,8500,9000,10000,12000},{0,1532,1032,408,408}),IF($L24="Ｂ",LOOKUP($D24,{8000,8500,9000,10000,12000},{782,2814,2814,2814,2814}),IF($L24="Ｃ",LOOKUP($D24,{8000,8500,9000,10000,12000},{3188,5220,5220,5220,5220}),0))))</f>
      </c>
      <c r="O24" s="292"/>
      <c r="P24" s="232"/>
      <c r="Q24" s="493">
        <f>IF($G24="","",IF($O24="Ａ",LOOKUP($D24,{8000,8500,9000,10000,12000},{0,1532,1032,408,408}),IF($O24="Ｂ",LOOKUP($D24,{8000,8500,9000,10000,12000},{782,2814,2814,2814,2814}),IF($O24="Ｃ",LOOKUP($D24,{8000,8500,9000,10000,12000},{3188,5220,5220,5220,5220}),0))))</f>
      </c>
      <c r="R24" s="503">
        <f t="shared" si="6"/>
      </c>
      <c r="S24" s="504">
        <f>IF(B24="","",SUMIF('6-3_調整額内訳③(旧・旧制度)'!B:B,$B24,'6-3_調整額内訳③(旧・旧制度)'!AF:AF))</f>
      </c>
      <c r="T24" s="505">
        <f t="shared" si="7"/>
      </c>
      <c r="U24" s="506">
        <f t="shared" si="8"/>
      </c>
      <c r="V24" s="506">
        <f t="shared" si="9"/>
      </c>
      <c r="W24" s="507"/>
      <c r="X24" s="506">
        <f t="shared" si="10"/>
      </c>
      <c r="Y24" s="501"/>
      <c r="Z24" s="503">
        <f t="shared" si="11"/>
      </c>
      <c r="AA24" s="508">
        <f t="shared" si="12"/>
      </c>
      <c r="AB24" s="712"/>
      <c r="AC24" s="713"/>
      <c r="AD24" s="714"/>
      <c r="AF24" s="63">
        <f t="shared" si="13"/>
      </c>
      <c r="AG24" s="63">
        <f t="shared" si="0"/>
      </c>
    </row>
    <row r="25" spans="1:33" s="54" customFormat="1" ht="18.75" customHeight="1">
      <c r="A25" s="204">
        <f t="shared" si="1"/>
      </c>
      <c r="B25" s="277"/>
      <c r="C25" s="57"/>
      <c r="D25" s="474"/>
      <c r="E25" s="59"/>
      <c r="F25" s="216">
        <f t="shared" si="2"/>
      </c>
      <c r="G25" s="478">
        <f t="shared" si="3"/>
      </c>
      <c r="H25" s="479"/>
      <c r="I25" s="128"/>
      <c r="J25" s="478">
        <f t="shared" si="4"/>
      </c>
      <c r="K25" s="486">
        <f t="shared" si="5"/>
      </c>
      <c r="L25" s="292"/>
      <c r="M25" s="220"/>
      <c r="N25" s="493">
        <f>IF($G25="","",IF($L25="Ａ",LOOKUP($D25,{8000,8500,9000,10000,12000},{0,1532,1032,408,408}),IF($L25="Ｂ",LOOKUP($D25,{8000,8500,9000,10000,12000},{782,2814,2814,2814,2814}),IF($L25="Ｃ",LOOKUP($D25,{8000,8500,9000,10000,12000},{3188,5220,5220,5220,5220}),0))))</f>
      </c>
      <c r="O25" s="292"/>
      <c r="P25" s="232"/>
      <c r="Q25" s="493">
        <f>IF($G25="","",IF($O25="Ａ",LOOKUP($D25,{8000,8500,9000,10000,12000},{0,1532,1032,408,408}),IF($O25="Ｂ",LOOKUP($D25,{8000,8500,9000,10000,12000},{782,2814,2814,2814,2814}),IF($O25="Ｃ",LOOKUP($D25,{8000,8500,9000,10000,12000},{3188,5220,5220,5220,5220}),0))))</f>
      </c>
      <c r="R25" s="503">
        <f t="shared" si="6"/>
      </c>
      <c r="S25" s="504">
        <f>IF(B25="","",SUMIF('6-3_調整額内訳③(旧・旧制度)'!B:B,$B25,'6-3_調整額内訳③(旧・旧制度)'!AF:AF))</f>
      </c>
      <c r="T25" s="505">
        <f t="shared" si="7"/>
      </c>
      <c r="U25" s="506">
        <f t="shared" si="8"/>
      </c>
      <c r="V25" s="506">
        <f t="shared" si="9"/>
      </c>
      <c r="W25" s="507"/>
      <c r="X25" s="506">
        <f t="shared" si="10"/>
      </c>
      <c r="Y25" s="501"/>
      <c r="Z25" s="503">
        <f t="shared" si="11"/>
      </c>
      <c r="AA25" s="508">
        <f t="shared" si="12"/>
      </c>
      <c r="AB25" s="712"/>
      <c r="AC25" s="713"/>
      <c r="AD25" s="714"/>
      <c r="AF25" s="63">
        <f t="shared" si="13"/>
      </c>
      <c r="AG25" s="63">
        <f t="shared" si="0"/>
      </c>
    </row>
    <row r="26" spans="1:33" s="54" customFormat="1" ht="18.75" customHeight="1">
      <c r="A26" s="204">
        <f t="shared" si="1"/>
      </c>
      <c r="B26" s="277"/>
      <c r="C26" s="57"/>
      <c r="D26" s="474"/>
      <c r="E26" s="59"/>
      <c r="F26" s="216">
        <f t="shared" si="2"/>
      </c>
      <c r="G26" s="478">
        <f t="shared" si="3"/>
      </c>
      <c r="H26" s="479"/>
      <c r="I26" s="128"/>
      <c r="J26" s="478">
        <f t="shared" si="4"/>
      </c>
      <c r="K26" s="486">
        <f t="shared" si="5"/>
      </c>
      <c r="L26" s="292"/>
      <c r="M26" s="220"/>
      <c r="N26" s="493">
        <f>IF($G26="","",IF($L26="Ａ",LOOKUP($D26,{8000,8500,9000,10000,12000},{0,1532,1032,408,408}),IF($L26="Ｂ",LOOKUP($D26,{8000,8500,9000,10000,12000},{782,2814,2814,2814,2814}),IF($L26="Ｃ",LOOKUP($D26,{8000,8500,9000,10000,12000},{3188,5220,5220,5220,5220}),0))))</f>
      </c>
      <c r="O26" s="292"/>
      <c r="P26" s="232"/>
      <c r="Q26" s="493">
        <f>IF($G26="","",IF($O26="Ａ",LOOKUP($D26,{8000,8500,9000,10000,12000},{0,1532,1032,408,408}),IF($O26="Ｂ",LOOKUP($D26,{8000,8500,9000,10000,12000},{782,2814,2814,2814,2814}),IF($O26="Ｃ",LOOKUP($D26,{8000,8500,9000,10000,12000},{3188,5220,5220,5220,5220}),0))))</f>
      </c>
      <c r="R26" s="503">
        <f t="shared" si="6"/>
      </c>
      <c r="S26" s="504">
        <f>IF(B26="","",SUMIF('6-3_調整額内訳③(旧・旧制度)'!B:B,$B26,'6-3_調整額内訳③(旧・旧制度)'!AF:AF))</f>
      </c>
      <c r="T26" s="505">
        <f t="shared" si="7"/>
      </c>
      <c r="U26" s="506">
        <f t="shared" si="8"/>
      </c>
      <c r="V26" s="506">
        <f t="shared" si="9"/>
      </c>
      <c r="W26" s="507"/>
      <c r="X26" s="506">
        <f t="shared" si="10"/>
      </c>
      <c r="Y26" s="501"/>
      <c r="Z26" s="503">
        <f t="shared" si="11"/>
      </c>
      <c r="AA26" s="508">
        <f t="shared" si="12"/>
      </c>
      <c r="AB26" s="712"/>
      <c r="AC26" s="713"/>
      <c r="AD26" s="714"/>
      <c r="AF26" s="63">
        <f t="shared" si="13"/>
      </c>
      <c r="AG26" s="63">
        <f t="shared" si="0"/>
      </c>
    </row>
    <row r="27" spans="1:33" s="54" customFormat="1" ht="18.75" customHeight="1">
      <c r="A27" s="204">
        <f t="shared" si="1"/>
      </c>
      <c r="B27" s="277"/>
      <c r="C27" s="57"/>
      <c r="D27" s="474"/>
      <c r="E27" s="59"/>
      <c r="F27" s="216">
        <f t="shared" si="2"/>
      </c>
      <c r="G27" s="478">
        <f t="shared" si="3"/>
      </c>
      <c r="H27" s="479"/>
      <c r="I27" s="128"/>
      <c r="J27" s="478">
        <f t="shared" si="4"/>
      </c>
      <c r="K27" s="486">
        <f t="shared" si="5"/>
      </c>
      <c r="L27" s="292"/>
      <c r="M27" s="220"/>
      <c r="N27" s="493">
        <f>IF($G27="","",IF($L27="Ａ",LOOKUP($D27,{8000,8500,9000,10000,12000},{0,1532,1032,408,408}),IF($L27="Ｂ",LOOKUP($D27,{8000,8500,9000,10000,12000},{782,2814,2814,2814,2814}),IF($L27="Ｃ",LOOKUP($D27,{8000,8500,9000,10000,12000},{3188,5220,5220,5220,5220}),0))))</f>
      </c>
      <c r="O27" s="292"/>
      <c r="P27" s="232"/>
      <c r="Q27" s="493">
        <f>IF($G27="","",IF($O27="Ａ",LOOKUP($D27,{8000,8500,9000,10000,12000},{0,1532,1032,408,408}),IF($O27="Ｂ",LOOKUP($D27,{8000,8500,9000,10000,12000},{782,2814,2814,2814,2814}),IF($O27="Ｃ",LOOKUP($D27,{8000,8500,9000,10000,12000},{3188,5220,5220,5220,5220}),0))))</f>
      </c>
      <c r="R27" s="503">
        <f t="shared" si="6"/>
      </c>
      <c r="S27" s="504">
        <f>IF(B27="","",SUMIF('6-3_調整額内訳③(旧・旧制度)'!B:B,$B27,'6-3_調整額内訳③(旧・旧制度)'!AF:AF))</f>
      </c>
      <c r="T27" s="505">
        <f t="shared" si="7"/>
      </c>
      <c r="U27" s="506">
        <f t="shared" si="8"/>
      </c>
      <c r="V27" s="506">
        <f t="shared" si="9"/>
      </c>
      <c r="W27" s="507"/>
      <c r="X27" s="506">
        <f t="shared" si="10"/>
      </c>
      <c r="Y27" s="501"/>
      <c r="Z27" s="503">
        <f t="shared" si="11"/>
      </c>
      <c r="AA27" s="508">
        <f t="shared" si="12"/>
      </c>
      <c r="AB27" s="712"/>
      <c r="AC27" s="713"/>
      <c r="AD27" s="714"/>
      <c r="AF27" s="63">
        <f t="shared" si="13"/>
      </c>
      <c r="AG27" s="63">
        <f t="shared" si="0"/>
      </c>
    </row>
    <row r="28" spans="1:33" s="54" customFormat="1" ht="18.75" customHeight="1">
      <c r="A28" s="204">
        <f t="shared" si="1"/>
      </c>
      <c r="B28" s="277"/>
      <c r="C28" s="57"/>
      <c r="D28" s="474"/>
      <c r="E28" s="59"/>
      <c r="F28" s="216">
        <f t="shared" si="2"/>
      </c>
      <c r="G28" s="478">
        <f t="shared" si="3"/>
      </c>
      <c r="H28" s="479"/>
      <c r="I28" s="128"/>
      <c r="J28" s="478">
        <f t="shared" si="4"/>
      </c>
      <c r="K28" s="486">
        <f t="shared" si="5"/>
      </c>
      <c r="L28" s="292"/>
      <c r="M28" s="220"/>
      <c r="N28" s="493">
        <f>IF($G28="","",IF($L28="Ａ",LOOKUP($D28,{8000,8500,9000,10000,12000},{0,1532,1032,408,408}),IF($L28="Ｂ",LOOKUP($D28,{8000,8500,9000,10000,12000},{782,2814,2814,2814,2814}),IF($L28="Ｃ",LOOKUP($D28,{8000,8500,9000,10000,12000},{3188,5220,5220,5220,5220}),0))))</f>
      </c>
      <c r="O28" s="292"/>
      <c r="P28" s="232"/>
      <c r="Q28" s="493">
        <f>IF($G28="","",IF($O28="Ａ",LOOKUP($D28,{8000,8500,9000,10000,12000},{0,1532,1032,408,408}),IF($O28="Ｂ",LOOKUP($D28,{8000,8500,9000,10000,12000},{782,2814,2814,2814,2814}),IF($O28="Ｃ",LOOKUP($D28,{8000,8500,9000,10000,12000},{3188,5220,5220,5220,5220}),0))))</f>
      </c>
      <c r="R28" s="503">
        <f t="shared" si="6"/>
      </c>
      <c r="S28" s="504">
        <f>IF(B28="","",SUMIF('6-3_調整額内訳③(旧・旧制度)'!B:B,$B28,'6-3_調整額内訳③(旧・旧制度)'!AF:AF))</f>
      </c>
      <c r="T28" s="505">
        <f t="shared" si="7"/>
      </c>
      <c r="U28" s="506">
        <f t="shared" si="8"/>
      </c>
      <c r="V28" s="506">
        <f t="shared" si="9"/>
      </c>
      <c r="W28" s="507"/>
      <c r="X28" s="506">
        <f t="shared" si="10"/>
      </c>
      <c r="Y28" s="501"/>
      <c r="Z28" s="503">
        <f t="shared" si="11"/>
      </c>
      <c r="AA28" s="508">
        <f t="shared" si="12"/>
      </c>
      <c r="AB28" s="712"/>
      <c r="AC28" s="713"/>
      <c r="AD28" s="714"/>
      <c r="AF28" s="63">
        <f t="shared" si="13"/>
      </c>
      <c r="AG28" s="63">
        <f t="shared" si="0"/>
      </c>
    </row>
    <row r="29" spans="1:33" s="54" customFormat="1" ht="18.75" customHeight="1">
      <c r="A29" s="204">
        <f t="shared" si="1"/>
      </c>
      <c r="B29" s="277"/>
      <c r="C29" s="57"/>
      <c r="D29" s="474"/>
      <c r="E29" s="59"/>
      <c r="F29" s="216">
        <f t="shared" si="2"/>
      </c>
      <c r="G29" s="478">
        <f t="shared" si="3"/>
      </c>
      <c r="H29" s="479"/>
      <c r="I29" s="128"/>
      <c r="J29" s="478">
        <f t="shared" si="4"/>
      </c>
      <c r="K29" s="486">
        <f t="shared" si="5"/>
      </c>
      <c r="L29" s="292"/>
      <c r="M29" s="220"/>
      <c r="N29" s="493">
        <f>IF($G29="","",IF($L29="Ａ",LOOKUP($D29,{8000,8500,9000,10000,12000},{0,1532,1032,408,408}),IF($L29="Ｂ",LOOKUP($D29,{8000,8500,9000,10000,12000},{782,2814,2814,2814,2814}),IF($L29="Ｃ",LOOKUP($D29,{8000,8500,9000,10000,12000},{3188,5220,5220,5220,5220}),0))))</f>
      </c>
      <c r="O29" s="292"/>
      <c r="P29" s="232"/>
      <c r="Q29" s="493">
        <f>IF($G29="","",IF($O29="Ａ",LOOKUP($D29,{8000,8500,9000,10000,12000},{0,1532,1032,408,408}),IF($O29="Ｂ",LOOKUP($D29,{8000,8500,9000,10000,12000},{782,2814,2814,2814,2814}),IF($O29="Ｃ",LOOKUP($D29,{8000,8500,9000,10000,12000},{3188,5220,5220,5220,5220}),0))))</f>
      </c>
      <c r="R29" s="503">
        <f t="shared" si="6"/>
      </c>
      <c r="S29" s="504">
        <f>IF(B29="","",SUMIF('6-3_調整額内訳③(旧・旧制度)'!B:B,$B29,'6-3_調整額内訳③(旧・旧制度)'!AF:AF))</f>
      </c>
      <c r="T29" s="505">
        <f t="shared" si="7"/>
      </c>
      <c r="U29" s="506">
        <f t="shared" si="8"/>
      </c>
      <c r="V29" s="506">
        <f t="shared" si="9"/>
      </c>
      <c r="W29" s="507"/>
      <c r="X29" s="506">
        <f t="shared" si="10"/>
      </c>
      <c r="Y29" s="501"/>
      <c r="Z29" s="503">
        <f t="shared" si="11"/>
      </c>
      <c r="AA29" s="508">
        <f t="shared" si="12"/>
      </c>
      <c r="AB29" s="712"/>
      <c r="AC29" s="713"/>
      <c r="AD29" s="714"/>
      <c r="AF29" s="63">
        <f t="shared" si="13"/>
      </c>
      <c r="AG29" s="63">
        <f t="shared" si="0"/>
      </c>
    </row>
    <row r="30" spans="1:33" s="54" customFormat="1" ht="18.75" customHeight="1">
      <c r="A30" s="204">
        <f t="shared" si="1"/>
      </c>
      <c r="B30" s="277"/>
      <c r="C30" s="57"/>
      <c r="D30" s="474"/>
      <c r="E30" s="59"/>
      <c r="F30" s="216">
        <f t="shared" si="2"/>
      </c>
      <c r="G30" s="478">
        <f t="shared" si="3"/>
      </c>
      <c r="H30" s="479"/>
      <c r="I30" s="128"/>
      <c r="J30" s="478">
        <f t="shared" si="4"/>
      </c>
      <c r="K30" s="486">
        <f t="shared" si="5"/>
      </c>
      <c r="L30" s="292"/>
      <c r="M30" s="220"/>
      <c r="N30" s="493">
        <f>IF($G30="","",IF($L30="Ａ",LOOKUP($D30,{8000,8500,9000,10000,12000},{0,1532,1032,408,408}),IF($L30="Ｂ",LOOKUP($D30,{8000,8500,9000,10000,12000},{782,2814,2814,2814,2814}),IF($L30="Ｃ",LOOKUP($D30,{8000,8500,9000,10000,12000},{3188,5220,5220,5220,5220}),0))))</f>
      </c>
      <c r="O30" s="292"/>
      <c r="P30" s="232"/>
      <c r="Q30" s="493">
        <f>IF($G30="","",IF($O30="Ａ",LOOKUP($D30,{8000,8500,9000,10000,12000},{0,1532,1032,408,408}),IF($O30="Ｂ",LOOKUP($D30,{8000,8500,9000,10000,12000},{782,2814,2814,2814,2814}),IF($O30="Ｃ",LOOKUP($D30,{8000,8500,9000,10000,12000},{3188,5220,5220,5220,5220}),0))))</f>
      </c>
      <c r="R30" s="503">
        <f t="shared" si="6"/>
      </c>
      <c r="S30" s="504">
        <f>IF(B30="","",SUMIF('6-3_調整額内訳③(旧・旧制度)'!B:B,$B30,'6-3_調整額内訳③(旧・旧制度)'!AF:AF))</f>
      </c>
      <c r="T30" s="505">
        <f t="shared" si="7"/>
      </c>
      <c r="U30" s="506">
        <f t="shared" si="8"/>
      </c>
      <c r="V30" s="506">
        <f t="shared" si="9"/>
      </c>
      <c r="W30" s="507"/>
      <c r="X30" s="506">
        <f t="shared" si="10"/>
      </c>
      <c r="Y30" s="501"/>
      <c r="Z30" s="503">
        <f t="shared" si="11"/>
      </c>
      <c r="AA30" s="508">
        <f t="shared" si="12"/>
      </c>
      <c r="AB30" s="712"/>
      <c r="AC30" s="713"/>
      <c r="AD30" s="714"/>
      <c r="AF30" s="63">
        <f t="shared" si="13"/>
      </c>
      <c r="AG30" s="63">
        <f t="shared" si="0"/>
      </c>
    </row>
    <row r="31" spans="1:33" s="54" customFormat="1" ht="18.75" customHeight="1">
      <c r="A31" s="204">
        <f t="shared" si="1"/>
      </c>
      <c r="B31" s="277"/>
      <c r="C31" s="57"/>
      <c r="D31" s="474"/>
      <c r="E31" s="59"/>
      <c r="F31" s="216">
        <f t="shared" si="2"/>
      </c>
      <c r="G31" s="478">
        <f t="shared" si="3"/>
      </c>
      <c r="H31" s="479"/>
      <c r="I31" s="128"/>
      <c r="J31" s="478">
        <f t="shared" si="4"/>
      </c>
      <c r="K31" s="486">
        <f t="shared" si="5"/>
      </c>
      <c r="L31" s="292"/>
      <c r="M31" s="220"/>
      <c r="N31" s="493">
        <f>IF($G31="","",IF($L31="Ａ",LOOKUP($D31,{8000,8500,9000,10000,12000},{0,1532,1032,408,408}),IF($L31="Ｂ",LOOKUP($D31,{8000,8500,9000,10000,12000},{782,2814,2814,2814,2814}),IF($L31="Ｃ",LOOKUP($D31,{8000,8500,9000,10000,12000},{3188,5220,5220,5220,5220}),0))))</f>
      </c>
      <c r="O31" s="292"/>
      <c r="P31" s="232"/>
      <c r="Q31" s="493">
        <f>IF($G31="","",IF($O31="Ａ",LOOKUP($D31,{8000,8500,9000,10000,12000},{0,1532,1032,408,408}),IF($O31="Ｂ",LOOKUP($D31,{8000,8500,9000,10000,12000},{782,2814,2814,2814,2814}),IF($O31="Ｃ",LOOKUP($D31,{8000,8500,9000,10000,12000},{3188,5220,5220,5220,5220}),0))))</f>
      </c>
      <c r="R31" s="503">
        <f t="shared" si="6"/>
      </c>
      <c r="S31" s="504">
        <f>IF(B31="","",SUMIF('6-3_調整額内訳③(旧・旧制度)'!B:B,$B31,'6-3_調整額内訳③(旧・旧制度)'!AF:AF))</f>
      </c>
      <c r="T31" s="505">
        <f t="shared" si="7"/>
      </c>
      <c r="U31" s="506">
        <f t="shared" si="8"/>
      </c>
      <c r="V31" s="506">
        <f t="shared" si="9"/>
      </c>
      <c r="W31" s="507"/>
      <c r="X31" s="506">
        <f t="shared" si="10"/>
      </c>
      <c r="Y31" s="501"/>
      <c r="Z31" s="503">
        <f t="shared" si="11"/>
      </c>
      <c r="AA31" s="508">
        <f t="shared" si="12"/>
      </c>
      <c r="AB31" s="712"/>
      <c r="AC31" s="713"/>
      <c r="AD31" s="714"/>
      <c r="AF31" s="63">
        <f t="shared" si="13"/>
      </c>
      <c r="AG31" s="63">
        <f t="shared" si="0"/>
      </c>
    </row>
    <row r="32" spans="1:33" s="54" customFormat="1" ht="18.75" customHeight="1">
      <c r="A32" s="204">
        <f t="shared" si="1"/>
      </c>
      <c r="B32" s="277"/>
      <c r="C32" s="57"/>
      <c r="D32" s="474"/>
      <c r="E32" s="59"/>
      <c r="F32" s="216">
        <f t="shared" si="2"/>
      </c>
      <c r="G32" s="478">
        <f t="shared" si="3"/>
      </c>
      <c r="H32" s="479"/>
      <c r="I32" s="128"/>
      <c r="J32" s="478">
        <f t="shared" si="4"/>
      </c>
      <c r="K32" s="486">
        <f t="shared" si="5"/>
      </c>
      <c r="L32" s="292"/>
      <c r="M32" s="220"/>
      <c r="N32" s="493">
        <f>IF($G32="","",IF($L32="Ａ",LOOKUP($D32,{8000,8500,9000,10000,12000},{0,1532,1032,408,408}),IF($L32="Ｂ",LOOKUP($D32,{8000,8500,9000,10000,12000},{782,2814,2814,2814,2814}),IF($L32="Ｃ",LOOKUP($D32,{8000,8500,9000,10000,12000},{3188,5220,5220,5220,5220}),0))))</f>
      </c>
      <c r="O32" s="292"/>
      <c r="P32" s="232"/>
      <c r="Q32" s="493">
        <f>IF($G32="","",IF($O32="Ａ",LOOKUP($D32,{8000,8500,9000,10000,12000},{0,1532,1032,408,408}),IF($O32="Ｂ",LOOKUP($D32,{8000,8500,9000,10000,12000},{782,2814,2814,2814,2814}),IF($O32="Ｃ",LOOKUP($D32,{8000,8500,9000,10000,12000},{3188,5220,5220,5220,5220}),0))))</f>
      </c>
      <c r="R32" s="503">
        <f t="shared" si="6"/>
      </c>
      <c r="S32" s="504">
        <f>IF(B32="","",SUMIF('6-3_調整額内訳③(旧・旧制度)'!B:B,$B32,'6-3_調整額内訳③(旧・旧制度)'!AF:AF))</f>
      </c>
      <c r="T32" s="505">
        <f t="shared" si="7"/>
      </c>
      <c r="U32" s="506">
        <f t="shared" si="8"/>
      </c>
      <c r="V32" s="506">
        <f t="shared" si="9"/>
      </c>
      <c r="W32" s="507"/>
      <c r="X32" s="506">
        <f t="shared" si="10"/>
      </c>
      <c r="Y32" s="501"/>
      <c r="Z32" s="503">
        <f t="shared" si="11"/>
      </c>
      <c r="AA32" s="508">
        <f t="shared" si="12"/>
      </c>
      <c r="AB32" s="712"/>
      <c r="AC32" s="713"/>
      <c r="AD32" s="714"/>
      <c r="AF32" s="63">
        <f t="shared" si="13"/>
      </c>
      <c r="AG32" s="63">
        <f t="shared" si="0"/>
      </c>
    </row>
    <row r="33" spans="1:33" s="54" customFormat="1" ht="18.75" customHeight="1">
      <c r="A33" s="27">
        <f t="shared" si="1"/>
      </c>
      <c r="B33" s="277"/>
      <c r="C33" s="57"/>
      <c r="D33" s="474"/>
      <c r="E33" s="59"/>
      <c r="F33" s="216">
        <f t="shared" si="2"/>
      </c>
      <c r="G33" s="478">
        <f t="shared" si="3"/>
      </c>
      <c r="H33" s="479"/>
      <c r="I33" s="128"/>
      <c r="J33" s="478">
        <f t="shared" si="4"/>
      </c>
      <c r="K33" s="486">
        <f t="shared" si="5"/>
      </c>
      <c r="L33" s="292"/>
      <c r="M33" s="220"/>
      <c r="N33" s="493">
        <f>IF($G33="","",IF($L33="Ａ",LOOKUP($D33,{8000,8500,9000,10000,12000},{0,1532,1032,408,408}),IF($L33="Ｂ",LOOKUP($D33,{8000,8500,9000,10000,12000},{782,2814,2814,2814,2814}),IF($L33="Ｃ",LOOKUP($D33,{8000,8500,9000,10000,12000},{3188,5220,5220,5220,5220}),0))))</f>
      </c>
      <c r="O33" s="292"/>
      <c r="P33" s="232"/>
      <c r="Q33" s="493">
        <f>IF($G33="","",IF($O33="Ａ",LOOKUP($D33,{8000,8500,9000,10000,12000},{0,1532,1032,408,408}),IF($O33="Ｂ",LOOKUP($D33,{8000,8500,9000,10000,12000},{782,2814,2814,2814,2814}),IF($O33="Ｃ",LOOKUP($D33,{8000,8500,9000,10000,12000},{3188,5220,5220,5220,5220}),0))))</f>
      </c>
      <c r="R33" s="503">
        <f t="shared" si="6"/>
      </c>
      <c r="S33" s="504">
        <f>IF(B33="","",SUMIF('6-3_調整額内訳③(旧・旧制度)'!B:B,$B33,'6-3_調整額内訳③(旧・旧制度)'!AF:AF))</f>
      </c>
      <c r="T33" s="505">
        <f t="shared" si="7"/>
      </c>
      <c r="U33" s="506">
        <f t="shared" si="8"/>
      </c>
      <c r="V33" s="506">
        <f t="shared" si="9"/>
      </c>
      <c r="W33" s="507"/>
      <c r="X33" s="506">
        <f t="shared" si="10"/>
      </c>
      <c r="Y33" s="501"/>
      <c r="Z33" s="503">
        <f t="shared" si="11"/>
      </c>
      <c r="AA33" s="508">
        <f t="shared" si="12"/>
      </c>
      <c r="AB33" s="712"/>
      <c r="AC33" s="713"/>
      <c r="AD33" s="714"/>
      <c r="AF33" s="63">
        <f t="shared" si="13"/>
      </c>
      <c r="AG33" s="63">
        <f t="shared" si="0"/>
      </c>
    </row>
    <row r="34" spans="1:33" s="54" customFormat="1" ht="18.75" customHeight="1">
      <c r="A34" s="27">
        <f t="shared" si="1"/>
      </c>
      <c r="B34" s="277"/>
      <c r="C34" s="57"/>
      <c r="D34" s="474"/>
      <c r="E34" s="59"/>
      <c r="F34" s="216">
        <f t="shared" si="2"/>
      </c>
      <c r="G34" s="478">
        <f t="shared" si="3"/>
      </c>
      <c r="H34" s="479"/>
      <c r="I34" s="128"/>
      <c r="J34" s="478">
        <f t="shared" si="4"/>
      </c>
      <c r="K34" s="486">
        <f t="shared" si="5"/>
      </c>
      <c r="L34" s="292"/>
      <c r="M34" s="220"/>
      <c r="N34" s="493">
        <f>IF($G34="","",IF($L34="Ａ",LOOKUP($D34,{8000,8500,9000,10000,12000},{0,1532,1032,408,408}),IF($L34="Ｂ",LOOKUP($D34,{8000,8500,9000,10000,12000},{782,2814,2814,2814,2814}),IF($L34="Ｃ",LOOKUP($D34,{8000,8500,9000,10000,12000},{3188,5220,5220,5220,5220}),0))))</f>
      </c>
      <c r="O34" s="292"/>
      <c r="P34" s="232"/>
      <c r="Q34" s="493">
        <f>IF($G34="","",IF($O34="Ａ",LOOKUP($D34,{8000,8500,9000,10000,12000},{0,1532,1032,408,408}),IF($O34="Ｂ",LOOKUP($D34,{8000,8500,9000,10000,12000},{782,2814,2814,2814,2814}),IF($O34="Ｃ",LOOKUP($D34,{8000,8500,9000,10000,12000},{3188,5220,5220,5220,5220}),0))))</f>
      </c>
      <c r="R34" s="503">
        <f t="shared" si="6"/>
      </c>
      <c r="S34" s="504">
        <f>IF(B34="","",SUMIF('6-3_調整額内訳③(旧・旧制度)'!B:B,$B34,'6-3_調整額内訳③(旧・旧制度)'!AF:AF))</f>
      </c>
      <c r="T34" s="505">
        <f t="shared" si="7"/>
      </c>
      <c r="U34" s="506">
        <f t="shared" si="8"/>
      </c>
      <c r="V34" s="506">
        <f t="shared" si="9"/>
      </c>
      <c r="W34" s="507"/>
      <c r="X34" s="506">
        <f t="shared" si="10"/>
      </c>
      <c r="Y34" s="501"/>
      <c r="Z34" s="503">
        <f t="shared" si="11"/>
      </c>
      <c r="AA34" s="508">
        <f t="shared" si="12"/>
      </c>
      <c r="AB34" s="712"/>
      <c r="AC34" s="713"/>
      <c r="AD34" s="714"/>
      <c r="AF34" s="63">
        <f t="shared" si="13"/>
      </c>
      <c r="AG34" s="63">
        <f t="shared" si="0"/>
      </c>
    </row>
    <row r="35" spans="1:33" s="54" customFormat="1" ht="18.75" customHeight="1">
      <c r="A35" s="37">
        <f t="shared" si="1"/>
      </c>
      <c r="B35" s="277"/>
      <c r="C35" s="183"/>
      <c r="D35" s="475"/>
      <c r="E35" s="350"/>
      <c r="F35" s="351">
        <f t="shared" si="2"/>
      </c>
      <c r="G35" s="480">
        <f t="shared" si="3"/>
      </c>
      <c r="H35" s="481"/>
      <c r="I35" s="352"/>
      <c r="J35" s="480">
        <f t="shared" si="4"/>
      </c>
      <c r="K35" s="487">
        <f t="shared" si="5"/>
      </c>
      <c r="L35" s="303"/>
      <c r="M35" s="220"/>
      <c r="N35" s="493">
        <f>IF($G35="","",IF($L35="Ａ",LOOKUP($D35,{8000,8500,9000,10000,12000},{0,1532,1032,408,408}),IF($L35="Ｂ",LOOKUP($D35,{8000,8500,9000,10000,12000},{782,2814,2814,2814,2814}),IF($L35="Ｃ",LOOKUP($D35,{8000,8500,9000,10000,12000},{3188,5220,5220,5220,5220}),0))))</f>
      </c>
      <c r="O35" s="292"/>
      <c r="P35" s="232"/>
      <c r="Q35" s="493">
        <f>IF($G35="","",IF($O35="Ａ",LOOKUP($D35,{8000,8500,9000,10000,12000},{0,1532,1032,408,408}),IF($O35="Ｂ",LOOKUP($D35,{8000,8500,9000,10000,12000},{782,2814,2814,2814,2814}),IF($O35="Ｃ",LOOKUP($D35,{8000,8500,9000,10000,12000},{3188,5220,5220,5220,5220}),0))))</f>
      </c>
      <c r="R35" s="503">
        <f t="shared" si="6"/>
      </c>
      <c r="S35" s="504">
        <f>IF(B35="","",SUMIF('6-3_調整額内訳③(旧・旧制度)'!B:B,$B35,'6-3_調整額内訳③(旧・旧制度)'!AF:AF))</f>
      </c>
      <c r="T35" s="505">
        <f t="shared" si="7"/>
      </c>
      <c r="U35" s="506">
        <f t="shared" si="8"/>
      </c>
      <c r="V35" s="506">
        <f t="shared" si="9"/>
      </c>
      <c r="W35" s="507"/>
      <c r="X35" s="506">
        <f t="shared" si="10"/>
      </c>
      <c r="Y35" s="501"/>
      <c r="Z35" s="503">
        <f t="shared" si="11"/>
      </c>
      <c r="AA35" s="508">
        <f t="shared" si="12"/>
      </c>
      <c r="AB35" s="712"/>
      <c r="AC35" s="713"/>
      <c r="AD35" s="714"/>
      <c r="AF35" s="63">
        <f t="shared" si="13"/>
      </c>
      <c r="AG35" s="63">
        <f t="shared" si="0"/>
      </c>
    </row>
    <row r="36" spans="1:33" s="54" customFormat="1" ht="18.75" customHeight="1">
      <c r="A36" s="204">
        <f t="shared" si="1"/>
      </c>
      <c r="B36" s="277"/>
      <c r="C36" s="57"/>
      <c r="D36" s="474"/>
      <c r="E36" s="59"/>
      <c r="F36" s="216">
        <f t="shared" si="2"/>
      </c>
      <c r="G36" s="478">
        <f t="shared" si="3"/>
      </c>
      <c r="H36" s="479"/>
      <c r="I36" s="128"/>
      <c r="J36" s="478">
        <f t="shared" si="4"/>
      </c>
      <c r="K36" s="486">
        <f t="shared" si="5"/>
      </c>
      <c r="L36" s="292"/>
      <c r="M36" s="220"/>
      <c r="N36" s="493">
        <f>IF($G36="","",IF($L36="Ａ",LOOKUP($D36,{8000,8500,9000,10000,12000},{0,1532,1032,408,408}),IF($L36="Ｂ",LOOKUP($D36,{8000,8500,9000,10000,12000},{782,2814,2814,2814,2814}),IF($L36="Ｃ",LOOKUP($D36,{8000,8500,9000,10000,12000},{3188,5220,5220,5220,5220}),0))))</f>
      </c>
      <c r="O36" s="292"/>
      <c r="P36" s="232"/>
      <c r="Q36" s="493">
        <f>IF($G36="","",IF($O36="Ａ",LOOKUP($D36,{8000,8500,9000,10000,12000},{0,1532,1032,408,408}),IF($O36="Ｂ",LOOKUP($D36,{8000,8500,9000,10000,12000},{782,2814,2814,2814,2814}),IF($O36="Ｃ",LOOKUP($D36,{8000,8500,9000,10000,12000},{3188,5220,5220,5220,5220}),0))))</f>
      </c>
      <c r="R36" s="503">
        <f t="shared" si="6"/>
      </c>
      <c r="S36" s="504">
        <f>IF(B36="","",SUMIF('6-3_調整額内訳③(旧・旧制度)'!B:B,$B36,'6-3_調整額内訳③(旧・旧制度)'!AF:AF))</f>
      </c>
      <c r="T36" s="505">
        <f t="shared" si="7"/>
      </c>
      <c r="U36" s="506">
        <f t="shared" si="8"/>
      </c>
      <c r="V36" s="506">
        <f t="shared" si="9"/>
      </c>
      <c r="W36" s="507"/>
      <c r="X36" s="506">
        <f t="shared" si="10"/>
      </c>
      <c r="Y36" s="501"/>
      <c r="Z36" s="503">
        <f t="shared" si="11"/>
      </c>
      <c r="AA36" s="508">
        <f t="shared" si="12"/>
      </c>
      <c r="AB36" s="712"/>
      <c r="AC36" s="713"/>
      <c r="AD36" s="714"/>
      <c r="AF36" s="63">
        <f t="shared" si="13"/>
      </c>
      <c r="AG36" s="63">
        <f t="shared" si="0"/>
      </c>
    </row>
    <row r="37" spans="1:33" s="54" customFormat="1" ht="18.75" customHeight="1">
      <c r="A37" s="27">
        <f t="shared" si="1"/>
      </c>
      <c r="B37" s="277"/>
      <c r="C37" s="57"/>
      <c r="D37" s="474"/>
      <c r="E37" s="59"/>
      <c r="F37" s="216">
        <f t="shared" si="2"/>
      </c>
      <c r="G37" s="478">
        <f t="shared" si="3"/>
      </c>
      <c r="H37" s="479"/>
      <c r="I37" s="128"/>
      <c r="J37" s="478">
        <f t="shared" si="4"/>
      </c>
      <c r="K37" s="486">
        <f t="shared" si="5"/>
      </c>
      <c r="L37" s="292"/>
      <c r="M37" s="220"/>
      <c r="N37" s="493">
        <f>IF($G37="","",IF($L37="Ａ",LOOKUP($D37,{8000,8500,9000,10000,12000},{0,1532,1032,408,408}),IF($L37="Ｂ",LOOKUP($D37,{8000,8500,9000,10000,12000},{782,2814,2814,2814,2814}),IF($L37="Ｃ",LOOKUP($D37,{8000,8500,9000,10000,12000},{3188,5220,5220,5220,5220}),0))))</f>
      </c>
      <c r="O37" s="292"/>
      <c r="P37" s="232"/>
      <c r="Q37" s="493">
        <f>IF($G37="","",IF($O37="Ａ",LOOKUP($D37,{8000,8500,9000,10000,12000},{0,1532,1032,408,408}),IF($O37="Ｂ",LOOKUP($D37,{8000,8500,9000,10000,12000},{782,2814,2814,2814,2814}),IF($O37="Ｃ",LOOKUP($D37,{8000,8500,9000,10000,12000},{3188,5220,5220,5220,5220}),0))))</f>
      </c>
      <c r="R37" s="503">
        <f t="shared" si="6"/>
      </c>
      <c r="S37" s="504">
        <f>IF(B37="","",SUMIF('6-3_調整額内訳③(旧・旧制度)'!B:B,$B37,'6-3_調整額内訳③(旧・旧制度)'!AF:AF))</f>
      </c>
      <c r="T37" s="505">
        <f t="shared" si="7"/>
      </c>
      <c r="U37" s="506">
        <f t="shared" si="8"/>
      </c>
      <c r="V37" s="506">
        <f t="shared" si="9"/>
      </c>
      <c r="W37" s="507"/>
      <c r="X37" s="506">
        <f t="shared" si="10"/>
      </c>
      <c r="Y37" s="501"/>
      <c r="Z37" s="503">
        <f t="shared" si="11"/>
      </c>
      <c r="AA37" s="508">
        <f t="shared" si="12"/>
      </c>
      <c r="AB37" s="712"/>
      <c r="AC37" s="713"/>
      <c r="AD37" s="714"/>
      <c r="AF37" s="63">
        <f t="shared" si="13"/>
      </c>
      <c r="AG37" s="63">
        <f t="shared" si="0"/>
      </c>
    </row>
    <row r="38" spans="1:33" s="54" customFormat="1" ht="18.75" customHeight="1">
      <c r="A38" s="27">
        <f t="shared" si="1"/>
      </c>
      <c r="B38" s="277"/>
      <c r="C38" s="57"/>
      <c r="D38" s="474"/>
      <c r="E38" s="59"/>
      <c r="F38" s="216">
        <f t="shared" si="2"/>
      </c>
      <c r="G38" s="478">
        <f t="shared" si="3"/>
      </c>
      <c r="H38" s="479"/>
      <c r="I38" s="128"/>
      <c r="J38" s="478">
        <f t="shared" si="4"/>
      </c>
      <c r="K38" s="486">
        <f t="shared" si="5"/>
      </c>
      <c r="L38" s="292"/>
      <c r="M38" s="220"/>
      <c r="N38" s="493">
        <f>IF($G38="","",IF($L38="Ａ",LOOKUP($D38,{8000,8500,9000,10000,12000},{0,1532,1032,408,408}),IF($L38="Ｂ",LOOKUP($D38,{8000,8500,9000,10000,12000},{782,2814,2814,2814,2814}),IF($L38="Ｃ",LOOKUP($D38,{8000,8500,9000,10000,12000},{3188,5220,5220,5220,5220}),0))))</f>
      </c>
      <c r="O38" s="292"/>
      <c r="P38" s="232"/>
      <c r="Q38" s="493">
        <f>IF($G38="","",IF($O38="Ａ",LOOKUP($D38,{8000,8500,9000,10000,12000},{0,1532,1032,408,408}),IF($O38="Ｂ",LOOKUP($D38,{8000,8500,9000,10000,12000},{782,2814,2814,2814,2814}),IF($O38="Ｃ",LOOKUP($D38,{8000,8500,9000,10000,12000},{3188,5220,5220,5220,5220}),0))))</f>
      </c>
      <c r="R38" s="503">
        <f t="shared" si="6"/>
      </c>
      <c r="S38" s="504">
        <f>IF(B38="","",SUMIF('6-3_調整額内訳③(旧・旧制度)'!B:B,$B38,'6-3_調整額内訳③(旧・旧制度)'!AF:AF))</f>
      </c>
      <c r="T38" s="505">
        <f t="shared" si="7"/>
      </c>
      <c r="U38" s="506">
        <f t="shared" si="8"/>
      </c>
      <c r="V38" s="506">
        <f t="shared" si="9"/>
      </c>
      <c r="W38" s="507"/>
      <c r="X38" s="506">
        <f t="shared" si="10"/>
      </c>
      <c r="Y38" s="501"/>
      <c r="Z38" s="503">
        <f t="shared" si="11"/>
      </c>
      <c r="AA38" s="508">
        <f t="shared" si="12"/>
      </c>
      <c r="AB38" s="712"/>
      <c r="AC38" s="713"/>
      <c r="AD38" s="714"/>
      <c r="AF38" s="63">
        <f t="shared" si="13"/>
      </c>
      <c r="AG38" s="63">
        <f t="shared" si="0"/>
      </c>
    </row>
    <row r="39" spans="1:33" s="54" customFormat="1" ht="18.75" customHeight="1">
      <c r="A39" s="27">
        <f t="shared" si="1"/>
      </c>
      <c r="B39" s="277"/>
      <c r="C39" s="57"/>
      <c r="D39" s="474"/>
      <c r="E39" s="59"/>
      <c r="F39" s="216">
        <f t="shared" si="2"/>
      </c>
      <c r="G39" s="478">
        <f t="shared" si="3"/>
      </c>
      <c r="H39" s="479"/>
      <c r="I39" s="128"/>
      <c r="J39" s="478">
        <f t="shared" si="4"/>
      </c>
      <c r="K39" s="486">
        <f t="shared" si="5"/>
      </c>
      <c r="L39" s="292"/>
      <c r="M39" s="220"/>
      <c r="N39" s="493">
        <f>IF($G39="","",IF($L39="Ａ",LOOKUP($D39,{8000,8500,9000,10000,12000},{0,1532,1032,408,408}),IF($L39="Ｂ",LOOKUP($D39,{8000,8500,9000,10000,12000},{782,2814,2814,2814,2814}),IF($L39="Ｃ",LOOKUP($D39,{8000,8500,9000,10000,12000},{3188,5220,5220,5220,5220}),0))))</f>
      </c>
      <c r="O39" s="292"/>
      <c r="P39" s="232"/>
      <c r="Q39" s="493">
        <f>IF($G39="","",IF($O39="Ａ",LOOKUP($D39,{8000,8500,9000,10000,12000},{0,1532,1032,408,408}),IF($O39="Ｂ",LOOKUP($D39,{8000,8500,9000,10000,12000},{782,2814,2814,2814,2814}),IF($O39="Ｃ",LOOKUP($D39,{8000,8500,9000,10000,12000},{3188,5220,5220,5220,5220}),0))))</f>
      </c>
      <c r="R39" s="503">
        <f t="shared" si="6"/>
      </c>
      <c r="S39" s="504">
        <f>IF(B39="","",SUMIF('6-3_調整額内訳③(旧・旧制度)'!B:B,$B39,'6-3_調整額内訳③(旧・旧制度)'!AF:AF))</f>
      </c>
      <c r="T39" s="505">
        <f t="shared" si="7"/>
      </c>
      <c r="U39" s="506">
        <f t="shared" si="8"/>
      </c>
      <c r="V39" s="506">
        <f t="shared" si="9"/>
      </c>
      <c r="W39" s="507"/>
      <c r="X39" s="506">
        <f t="shared" si="10"/>
      </c>
      <c r="Y39" s="501"/>
      <c r="Z39" s="503">
        <f t="shared" si="11"/>
      </c>
      <c r="AA39" s="508">
        <f t="shared" si="12"/>
      </c>
      <c r="AB39" s="712"/>
      <c r="AC39" s="713"/>
      <c r="AD39" s="714"/>
      <c r="AF39" s="63">
        <f t="shared" si="13"/>
      </c>
      <c r="AG39" s="63">
        <f t="shared" si="0"/>
      </c>
    </row>
    <row r="40" spans="1:33" s="54" customFormat="1" ht="18.75" customHeight="1">
      <c r="A40" s="37">
        <f t="shared" si="1"/>
      </c>
      <c r="B40" s="277"/>
      <c r="C40" s="183"/>
      <c r="D40" s="475"/>
      <c r="E40" s="184"/>
      <c r="F40" s="217">
        <f t="shared" si="2"/>
      </c>
      <c r="G40" s="480">
        <f t="shared" si="3"/>
      </c>
      <c r="H40" s="481"/>
      <c r="I40" s="185"/>
      <c r="J40" s="480">
        <f t="shared" si="4"/>
      </c>
      <c r="K40" s="487">
        <f t="shared" si="5"/>
      </c>
      <c r="L40" s="303"/>
      <c r="M40" s="220"/>
      <c r="N40" s="493">
        <f>IF($G40="","",IF($L40="Ａ",LOOKUP($D40,{8000,8500,9000,10000,12000},{0,1532,1032,408,408}),IF($L40="Ｂ",LOOKUP($D40,{8000,8500,9000,10000,12000},{782,2814,2814,2814,2814}),IF($L40="Ｃ",LOOKUP($D40,{8000,8500,9000,10000,12000},{3188,5220,5220,5220,5220}),0))))</f>
      </c>
      <c r="O40" s="292"/>
      <c r="P40" s="232"/>
      <c r="Q40" s="493">
        <f>IF($G40="","",IF($O40="Ａ",LOOKUP($D40,{8000,8500,9000,10000,12000},{0,1532,1032,408,408}),IF($O40="Ｂ",LOOKUP($D40,{8000,8500,9000,10000,12000},{782,2814,2814,2814,2814}),IF($O40="Ｃ",LOOKUP($D40,{8000,8500,9000,10000,12000},{3188,5220,5220,5220,5220}),0))))</f>
      </c>
      <c r="R40" s="503">
        <f t="shared" si="6"/>
      </c>
      <c r="S40" s="504">
        <f>IF(B40="","",SUMIF('6-3_調整額内訳③(旧・旧制度)'!B:B,$B40,'6-3_調整額内訳③(旧・旧制度)'!AF:AF))</f>
      </c>
      <c r="T40" s="505">
        <f t="shared" si="7"/>
      </c>
      <c r="U40" s="506">
        <f t="shared" si="8"/>
      </c>
      <c r="V40" s="506">
        <f t="shared" si="9"/>
      </c>
      <c r="W40" s="507"/>
      <c r="X40" s="506">
        <f t="shared" si="10"/>
      </c>
      <c r="Y40" s="501"/>
      <c r="Z40" s="503">
        <f t="shared" si="11"/>
      </c>
      <c r="AA40" s="508">
        <f t="shared" si="12"/>
      </c>
      <c r="AB40" s="712"/>
      <c r="AC40" s="713"/>
      <c r="AD40" s="714"/>
      <c r="AF40" s="63">
        <f t="shared" si="13"/>
      </c>
      <c r="AG40" s="63">
        <f t="shared" si="0"/>
      </c>
    </row>
    <row r="41" spans="1:33" s="54" customFormat="1" ht="18.75" customHeight="1">
      <c r="A41" s="204">
        <f t="shared" si="1"/>
      </c>
      <c r="B41" s="277"/>
      <c r="C41" s="57"/>
      <c r="D41" s="474"/>
      <c r="E41" s="59"/>
      <c r="F41" s="216">
        <f t="shared" si="2"/>
      </c>
      <c r="G41" s="478">
        <f t="shared" si="3"/>
      </c>
      <c r="H41" s="479"/>
      <c r="I41" s="128"/>
      <c r="J41" s="478">
        <f t="shared" si="4"/>
      </c>
      <c r="K41" s="486">
        <f t="shared" si="5"/>
      </c>
      <c r="L41" s="292"/>
      <c r="M41" s="220"/>
      <c r="N41" s="493">
        <f>IF($G41="","",IF($L41="Ａ",LOOKUP($D41,{8000,8500,9000,10000,12000},{0,1532,1032,408,408}),IF($L41="Ｂ",LOOKUP($D41,{8000,8500,9000,10000,12000},{782,2814,2814,2814,2814}),IF($L41="Ｃ",LOOKUP($D41,{8000,8500,9000,10000,12000},{3188,5220,5220,5220,5220}),0))))</f>
      </c>
      <c r="O41" s="292"/>
      <c r="P41" s="232"/>
      <c r="Q41" s="493">
        <f>IF($G41="","",IF($O41="Ａ",LOOKUP($D41,{8000,8500,9000,10000,12000},{0,1532,1032,408,408}),IF($O41="Ｂ",LOOKUP($D41,{8000,8500,9000,10000,12000},{782,2814,2814,2814,2814}),IF($O41="Ｃ",LOOKUP($D41,{8000,8500,9000,10000,12000},{3188,5220,5220,5220,5220}),0))))</f>
      </c>
      <c r="R41" s="503">
        <f t="shared" si="6"/>
      </c>
      <c r="S41" s="504">
        <f>IF(B41="","",SUMIF('6-3_調整額内訳③(旧・旧制度)'!B:B,$B41,'6-3_調整額内訳③(旧・旧制度)'!AF:AF))</f>
      </c>
      <c r="T41" s="505">
        <f t="shared" si="7"/>
      </c>
      <c r="U41" s="506">
        <f t="shared" si="8"/>
      </c>
      <c r="V41" s="506">
        <f t="shared" si="9"/>
      </c>
      <c r="W41" s="507"/>
      <c r="X41" s="506">
        <f t="shared" si="10"/>
      </c>
      <c r="Y41" s="501"/>
      <c r="Z41" s="503">
        <f t="shared" si="11"/>
      </c>
      <c r="AA41" s="508">
        <f t="shared" si="12"/>
      </c>
      <c r="AB41" s="712"/>
      <c r="AC41" s="713"/>
      <c r="AD41" s="714"/>
      <c r="AF41" s="63">
        <f t="shared" si="13"/>
      </c>
      <c r="AG41" s="63">
        <f t="shared" si="0"/>
      </c>
    </row>
    <row r="42" spans="1:33" s="54" customFormat="1" ht="18.75" customHeight="1">
      <c r="A42" s="27">
        <f t="shared" si="1"/>
      </c>
      <c r="B42" s="277"/>
      <c r="C42" s="57"/>
      <c r="D42" s="474"/>
      <c r="E42" s="59"/>
      <c r="F42" s="216">
        <f t="shared" si="2"/>
      </c>
      <c r="G42" s="478">
        <f t="shared" si="3"/>
      </c>
      <c r="H42" s="479"/>
      <c r="I42" s="128"/>
      <c r="J42" s="478">
        <f t="shared" si="4"/>
      </c>
      <c r="K42" s="486">
        <f t="shared" si="5"/>
      </c>
      <c r="L42" s="292"/>
      <c r="M42" s="220"/>
      <c r="N42" s="493">
        <f>IF($G42="","",IF($L42="Ａ",LOOKUP($D42,{8000,8500,9000,10000,12000},{0,1532,1032,408,408}),IF($L42="Ｂ",LOOKUP($D42,{8000,8500,9000,10000,12000},{782,2814,2814,2814,2814}),IF($L42="Ｃ",LOOKUP($D42,{8000,8500,9000,10000,12000},{3188,5220,5220,5220,5220}),0))))</f>
      </c>
      <c r="O42" s="292"/>
      <c r="P42" s="232"/>
      <c r="Q42" s="493">
        <f>IF($G42="","",IF($O42="Ａ",LOOKUP($D42,{8000,8500,9000,10000,12000},{0,1532,1032,408,408}),IF($O42="Ｂ",LOOKUP($D42,{8000,8500,9000,10000,12000},{782,2814,2814,2814,2814}),IF($O42="Ｃ",LOOKUP($D42,{8000,8500,9000,10000,12000},{3188,5220,5220,5220,5220}),0))))</f>
      </c>
      <c r="R42" s="503">
        <f t="shared" si="6"/>
      </c>
      <c r="S42" s="504">
        <f>IF(B42="","",SUMIF('6-3_調整額内訳③(旧・旧制度)'!B:B,$B42,'6-3_調整額内訳③(旧・旧制度)'!AF:AF))</f>
      </c>
      <c r="T42" s="505">
        <f t="shared" si="7"/>
      </c>
      <c r="U42" s="506">
        <f t="shared" si="8"/>
      </c>
      <c r="V42" s="506">
        <f t="shared" si="9"/>
      </c>
      <c r="W42" s="507"/>
      <c r="X42" s="506">
        <f t="shared" si="10"/>
      </c>
      <c r="Y42" s="501"/>
      <c r="Z42" s="503">
        <f t="shared" si="11"/>
      </c>
      <c r="AA42" s="508">
        <f t="shared" si="12"/>
      </c>
      <c r="AB42" s="712"/>
      <c r="AC42" s="713"/>
      <c r="AD42" s="714"/>
      <c r="AF42" s="63">
        <f t="shared" si="13"/>
      </c>
      <c r="AG42" s="63">
        <f t="shared" si="0"/>
      </c>
    </row>
    <row r="43" spans="1:33" s="54" customFormat="1" ht="18.75" customHeight="1">
      <c r="A43" s="27">
        <f t="shared" si="1"/>
      </c>
      <c r="B43" s="277"/>
      <c r="C43" s="57"/>
      <c r="D43" s="474"/>
      <c r="E43" s="59"/>
      <c r="F43" s="216">
        <f t="shared" si="2"/>
      </c>
      <c r="G43" s="478">
        <f t="shared" si="3"/>
      </c>
      <c r="H43" s="479"/>
      <c r="I43" s="128"/>
      <c r="J43" s="478">
        <f t="shared" si="4"/>
      </c>
      <c r="K43" s="486">
        <f t="shared" si="5"/>
      </c>
      <c r="L43" s="292"/>
      <c r="M43" s="220"/>
      <c r="N43" s="493">
        <f>IF($G43="","",IF($L43="Ａ",LOOKUP($D43,{8000,8500,9000,10000,12000},{0,1532,1032,408,408}),IF($L43="Ｂ",LOOKUP($D43,{8000,8500,9000,10000,12000},{782,2814,2814,2814,2814}),IF($L43="Ｃ",LOOKUP($D43,{8000,8500,9000,10000,12000},{3188,5220,5220,5220,5220}),0))))</f>
      </c>
      <c r="O43" s="292"/>
      <c r="P43" s="232"/>
      <c r="Q43" s="493">
        <f>IF($G43="","",IF($O43="Ａ",LOOKUP($D43,{8000,8500,9000,10000,12000},{0,1532,1032,408,408}),IF($O43="Ｂ",LOOKUP($D43,{8000,8500,9000,10000,12000},{782,2814,2814,2814,2814}),IF($O43="Ｃ",LOOKUP($D43,{8000,8500,9000,10000,12000},{3188,5220,5220,5220,5220}),0))))</f>
      </c>
      <c r="R43" s="503">
        <f t="shared" si="6"/>
      </c>
      <c r="S43" s="504">
        <f>IF(B43="","",SUMIF('6-3_調整額内訳③(旧・旧制度)'!B:B,$B43,'6-3_調整額内訳③(旧・旧制度)'!AF:AF))</f>
      </c>
      <c r="T43" s="505">
        <f t="shared" si="7"/>
      </c>
      <c r="U43" s="506">
        <f t="shared" si="8"/>
      </c>
      <c r="V43" s="506">
        <f t="shared" si="9"/>
      </c>
      <c r="W43" s="507"/>
      <c r="X43" s="506">
        <f t="shared" si="10"/>
      </c>
      <c r="Y43" s="501"/>
      <c r="Z43" s="503">
        <f t="shared" si="11"/>
      </c>
      <c r="AA43" s="508">
        <f t="shared" si="12"/>
      </c>
      <c r="AB43" s="712"/>
      <c r="AC43" s="713"/>
      <c r="AD43" s="714"/>
      <c r="AF43" s="63">
        <f t="shared" si="13"/>
      </c>
      <c r="AG43" s="63">
        <f t="shared" si="0"/>
      </c>
    </row>
    <row r="44" spans="1:33" s="54" customFormat="1" ht="18.75" customHeight="1" thickBot="1">
      <c r="A44" s="27">
        <f t="shared" si="1"/>
      </c>
      <c r="B44" s="279"/>
      <c r="C44" s="57"/>
      <c r="D44" s="474"/>
      <c r="E44" s="59"/>
      <c r="F44" s="218">
        <f t="shared" si="2"/>
      </c>
      <c r="G44" s="482">
        <f t="shared" si="3"/>
      </c>
      <c r="H44" s="479"/>
      <c r="I44" s="129"/>
      <c r="J44" s="482">
        <f t="shared" si="4"/>
      </c>
      <c r="K44" s="486">
        <f t="shared" si="5"/>
      </c>
      <c r="L44" s="292"/>
      <c r="M44" s="221"/>
      <c r="N44" s="494">
        <f>IF($G44="","",IF($L44="Ａ",LOOKUP($D44,{8000,8500,9000,10000,12000},{0,1532,1032,408,408}),IF($L44="Ｂ",LOOKUP($D44,{8000,8500,9000,10000,12000},{782,2814,2814,2814,2814}),IF($L44="Ｃ",LOOKUP($D44,{8000,8500,9000,10000,12000},{3188,5220,5220,5220,5220}),0))))</f>
      </c>
      <c r="O44" s="292"/>
      <c r="P44" s="233"/>
      <c r="Q44" s="494">
        <f>IF($G44="","",IF($O44="Ａ",LOOKUP($D44,{8000,8500,9000,10000,12000},{0,1532,1032,408,408}),IF($O44="Ｂ",LOOKUP($D44,{8000,8500,9000,10000,12000},{782,2814,2814,2814,2814}),IF($O44="Ｃ",LOOKUP($D44,{8000,8500,9000,10000,12000},{3188,5220,5220,5220,5220}),0))))</f>
      </c>
      <c r="R44" s="503">
        <f t="shared" si="6"/>
      </c>
      <c r="S44" s="504">
        <f>IF(B44="","",SUMIF('6-3_調整額内訳③(旧・旧制度)'!B:B,$B44,'6-3_調整額内訳③(旧・旧制度)'!AF:AF))</f>
      </c>
      <c r="T44" s="505">
        <f t="shared" si="7"/>
      </c>
      <c r="U44" s="509">
        <f t="shared" si="8"/>
      </c>
      <c r="V44" s="506">
        <f t="shared" si="9"/>
      </c>
      <c r="W44" s="507"/>
      <c r="X44" s="506">
        <f t="shared" si="10"/>
      </c>
      <c r="Y44" s="501"/>
      <c r="Z44" s="503">
        <f t="shared" si="11"/>
      </c>
      <c r="AA44" s="508">
        <f t="shared" si="12"/>
      </c>
      <c r="AB44" s="709"/>
      <c r="AC44" s="710"/>
      <c r="AD44" s="711"/>
      <c r="AF44" s="63">
        <f t="shared" si="13"/>
      </c>
      <c r="AG44" s="63">
        <f t="shared" si="0"/>
      </c>
    </row>
    <row r="45" spans="1:33" s="69" customFormat="1" ht="25.5" customHeight="1" thickBot="1">
      <c r="A45" s="715" t="s">
        <v>161</v>
      </c>
      <c r="B45" s="716"/>
      <c r="C45" s="716"/>
      <c r="D45" s="717"/>
      <c r="E45" s="208">
        <f>SUM(E8:E44)</f>
        <v>0</v>
      </c>
      <c r="F45" s="490">
        <f>SUM(F8:F44)</f>
        <v>0</v>
      </c>
      <c r="G45" s="491" t="s">
        <v>162</v>
      </c>
      <c r="H45" s="209" t="s">
        <v>162</v>
      </c>
      <c r="I45" s="206" t="s">
        <v>162</v>
      </c>
      <c r="J45" s="488">
        <f>SUM(J8:J44)</f>
        <v>0</v>
      </c>
      <c r="K45" s="489" t="s">
        <v>155</v>
      </c>
      <c r="L45" s="121" t="s">
        <v>162</v>
      </c>
      <c r="M45" s="121"/>
      <c r="N45" s="489"/>
      <c r="O45" s="368" t="s">
        <v>162</v>
      </c>
      <c r="P45" s="121"/>
      <c r="Q45" s="489"/>
      <c r="R45" s="510">
        <f aca="true" t="shared" si="14" ref="R45:AA45">SUM(R8:R44)</f>
        <v>0</v>
      </c>
      <c r="S45" s="511">
        <f t="shared" si="14"/>
        <v>0</v>
      </c>
      <c r="T45" s="512">
        <f t="shared" si="14"/>
        <v>0</v>
      </c>
      <c r="U45" s="513">
        <f t="shared" si="14"/>
        <v>0</v>
      </c>
      <c r="V45" s="513">
        <f>SUM(V8:V44)</f>
        <v>0</v>
      </c>
      <c r="W45" s="513">
        <f t="shared" si="14"/>
        <v>0</v>
      </c>
      <c r="X45" s="513">
        <f t="shared" si="14"/>
        <v>0</v>
      </c>
      <c r="Y45" s="513">
        <f t="shared" si="14"/>
        <v>0</v>
      </c>
      <c r="Z45" s="513">
        <f t="shared" si="14"/>
        <v>0</v>
      </c>
      <c r="AA45" s="514">
        <f t="shared" si="14"/>
        <v>0</v>
      </c>
      <c r="AB45" s="718"/>
      <c r="AC45" s="719"/>
      <c r="AD45" s="720"/>
      <c r="AF45" s="70"/>
      <c r="AG45" s="70"/>
    </row>
    <row r="46" spans="1:33" s="345" customFormat="1" ht="15.75" customHeight="1">
      <c r="A46" s="345" t="s">
        <v>29</v>
      </c>
      <c r="L46" s="346"/>
      <c r="O46" s="346"/>
      <c r="AF46" s="347"/>
      <c r="AG46" s="347"/>
    </row>
    <row r="47" spans="1:33" s="345" customFormat="1" ht="15.75" customHeight="1">
      <c r="A47" s="345" t="s">
        <v>153</v>
      </c>
      <c r="L47" s="346"/>
      <c r="O47" s="346"/>
      <c r="AF47" s="347"/>
      <c r="AG47" s="347"/>
    </row>
    <row r="48" spans="1:33" s="345" customFormat="1" ht="15.75" customHeight="1">
      <c r="A48" s="345" t="s">
        <v>168</v>
      </c>
      <c r="L48" s="346"/>
      <c r="O48" s="346"/>
      <c r="AF48" s="347"/>
      <c r="AG48" s="347"/>
    </row>
    <row r="49" spans="1:33" s="345" customFormat="1" ht="15.75" customHeight="1">
      <c r="A49" s="345" t="s">
        <v>159</v>
      </c>
      <c r="L49" s="346"/>
      <c r="O49" s="346"/>
      <c r="AF49" s="347"/>
      <c r="AG49" s="347"/>
    </row>
    <row r="50" spans="1:33" s="345" customFormat="1" ht="15.75" customHeight="1">
      <c r="A50" s="345" t="s">
        <v>249</v>
      </c>
      <c r="L50" s="346"/>
      <c r="O50" s="346"/>
      <c r="AF50" s="347"/>
      <c r="AG50" s="347"/>
    </row>
    <row r="51" spans="1:33" s="345" customFormat="1" ht="15.75" customHeight="1">
      <c r="A51" s="345" t="s">
        <v>257</v>
      </c>
      <c r="L51" s="346"/>
      <c r="O51" s="346"/>
      <c r="AF51" s="347"/>
      <c r="AG51" s="347"/>
    </row>
    <row r="52" spans="1:33" s="345" customFormat="1" ht="15.75" customHeight="1">
      <c r="A52" s="345" t="s">
        <v>176</v>
      </c>
      <c r="L52" s="346"/>
      <c r="O52" s="346"/>
      <c r="AF52" s="347"/>
      <c r="AG52" s="347"/>
    </row>
    <row r="53" spans="1:33" s="345" customFormat="1" ht="15.75" customHeight="1">
      <c r="A53" s="345" t="s">
        <v>177</v>
      </c>
      <c r="L53" s="346"/>
      <c r="O53" s="346"/>
      <c r="AF53" s="347"/>
      <c r="AG53" s="347"/>
    </row>
    <row r="54" spans="1:33" s="345" customFormat="1" ht="15.75" customHeight="1">
      <c r="A54" s="345" t="s">
        <v>250</v>
      </c>
      <c r="L54" s="346"/>
      <c r="O54" s="346"/>
      <c r="AF54" s="347"/>
      <c r="AG54" s="347"/>
    </row>
    <row r="55" spans="1:33" s="345" customFormat="1" ht="15.75" customHeight="1">
      <c r="A55" s="345" t="s">
        <v>229</v>
      </c>
      <c r="L55" s="346"/>
      <c r="O55" s="346"/>
      <c r="AF55" s="347"/>
      <c r="AG55" s="347"/>
    </row>
    <row r="56" spans="1:32" s="345" customFormat="1" ht="15.75" customHeight="1">
      <c r="A56" s="345" t="s">
        <v>230</v>
      </c>
      <c r="L56" s="346"/>
      <c r="O56" s="346"/>
      <c r="AE56" s="347"/>
      <c r="AF56" s="347"/>
    </row>
    <row r="57" spans="1:33" s="345" customFormat="1" ht="15.75" customHeight="1">
      <c r="A57" s="345" t="s">
        <v>163</v>
      </c>
      <c r="L57" s="346"/>
      <c r="O57" s="346"/>
      <c r="AF57" s="347"/>
      <c r="AG57" s="347"/>
    </row>
    <row r="58" spans="1:33" s="345" customFormat="1" ht="15.75" customHeight="1">
      <c r="A58" s="345" t="s">
        <v>164</v>
      </c>
      <c r="L58" s="346"/>
      <c r="O58" s="346"/>
      <c r="AF58" s="347"/>
      <c r="AG58" s="347"/>
    </row>
    <row r="59" spans="1:33" s="345" customFormat="1" ht="15.75" customHeight="1">
      <c r="A59" s="345" t="s">
        <v>165</v>
      </c>
      <c r="L59" s="346"/>
      <c r="O59" s="346"/>
      <c r="AF59" s="347"/>
      <c r="AG59" s="347"/>
    </row>
    <row r="60" ht="12"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sheetData>
  <sheetProtection/>
  <mergeCells count="73">
    <mergeCell ref="T5:T6"/>
    <mergeCell ref="H5:H6"/>
    <mergeCell ref="I5:I6"/>
    <mergeCell ref="J5:J6"/>
    <mergeCell ref="K5:K6"/>
    <mergeCell ref="L5:N5"/>
    <mergeCell ref="AB44:AD44"/>
    <mergeCell ref="AB43:AD43"/>
    <mergeCell ref="AB45:AD45"/>
    <mergeCell ref="AB42:AD42"/>
    <mergeCell ref="M6:M7"/>
    <mergeCell ref="Y1:AB1"/>
    <mergeCell ref="Y2:AB2"/>
    <mergeCell ref="Z4:Z6"/>
    <mergeCell ref="AA4:AA6"/>
    <mergeCell ref="AB38:AD38"/>
    <mergeCell ref="A45:D45"/>
    <mergeCell ref="AB34:AD34"/>
    <mergeCell ref="AB35:AD35"/>
    <mergeCell ref="AB36:AD36"/>
    <mergeCell ref="AB37:AD37"/>
    <mergeCell ref="Y4:Y6"/>
    <mergeCell ref="AB16:AD16"/>
    <mergeCell ref="O6:O7"/>
    <mergeCell ref="V4:V6"/>
    <mergeCell ref="X4:X6"/>
    <mergeCell ref="AG4:AG7"/>
    <mergeCell ref="AB14:AD14"/>
    <mergeCell ref="AB15:AD15"/>
    <mergeCell ref="AF4:AF7"/>
    <mergeCell ref="AB11:AD11"/>
    <mergeCell ref="AB12:AD12"/>
    <mergeCell ref="AB10:AD10"/>
    <mergeCell ref="AB4:AD7"/>
    <mergeCell ref="AB8:AD8"/>
    <mergeCell ref="AB9:AD9"/>
    <mergeCell ref="A4:A7"/>
    <mergeCell ref="L6:L7"/>
    <mergeCell ref="E4:F4"/>
    <mergeCell ref="D4:D6"/>
    <mergeCell ref="G4:K4"/>
    <mergeCell ref="L4:T4"/>
    <mergeCell ref="C4:C7"/>
    <mergeCell ref="B4:B7"/>
    <mergeCell ref="F5:F6"/>
    <mergeCell ref="G5:G6"/>
    <mergeCell ref="AB41:AD41"/>
    <mergeCell ref="AB26:AD26"/>
    <mergeCell ref="AB19:AD19"/>
    <mergeCell ref="AB20:AD20"/>
    <mergeCell ref="AB21:AD21"/>
    <mergeCell ref="AB17:AD17"/>
    <mergeCell ref="AB39:AD39"/>
    <mergeCell ref="AB22:AD22"/>
    <mergeCell ref="AB23:AD23"/>
    <mergeCell ref="AB24:AD24"/>
    <mergeCell ref="AB13:AD13"/>
    <mergeCell ref="P6:P7"/>
    <mergeCell ref="U4:U6"/>
    <mergeCell ref="W4:W6"/>
    <mergeCell ref="AB25:AD25"/>
    <mergeCell ref="AB30:AD30"/>
    <mergeCell ref="AB27:AD27"/>
    <mergeCell ref="O5:Q5"/>
    <mergeCell ref="R5:R6"/>
    <mergeCell ref="S5:S6"/>
    <mergeCell ref="AB31:AD31"/>
    <mergeCell ref="AB40:AD40"/>
    <mergeCell ref="AB18:AD18"/>
    <mergeCell ref="AB28:AD28"/>
    <mergeCell ref="AB29:AD29"/>
    <mergeCell ref="AB32:AD32"/>
    <mergeCell ref="AB33:AD33"/>
  </mergeCells>
  <dataValidations count="4">
    <dataValidation type="whole" allowBlank="1" showInputMessage="1" showErrorMessage="1" sqref="G8:H44 W8:W44 J8:K44">
      <formula1>0</formula1>
      <formula2>9999999</formula2>
    </dataValidation>
    <dataValidation type="whole" allowBlank="1" showInputMessage="1" showErrorMessage="1" sqref="C8:C44">
      <formula1>1</formula1>
      <formula2>4</formula2>
    </dataValidation>
    <dataValidation type="list" allowBlank="1" showInputMessage="1" showErrorMessage="1" sqref="L9:L44">
      <formula1>"Ａ,Ｂ,Ｃ,,Ｄ"</formula1>
    </dataValidation>
    <dataValidation type="list" allowBlank="1" showInputMessage="1" showErrorMessage="1" sqref="O8:O44 L8">
      <formula1>"Ａ,Ｂ,Ｃ,Ｄ"</formula1>
    </dataValidation>
  </dataValidations>
  <printOptions/>
  <pageMargins left="0.7480314960629921" right="0.7480314960629921" top="0.984251968503937" bottom="0.984251968503937" header="0.5118110236220472" footer="0.5118110236220472"/>
  <pageSetup cellComments="asDisplayed" fitToWidth="0" horizontalDpi="600" verticalDpi="600" orientation="landscape" paperSize="9" scale="44" r:id="rId3"/>
  <legacyDrawing r:id="rId2"/>
</worksheet>
</file>

<file path=xl/worksheets/sheet11.xml><?xml version="1.0" encoding="utf-8"?>
<worksheet xmlns="http://schemas.openxmlformats.org/spreadsheetml/2006/main" xmlns:r="http://schemas.openxmlformats.org/officeDocument/2006/relationships">
  <sheetPr>
    <tabColor rgb="FF00B050"/>
  </sheetPr>
  <dimension ref="A1:AO44"/>
  <sheetViews>
    <sheetView view="pageBreakPreview" zoomScale="75" zoomScaleNormal="75" zoomScaleSheetLayoutView="75" zoomScalePageLayoutView="0" workbookViewId="0" topLeftCell="A1">
      <selection activeCell="E13" sqref="E13"/>
    </sheetView>
  </sheetViews>
  <sheetFormatPr defaultColWidth="9.625" defaultRowHeight="13.5"/>
  <cols>
    <col min="1" max="1" width="6.25390625" style="40" customWidth="1"/>
    <col min="2" max="2" width="15.625" style="266" customWidth="1"/>
    <col min="3" max="3" width="6.00390625" style="288" bestFit="1" customWidth="1"/>
    <col min="4" max="5" width="11.25390625" style="40" customWidth="1"/>
    <col min="6" max="6" width="5.50390625" style="40" customWidth="1"/>
    <col min="7" max="7" width="10.25390625" style="40" bestFit="1" customWidth="1"/>
    <col min="8" max="8" width="3.50390625" style="40" bestFit="1" customWidth="1"/>
    <col min="9" max="9" width="10.75390625" style="40" customWidth="1"/>
    <col min="10" max="10" width="12.25390625" style="40" bestFit="1" customWidth="1"/>
    <col min="11" max="22" width="4.25390625" style="40" customWidth="1"/>
    <col min="23" max="30" width="4.375" style="40" customWidth="1"/>
    <col min="31" max="32" width="10.25390625" style="40" bestFit="1" customWidth="1"/>
    <col min="33" max="33" width="9.75390625" style="40" customWidth="1"/>
    <col min="34" max="34" width="6.50390625" style="40" customWidth="1"/>
    <col min="35" max="35" width="8.25390625" style="40" customWidth="1"/>
    <col min="36" max="36" width="3.125" style="40" customWidth="1"/>
    <col min="37" max="37" width="8.625" style="41" bestFit="1" customWidth="1"/>
    <col min="38" max="38" width="5.25390625" style="41" bestFit="1" customWidth="1"/>
    <col min="39" max="16384" width="9.625" style="40" customWidth="1"/>
  </cols>
  <sheetData>
    <row r="1" spans="1:38" ht="24.75" customHeight="1">
      <c r="A1" s="39" t="s">
        <v>251</v>
      </c>
      <c r="B1" s="265"/>
      <c r="W1" s="781" t="s">
        <v>25</v>
      </c>
      <c r="X1" s="781"/>
      <c r="Y1" s="781"/>
      <c r="Z1" s="761">
        <f>'5_総括表'!E3</f>
        <v>0</v>
      </c>
      <c r="AA1" s="782"/>
      <c r="AB1" s="782"/>
      <c r="AC1" s="782"/>
      <c r="AD1" s="782"/>
      <c r="AE1" s="782"/>
      <c r="AF1" s="783"/>
      <c r="AG1" s="186" t="s">
        <v>26</v>
      </c>
      <c r="AH1" s="784">
        <f>'5_総括表'!Z3</f>
        <v>0</v>
      </c>
      <c r="AI1" s="785"/>
      <c r="AK1" s="46"/>
      <c r="AL1" s="46"/>
    </row>
    <row r="2" spans="1:38" ht="24.75" customHeight="1" thickBot="1">
      <c r="A2" s="42"/>
      <c r="W2" s="786" t="s">
        <v>23</v>
      </c>
      <c r="X2" s="786"/>
      <c r="Y2" s="786"/>
      <c r="Z2" s="764">
        <f>'5_総括表'!E4</f>
        <v>0</v>
      </c>
      <c r="AA2" s="787"/>
      <c r="AB2" s="787"/>
      <c r="AC2" s="787"/>
      <c r="AD2" s="787"/>
      <c r="AE2" s="787"/>
      <c r="AF2" s="788"/>
      <c r="AG2" s="187" t="s">
        <v>24</v>
      </c>
      <c r="AH2" s="789">
        <f>'5_総括表'!Z4</f>
        <v>0</v>
      </c>
      <c r="AI2" s="790"/>
      <c r="AK2" s="73"/>
      <c r="AL2" s="74"/>
    </row>
    <row r="3" spans="1:38" ht="19.5" thickBot="1">
      <c r="A3" s="331" t="s">
        <v>223</v>
      </c>
      <c r="B3" s="267"/>
      <c r="AH3" s="43"/>
      <c r="AI3" s="43" t="s">
        <v>28</v>
      </c>
      <c r="AK3" s="73"/>
      <c r="AL3" s="74"/>
    </row>
    <row r="4" spans="1:38" s="44" customFormat="1" ht="18.75" customHeight="1" thickBot="1">
      <c r="A4" s="675" t="s">
        <v>32</v>
      </c>
      <c r="B4" s="945" t="s">
        <v>170</v>
      </c>
      <c r="C4" s="770" t="s">
        <v>16</v>
      </c>
      <c r="D4" s="670" t="s">
        <v>75</v>
      </c>
      <c r="E4" s="670" t="s">
        <v>106</v>
      </c>
      <c r="F4" s="664" t="s">
        <v>253</v>
      </c>
      <c r="G4" s="665"/>
      <c r="H4" s="665"/>
      <c r="I4" s="665"/>
      <c r="J4" s="666"/>
      <c r="K4" s="795" t="s">
        <v>65</v>
      </c>
      <c r="L4" s="796"/>
      <c r="M4" s="796"/>
      <c r="N4" s="796"/>
      <c r="O4" s="796"/>
      <c r="P4" s="796"/>
      <c r="Q4" s="796"/>
      <c r="R4" s="796"/>
      <c r="S4" s="796"/>
      <c r="T4" s="796"/>
      <c r="U4" s="796"/>
      <c r="V4" s="796"/>
      <c r="W4" s="796"/>
      <c r="X4" s="796"/>
      <c r="Y4" s="796"/>
      <c r="Z4" s="796"/>
      <c r="AA4" s="796"/>
      <c r="AB4" s="796"/>
      <c r="AC4" s="796"/>
      <c r="AD4" s="802"/>
      <c r="AE4" s="670" t="s">
        <v>63</v>
      </c>
      <c r="AF4" s="797" t="s">
        <v>64</v>
      </c>
      <c r="AG4" s="800" t="s">
        <v>66</v>
      </c>
      <c r="AH4" s="801"/>
      <c r="AI4" s="802"/>
      <c r="AK4" s="73"/>
      <c r="AL4" s="74"/>
    </row>
    <row r="5" spans="1:38" s="44" customFormat="1" ht="18.75" customHeight="1" thickBot="1">
      <c r="A5" s="767"/>
      <c r="B5" s="946"/>
      <c r="C5" s="771"/>
      <c r="D5" s="737"/>
      <c r="E5" s="737"/>
      <c r="F5" s="795" t="s">
        <v>107</v>
      </c>
      <c r="G5" s="811"/>
      <c r="H5" s="812"/>
      <c r="I5" s="812"/>
      <c r="J5" s="813"/>
      <c r="K5" s="814" t="s">
        <v>62</v>
      </c>
      <c r="L5" s="815"/>
      <c r="M5" s="815"/>
      <c r="N5" s="815"/>
      <c r="O5" s="815"/>
      <c r="P5" s="815"/>
      <c r="Q5" s="815"/>
      <c r="R5" s="815"/>
      <c r="S5" s="815"/>
      <c r="T5" s="815"/>
      <c r="U5" s="815"/>
      <c r="V5" s="816"/>
      <c r="W5" s="664" t="s">
        <v>118</v>
      </c>
      <c r="X5" s="665"/>
      <c r="Y5" s="665"/>
      <c r="Z5" s="665"/>
      <c r="AA5" s="665"/>
      <c r="AB5" s="665"/>
      <c r="AC5" s="665"/>
      <c r="AD5" s="666"/>
      <c r="AE5" s="737"/>
      <c r="AF5" s="798"/>
      <c r="AG5" s="803"/>
      <c r="AH5" s="804"/>
      <c r="AI5" s="805"/>
      <c r="AK5" s="73"/>
      <c r="AL5" s="74"/>
    </row>
    <row r="6" spans="1:38" s="44" customFormat="1" ht="21.75" customHeight="1" thickBot="1">
      <c r="A6" s="767"/>
      <c r="B6" s="946"/>
      <c r="C6" s="771"/>
      <c r="D6" s="737"/>
      <c r="E6" s="737"/>
      <c r="F6" s="817" t="s">
        <v>18</v>
      </c>
      <c r="G6" s="791" t="s">
        <v>50</v>
      </c>
      <c r="H6" s="817" t="s">
        <v>18</v>
      </c>
      <c r="I6" s="791" t="s">
        <v>50</v>
      </c>
      <c r="J6" s="793" t="s">
        <v>190</v>
      </c>
      <c r="K6" s="944" t="s">
        <v>60</v>
      </c>
      <c r="L6" s="944"/>
      <c r="M6" s="944"/>
      <c r="N6" s="820" t="s">
        <v>61</v>
      </c>
      <c r="O6" s="821"/>
      <c r="P6" s="821"/>
      <c r="Q6" s="821"/>
      <c r="R6" s="821"/>
      <c r="S6" s="821"/>
      <c r="T6" s="821"/>
      <c r="U6" s="821"/>
      <c r="V6" s="822"/>
      <c r="W6" s="795" t="s">
        <v>191</v>
      </c>
      <c r="X6" s="823" t="s">
        <v>191</v>
      </c>
      <c r="Y6" s="795" t="s">
        <v>192</v>
      </c>
      <c r="Z6" s="826" t="s">
        <v>192</v>
      </c>
      <c r="AA6" s="860" t="s">
        <v>193</v>
      </c>
      <c r="AB6" s="863" t="s">
        <v>193</v>
      </c>
      <c r="AC6" s="938" t="s">
        <v>194</v>
      </c>
      <c r="AD6" s="941" t="s">
        <v>194</v>
      </c>
      <c r="AE6" s="737"/>
      <c r="AF6" s="799"/>
      <c r="AG6" s="806"/>
      <c r="AH6" s="807"/>
      <c r="AI6" s="805"/>
      <c r="AK6" s="73"/>
      <c r="AL6" s="75"/>
    </row>
    <row r="7" spans="1:41" s="44" customFormat="1" ht="20.25" customHeight="1" thickBot="1">
      <c r="A7" s="767"/>
      <c r="B7" s="946"/>
      <c r="C7" s="771"/>
      <c r="D7" s="737"/>
      <c r="E7" s="737"/>
      <c r="F7" s="818"/>
      <c r="G7" s="792"/>
      <c r="H7" s="818"/>
      <c r="I7" s="792"/>
      <c r="J7" s="794"/>
      <c r="K7" s="664" t="s">
        <v>54</v>
      </c>
      <c r="L7" s="937" t="s">
        <v>55</v>
      </c>
      <c r="M7" s="666" t="s">
        <v>56</v>
      </c>
      <c r="N7" s="664" t="s">
        <v>51</v>
      </c>
      <c r="O7" s="937" t="s">
        <v>195</v>
      </c>
      <c r="P7" s="937" t="s">
        <v>196</v>
      </c>
      <c r="Q7" s="937" t="s">
        <v>197</v>
      </c>
      <c r="R7" s="937" t="s">
        <v>52</v>
      </c>
      <c r="S7" s="937" t="s">
        <v>53</v>
      </c>
      <c r="T7" s="937" t="s">
        <v>57</v>
      </c>
      <c r="U7" s="937" t="s">
        <v>58</v>
      </c>
      <c r="V7" s="666" t="s">
        <v>59</v>
      </c>
      <c r="W7" s="806"/>
      <c r="X7" s="824"/>
      <c r="Y7" s="806"/>
      <c r="Z7" s="827"/>
      <c r="AA7" s="861"/>
      <c r="AB7" s="864"/>
      <c r="AC7" s="939"/>
      <c r="AD7" s="942"/>
      <c r="AE7" s="737"/>
      <c r="AF7" s="799"/>
      <c r="AG7" s="806"/>
      <c r="AH7" s="807"/>
      <c r="AI7" s="805"/>
      <c r="AK7" s="833" t="s">
        <v>30</v>
      </c>
      <c r="AL7" s="833" t="s">
        <v>198</v>
      </c>
      <c r="AM7" s="76"/>
      <c r="AN7" s="76"/>
      <c r="AO7" s="76"/>
    </row>
    <row r="8" spans="1:38" s="44" customFormat="1" ht="18.75" customHeight="1" thickBot="1">
      <c r="A8" s="768"/>
      <c r="B8" s="947"/>
      <c r="C8" s="772"/>
      <c r="D8" s="769"/>
      <c r="E8" s="769"/>
      <c r="F8" s="819"/>
      <c r="G8" s="77" t="s">
        <v>199</v>
      </c>
      <c r="H8" s="819"/>
      <c r="I8" s="77" t="s">
        <v>200</v>
      </c>
      <c r="J8" s="47" t="s">
        <v>201</v>
      </c>
      <c r="K8" s="664"/>
      <c r="L8" s="937"/>
      <c r="M8" s="666"/>
      <c r="N8" s="664"/>
      <c r="O8" s="937"/>
      <c r="P8" s="937"/>
      <c r="Q8" s="937"/>
      <c r="R8" s="937"/>
      <c r="S8" s="937"/>
      <c r="T8" s="937"/>
      <c r="U8" s="937"/>
      <c r="V8" s="666"/>
      <c r="W8" s="808"/>
      <c r="X8" s="825"/>
      <c r="Y8" s="808"/>
      <c r="Z8" s="828"/>
      <c r="AA8" s="862"/>
      <c r="AB8" s="865"/>
      <c r="AC8" s="940"/>
      <c r="AD8" s="943"/>
      <c r="AE8" s="47" t="s">
        <v>202</v>
      </c>
      <c r="AF8" s="78" t="s">
        <v>203</v>
      </c>
      <c r="AG8" s="808"/>
      <c r="AH8" s="809"/>
      <c r="AI8" s="810"/>
      <c r="AK8" s="834"/>
      <c r="AL8" s="834"/>
    </row>
    <row r="9" spans="1:38" s="54" customFormat="1" ht="18.75" customHeight="1">
      <c r="A9" s="26">
        <f>IF(B9="","",ROW($A9)-ROW($A$8))</f>
      </c>
      <c r="B9" s="305"/>
      <c r="C9" s="289">
        <f>IF(B9="","",VLOOKUP($B9,'6-2_算定表③(旧・旧制度)'!$B$8:$R$65536,2,FALSE))</f>
      </c>
      <c r="D9" s="515">
        <f>IF(B9="","",VLOOKUP($B9,'6-2_算定表③(旧・旧制度)'!$B$8:$R$65536,3,FALSE))</f>
      </c>
      <c r="E9" s="515">
        <f>IF(B9="","",VLOOKUP($B9,'6-2_算定表③(旧・旧制度)'!$B$8:$R$65536,4,FALSE))</f>
      </c>
      <c r="F9" s="516">
        <f>IF(B9="","",VLOOKUP($B9,'6-2_算定表③(旧・旧制度)'!$B$8:$R$65536,11,FALSE))</f>
      </c>
      <c r="G9" s="492">
        <f>IF(B9="","",VLOOKUP($B9,'6-2_算定表③(旧・旧制度)'!$B$8:$R$65536,13,FALSE))</f>
      </c>
      <c r="H9" s="516">
        <f>IF(B9="","",VLOOKUP($B9,'6-2_算定表③(旧・旧制度)'!$B$8:$R$65536,14,FALSE))</f>
      </c>
      <c r="I9" s="492">
        <f>IF(B9="","",VLOOKUP($B9,'6-2_算定表③(旧・旧制度)'!$B$8:$R$65536,16,FALSE))</f>
      </c>
      <c r="J9" s="498">
        <f>IF(B9="","",VLOOKUP($B9,'6-2_算定表③(旧・旧制度)'!$B$8:$R$65536,17,FALSE))</f>
      </c>
      <c r="K9" s="517">
        <f>IF($B9="","",VLOOKUP($B9,'6-2_算定表③(旧・旧制度)'!$B$8:$R$65536,11,FALSE))</f>
      </c>
      <c r="L9" s="518">
        <f>IF($B9="","",VLOOKUP($B9,'6-2_算定表③(旧・旧制度)'!$B$8:$R$65536,11,FALSE))</f>
      </c>
      <c r="M9" s="519">
        <f>IF($B9="","",VLOOKUP($B9,'6-2_算定表③(旧・旧制度)'!$B$8:$R$65536,11,FALSE))</f>
      </c>
      <c r="N9" s="517">
        <f>IF($B9="","",VLOOKUP($B9,'6-2_算定表③(旧・旧制度)'!$B$8:$R$65536,14,FALSE))</f>
      </c>
      <c r="O9" s="518">
        <f>IF($B9="","",VLOOKUP($B9,'6-2_算定表③(旧・旧制度)'!$B$8:$R$65536,14,FALSE))</f>
      </c>
      <c r="P9" s="518">
        <f>IF($B9="","",VLOOKUP($B9,'6-2_算定表③(旧・旧制度)'!$B$8:$R$65536,14,FALSE))</f>
      </c>
      <c r="Q9" s="518">
        <f>IF($B9="","",VLOOKUP($B9,'6-2_算定表③(旧・旧制度)'!$B$8:$R$65536,14,FALSE))</f>
      </c>
      <c r="R9" s="518">
        <f>IF($B9="","",VLOOKUP($B9,'6-2_算定表③(旧・旧制度)'!$B$8:$R$65536,14,FALSE))</f>
      </c>
      <c r="S9" s="518">
        <f>IF($B9="","",VLOOKUP($B9,'6-2_算定表③(旧・旧制度)'!$B$8:$R$65536,14,FALSE))</f>
      </c>
      <c r="T9" s="518">
        <f>IF($B9="","",VLOOKUP($B9,'6-2_算定表③(旧・旧制度)'!$B$8:$R$65536,14,FALSE))</f>
      </c>
      <c r="U9" s="518">
        <f>IF($B9="","",VLOOKUP($B9,'6-2_算定表③(旧・旧制度)'!$B$8:$R$65536,14,FALSE))</f>
      </c>
      <c r="V9" s="519">
        <f>IF($B9="","",VLOOKUP($B9,'6-2_算定表③(旧・旧制度)'!$B$8:$R$65536,14,FALSE))</f>
      </c>
      <c r="W9" s="520">
        <f>IF($B9="","",COUNTIF($K9:$M9,W$6))</f>
      </c>
      <c r="X9" s="521">
        <f>IF($B9="","",COUNTIF($N9:$V9,X$6))</f>
      </c>
      <c r="Y9" s="520">
        <f>IF($B9="","",COUNTIF($K9:$M9,Y$6))</f>
      </c>
      <c r="Z9" s="522">
        <f>IF($B9="","",COUNTIF($N9:$V9,Z$6))</f>
      </c>
      <c r="AA9" s="523">
        <f>IF($B9="","",COUNTIF($K9:$M9,AA$6))</f>
      </c>
      <c r="AB9" s="524">
        <f>IF($B9="","",COUNTIF($N9:$V9,AB$6))</f>
      </c>
      <c r="AC9" s="523">
        <f>IF($B9="","",COUNTIF($K9:$M9,AC$6))</f>
      </c>
      <c r="AD9" s="525">
        <f>IF($B9="","",COUNTIF($N9:$V9,AD$6))</f>
      </c>
      <c r="AE9" s="498">
        <f>IF(B9="","",(G9/12*W9)+(I9/12*X9)+(G9/12*Y9)+(I9/12*Z9)+(G9/12*AA9)+(I9/12*AB9))</f>
      </c>
      <c r="AF9" s="526">
        <f>IF(B9="","",AE9-J9)</f>
      </c>
      <c r="AG9" s="857">
        <f>IF(B9="","",VLOOKUP($B9,'6-2_算定表③(旧・旧制度)'!$B$8:$AB$65536,27,FALSE))</f>
      </c>
      <c r="AH9" s="858" t="s">
        <v>205</v>
      </c>
      <c r="AI9" s="859" t="s">
        <v>205</v>
      </c>
      <c r="AK9" s="63">
        <f>IF(A9&gt;0,ASC(C9&amp;H9),"")</f>
      </c>
      <c r="AL9" s="63">
        <f>IF(B9="","",IF(AF9=0,0,1))</f>
      </c>
    </row>
    <row r="10" spans="1:38" s="54" customFormat="1" ht="18.75" customHeight="1">
      <c r="A10" s="34">
        <f aca="true" t="shared" si="0" ref="A10:A38">IF(B10="","",ROW($A10)-ROW($A$8))</f>
      </c>
      <c r="B10" s="280"/>
      <c r="C10" s="87">
        <f>IF(B10="","",VLOOKUP($B10,'6-2_算定表③(旧・旧制度)'!$B$8:$R$65536,2,FALSE))</f>
      </c>
      <c r="D10" s="527">
        <f>IF(B10="","",VLOOKUP($B10,'6-2_算定表③(旧・旧制度)'!$B$8:$R$65536,3,FALSE))</f>
      </c>
      <c r="E10" s="527">
        <f>IF(B10="","",VLOOKUP($B10,'6-2_算定表③(旧・旧制度)'!$B$8:$R$65536,4,FALSE))</f>
      </c>
      <c r="F10" s="528">
        <f>IF(B10="","",VLOOKUP($B10,'6-2_算定表③(旧・旧制度)'!$B$8:$R$65536,11,FALSE))</f>
      </c>
      <c r="G10" s="529">
        <f>IF(B10="","",VLOOKUP($B10,'6-2_算定表③(旧・旧制度)'!$B$8:$R$65536,13,FALSE))</f>
      </c>
      <c r="H10" s="528">
        <f>IF(B10="","",VLOOKUP($B10,'6-2_算定表③(旧・旧制度)'!$B$8:$R$65536,14,FALSE))</f>
      </c>
      <c r="I10" s="529">
        <f>IF(B10="","",VLOOKUP($B10,'6-2_算定表③(旧・旧制度)'!$B$8:$R$65536,16,FALSE))</f>
      </c>
      <c r="J10" s="530">
        <f>IF(B10="","",VLOOKUP($B10,'6-2_算定表③(旧・旧制度)'!$B$8:$R$65536,17,FALSE))</f>
      </c>
      <c r="K10" s="531">
        <f>IF($B10="","",VLOOKUP($B10,'6-2_算定表③(旧・旧制度)'!$B$8:$R$65536,11,FALSE))</f>
      </c>
      <c r="L10" s="532">
        <f>IF($B10="","",VLOOKUP($B10,'6-2_算定表③(旧・旧制度)'!$B$8:$R$65536,11,FALSE))</f>
      </c>
      <c r="M10" s="533">
        <f>IF($B10="","",VLOOKUP($B10,'6-2_算定表③(旧・旧制度)'!$B$8:$R$65536,11,FALSE))</f>
      </c>
      <c r="N10" s="531">
        <f>IF($B10="","",VLOOKUP($B10,'6-2_算定表③(旧・旧制度)'!$B$8:$R$65536,14,FALSE))</f>
      </c>
      <c r="O10" s="532">
        <f>IF($B10="","",VLOOKUP($B10,'6-2_算定表③(旧・旧制度)'!$B$8:$R$65536,14,FALSE))</f>
      </c>
      <c r="P10" s="532">
        <f>IF($B10="","",VLOOKUP($B10,'6-2_算定表③(旧・旧制度)'!$B$8:$R$65536,14,FALSE))</f>
      </c>
      <c r="Q10" s="532">
        <f>IF($B10="","",VLOOKUP($B10,'6-2_算定表③(旧・旧制度)'!$B$8:$R$65536,14,FALSE))</f>
      </c>
      <c r="R10" s="532">
        <f>IF($B10="","",VLOOKUP($B10,'6-2_算定表③(旧・旧制度)'!$B$8:$R$65536,14,FALSE))</f>
      </c>
      <c r="S10" s="532">
        <f>IF($B10="","",VLOOKUP($B10,'6-2_算定表③(旧・旧制度)'!$B$8:$R$65536,14,FALSE))</f>
      </c>
      <c r="T10" s="532">
        <f>IF($B10="","",VLOOKUP($B10,'6-2_算定表③(旧・旧制度)'!$B$8:$R$65536,14,FALSE))</f>
      </c>
      <c r="U10" s="532">
        <f>IF($B10="","",VLOOKUP($B10,'6-2_算定表③(旧・旧制度)'!$B$8:$R$65536,14,FALSE))</f>
      </c>
      <c r="V10" s="533">
        <f>IF($B10="","",VLOOKUP($B10,'6-2_算定表③(旧・旧制度)'!$B$8:$R$65536,14,FALSE))</f>
      </c>
      <c r="W10" s="534">
        <f aca="true" t="shared" si="1" ref="W10:W38">IF($B10="","",COUNTIF($K10:$M10,W$6))</f>
      </c>
      <c r="X10" s="535">
        <f aca="true" t="shared" si="2" ref="X10:X38">IF($B10="","",COUNTIF($N10:$V10,X$6))</f>
      </c>
      <c r="Y10" s="534">
        <f aca="true" t="shared" si="3" ref="Y10:Y38">IF($B10="","",COUNTIF($K10:$M10,Y$6))</f>
      </c>
      <c r="Z10" s="536">
        <f aca="true" t="shared" si="4" ref="Z10:Z38">IF($B10="","",COUNTIF($N10:$V10,Z$6))</f>
      </c>
      <c r="AA10" s="537">
        <f aca="true" t="shared" si="5" ref="AA10:AA38">IF($B10="","",COUNTIF($K10:$M10,AA$6))</f>
      </c>
      <c r="AB10" s="538">
        <f aca="true" t="shared" si="6" ref="AB10:AB38">IF($B10="","",COUNTIF($N10:$V10,AB$6))</f>
      </c>
      <c r="AC10" s="537">
        <f aca="true" t="shared" si="7" ref="AC10:AC38">IF($B10="","",COUNTIF($K10:$M10,AC$6))</f>
      </c>
      <c r="AD10" s="539">
        <f aca="true" t="shared" si="8" ref="AD10:AD38">IF($B10="","",COUNTIF($N10:$V10,AD$6))</f>
      </c>
      <c r="AE10" s="530">
        <f aca="true" t="shared" si="9" ref="AE10:AE38">IF(B10="","",(G10/12*W10)+(I10/12*X10)+(G10/12*Y10)+(I10/12*Z10)+(G10/12*AA10)+(I10/12*AB10))</f>
      </c>
      <c r="AF10" s="540">
        <f>IF(B10="","",AE10-J10)</f>
      </c>
      <c r="AG10" s="590">
        <f>IF(B10="","",VLOOKUP($B10,'6-2_算定表③(旧・旧制度)'!$B$8:$AB$65536,27,FALSE))</f>
      </c>
      <c r="AH10" s="591" t="s">
        <v>205</v>
      </c>
      <c r="AI10" s="592" t="s">
        <v>205</v>
      </c>
      <c r="AK10" s="55">
        <f>IF(A10&gt;0,ASC(C10&amp;H10),"")</f>
      </c>
      <c r="AL10" s="55">
        <f aca="true" t="shared" si="10" ref="AL10:AL38">IF(B10="","",IF(AF10=0,0,1))</f>
      </c>
    </row>
    <row r="11" spans="1:38" s="54" customFormat="1" ht="18.75" customHeight="1">
      <c r="A11" s="27">
        <f t="shared" si="0"/>
      </c>
      <c r="B11" s="280"/>
      <c r="C11" s="97">
        <f>IF(B11="","",VLOOKUP($B11,'6-2_算定表③(旧・旧制度)'!$B$8:$R$65536,2,FALSE))</f>
      </c>
      <c r="D11" s="541">
        <f>IF(B11="","",VLOOKUP($B11,'6-2_算定表③(旧・旧制度)'!$B$8:$R$65536,3,FALSE))</f>
      </c>
      <c r="E11" s="541">
        <f>IF(B11="","",VLOOKUP($B11,'6-2_算定表③(旧・旧制度)'!$B$8:$R$65536,4,FALSE))</f>
      </c>
      <c r="F11" s="542">
        <f>IF(B11="","",VLOOKUP($B11,'6-2_算定表③(旧・旧制度)'!$B$8:$R$65536,11,FALSE))</f>
      </c>
      <c r="G11" s="493">
        <f>IF(B11="","",VLOOKUP($B11,'6-2_算定表③(旧・旧制度)'!$B$8:$R$65536,13,FALSE))</f>
      </c>
      <c r="H11" s="542">
        <f>IF(B11="","",VLOOKUP($B11,'6-2_算定表③(旧・旧制度)'!$B$8:$R$65536,14,FALSE))</f>
      </c>
      <c r="I11" s="493">
        <f>IF(B11="","",VLOOKUP($B11,'6-2_算定表③(旧・旧制度)'!$B$8:$R$65536,16,FALSE))</f>
      </c>
      <c r="J11" s="506">
        <f>IF(B11="","",VLOOKUP($B11,'6-2_算定表③(旧・旧制度)'!$B$8:$R$65536,17,FALSE))</f>
      </c>
      <c r="K11" s="543">
        <f>IF($B11="","",VLOOKUP($B11,'6-2_算定表③(旧・旧制度)'!$B$8:$R$65536,11,FALSE))</f>
      </c>
      <c r="L11" s="532">
        <f>IF($B11="","",VLOOKUP($B11,'6-2_算定表③(旧・旧制度)'!$B$8:$R$65536,11,FALSE))</f>
      </c>
      <c r="M11" s="545">
        <f>IF($B11="","",VLOOKUP($B11,'6-2_算定表③(旧・旧制度)'!$B$8:$R$65536,11,FALSE))</f>
      </c>
      <c r="N11" s="543">
        <f>IF($B11="","",VLOOKUP($B11,'6-2_算定表③(旧・旧制度)'!$B$8:$R$65536,14,FALSE))</f>
      </c>
      <c r="O11" s="544">
        <f>IF($B11="","",VLOOKUP($B11,'6-2_算定表③(旧・旧制度)'!$B$8:$R$65536,14,FALSE))</f>
      </c>
      <c r="P11" s="544">
        <f>IF($B11="","",VLOOKUP($B11,'6-2_算定表③(旧・旧制度)'!$B$8:$R$65536,14,FALSE))</f>
      </c>
      <c r="Q11" s="544">
        <f>IF($B11="","",VLOOKUP($B11,'6-2_算定表③(旧・旧制度)'!$B$8:$R$65536,14,FALSE))</f>
      </c>
      <c r="R11" s="544">
        <f>IF($B11="","",VLOOKUP($B11,'6-2_算定表③(旧・旧制度)'!$B$8:$R$65536,14,FALSE))</f>
      </c>
      <c r="S11" s="544">
        <f>IF($B11="","",VLOOKUP($B11,'6-2_算定表③(旧・旧制度)'!$B$8:$R$65536,14,FALSE))</f>
      </c>
      <c r="T11" s="544">
        <f>IF($B11="","",VLOOKUP($B11,'6-2_算定表③(旧・旧制度)'!$B$8:$R$65536,14,FALSE))</f>
      </c>
      <c r="U11" s="544">
        <f>IF($B11="","",VLOOKUP($B11,'6-2_算定表③(旧・旧制度)'!$B$8:$R$65536,14,FALSE))</f>
      </c>
      <c r="V11" s="545">
        <f>IF($B11="","",VLOOKUP($B11,'6-2_算定表③(旧・旧制度)'!$B$8:$R$65536,14,FALSE))</f>
      </c>
      <c r="W11" s="534">
        <f t="shared" si="1"/>
      </c>
      <c r="X11" s="535">
        <f t="shared" si="2"/>
      </c>
      <c r="Y11" s="534">
        <f t="shared" si="3"/>
      </c>
      <c r="Z11" s="536">
        <f t="shared" si="4"/>
      </c>
      <c r="AA11" s="537">
        <f t="shared" si="5"/>
      </c>
      <c r="AB11" s="538">
        <f t="shared" si="6"/>
      </c>
      <c r="AC11" s="537">
        <f t="shared" si="7"/>
      </c>
      <c r="AD11" s="539">
        <f t="shared" si="8"/>
      </c>
      <c r="AE11" s="506">
        <f t="shared" si="9"/>
      </c>
      <c r="AF11" s="503">
        <f aca="true" t="shared" si="11" ref="AF11:AF38">IF(B11="","",AE11-J11)</f>
      </c>
      <c r="AG11" s="851">
        <f>IF(B11="","",VLOOKUP($B11,'6-2_算定表③(旧・旧制度)'!$B$8:$AB$65536,27,FALSE))</f>
      </c>
      <c r="AH11" s="852" t="s">
        <v>205</v>
      </c>
      <c r="AI11" s="853" t="s">
        <v>205</v>
      </c>
      <c r="AK11" s="63">
        <f aca="true" t="shared" si="12" ref="AK11:AK38">IF(A11&gt;0,ASC(C11&amp;H11),"")</f>
      </c>
      <c r="AL11" s="63">
        <f t="shared" si="10"/>
      </c>
    </row>
    <row r="12" spans="1:38" s="54" customFormat="1" ht="18.75" customHeight="1">
      <c r="A12" s="27">
        <f t="shared" si="0"/>
      </c>
      <c r="B12" s="280"/>
      <c r="C12" s="97">
        <f>IF(B12="","",VLOOKUP($B12,'6-2_算定表③(旧・旧制度)'!$B$8:$R$65536,2,FALSE))</f>
      </c>
      <c r="D12" s="541">
        <f>IF(B12="","",VLOOKUP($B12,'6-2_算定表③(旧・旧制度)'!$B$8:$R$65536,3,FALSE))</f>
      </c>
      <c r="E12" s="541">
        <f>IF(B12="","",VLOOKUP($B12,'6-2_算定表③(旧・旧制度)'!$B$8:$R$65536,4,FALSE))</f>
      </c>
      <c r="F12" s="542">
        <f>IF(B12="","",VLOOKUP($B12,'6-2_算定表③(旧・旧制度)'!$B$8:$R$65536,11,FALSE))</f>
      </c>
      <c r="G12" s="493">
        <f>IF(B12="","",VLOOKUP($B12,'6-2_算定表③(旧・旧制度)'!$B$8:$R$65536,13,FALSE))</f>
      </c>
      <c r="H12" s="542">
        <f>IF(B12="","",VLOOKUP($B12,'6-2_算定表③(旧・旧制度)'!$B$8:$R$65536,14,FALSE))</f>
      </c>
      <c r="I12" s="493">
        <f>IF(B12="","",VLOOKUP($B12,'6-2_算定表③(旧・旧制度)'!$B$8:$R$65536,16,FALSE))</f>
      </c>
      <c r="J12" s="506">
        <f>IF(B12="","",VLOOKUP($B12,'6-2_算定表③(旧・旧制度)'!$B$8:$R$65536,17,FALSE))</f>
      </c>
      <c r="K12" s="543">
        <f>IF($B12="","",VLOOKUP($B12,'6-2_算定表③(旧・旧制度)'!$B$8:$R$65536,11,FALSE))</f>
      </c>
      <c r="L12" s="544">
        <f>IF($B12="","",VLOOKUP($B12,'6-2_算定表③(旧・旧制度)'!$B$8:$R$65536,11,FALSE))</f>
      </c>
      <c r="M12" s="545">
        <f>IF($B12="","",VLOOKUP($B12,'6-2_算定表③(旧・旧制度)'!$B$8:$R$65536,11,FALSE))</f>
      </c>
      <c r="N12" s="543">
        <f>IF($B12="","",VLOOKUP($B12,'6-2_算定表③(旧・旧制度)'!$B$8:$R$65536,14,FALSE))</f>
      </c>
      <c r="O12" s="544">
        <f>IF($B12="","",VLOOKUP($B12,'6-2_算定表③(旧・旧制度)'!$B$8:$R$65536,14,FALSE))</f>
      </c>
      <c r="P12" s="544">
        <f>IF($B12="","",VLOOKUP($B12,'6-2_算定表③(旧・旧制度)'!$B$8:$R$65536,14,FALSE))</f>
      </c>
      <c r="Q12" s="544">
        <f>IF($B12="","",VLOOKUP($B12,'6-2_算定表③(旧・旧制度)'!$B$8:$R$65536,14,FALSE))</f>
      </c>
      <c r="R12" s="544">
        <f>IF($B12="","",VLOOKUP($B12,'6-2_算定表③(旧・旧制度)'!$B$8:$R$65536,14,FALSE))</f>
      </c>
      <c r="S12" s="544">
        <f>IF($B12="","",VLOOKUP($B12,'6-2_算定表③(旧・旧制度)'!$B$8:$R$65536,14,FALSE))</f>
      </c>
      <c r="T12" s="544">
        <f>IF($B12="","",VLOOKUP($B12,'6-2_算定表③(旧・旧制度)'!$B$8:$R$65536,14,FALSE))</f>
      </c>
      <c r="U12" s="544">
        <f>IF($B12="","",VLOOKUP($B12,'6-2_算定表③(旧・旧制度)'!$B$8:$R$65536,14,FALSE))</f>
      </c>
      <c r="V12" s="545">
        <f>IF($B12="","",VLOOKUP($B12,'6-2_算定表③(旧・旧制度)'!$B$8:$R$65536,14,FALSE))</f>
      </c>
      <c r="W12" s="546">
        <f t="shared" si="1"/>
      </c>
      <c r="X12" s="547">
        <f t="shared" si="2"/>
      </c>
      <c r="Y12" s="546">
        <f t="shared" si="3"/>
      </c>
      <c r="Z12" s="548">
        <f t="shared" si="4"/>
      </c>
      <c r="AA12" s="537">
        <f t="shared" si="5"/>
      </c>
      <c r="AB12" s="538">
        <f t="shared" si="6"/>
      </c>
      <c r="AC12" s="537">
        <f t="shared" si="7"/>
      </c>
      <c r="AD12" s="539">
        <f t="shared" si="8"/>
      </c>
      <c r="AE12" s="506">
        <f t="shared" si="9"/>
      </c>
      <c r="AF12" s="503">
        <f t="shared" si="11"/>
      </c>
      <c r="AG12" s="851">
        <f>IF(B12="","",VLOOKUP($B12,'6-2_算定表③(旧・旧制度)'!$B$8:$AB$65536,27,FALSE))</f>
      </c>
      <c r="AH12" s="852" t="s">
        <v>205</v>
      </c>
      <c r="AI12" s="853" t="s">
        <v>205</v>
      </c>
      <c r="AK12" s="63">
        <f t="shared" si="12"/>
      </c>
      <c r="AL12" s="63">
        <f t="shared" si="10"/>
      </c>
    </row>
    <row r="13" spans="1:38" s="54" customFormat="1" ht="18.75" customHeight="1">
      <c r="A13" s="27">
        <f t="shared" si="0"/>
      </c>
      <c r="B13" s="280"/>
      <c r="C13" s="97">
        <f>IF(B13="","",VLOOKUP($B13,'6-2_算定表③(旧・旧制度)'!$B$8:$R$65536,2,FALSE))</f>
      </c>
      <c r="D13" s="541">
        <f>IF(B13="","",VLOOKUP($B13,'6-2_算定表③(旧・旧制度)'!$B$8:$R$65536,3,FALSE))</f>
      </c>
      <c r="E13" s="541">
        <f>IF(B13="","",VLOOKUP($B13,'6-2_算定表③(旧・旧制度)'!$B$8:$R$65536,4,FALSE))</f>
      </c>
      <c r="F13" s="542">
        <f>IF(B13="","",VLOOKUP($B13,'6-2_算定表③(旧・旧制度)'!$B$8:$R$65536,11,FALSE))</f>
      </c>
      <c r="G13" s="493">
        <f>IF(B13="","",VLOOKUP($B13,'6-2_算定表③(旧・旧制度)'!$B$8:$R$65536,13,FALSE))</f>
      </c>
      <c r="H13" s="542">
        <f>IF(B13="","",VLOOKUP($B13,'6-2_算定表③(旧・旧制度)'!$B$8:$R$65536,14,FALSE))</f>
      </c>
      <c r="I13" s="493">
        <f>IF(B13="","",VLOOKUP($B13,'6-2_算定表③(旧・旧制度)'!$B$8:$R$65536,16,FALSE))</f>
      </c>
      <c r="J13" s="506">
        <f>IF(B13="","",VLOOKUP($B13,'6-2_算定表③(旧・旧制度)'!$B$8:$R$65536,17,FALSE))</f>
      </c>
      <c r="K13" s="543">
        <f>IF($B13="","",VLOOKUP($B13,'6-2_算定表③(旧・旧制度)'!$B$8:$R$65536,11,FALSE))</f>
      </c>
      <c r="L13" s="544">
        <f>IF($B13="","",VLOOKUP($B13,'6-2_算定表③(旧・旧制度)'!$B$8:$R$65536,11,FALSE))</f>
      </c>
      <c r="M13" s="545">
        <f>IF($B13="","",VLOOKUP($B13,'6-2_算定表③(旧・旧制度)'!$B$8:$R$65536,11,FALSE))</f>
      </c>
      <c r="N13" s="543">
        <f>IF($B13="","",VLOOKUP($B13,'6-2_算定表③(旧・旧制度)'!$B$8:$R$65536,14,FALSE))</f>
      </c>
      <c r="O13" s="544">
        <f>IF($B13="","",VLOOKUP($B13,'6-2_算定表③(旧・旧制度)'!$B$8:$R$65536,14,FALSE))</f>
      </c>
      <c r="P13" s="544">
        <f>IF($B13="","",VLOOKUP($B13,'6-2_算定表③(旧・旧制度)'!$B$8:$R$65536,14,FALSE))</f>
      </c>
      <c r="Q13" s="544">
        <f>IF($B13="","",VLOOKUP($B13,'6-2_算定表③(旧・旧制度)'!$B$8:$R$65536,14,FALSE))</f>
      </c>
      <c r="R13" s="544">
        <f>IF($B13="","",VLOOKUP($B13,'6-2_算定表③(旧・旧制度)'!$B$8:$R$65536,14,FALSE))</f>
      </c>
      <c r="S13" s="544">
        <f>IF($B13="","",VLOOKUP($B13,'6-2_算定表③(旧・旧制度)'!$B$8:$R$65536,14,FALSE))</f>
      </c>
      <c r="T13" s="544">
        <f>IF($B13="","",VLOOKUP($B13,'6-2_算定表③(旧・旧制度)'!$B$8:$R$65536,14,FALSE))</f>
      </c>
      <c r="U13" s="544">
        <f>IF($B13="","",VLOOKUP($B13,'6-2_算定表③(旧・旧制度)'!$B$8:$R$65536,14,FALSE))</f>
      </c>
      <c r="V13" s="545">
        <f>IF($B13="","",VLOOKUP($B13,'6-2_算定表③(旧・旧制度)'!$B$8:$R$65536,14,FALSE))</f>
      </c>
      <c r="W13" s="546">
        <f t="shared" si="1"/>
      </c>
      <c r="X13" s="547">
        <f t="shared" si="2"/>
      </c>
      <c r="Y13" s="546">
        <f t="shared" si="3"/>
      </c>
      <c r="Z13" s="548">
        <f t="shared" si="4"/>
      </c>
      <c r="AA13" s="537">
        <f t="shared" si="5"/>
      </c>
      <c r="AB13" s="538">
        <f t="shared" si="6"/>
      </c>
      <c r="AC13" s="537">
        <f t="shared" si="7"/>
      </c>
      <c r="AD13" s="539">
        <f t="shared" si="8"/>
      </c>
      <c r="AE13" s="506">
        <f t="shared" si="9"/>
      </c>
      <c r="AF13" s="503">
        <f>IF(B13="","",AE13-J13)</f>
      </c>
      <c r="AG13" s="851">
        <f>IF(B13="","",VLOOKUP($B13,'6-2_算定表③(旧・旧制度)'!$B$8:$AB$65536,27,FALSE))</f>
      </c>
      <c r="AH13" s="852" t="s">
        <v>205</v>
      </c>
      <c r="AI13" s="853" t="s">
        <v>205</v>
      </c>
      <c r="AK13" s="63">
        <f t="shared" si="12"/>
      </c>
      <c r="AL13" s="63">
        <f t="shared" si="10"/>
      </c>
    </row>
    <row r="14" spans="1:38" s="54" customFormat="1" ht="18.75" customHeight="1">
      <c r="A14" s="27">
        <f t="shared" si="0"/>
      </c>
      <c r="B14" s="280"/>
      <c r="C14" s="97">
        <f>IF(B14="","",VLOOKUP($B14,'6-2_算定表③(旧・旧制度)'!$B$8:$R$65536,2,FALSE))</f>
      </c>
      <c r="D14" s="541">
        <f>IF(B14="","",VLOOKUP($B14,'6-2_算定表③(旧・旧制度)'!$B$8:$R$65536,3,FALSE))</f>
      </c>
      <c r="E14" s="541">
        <f>IF(B14="","",VLOOKUP($B14,'6-2_算定表③(旧・旧制度)'!$B$8:$R$65536,4,FALSE))</f>
      </c>
      <c r="F14" s="542">
        <f>IF(B14="","",VLOOKUP($B14,'6-2_算定表③(旧・旧制度)'!$B$8:$R$65536,11,FALSE))</f>
      </c>
      <c r="G14" s="493">
        <f>IF(B14="","",VLOOKUP($B14,'6-2_算定表③(旧・旧制度)'!$B$8:$R$65536,13,FALSE))</f>
      </c>
      <c r="H14" s="542">
        <f>IF(B14="","",VLOOKUP($B14,'6-2_算定表③(旧・旧制度)'!$B$8:$R$65536,14,FALSE))</f>
      </c>
      <c r="I14" s="493">
        <f>IF(B14="","",VLOOKUP($B14,'6-2_算定表③(旧・旧制度)'!$B$8:$R$65536,16,FALSE))</f>
      </c>
      <c r="J14" s="506">
        <f>IF(B14="","",VLOOKUP($B14,'6-2_算定表③(旧・旧制度)'!$B$8:$R$65536,17,FALSE))</f>
      </c>
      <c r="K14" s="543">
        <f>IF($B14="","",VLOOKUP($B14,'6-2_算定表③(旧・旧制度)'!$B$8:$R$65536,11,FALSE))</f>
      </c>
      <c r="L14" s="544">
        <f>IF($B14="","",VLOOKUP($B14,'6-2_算定表③(旧・旧制度)'!$B$8:$R$65536,11,FALSE))</f>
      </c>
      <c r="M14" s="545">
        <f>IF($B14="","",VLOOKUP($B14,'6-2_算定表③(旧・旧制度)'!$B$8:$R$65536,11,FALSE))</f>
      </c>
      <c r="N14" s="543">
        <f>IF($B14="","",VLOOKUP($B14,'6-2_算定表③(旧・旧制度)'!$B$8:$R$65536,14,FALSE))</f>
      </c>
      <c r="O14" s="544">
        <f>IF($B14="","",VLOOKUP($B14,'6-2_算定表③(旧・旧制度)'!$B$8:$R$65536,14,FALSE))</f>
      </c>
      <c r="P14" s="544">
        <f>IF($B14="","",VLOOKUP($B14,'6-2_算定表③(旧・旧制度)'!$B$8:$R$65536,14,FALSE))</f>
      </c>
      <c r="Q14" s="544">
        <f>IF($B14="","",VLOOKUP($B14,'6-2_算定表③(旧・旧制度)'!$B$8:$R$65536,14,FALSE))</f>
      </c>
      <c r="R14" s="544">
        <f>IF($B14="","",VLOOKUP($B14,'6-2_算定表③(旧・旧制度)'!$B$8:$R$65536,14,FALSE))</f>
      </c>
      <c r="S14" s="544">
        <f>IF($B14="","",VLOOKUP($B14,'6-2_算定表③(旧・旧制度)'!$B$8:$R$65536,14,FALSE))</f>
      </c>
      <c r="T14" s="544">
        <f>IF($B14="","",VLOOKUP($B14,'6-2_算定表③(旧・旧制度)'!$B$8:$R$65536,14,FALSE))</f>
      </c>
      <c r="U14" s="544">
        <f>IF($B14="","",VLOOKUP($B14,'6-2_算定表③(旧・旧制度)'!$B$8:$R$65536,14,FALSE))</f>
      </c>
      <c r="V14" s="545">
        <f>IF($B14="","",VLOOKUP($B14,'6-2_算定表③(旧・旧制度)'!$B$8:$R$65536,14,FALSE))</f>
      </c>
      <c r="W14" s="546">
        <f t="shared" si="1"/>
      </c>
      <c r="X14" s="547">
        <f t="shared" si="2"/>
      </c>
      <c r="Y14" s="546">
        <f t="shared" si="3"/>
      </c>
      <c r="Z14" s="548">
        <f t="shared" si="4"/>
      </c>
      <c r="AA14" s="537">
        <f t="shared" si="5"/>
      </c>
      <c r="AB14" s="538">
        <f t="shared" si="6"/>
      </c>
      <c r="AC14" s="537">
        <f t="shared" si="7"/>
      </c>
      <c r="AD14" s="539">
        <f t="shared" si="8"/>
      </c>
      <c r="AE14" s="506">
        <f>IF(B14="","",(G14/12*W14)+(I14/12*X14)+(G14/12*Y14)+(I14/12*Z14)+(G14/12*AA14)+(I14/12*AB14))</f>
      </c>
      <c r="AF14" s="503">
        <f t="shared" si="11"/>
      </c>
      <c r="AG14" s="851">
        <f>IF(B14="","",VLOOKUP($B14,'6-2_算定表③(旧・旧制度)'!$B$8:$AB$65536,27,FALSE))</f>
      </c>
      <c r="AH14" s="852" t="s">
        <v>205</v>
      </c>
      <c r="AI14" s="853" t="s">
        <v>205</v>
      </c>
      <c r="AK14" s="63">
        <f t="shared" si="12"/>
      </c>
      <c r="AL14" s="63">
        <f t="shared" si="10"/>
      </c>
    </row>
    <row r="15" spans="1:38" s="54" customFormat="1" ht="18.75" customHeight="1">
      <c r="A15" s="27">
        <f t="shared" si="0"/>
      </c>
      <c r="B15" s="280"/>
      <c r="C15" s="97">
        <f>IF(B15="","",VLOOKUP($B15,'6-2_算定表③(旧・旧制度)'!$B$8:$R$65536,2,FALSE))</f>
      </c>
      <c r="D15" s="541">
        <f>IF(B15="","",VLOOKUP($B15,'6-2_算定表③(旧・旧制度)'!$B$8:$R$65536,3,FALSE))</f>
      </c>
      <c r="E15" s="541">
        <f>IF(B15="","",VLOOKUP($B15,'6-2_算定表③(旧・旧制度)'!$B$8:$R$65536,4,FALSE))</f>
      </c>
      <c r="F15" s="542">
        <f>IF(B15="","",VLOOKUP($B15,'6-2_算定表③(旧・旧制度)'!$B$8:$R$65536,11,FALSE))</f>
      </c>
      <c r="G15" s="493">
        <f>IF(B15="","",VLOOKUP($B15,'6-2_算定表③(旧・旧制度)'!$B$8:$R$65536,13,FALSE))</f>
      </c>
      <c r="H15" s="542">
        <f>IF(B15="","",VLOOKUP($B15,'6-2_算定表③(旧・旧制度)'!$B$8:$R$65536,14,FALSE))</f>
      </c>
      <c r="I15" s="493">
        <f>IF(B15="","",VLOOKUP($B15,'6-2_算定表③(旧・旧制度)'!$B$8:$R$65536,16,FALSE))</f>
      </c>
      <c r="J15" s="506">
        <f>IF(B15="","",VLOOKUP($B15,'6-2_算定表③(旧・旧制度)'!$B$8:$R$65536,17,FALSE))</f>
      </c>
      <c r="K15" s="543">
        <f>IF($B15="","",VLOOKUP($B15,'6-2_算定表③(旧・旧制度)'!$B$8:$R$65536,11,FALSE))</f>
      </c>
      <c r="L15" s="544">
        <f>IF($B15="","",VLOOKUP($B15,'6-2_算定表③(旧・旧制度)'!$B$8:$R$65536,11,FALSE))</f>
      </c>
      <c r="M15" s="545">
        <f>IF($B15="","",VLOOKUP($B15,'6-2_算定表③(旧・旧制度)'!$B$8:$R$65536,11,FALSE))</f>
      </c>
      <c r="N15" s="543">
        <f>IF($B15="","",VLOOKUP($B15,'6-2_算定表③(旧・旧制度)'!$B$8:$R$65536,14,FALSE))</f>
      </c>
      <c r="O15" s="544">
        <f>IF($B15="","",VLOOKUP($B15,'6-2_算定表③(旧・旧制度)'!$B$8:$R$65536,14,FALSE))</f>
      </c>
      <c r="P15" s="544">
        <f>IF($B15="","",VLOOKUP($B15,'6-2_算定表③(旧・旧制度)'!$B$8:$R$65536,14,FALSE))</f>
      </c>
      <c r="Q15" s="544">
        <f>IF($B15="","",VLOOKUP($B15,'6-2_算定表③(旧・旧制度)'!$B$8:$R$65536,14,FALSE))</f>
      </c>
      <c r="R15" s="544">
        <f>IF($B15="","",VLOOKUP($B15,'6-2_算定表③(旧・旧制度)'!$B$8:$R$65536,14,FALSE))</f>
      </c>
      <c r="S15" s="544">
        <f>IF($B15="","",VLOOKUP($B15,'6-2_算定表③(旧・旧制度)'!$B$8:$R$65536,14,FALSE))</f>
      </c>
      <c r="T15" s="544">
        <f>IF($B15="","",VLOOKUP($B15,'6-2_算定表③(旧・旧制度)'!$B$8:$R$65536,14,FALSE))</f>
      </c>
      <c r="U15" s="544">
        <f>IF($B15="","",VLOOKUP($B15,'6-2_算定表③(旧・旧制度)'!$B$8:$R$65536,14,FALSE))</f>
      </c>
      <c r="V15" s="545">
        <f>IF($B15="","",VLOOKUP($B15,'6-2_算定表③(旧・旧制度)'!$B$8:$R$65536,14,FALSE))</f>
      </c>
      <c r="W15" s="546">
        <f t="shared" si="1"/>
      </c>
      <c r="X15" s="547">
        <f t="shared" si="2"/>
      </c>
      <c r="Y15" s="546">
        <f>IF($B15="","",COUNTIF($K15:$M15,Y$6))</f>
      </c>
      <c r="Z15" s="548">
        <f t="shared" si="4"/>
      </c>
      <c r="AA15" s="537">
        <f t="shared" si="5"/>
      </c>
      <c r="AB15" s="538">
        <f t="shared" si="6"/>
      </c>
      <c r="AC15" s="537">
        <f t="shared" si="7"/>
      </c>
      <c r="AD15" s="539">
        <f t="shared" si="8"/>
      </c>
      <c r="AE15" s="506">
        <f>IF(B15="","",(G15/12*W15)+(I15/12*X15)+(G15/12*Y15)+(I15/12*Z15)+(G15/12*AA15)+(I15/12*AB15))</f>
      </c>
      <c r="AF15" s="503">
        <f t="shared" si="11"/>
      </c>
      <c r="AG15" s="590">
        <f>IF(B15="","",VLOOKUP($B15,'6-2_算定表③(旧・旧制度)'!$B$8:$AB$65536,27,FALSE))</f>
      </c>
      <c r="AH15" s="591" t="s">
        <v>205</v>
      </c>
      <c r="AI15" s="592" t="s">
        <v>205</v>
      </c>
      <c r="AK15" s="63">
        <f t="shared" si="12"/>
      </c>
      <c r="AL15" s="63">
        <f t="shared" si="10"/>
      </c>
    </row>
    <row r="16" spans="1:38" s="54" customFormat="1" ht="18.75" customHeight="1">
      <c r="A16" s="27">
        <f t="shared" si="0"/>
      </c>
      <c r="B16" s="280"/>
      <c r="C16" s="97">
        <f>IF(B16="","",VLOOKUP($B16,'6-2_算定表③(旧・旧制度)'!$B$8:$R$65536,2,FALSE))</f>
      </c>
      <c r="D16" s="541">
        <f>IF(B16="","",VLOOKUP($B16,'6-2_算定表③(旧・旧制度)'!$B$8:$R$65536,3,FALSE))</f>
      </c>
      <c r="E16" s="541">
        <f>IF(B16="","",VLOOKUP($B16,'6-2_算定表③(旧・旧制度)'!$B$8:$R$65536,4,FALSE))</f>
      </c>
      <c r="F16" s="542">
        <f>IF(B16="","",VLOOKUP($B16,'6-2_算定表③(旧・旧制度)'!$B$8:$R$65536,11,FALSE))</f>
      </c>
      <c r="G16" s="493">
        <f>IF(B16="","",VLOOKUP($B16,'6-2_算定表③(旧・旧制度)'!$B$8:$R$65536,13,FALSE))</f>
      </c>
      <c r="H16" s="542">
        <f>IF(B16="","",VLOOKUP($B16,'6-2_算定表③(旧・旧制度)'!$B$8:$R$65536,14,FALSE))</f>
      </c>
      <c r="I16" s="493">
        <f>IF(B16="","",VLOOKUP($B16,'6-2_算定表③(旧・旧制度)'!$B$8:$R$65536,16,FALSE))</f>
      </c>
      <c r="J16" s="506">
        <f>IF(B16="","",VLOOKUP($B16,'6-2_算定表③(旧・旧制度)'!$B$8:$R$65536,17,FALSE))</f>
      </c>
      <c r="K16" s="543">
        <f>IF($B16="","",VLOOKUP($B16,'6-2_算定表③(旧・旧制度)'!$B$8:$R$65536,11,FALSE))</f>
      </c>
      <c r="L16" s="544">
        <f>IF($B16="","",VLOOKUP($B16,'6-2_算定表③(旧・旧制度)'!$B$8:$R$65536,11,FALSE))</f>
      </c>
      <c r="M16" s="545">
        <f>IF($B16="","",VLOOKUP($B16,'6-2_算定表③(旧・旧制度)'!$B$8:$R$65536,11,FALSE))</f>
      </c>
      <c r="N16" s="543">
        <f>IF($B16="","",VLOOKUP($B16,'6-2_算定表③(旧・旧制度)'!$B$8:$R$65536,14,FALSE))</f>
      </c>
      <c r="O16" s="544">
        <f>IF($B16="","",VLOOKUP($B16,'6-2_算定表③(旧・旧制度)'!$B$8:$R$65536,14,FALSE))</f>
      </c>
      <c r="P16" s="544">
        <f>IF($B16="","",VLOOKUP($B16,'6-2_算定表③(旧・旧制度)'!$B$8:$R$65536,14,FALSE))</f>
      </c>
      <c r="Q16" s="544">
        <f>IF($B16="","",VLOOKUP($B16,'6-2_算定表③(旧・旧制度)'!$B$8:$R$65536,14,FALSE))</f>
      </c>
      <c r="R16" s="544">
        <f>IF($B16="","",VLOOKUP($B16,'6-2_算定表③(旧・旧制度)'!$B$8:$R$65536,14,FALSE))</f>
      </c>
      <c r="S16" s="544">
        <f>IF($B16="","",VLOOKUP($B16,'6-2_算定表③(旧・旧制度)'!$B$8:$R$65536,14,FALSE))</f>
      </c>
      <c r="T16" s="544">
        <f>IF($B16="","",VLOOKUP($B16,'6-2_算定表③(旧・旧制度)'!$B$8:$R$65536,14,FALSE))</f>
      </c>
      <c r="U16" s="544">
        <f>IF($B16="","",VLOOKUP($B16,'6-2_算定表③(旧・旧制度)'!$B$8:$R$65536,14,FALSE))</f>
      </c>
      <c r="V16" s="545">
        <f>IF($B16="","",VLOOKUP($B16,'6-2_算定表③(旧・旧制度)'!$B$8:$R$65536,14,FALSE))</f>
      </c>
      <c r="W16" s="546">
        <f t="shared" si="1"/>
      </c>
      <c r="X16" s="547">
        <f t="shared" si="2"/>
      </c>
      <c r="Y16" s="546">
        <f t="shared" si="3"/>
      </c>
      <c r="Z16" s="548">
        <f t="shared" si="4"/>
      </c>
      <c r="AA16" s="537">
        <f t="shared" si="5"/>
      </c>
      <c r="AB16" s="538">
        <f t="shared" si="6"/>
      </c>
      <c r="AC16" s="537">
        <f t="shared" si="7"/>
      </c>
      <c r="AD16" s="539">
        <f t="shared" si="8"/>
      </c>
      <c r="AE16" s="506">
        <f t="shared" si="9"/>
      </c>
      <c r="AF16" s="503">
        <f t="shared" si="11"/>
      </c>
      <c r="AG16" s="590">
        <f>IF(B16="","",VLOOKUP($B16,'6-2_算定表③(旧・旧制度)'!$B$8:$AB$65536,27,FALSE))</f>
      </c>
      <c r="AH16" s="591" t="s">
        <v>205</v>
      </c>
      <c r="AI16" s="592" t="s">
        <v>205</v>
      </c>
      <c r="AK16" s="63">
        <f t="shared" si="12"/>
      </c>
      <c r="AL16" s="63">
        <f t="shared" si="10"/>
      </c>
    </row>
    <row r="17" spans="1:38" s="54" customFormat="1" ht="18.75" customHeight="1">
      <c r="A17" s="27">
        <f t="shared" si="0"/>
      </c>
      <c r="B17" s="280"/>
      <c r="C17" s="97">
        <f>IF(B17="","",VLOOKUP($B17,'6-2_算定表③(旧・旧制度)'!$B$8:$R$65536,2,FALSE))</f>
      </c>
      <c r="D17" s="541">
        <f>IF(B17="","",VLOOKUP($B17,'6-2_算定表③(旧・旧制度)'!$B$8:$R$65536,3,FALSE))</f>
      </c>
      <c r="E17" s="541">
        <f>IF(B17="","",VLOOKUP($B17,'6-2_算定表③(旧・旧制度)'!$B$8:$R$65536,4,FALSE))</f>
      </c>
      <c r="F17" s="542">
        <f>IF(B17="","",VLOOKUP($B17,'6-2_算定表③(旧・旧制度)'!$B$8:$R$65536,11,FALSE))</f>
      </c>
      <c r="G17" s="493">
        <f>IF(B17="","",VLOOKUP($B17,'6-2_算定表③(旧・旧制度)'!$B$8:$R$65536,13,FALSE))</f>
      </c>
      <c r="H17" s="542">
        <f>IF(B17="","",VLOOKUP($B17,'6-2_算定表③(旧・旧制度)'!$B$8:$R$65536,14,FALSE))</f>
      </c>
      <c r="I17" s="493">
        <f>IF(B17="","",VLOOKUP($B17,'6-2_算定表③(旧・旧制度)'!$B$8:$R$65536,16,FALSE))</f>
      </c>
      <c r="J17" s="506">
        <f>IF(B17="","",VLOOKUP($B17,'6-2_算定表③(旧・旧制度)'!$B$8:$R$65536,17,FALSE))</f>
      </c>
      <c r="K17" s="543">
        <f>IF($B17="","",VLOOKUP($B17,'6-2_算定表③(旧・旧制度)'!$B$8:$R$65536,11,FALSE))</f>
      </c>
      <c r="L17" s="544">
        <f>IF($B17="","",VLOOKUP($B17,'6-2_算定表③(旧・旧制度)'!$B$8:$R$65536,11,FALSE))</f>
      </c>
      <c r="M17" s="545">
        <f>IF($B17="","",VLOOKUP($B17,'6-2_算定表③(旧・旧制度)'!$B$8:$R$65536,11,FALSE))</f>
      </c>
      <c r="N17" s="543">
        <f>IF($B17="","",VLOOKUP($B17,'6-2_算定表③(旧・旧制度)'!$B$8:$R$65536,14,FALSE))</f>
      </c>
      <c r="O17" s="544">
        <f>IF($B17="","",VLOOKUP($B17,'6-2_算定表③(旧・旧制度)'!$B$8:$R$65536,14,FALSE))</f>
      </c>
      <c r="P17" s="544">
        <f>IF($B17="","",VLOOKUP($B17,'6-2_算定表③(旧・旧制度)'!$B$8:$R$65536,14,FALSE))</f>
      </c>
      <c r="Q17" s="544">
        <f>IF($B17="","",VLOOKUP($B17,'6-2_算定表③(旧・旧制度)'!$B$8:$R$65536,14,FALSE))</f>
      </c>
      <c r="R17" s="544">
        <f>IF($B17="","",VLOOKUP($B17,'6-2_算定表③(旧・旧制度)'!$B$8:$R$65536,14,FALSE))</f>
      </c>
      <c r="S17" s="544">
        <f>IF($B17="","",VLOOKUP($B17,'6-2_算定表③(旧・旧制度)'!$B$8:$R$65536,14,FALSE))</f>
      </c>
      <c r="T17" s="544">
        <f>IF($B17="","",VLOOKUP($B17,'6-2_算定表③(旧・旧制度)'!$B$8:$R$65536,14,FALSE))</f>
      </c>
      <c r="U17" s="544">
        <f>IF($B17="","",VLOOKUP($B17,'6-2_算定表③(旧・旧制度)'!$B$8:$R$65536,14,FALSE))</f>
      </c>
      <c r="V17" s="545">
        <f>IF($B17="","",VLOOKUP($B17,'6-2_算定表③(旧・旧制度)'!$B$8:$R$65536,14,FALSE))</f>
      </c>
      <c r="W17" s="546">
        <f t="shared" si="1"/>
      </c>
      <c r="X17" s="547">
        <f t="shared" si="2"/>
      </c>
      <c r="Y17" s="546">
        <f t="shared" si="3"/>
      </c>
      <c r="Z17" s="548">
        <f t="shared" si="4"/>
      </c>
      <c r="AA17" s="537">
        <f t="shared" si="5"/>
      </c>
      <c r="AB17" s="538">
        <f t="shared" si="6"/>
      </c>
      <c r="AC17" s="537">
        <f t="shared" si="7"/>
      </c>
      <c r="AD17" s="539">
        <f t="shared" si="8"/>
      </c>
      <c r="AE17" s="506">
        <f t="shared" si="9"/>
      </c>
      <c r="AF17" s="503">
        <f t="shared" si="11"/>
      </c>
      <c r="AG17" s="851">
        <f>IF(B17="","",VLOOKUP($B17,'6-2_算定表③(旧・旧制度)'!$B$8:$AB$65536,27,FALSE))</f>
      </c>
      <c r="AH17" s="852" t="s">
        <v>205</v>
      </c>
      <c r="AI17" s="853" t="s">
        <v>205</v>
      </c>
      <c r="AK17" s="63">
        <f t="shared" si="12"/>
      </c>
      <c r="AL17" s="63">
        <f t="shared" si="10"/>
      </c>
    </row>
    <row r="18" spans="1:38" s="54" customFormat="1" ht="18.75" customHeight="1">
      <c r="A18" s="27">
        <f t="shared" si="0"/>
      </c>
      <c r="B18" s="280"/>
      <c r="C18" s="97">
        <f>IF(B18="","",VLOOKUP($B18,'6-2_算定表③(旧・旧制度)'!$B$8:$R$65536,2,FALSE))</f>
      </c>
      <c r="D18" s="541">
        <f>IF(B18="","",VLOOKUP($B18,'6-2_算定表③(旧・旧制度)'!$B$8:$R$65536,3,FALSE))</f>
      </c>
      <c r="E18" s="541">
        <f>IF(B18="","",VLOOKUP($B18,'6-2_算定表③(旧・旧制度)'!$B$8:$R$65536,4,FALSE))</f>
      </c>
      <c r="F18" s="542">
        <f>IF(B18="","",VLOOKUP($B18,'6-2_算定表③(旧・旧制度)'!$B$8:$R$65536,11,FALSE))</f>
      </c>
      <c r="G18" s="493">
        <f>IF(B18="","",VLOOKUP($B18,'6-2_算定表③(旧・旧制度)'!$B$8:$R$65536,13,FALSE))</f>
      </c>
      <c r="H18" s="542">
        <f>IF(B18="","",VLOOKUP($B18,'6-2_算定表③(旧・旧制度)'!$B$8:$R$65536,14,FALSE))</f>
      </c>
      <c r="I18" s="493">
        <f>IF(B18="","",VLOOKUP($B18,'6-2_算定表③(旧・旧制度)'!$B$8:$R$65536,16,FALSE))</f>
      </c>
      <c r="J18" s="506">
        <f>IF(B18="","",VLOOKUP($B18,'6-2_算定表③(旧・旧制度)'!$B$8:$R$65536,17,FALSE))</f>
      </c>
      <c r="K18" s="543">
        <f>IF($B18="","",VLOOKUP($B18,'6-2_算定表③(旧・旧制度)'!$B$8:$R$65536,11,FALSE))</f>
      </c>
      <c r="L18" s="544">
        <f>IF($B18="","",VLOOKUP($B18,'6-2_算定表③(旧・旧制度)'!$B$8:$R$65536,11,FALSE))</f>
      </c>
      <c r="M18" s="545">
        <f>IF($B18="","",VLOOKUP($B18,'6-2_算定表③(旧・旧制度)'!$B$8:$R$65536,11,FALSE))</f>
      </c>
      <c r="N18" s="543">
        <f>IF($B18="","",VLOOKUP($B18,'6-2_算定表③(旧・旧制度)'!$B$8:$R$65536,14,FALSE))</f>
      </c>
      <c r="O18" s="544">
        <f>IF($B18="","",VLOOKUP($B18,'6-2_算定表③(旧・旧制度)'!$B$8:$R$65536,14,FALSE))</f>
      </c>
      <c r="P18" s="544">
        <f>IF($B18="","",VLOOKUP($B18,'6-2_算定表③(旧・旧制度)'!$B$8:$R$65536,14,FALSE))</f>
      </c>
      <c r="Q18" s="544">
        <f>IF($B18="","",VLOOKUP($B18,'6-2_算定表③(旧・旧制度)'!$B$8:$R$65536,14,FALSE))</f>
      </c>
      <c r="R18" s="544">
        <f>IF($B18="","",VLOOKUP($B18,'6-2_算定表③(旧・旧制度)'!$B$8:$R$65536,14,FALSE))</f>
      </c>
      <c r="S18" s="544">
        <f>IF($B18="","",VLOOKUP($B18,'6-2_算定表③(旧・旧制度)'!$B$8:$R$65536,14,FALSE))</f>
      </c>
      <c r="T18" s="544">
        <f>IF($B18="","",VLOOKUP($B18,'6-2_算定表③(旧・旧制度)'!$B$8:$R$65536,14,FALSE))</f>
      </c>
      <c r="U18" s="544">
        <f>IF($B18="","",VLOOKUP($B18,'6-2_算定表③(旧・旧制度)'!$B$8:$R$65536,14,FALSE))</f>
      </c>
      <c r="V18" s="545">
        <f>IF($B18="","",VLOOKUP($B18,'6-2_算定表③(旧・旧制度)'!$B$8:$R$65536,14,FALSE))</f>
      </c>
      <c r="W18" s="546">
        <f t="shared" si="1"/>
      </c>
      <c r="X18" s="547">
        <f t="shared" si="2"/>
      </c>
      <c r="Y18" s="546">
        <f t="shared" si="3"/>
      </c>
      <c r="Z18" s="548">
        <f t="shared" si="4"/>
      </c>
      <c r="AA18" s="537">
        <f t="shared" si="5"/>
      </c>
      <c r="AB18" s="538">
        <f t="shared" si="6"/>
      </c>
      <c r="AC18" s="537">
        <f t="shared" si="7"/>
      </c>
      <c r="AD18" s="539">
        <f t="shared" si="8"/>
      </c>
      <c r="AE18" s="506">
        <f t="shared" si="9"/>
      </c>
      <c r="AF18" s="503">
        <f t="shared" si="11"/>
      </c>
      <c r="AG18" s="851">
        <f>IF(B18="","",VLOOKUP($B18,'6-2_算定表③(旧・旧制度)'!$B$8:$AB$65536,27,FALSE))</f>
      </c>
      <c r="AH18" s="852" t="s">
        <v>205</v>
      </c>
      <c r="AI18" s="853" t="s">
        <v>205</v>
      </c>
      <c r="AK18" s="63">
        <f t="shared" si="12"/>
      </c>
      <c r="AL18" s="63">
        <f t="shared" si="10"/>
      </c>
    </row>
    <row r="19" spans="1:38" s="54" customFormat="1" ht="18.75" customHeight="1">
      <c r="A19" s="27">
        <f t="shared" si="0"/>
      </c>
      <c r="B19" s="280"/>
      <c r="C19" s="97">
        <f>IF(B19="","",VLOOKUP($B19,'6-2_算定表③(旧・旧制度)'!$B$8:$R$65536,2,FALSE))</f>
      </c>
      <c r="D19" s="541">
        <f>IF(B19="","",VLOOKUP($B19,'6-2_算定表③(旧・旧制度)'!$B$8:$R$65536,3,FALSE))</f>
      </c>
      <c r="E19" s="541">
        <f>IF(B19="","",VLOOKUP($B19,'6-2_算定表③(旧・旧制度)'!$B$8:$R$65536,4,FALSE))</f>
      </c>
      <c r="F19" s="542">
        <f>IF(B19="","",VLOOKUP($B19,'6-2_算定表③(旧・旧制度)'!$B$8:$R$65536,11,FALSE))</f>
      </c>
      <c r="G19" s="493">
        <f>IF(B19="","",VLOOKUP($B19,'6-2_算定表③(旧・旧制度)'!$B$8:$R$65536,13,FALSE))</f>
      </c>
      <c r="H19" s="542">
        <f>IF(B19="","",VLOOKUP($B19,'6-2_算定表③(旧・旧制度)'!$B$8:$R$65536,14,FALSE))</f>
      </c>
      <c r="I19" s="493">
        <f>IF(B19="","",VLOOKUP($B19,'6-2_算定表③(旧・旧制度)'!$B$8:$R$65536,16,FALSE))</f>
      </c>
      <c r="J19" s="506">
        <f>IF(B19="","",VLOOKUP($B19,'6-2_算定表③(旧・旧制度)'!$B$8:$R$65536,17,FALSE))</f>
      </c>
      <c r="K19" s="543">
        <f>IF($B19="","",VLOOKUP($B19,'6-2_算定表③(旧・旧制度)'!$B$8:$R$65536,11,FALSE))</f>
      </c>
      <c r="L19" s="544">
        <f>IF($B19="","",VLOOKUP($B19,'6-2_算定表③(旧・旧制度)'!$B$8:$R$65536,11,FALSE))</f>
      </c>
      <c r="M19" s="545">
        <f>IF($B19="","",VLOOKUP($B19,'6-2_算定表③(旧・旧制度)'!$B$8:$R$65536,11,FALSE))</f>
      </c>
      <c r="N19" s="543">
        <f>IF($B19="","",VLOOKUP($B19,'6-2_算定表③(旧・旧制度)'!$B$8:$R$65536,14,FALSE))</f>
      </c>
      <c r="O19" s="544">
        <f>IF($B19="","",VLOOKUP($B19,'6-2_算定表③(旧・旧制度)'!$B$8:$R$65536,14,FALSE))</f>
      </c>
      <c r="P19" s="544">
        <f>IF($B19="","",VLOOKUP($B19,'6-2_算定表③(旧・旧制度)'!$B$8:$R$65536,14,FALSE))</f>
      </c>
      <c r="Q19" s="544">
        <f>IF($B19="","",VLOOKUP($B19,'6-2_算定表③(旧・旧制度)'!$B$8:$R$65536,14,FALSE))</f>
      </c>
      <c r="R19" s="544">
        <f>IF($B19="","",VLOOKUP($B19,'6-2_算定表③(旧・旧制度)'!$B$8:$R$65536,14,FALSE))</f>
      </c>
      <c r="S19" s="544">
        <f>IF($B19="","",VLOOKUP($B19,'6-2_算定表③(旧・旧制度)'!$B$8:$R$65536,14,FALSE))</f>
      </c>
      <c r="T19" s="544">
        <f>IF($B19="","",VLOOKUP($B19,'6-2_算定表③(旧・旧制度)'!$B$8:$R$65536,14,FALSE))</f>
      </c>
      <c r="U19" s="544">
        <f>IF($B19="","",VLOOKUP($B19,'6-2_算定表③(旧・旧制度)'!$B$8:$R$65536,14,FALSE))</f>
      </c>
      <c r="V19" s="545">
        <f>IF($B19="","",VLOOKUP($B19,'6-2_算定表③(旧・旧制度)'!$B$8:$R$65536,14,FALSE))</f>
      </c>
      <c r="W19" s="546">
        <f t="shared" si="1"/>
      </c>
      <c r="X19" s="547">
        <f t="shared" si="2"/>
      </c>
      <c r="Y19" s="546">
        <f t="shared" si="3"/>
      </c>
      <c r="Z19" s="548">
        <f t="shared" si="4"/>
      </c>
      <c r="AA19" s="537">
        <f t="shared" si="5"/>
      </c>
      <c r="AB19" s="538">
        <f t="shared" si="6"/>
      </c>
      <c r="AC19" s="537">
        <f t="shared" si="7"/>
      </c>
      <c r="AD19" s="539">
        <f t="shared" si="8"/>
      </c>
      <c r="AE19" s="506">
        <f t="shared" si="9"/>
      </c>
      <c r="AF19" s="503">
        <f t="shared" si="11"/>
      </c>
      <c r="AG19" s="851">
        <f>IF(B19="","",VLOOKUP($B19,'6-2_算定表③(旧・旧制度)'!$B$8:$AB$65536,27,FALSE))</f>
      </c>
      <c r="AH19" s="852" t="s">
        <v>205</v>
      </c>
      <c r="AI19" s="853" t="s">
        <v>205</v>
      </c>
      <c r="AK19" s="63">
        <f t="shared" si="12"/>
      </c>
      <c r="AL19" s="63">
        <f t="shared" si="10"/>
      </c>
    </row>
    <row r="20" spans="1:38" s="54" customFormat="1" ht="18.75" customHeight="1">
      <c r="A20" s="27">
        <f t="shared" si="0"/>
      </c>
      <c r="B20" s="280"/>
      <c r="C20" s="97">
        <f>IF(B20="","",VLOOKUP($B20,'6-2_算定表③(旧・旧制度)'!$B$8:$R$65536,2,FALSE))</f>
      </c>
      <c r="D20" s="541">
        <f>IF(B20="","",VLOOKUP($B20,'6-2_算定表③(旧・旧制度)'!$B$8:$R$65536,3,FALSE))</f>
      </c>
      <c r="E20" s="541">
        <f>IF(B20="","",VLOOKUP($B20,'6-2_算定表③(旧・旧制度)'!$B$8:$R$65536,4,FALSE))</f>
      </c>
      <c r="F20" s="542">
        <f>IF(B20="","",VLOOKUP($B20,'6-2_算定表③(旧・旧制度)'!$B$8:$R$65536,11,FALSE))</f>
      </c>
      <c r="G20" s="493">
        <f>IF(B20="","",VLOOKUP($B20,'6-2_算定表③(旧・旧制度)'!$B$8:$R$65536,13,FALSE))</f>
      </c>
      <c r="H20" s="542">
        <f>IF(B20="","",VLOOKUP($B20,'6-2_算定表③(旧・旧制度)'!$B$8:$R$65536,14,FALSE))</f>
      </c>
      <c r="I20" s="493">
        <f>IF(B20="","",VLOOKUP($B20,'6-2_算定表③(旧・旧制度)'!$B$8:$R$65536,16,FALSE))</f>
      </c>
      <c r="J20" s="506">
        <f>IF(B20="","",VLOOKUP($B20,'6-2_算定表③(旧・旧制度)'!$B$8:$R$65536,17,FALSE))</f>
      </c>
      <c r="K20" s="543">
        <f>IF($B20="","",VLOOKUP($B20,'6-2_算定表③(旧・旧制度)'!$B$8:$R$65536,11,FALSE))</f>
      </c>
      <c r="L20" s="544">
        <f>IF($B20="","",VLOOKUP($B20,'6-2_算定表③(旧・旧制度)'!$B$8:$R$65536,11,FALSE))</f>
      </c>
      <c r="M20" s="545">
        <f>IF($B20="","",VLOOKUP($B20,'6-2_算定表③(旧・旧制度)'!$B$8:$R$65536,11,FALSE))</f>
      </c>
      <c r="N20" s="543">
        <f>IF($B20="","",VLOOKUP($B20,'6-2_算定表③(旧・旧制度)'!$B$8:$R$65536,14,FALSE))</f>
      </c>
      <c r="O20" s="544">
        <f>IF($B20="","",VLOOKUP($B20,'6-2_算定表③(旧・旧制度)'!$B$8:$R$65536,14,FALSE))</f>
      </c>
      <c r="P20" s="544">
        <f>IF($B20="","",VLOOKUP($B20,'6-2_算定表③(旧・旧制度)'!$B$8:$R$65536,14,FALSE))</f>
      </c>
      <c r="Q20" s="544">
        <f>IF($B20="","",VLOOKUP($B20,'6-2_算定表③(旧・旧制度)'!$B$8:$R$65536,14,FALSE))</f>
      </c>
      <c r="R20" s="544">
        <f>IF($B20="","",VLOOKUP($B20,'6-2_算定表③(旧・旧制度)'!$B$8:$R$65536,14,FALSE))</f>
      </c>
      <c r="S20" s="544">
        <f>IF($B20="","",VLOOKUP($B20,'6-2_算定表③(旧・旧制度)'!$B$8:$R$65536,14,FALSE))</f>
      </c>
      <c r="T20" s="544">
        <f>IF($B20="","",VLOOKUP($B20,'6-2_算定表③(旧・旧制度)'!$B$8:$R$65536,14,FALSE))</f>
      </c>
      <c r="U20" s="544">
        <f>IF($B20="","",VLOOKUP($B20,'6-2_算定表③(旧・旧制度)'!$B$8:$R$65536,14,FALSE))</f>
      </c>
      <c r="V20" s="545">
        <f>IF($B20="","",VLOOKUP($B20,'6-2_算定表③(旧・旧制度)'!$B$8:$R$65536,14,FALSE))</f>
      </c>
      <c r="W20" s="546">
        <f t="shared" si="1"/>
      </c>
      <c r="X20" s="547">
        <f t="shared" si="2"/>
      </c>
      <c r="Y20" s="546">
        <f t="shared" si="3"/>
      </c>
      <c r="Z20" s="548">
        <f t="shared" si="4"/>
      </c>
      <c r="AA20" s="537">
        <f t="shared" si="5"/>
      </c>
      <c r="AB20" s="538">
        <f t="shared" si="6"/>
      </c>
      <c r="AC20" s="537">
        <f t="shared" si="7"/>
      </c>
      <c r="AD20" s="539">
        <f t="shared" si="8"/>
      </c>
      <c r="AE20" s="506">
        <f t="shared" si="9"/>
      </c>
      <c r="AF20" s="503">
        <f t="shared" si="11"/>
      </c>
      <c r="AG20" s="590">
        <f>IF(B20="","",VLOOKUP($B20,'6-2_算定表③(旧・旧制度)'!$B$8:$AB$65536,27,FALSE))</f>
      </c>
      <c r="AH20" s="591" t="s">
        <v>205</v>
      </c>
      <c r="AI20" s="592" t="s">
        <v>205</v>
      </c>
      <c r="AK20" s="63">
        <f t="shared" si="12"/>
      </c>
      <c r="AL20" s="63">
        <f t="shared" si="10"/>
      </c>
    </row>
    <row r="21" spans="1:38" s="54" customFormat="1" ht="18.75" customHeight="1">
      <c r="A21" s="27">
        <f t="shared" si="0"/>
      </c>
      <c r="B21" s="280"/>
      <c r="C21" s="97">
        <f>IF(B21="","",VLOOKUP($B21,'6-2_算定表③(旧・旧制度)'!$B$8:$R$65536,2,FALSE))</f>
      </c>
      <c r="D21" s="541">
        <f>IF(B21="","",VLOOKUP($B21,'6-2_算定表③(旧・旧制度)'!$B$8:$R$65536,3,FALSE))</f>
      </c>
      <c r="E21" s="541">
        <f>IF(B21="","",VLOOKUP($B21,'6-2_算定表③(旧・旧制度)'!$B$8:$R$65536,4,FALSE))</f>
      </c>
      <c r="F21" s="542">
        <f>IF(B21="","",VLOOKUP($B21,'6-2_算定表③(旧・旧制度)'!$B$8:$R$65536,11,FALSE))</f>
      </c>
      <c r="G21" s="493">
        <f>IF(B21="","",VLOOKUP($B21,'6-2_算定表③(旧・旧制度)'!$B$8:$R$65536,13,FALSE))</f>
      </c>
      <c r="H21" s="542">
        <f>IF(B21="","",VLOOKUP($B21,'6-2_算定表③(旧・旧制度)'!$B$8:$R$65536,14,FALSE))</f>
      </c>
      <c r="I21" s="493">
        <f>IF(B21="","",VLOOKUP($B21,'6-2_算定表③(旧・旧制度)'!$B$8:$R$65536,16,FALSE))</f>
      </c>
      <c r="J21" s="506">
        <f>IF(B21="","",VLOOKUP($B21,'6-2_算定表③(旧・旧制度)'!$B$8:$R$65536,17,FALSE))</f>
      </c>
      <c r="K21" s="543">
        <f>IF($B21="","",VLOOKUP($B21,'6-2_算定表③(旧・旧制度)'!$B$8:$R$65536,11,FALSE))</f>
      </c>
      <c r="L21" s="544">
        <f>IF($B21="","",VLOOKUP($B21,'6-2_算定表③(旧・旧制度)'!$B$8:$R$65536,11,FALSE))</f>
      </c>
      <c r="M21" s="545">
        <f>IF($B21="","",VLOOKUP($B21,'6-2_算定表③(旧・旧制度)'!$B$8:$R$65536,11,FALSE))</f>
      </c>
      <c r="N21" s="543">
        <f>IF($B21="","",VLOOKUP($B21,'6-2_算定表③(旧・旧制度)'!$B$8:$R$65536,14,FALSE))</f>
      </c>
      <c r="O21" s="544">
        <f>IF($B21="","",VLOOKUP($B21,'6-2_算定表③(旧・旧制度)'!$B$8:$R$65536,14,FALSE))</f>
      </c>
      <c r="P21" s="544">
        <f>IF($B21="","",VLOOKUP($B21,'6-2_算定表③(旧・旧制度)'!$B$8:$R$65536,14,FALSE))</f>
      </c>
      <c r="Q21" s="544">
        <f>IF($B21="","",VLOOKUP($B21,'6-2_算定表③(旧・旧制度)'!$B$8:$R$65536,14,FALSE))</f>
      </c>
      <c r="R21" s="544">
        <f>IF($B21="","",VLOOKUP($B21,'6-2_算定表③(旧・旧制度)'!$B$8:$R$65536,14,FALSE))</f>
      </c>
      <c r="S21" s="544">
        <f>IF($B21="","",VLOOKUP($B21,'6-2_算定表③(旧・旧制度)'!$B$8:$R$65536,14,FALSE))</f>
      </c>
      <c r="T21" s="544">
        <f>IF($B21="","",VLOOKUP($B21,'6-2_算定表③(旧・旧制度)'!$B$8:$R$65536,14,FALSE))</f>
      </c>
      <c r="U21" s="544">
        <f>IF($B21="","",VLOOKUP($B21,'6-2_算定表③(旧・旧制度)'!$B$8:$R$65536,14,FALSE))</f>
      </c>
      <c r="V21" s="545">
        <f>IF($B21="","",VLOOKUP($B21,'6-2_算定表③(旧・旧制度)'!$B$8:$R$65536,14,FALSE))</f>
      </c>
      <c r="W21" s="546">
        <f t="shared" si="1"/>
      </c>
      <c r="X21" s="547">
        <f t="shared" si="2"/>
      </c>
      <c r="Y21" s="546">
        <f t="shared" si="3"/>
      </c>
      <c r="Z21" s="548">
        <f t="shared" si="4"/>
      </c>
      <c r="AA21" s="537">
        <f t="shared" si="5"/>
      </c>
      <c r="AB21" s="538">
        <f t="shared" si="6"/>
      </c>
      <c r="AC21" s="537">
        <f t="shared" si="7"/>
      </c>
      <c r="AD21" s="539">
        <f t="shared" si="8"/>
      </c>
      <c r="AE21" s="506">
        <f t="shared" si="9"/>
      </c>
      <c r="AF21" s="503">
        <f t="shared" si="11"/>
      </c>
      <c r="AG21" s="590">
        <f>IF(B21="","",VLOOKUP($B21,'6-2_算定表③(旧・旧制度)'!$B$8:$AB$65536,27,FALSE))</f>
      </c>
      <c r="AH21" s="591" t="s">
        <v>205</v>
      </c>
      <c r="AI21" s="592" t="s">
        <v>205</v>
      </c>
      <c r="AK21" s="63">
        <f t="shared" si="12"/>
      </c>
      <c r="AL21" s="63">
        <f t="shared" si="10"/>
      </c>
    </row>
    <row r="22" spans="1:38" s="54" customFormat="1" ht="18.75" customHeight="1">
      <c r="A22" s="27">
        <f t="shared" si="0"/>
      </c>
      <c r="B22" s="280"/>
      <c r="C22" s="97">
        <f>IF(B22="","",VLOOKUP($B22,'6-2_算定表③(旧・旧制度)'!$B$8:$R$65536,2,FALSE))</f>
      </c>
      <c r="D22" s="541">
        <f>IF(B22="","",VLOOKUP($B22,'6-2_算定表③(旧・旧制度)'!$B$8:$R$65536,3,FALSE))</f>
      </c>
      <c r="E22" s="541">
        <f>IF(B22="","",VLOOKUP($B22,'6-2_算定表③(旧・旧制度)'!$B$8:$R$65536,4,FALSE))</f>
      </c>
      <c r="F22" s="542">
        <f>IF(B22="","",VLOOKUP($B22,'6-2_算定表③(旧・旧制度)'!$B$8:$R$65536,11,FALSE))</f>
      </c>
      <c r="G22" s="493">
        <f>IF(B22="","",VLOOKUP($B22,'6-2_算定表③(旧・旧制度)'!$B$8:$R$65536,13,FALSE))</f>
      </c>
      <c r="H22" s="542">
        <f>IF(B22="","",VLOOKUP($B22,'6-2_算定表③(旧・旧制度)'!$B$8:$R$65536,14,FALSE))</f>
      </c>
      <c r="I22" s="493">
        <f>IF(B22="","",VLOOKUP($B22,'6-2_算定表③(旧・旧制度)'!$B$8:$R$65536,16,FALSE))</f>
      </c>
      <c r="J22" s="506">
        <f>IF(B22="","",VLOOKUP($B22,'6-2_算定表③(旧・旧制度)'!$B$8:$R$65536,17,FALSE))</f>
      </c>
      <c r="K22" s="543">
        <f>IF($B22="","",VLOOKUP($B22,'6-2_算定表③(旧・旧制度)'!$B$8:$R$65536,11,FALSE))</f>
      </c>
      <c r="L22" s="544">
        <f>IF($B22="","",VLOOKUP($B22,'6-2_算定表③(旧・旧制度)'!$B$8:$R$65536,11,FALSE))</f>
      </c>
      <c r="M22" s="545">
        <f>IF($B22="","",VLOOKUP($B22,'6-2_算定表③(旧・旧制度)'!$B$8:$R$65536,11,FALSE))</f>
      </c>
      <c r="N22" s="543">
        <f>IF($B22="","",VLOOKUP($B22,'6-2_算定表③(旧・旧制度)'!$B$8:$R$65536,14,FALSE))</f>
      </c>
      <c r="O22" s="544">
        <f>IF($B22="","",VLOOKUP($B22,'6-2_算定表③(旧・旧制度)'!$B$8:$R$65536,14,FALSE))</f>
      </c>
      <c r="P22" s="544">
        <f>IF($B22="","",VLOOKUP($B22,'6-2_算定表③(旧・旧制度)'!$B$8:$R$65536,14,FALSE))</f>
      </c>
      <c r="Q22" s="544">
        <f>IF($B22="","",VLOOKUP($B22,'6-2_算定表③(旧・旧制度)'!$B$8:$R$65536,14,FALSE))</f>
      </c>
      <c r="R22" s="544">
        <f>IF($B22="","",VLOOKUP($B22,'6-2_算定表③(旧・旧制度)'!$B$8:$R$65536,14,FALSE))</f>
      </c>
      <c r="S22" s="544">
        <f>IF($B22="","",VLOOKUP($B22,'6-2_算定表③(旧・旧制度)'!$B$8:$R$65536,14,FALSE))</f>
      </c>
      <c r="T22" s="544">
        <f>IF($B22="","",VLOOKUP($B22,'6-2_算定表③(旧・旧制度)'!$B$8:$R$65536,14,FALSE))</f>
      </c>
      <c r="U22" s="544">
        <f>IF($B22="","",VLOOKUP($B22,'6-2_算定表③(旧・旧制度)'!$B$8:$R$65536,14,FALSE))</f>
      </c>
      <c r="V22" s="545">
        <f>IF($B22="","",VLOOKUP($B22,'6-2_算定表③(旧・旧制度)'!$B$8:$R$65536,14,FALSE))</f>
      </c>
      <c r="W22" s="546">
        <f t="shared" si="1"/>
      </c>
      <c r="X22" s="547">
        <f t="shared" si="2"/>
      </c>
      <c r="Y22" s="546">
        <f t="shared" si="3"/>
      </c>
      <c r="Z22" s="548">
        <f t="shared" si="4"/>
      </c>
      <c r="AA22" s="537">
        <f t="shared" si="5"/>
      </c>
      <c r="AB22" s="538">
        <f t="shared" si="6"/>
      </c>
      <c r="AC22" s="537">
        <f t="shared" si="7"/>
      </c>
      <c r="AD22" s="539">
        <f t="shared" si="8"/>
      </c>
      <c r="AE22" s="506">
        <f t="shared" si="9"/>
      </c>
      <c r="AF22" s="503">
        <f t="shared" si="11"/>
      </c>
      <c r="AG22" s="851">
        <f>IF(B22="","",VLOOKUP($B22,'6-2_算定表③(旧・旧制度)'!$B$8:$AB$65536,27,FALSE))</f>
      </c>
      <c r="AH22" s="852" t="s">
        <v>205</v>
      </c>
      <c r="AI22" s="853" t="s">
        <v>205</v>
      </c>
      <c r="AK22" s="63">
        <f t="shared" si="12"/>
      </c>
      <c r="AL22" s="63">
        <f t="shared" si="10"/>
      </c>
    </row>
    <row r="23" spans="1:38" s="54" customFormat="1" ht="18.75" customHeight="1">
      <c r="A23" s="27">
        <f t="shared" si="0"/>
      </c>
      <c r="B23" s="280"/>
      <c r="C23" s="97">
        <f>IF(B23="","",VLOOKUP($B23,'6-2_算定表③(旧・旧制度)'!$B$8:$R$65536,2,FALSE))</f>
      </c>
      <c r="D23" s="541">
        <f>IF(B23="","",VLOOKUP($B23,'6-2_算定表③(旧・旧制度)'!$B$8:$R$65536,3,FALSE))</f>
      </c>
      <c r="E23" s="541">
        <f>IF(B23="","",VLOOKUP($B23,'6-2_算定表③(旧・旧制度)'!$B$8:$R$65536,4,FALSE))</f>
      </c>
      <c r="F23" s="542">
        <f>IF(B23="","",VLOOKUP($B23,'6-2_算定表③(旧・旧制度)'!$B$8:$R$65536,11,FALSE))</f>
      </c>
      <c r="G23" s="493">
        <f>IF(B23="","",VLOOKUP($B23,'6-2_算定表③(旧・旧制度)'!$B$8:$R$65536,13,FALSE))</f>
      </c>
      <c r="H23" s="542">
        <f>IF(B23="","",VLOOKUP($B23,'6-2_算定表③(旧・旧制度)'!$B$8:$R$65536,14,FALSE))</f>
      </c>
      <c r="I23" s="493">
        <f>IF(B23="","",VLOOKUP($B23,'6-2_算定表③(旧・旧制度)'!$B$8:$R$65536,16,FALSE))</f>
      </c>
      <c r="J23" s="506">
        <f>IF(B23="","",VLOOKUP($B23,'6-2_算定表③(旧・旧制度)'!$B$8:$R$65536,17,FALSE))</f>
      </c>
      <c r="K23" s="543">
        <f>IF($B23="","",VLOOKUP($B23,'6-2_算定表③(旧・旧制度)'!$B$8:$R$65536,11,FALSE))</f>
      </c>
      <c r="L23" s="544">
        <f>IF($B23="","",VLOOKUP($B23,'6-2_算定表③(旧・旧制度)'!$B$8:$R$65536,11,FALSE))</f>
      </c>
      <c r="M23" s="545">
        <f>IF($B23="","",VLOOKUP($B23,'6-2_算定表③(旧・旧制度)'!$B$8:$R$65536,11,FALSE))</f>
      </c>
      <c r="N23" s="543">
        <f>IF($B23="","",VLOOKUP($B23,'6-2_算定表③(旧・旧制度)'!$B$8:$R$65536,14,FALSE))</f>
      </c>
      <c r="O23" s="544">
        <f>IF($B23="","",VLOOKUP($B23,'6-2_算定表③(旧・旧制度)'!$B$8:$R$65536,14,FALSE))</f>
      </c>
      <c r="P23" s="544">
        <f>IF($B23="","",VLOOKUP($B23,'6-2_算定表③(旧・旧制度)'!$B$8:$R$65536,14,FALSE))</f>
      </c>
      <c r="Q23" s="544">
        <f>IF($B23="","",VLOOKUP($B23,'6-2_算定表③(旧・旧制度)'!$B$8:$R$65536,14,FALSE))</f>
      </c>
      <c r="R23" s="544">
        <f>IF($B23="","",VLOOKUP($B23,'6-2_算定表③(旧・旧制度)'!$B$8:$R$65536,14,FALSE))</f>
      </c>
      <c r="S23" s="544">
        <f>IF($B23="","",VLOOKUP($B23,'6-2_算定表③(旧・旧制度)'!$B$8:$R$65536,14,FALSE))</f>
      </c>
      <c r="T23" s="544">
        <f>IF($B23="","",VLOOKUP($B23,'6-2_算定表③(旧・旧制度)'!$B$8:$R$65536,14,FALSE))</f>
      </c>
      <c r="U23" s="544">
        <f>IF($B23="","",VLOOKUP($B23,'6-2_算定表③(旧・旧制度)'!$B$8:$R$65536,14,FALSE))</f>
      </c>
      <c r="V23" s="545">
        <f>IF($B23="","",VLOOKUP($B23,'6-2_算定表③(旧・旧制度)'!$B$8:$R$65536,14,FALSE))</f>
      </c>
      <c r="W23" s="546">
        <f t="shared" si="1"/>
      </c>
      <c r="X23" s="547">
        <f t="shared" si="2"/>
      </c>
      <c r="Y23" s="546">
        <f t="shared" si="3"/>
      </c>
      <c r="Z23" s="548">
        <f t="shared" si="4"/>
      </c>
      <c r="AA23" s="537">
        <f t="shared" si="5"/>
      </c>
      <c r="AB23" s="538">
        <f t="shared" si="6"/>
      </c>
      <c r="AC23" s="537">
        <f t="shared" si="7"/>
      </c>
      <c r="AD23" s="539">
        <f t="shared" si="8"/>
      </c>
      <c r="AE23" s="506">
        <f t="shared" si="9"/>
      </c>
      <c r="AF23" s="503">
        <f t="shared" si="11"/>
      </c>
      <c r="AG23" s="851">
        <f>IF(B23="","",VLOOKUP($B23,'6-2_算定表③(旧・旧制度)'!$B$8:$AB$65536,27,FALSE))</f>
      </c>
      <c r="AH23" s="852" t="s">
        <v>205</v>
      </c>
      <c r="AI23" s="853" t="s">
        <v>205</v>
      </c>
      <c r="AK23" s="63">
        <f t="shared" si="12"/>
      </c>
      <c r="AL23" s="63">
        <f t="shared" si="10"/>
      </c>
    </row>
    <row r="24" spans="1:38" s="54" customFormat="1" ht="18.75" customHeight="1">
      <c r="A24" s="27">
        <f t="shared" si="0"/>
      </c>
      <c r="B24" s="280"/>
      <c r="C24" s="97">
        <f>IF(B24="","",VLOOKUP($B24,'6-2_算定表③(旧・旧制度)'!$B$8:$R$65536,2,FALSE))</f>
      </c>
      <c r="D24" s="541">
        <f>IF(B24="","",VLOOKUP($B24,'6-2_算定表③(旧・旧制度)'!$B$8:$R$65536,3,FALSE))</f>
      </c>
      <c r="E24" s="541">
        <f>IF(B24="","",VLOOKUP($B24,'6-2_算定表③(旧・旧制度)'!$B$8:$R$65536,4,FALSE))</f>
      </c>
      <c r="F24" s="542">
        <f>IF(B24="","",VLOOKUP($B24,'6-2_算定表③(旧・旧制度)'!$B$8:$R$65536,11,FALSE))</f>
      </c>
      <c r="G24" s="493">
        <f>IF(B24="","",VLOOKUP($B24,'6-2_算定表③(旧・旧制度)'!$B$8:$R$65536,13,FALSE))</f>
      </c>
      <c r="H24" s="542">
        <f>IF(B24="","",VLOOKUP($B24,'6-2_算定表③(旧・旧制度)'!$B$8:$R$65536,14,FALSE))</f>
      </c>
      <c r="I24" s="493">
        <f>IF(B24="","",VLOOKUP($B24,'6-2_算定表③(旧・旧制度)'!$B$8:$R$65536,16,FALSE))</f>
      </c>
      <c r="J24" s="506">
        <f>IF(B24="","",VLOOKUP($B24,'6-2_算定表③(旧・旧制度)'!$B$8:$R$65536,17,FALSE))</f>
      </c>
      <c r="K24" s="543">
        <f>IF($B24="","",VLOOKUP($B24,'6-2_算定表③(旧・旧制度)'!$B$8:$R$65536,11,FALSE))</f>
      </c>
      <c r="L24" s="544">
        <f>IF($B24="","",VLOOKUP($B24,'6-2_算定表③(旧・旧制度)'!$B$8:$R$65536,11,FALSE))</f>
      </c>
      <c r="M24" s="545">
        <f>IF($B24="","",VLOOKUP($B24,'6-2_算定表③(旧・旧制度)'!$B$8:$R$65536,11,FALSE))</f>
      </c>
      <c r="N24" s="543">
        <f>IF($B24="","",VLOOKUP($B24,'6-2_算定表③(旧・旧制度)'!$B$8:$R$65536,14,FALSE))</f>
      </c>
      <c r="O24" s="544">
        <f>IF($B24="","",VLOOKUP($B24,'6-2_算定表③(旧・旧制度)'!$B$8:$R$65536,14,FALSE))</f>
      </c>
      <c r="P24" s="544">
        <f>IF($B24="","",VLOOKUP($B24,'6-2_算定表③(旧・旧制度)'!$B$8:$R$65536,14,FALSE))</f>
      </c>
      <c r="Q24" s="544">
        <f>IF($B24="","",VLOOKUP($B24,'6-2_算定表③(旧・旧制度)'!$B$8:$R$65536,14,FALSE))</f>
      </c>
      <c r="R24" s="544">
        <f>IF($B24="","",VLOOKUP($B24,'6-2_算定表③(旧・旧制度)'!$B$8:$R$65536,14,FALSE))</f>
      </c>
      <c r="S24" s="544">
        <f>IF($B24="","",VLOOKUP($B24,'6-2_算定表③(旧・旧制度)'!$B$8:$R$65536,14,FALSE))</f>
      </c>
      <c r="T24" s="544">
        <f>IF($B24="","",VLOOKUP($B24,'6-2_算定表③(旧・旧制度)'!$B$8:$R$65536,14,FALSE))</f>
      </c>
      <c r="U24" s="544">
        <f>IF($B24="","",VLOOKUP($B24,'6-2_算定表③(旧・旧制度)'!$B$8:$R$65536,14,FALSE))</f>
      </c>
      <c r="V24" s="545">
        <f>IF($B24="","",VLOOKUP($B24,'6-2_算定表③(旧・旧制度)'!$B$8:$R$65536,14,FALSE))</f>
      </c>
      <c r="W24" s="546">
        <f t="shared" si="1"/>
      </c>
      <c r="X24" s="547">
        <f t="shared" si="2"/>
      </c>
      <c r="Y24" s="546">
        <f t="shared" si="3"/>
      </c>
      <c r="Z24" s="548">
        <f t="shared" si="4"/>
      </c>
      <c r="AA24" s="537">
        <f t="shared" si="5"/>
      </c>
      <c r="AB24" s="538">
        <f t="shared" si="6"/>
      </c>
      <c r="AC24" s="537">
        <f t="shared" si="7"/>
      </c>
      <c r="AD24" s="539">
        <f t="shared" si="8"/>
      </c>
      <c r="AE24" s="506">
        <f t="shared" si="9"/>
      </c>
      <c r="AF24" s="503">
        <f t="shared" si="11"/>
      </c>
      <c r="AG24" s="590">
        <f>IF(B24="","",VLOOKUP($B24,'6-2_算定表③(旧・旧制度)'!$B$8:$AB$65536,27,FALSE))</f>
      </c>
      <c r="AH24" s="591" t="s">
        <v>205</v>
      </c>
      <c r="AI24" s="592" t="s">
        <v>205</v>
      </c>
      <c r="AK24" s="63">
        <f t="shared" si="12"/>
      </c>
      <c r="AL24" s="63">
        <f t="shared" si="10"/>
      </c>
    </row>
    <row r="25" spans="1:38" s="54" customFormat="1" ht="18.75" customHeight="1">
      <c r="A25" s="27">
        <f t="shared" si="0"/>
      </c>
      <c r="B25" s="280"/>
      <c r="C25" s="97">
        <f>IF(B25="","",VLOOKUP($B25,'6-2_算定表③(旧・旧制度)'!$B$8:$R$65536,2,FALSE))</f>
      </c>
      <c r="D25" s="541">
        <f>IF(B25="","",VLOOKUP($B25,'6-2_算定表③(旧・旧制度)'!$B$8:$R$65536,3,FALSE))</f>
      </c>
      <c r="E25" s="541">
        <f>IF(B25="","",VLOOKUP($B25,'6-2_算定表③(旧・旧制度)'!$B$8:$R$65536,4,FALSE))</f>
      </c>
      <c r="F25" s="542">
        <f>IF(B25="","",VLOOKUP($B25,'6-2_算定表③(旧・旧制度)'!$B$8:$R$65536,11,FALSE))</f>
      </c>
      <c r="G25" s="493">
        <f>IF(B25="","",VLOOKUP($B25,'6-2_算定表③(旧・旧制度)'!$B$8:$R$65536,13,FALSE))</f>
      </c>
      <c r="H25" s="542">
        <f>IF(B25="","",VLOOKUP($B25,'6-2_算定表③(旧・旧制度)'!$B$8:$R$65536,14,FALSE))</f>
      </c>
      <c r="I25" s="493">
        <f>IF(B25="","",VLOOKUP($B25,'6-2_算定表③(旧・旧制度)'!$B$8:$R$65536,16,FALSE))</f>
      </c>
      <c r="J25" s="506">
        <f>IF(B25="","",VLOOKUP($B25,'6-2_算定表③(旧・旧制度)'!$B$8:$R$65536,17,FALSE))</f>
      </c>
      <c r="K25" s="543">
        <f>IF($B25="","",VLOOKUP($B25,'6-2_算定表③(旧・旧制度)'!$B$8:$R$65536,11,FALSE))</f>
      </c>
      <c r="L25" s="544">
        <f>IF($B25="","",VLOOKUP($B25,'6-2_算定表③(旧・旧制度)'!$B$8:$R$65536,11,FALSE))</f>
      </c>
      <c r="M25" s="545">
        <f>IF($B25="","",VLOOKUP($B25,'6-2_算定表③(旧・旧制度)'!$B$8:$R$65536,11,FALSE))</f>
      </c>
      <c r="N25" s="543">
        <f>IF($B25="","",VLOOKUP($B25,'6-2_算定表③(旧・旧制度)'!$B$8:$R$65536,14,FALSE))</f>
      </c>
      <c r="O25" s="544">
        <f>IF($B25="","",VLOOKUP($B25,'6-2_算定表③(旧・旧制度)'!$B$8:$R$65536,14,FALSE))</f>
      </c>
      <c r="P25" s="544">
        <f>IF($B25="","",VLOOKUP($B25,'6-2_算定表③(旧・旧制度)'!$B$8:$R$65536,14,FALSE))</f>
      </c>
      <c r="Q25" s="544">
        <f>IF($B25="","",VLOOKUP($B25,'6-2_算定表③(旧・旧制度)'!$B$8:$R$65536,14,FALSE))</f>
      </c>
      <c r="R25" s="544">
        <f>IF($B25="","",VLOOKUP($B25,'6-2_算定表③(旧・旧制度)'!$B$8:$R$65536,14,FALSE))</f>
      </c>
      <c r="S25" s="544">
        <f>IF($B25="","",VLOOKUP($B25,'6-2_算定表③(旧・旧制度)'!$B$8:$R$65536,14,FALSE))</f>
      </c>
      <c r="T25" s="544">
        <f>IF($B25="","",VLOOKUP($B25,'6-2_算定表③(旧・旧制度)'!$B$8:$R$65536,14,FALSE))</f>
      </c>
      <c r="U25" s="544">
        <f>IF($B25="","",VLOOKUP($B25,'6-2_算定表③(旧・旧制度)'!$B$8:$R$65536,14,FALSE))</f>
      </c>
      <c r="V25" s="545">
        <f>IF($B25="","",VLOOKUP($B25,'6-2_算定表③(旧・旧制度)'!$B$8:$R$65536,14,FALSE))</f>
      </c>
      <c r="W25" s="546">
        <f t="shared" si="1"/>
      </c>
      <c r="X25" s="547">
        <f t="shared" si="2"/>
      </c>
      <c r="Y25" s="546">
        <f t="shared" si="3"/>
      </c>
      <c r="Z25" s="548">
        <f t="shared" si="4"/>
      </c>
      <c r="AA25" s="537">
        <f t="shared" si="5"/>
      </c>
      <c r="AB25" s="538">
        <f t="shared" si="6"/>
      </c>
      <c r="AC25" s="537">
        <f t="shared" si="7"/>
      </c>
      <c r="AD25" s="539">
        <f t="shared" si="8"/>
      </c>
      <c r="AE25" s="506">
        <f t="shared" si="9"/>
      </c>
      <c r="AF25" s="503">
        <f t="shared" si="11"/>
      </c>
      <c r="AG25" s="851">
        <f>IF(B25="","",VLOOKUP($B25,'6-2_算定表③(旧・旧制度)'!$B$8:$AB$65536,27,FALSE))</f>
      </c>
      <c r="AH25" s="852" t="s">
        <v>205</v>
      </c>
      <c r="AI25" s="853" t="s">
        <v>205</v>
      </c>
      <c r="AK25" s="63">
        <f t="shared" si="12"/>
      </c>
      <c r="AL25" s="63">
        <f t="shared" si="10"/>
      </c>
    </row>
    <row r="26" spans="1:38" s="54" customFormat="1" ht="18.75" customHeight="1">
      <c r="A26" s="27">
        <f t="shared" si="0"/>
      </c>
      <c r="B26" s="280"/>
      <c r="C26" s="97">
        <f>IF(B26="","",VLOOKUP($B26,'6-2_算定表③(旧・旧制度)'!$B$8:$R$65536,2,FALSE))</f>
      </c>
      <c r="D26" s="541">
        <f>IF(B26="","",VLOOKUP($B26,'6-2_算定表③(旧・旧制度)'!$B$8:$R$65536,3,FALSE))</f>
      </c>
      <c r="E26" s="541">
        <f>IF(B26="","",VLOOKUP($B26,'6-2_算定表③(旧・旧制度)'!$B$8:$R$65536,4,FALSE))</f>
      </c>
      <c r="F26" s="542">
        <f>IF(B26="","",VLOOKUP($B26,'6-2_算定表③(旧・旧制度)'!$B$8:$R$65536,11,FALSE))</f>
      </c>
      <c r="G26" s="493">
        <f>IF(B26="","",VLOOKUP($B26,'6-2_算定表③(旧・旧制度)'!$B$8:$R$65536,13,FALSE))</f>
      </c>
      <c r="H26" s="542">
        <f>IF(B26="","",VLOOKUP($B26,'6-2_算定表③(旧・旧制度)'!$B$8:$R$65536,14,FALSE))</f>
      </c>
      <c r="I26" s="493">
        <f>IF(B26="","",VLOOKUP($B26,'6-2_算定表③(旧・旧制度)'!$B$8:$R$65536,16,FALSE))</f>
      </c>
      <c r="J26" s="506">
        <f>IF(B26="","",VLOOKUP($B26,'6-2_算定表③(旧・旧制度)'!$B$8:$R$65536,17,FALSE))</f>
      </c>
      <c r="K26" s="543">
        <f>IF($B26="","",VLOOKUP($B26,'6-2_算定表③(旧・旧制度)'!$B$8:$R$65536,11,FALSE))</f>
      </c>
      <c r="L26" s="544">
        <f>IF($B26="","",VLOOKUP($B26,'6-2_算定表③(旧・旧制度)'!$B$8:$R$65536,11,FALSE))</f>
      </c>
      <c r="M26" s="545">
        <f>IF($B26="","",VLOOKUP($B26,'6-2_算定表③(旧・旧制度)'!$B$8:$R$65536,11,FALSE))</f>
      </c>
      <c r="N26" s="543">
        <f>IF($B26="","",VLOOKUP($B26,'6-2_算定表③(旧・旧制度)'!$B$8:$R$65536,14,FALSE))</f>
      </c>
      <c r="O26" s="544">
        <f>IF($B26="","",VLOOKUP($B26,'6-2_算定表③(旧・旧制度)'!$B$8:$R$65536,14,FALSE))</f>
      </c>
      <c r="P26" s="544">
        <f>IF($B26="","",VLOOKUP($B26,'6-2_算定表③(旧・旧制度)'!$B$8:$R$65536,14,FALSE))</f>
      </c>
      <c r="Q26" s="544">
        <f>IF($B26="","",VLOOKUP($B26,'6-2_算定表③(旧・旧制度)'!$B$8:$R$65536,14,FALSE))</f>
      </c>
      <c r="R26" s="544">
        <f>IF($B26="","",VLOOKUP($B26,'6-2_算定表③(旧・旧制度)'!$B$8:$R$65536,14,FALSE))</f>
      </c>
      <c r="S26" s="544">
        <f>IF($B26="","",VLOOKUP($B26,'6-2_算定表③(旧・旧制度)'!$B$8:$R$65536,14,FALSE))</f>
      </c>
      <c r="T26" s="544">
        <f>IF($B26="","",VLOOKUP($B26,'6-2_算定表③(旧・旧制度)'!$B$8:$R$65536,14,FALSE))</f>
      </c>
      <c r="U26" s="544">
        <f>IF($B26="","",VLOOKUP($B26,'6-2_算定表③(旧・旧制度)'!$B$8:$R$65536,14,FALSE))</f>
      </c>
      <c r="V26" s="545">
        <f>IF($B26="","",VLOOKUP($B26,'6-2_算定表③(旧・旧制度)'!$B$8:$R$65536,14,FALSE))</f>
      </c>
      <c r="W26" s="546">
        <f t="shared" si="1"/>
      </c>
      <c r="X26" s="547">
        <f t="shared" si="2"/>
      </c>
      <c r="Y26" s="546">
        <f t="shared" si="3"/>
      </c>
      <c r="Z26" s="548">
        <f t="shared" si="4"/>
      </c>
      <c r="AA26" s="537">
        <f t="shared" si="5"/>
      </c>
      <c r="AB26" s="538">
        <f t="shared" si="6"/>
      </c>
      <c r="AC26" s="537">
        <f t="shared" si="7"/>
      </c>
      <c r="AD26" s="539">
        <f t="shared" si="8"/>
      </c>
      <c r="AE26" s="506">
        <f t="shared" si="9"/>
      </c>
      <c r="AF26" s="503">
        <f t="shared" si="11"/>
      </c>
      <c r="AG26" s="851">
        <f>IF(B26="","",VLOOKUP($B26,'6-2_算定表③(旧・旧制度)'!$B$8:$AB$65536,27,FALSE))</f>
      </c>
      <c r="AH26" s="852" t="s">
        <v>205</v>
      </c>
      <c r="AI26" s="853" t="s">
        <v>205</v>
      </c>
      <c r="AK26" s="63">
        <f t="shared" si="12"/>
      </c>
      <c r="AL26" s="63">
        <f t="shared" si="10"/>
      </c>
    </row>
    <row r="27" spans="1:38" s="54" customFormat="1" ht="18.75" customHeight="1">
      <c r="A27" s="27">
        <f t="shared" si="0"/>
      </c>
      <c r="B27" s="280"/>
      <c r="C27" s="97">
        <f>IF(B27="","",VLOOKUP($B27,'6-2_算定表③(旧・旧制度)'!$B$8:$R$65536,2,FALSE))</f>
      </c>
      <c r="D27" s="541">
        <f>IF(B27="","",VLOOKUP($B27,'6-2_算定表③(旧・旧制度)'!$B$8:$R$65536,3,FALSE))</f>
      </c>
      <c r="E27" s="541">
        <f>IF(B27="","",VLOOKUP($B27,'6-2_算定表③(旧・旧制度)'!$B$8:$R$65536,4,FALSE))</f>
      </c>
      <c r="F27" s="542">
        <f>IF(B27="","",VLOOKUP($B27,'6-2_算定表③(旧・旧制度)'!$B$8:$R$65536,11,FALSE))</f>
      </c>
      <c r="G27" s="493">
        <f>IF(B27="","",VLOOKUP($B27,'6-2_算定表③(旧・旧制度)'!$B$8:$R$65536,13,FALSE))</f>
      </c>
      <c r="H27" s="542">
        <f>IF(B27="","",VLOOKUP($B27,'6-2_算定表③(旧・旧制度)'!$B$8:$R$65536,14,FALSE))</f>
      </c>
      <c r="I27" s="493">
        <f>IF(B27="","",VLOOKUP($B27,'6-2_算定表③(旧・旧制度)'!$B$8:$R$65536,16,FALSE))</f>
      </c>
      <c r="J27" s="506">
        <f>IF(B27="","",VLOOKUP($B27,'6-2_算定表③(旧・旧制度)'!$B$8:$R$65536,17,FALSE))</f>
      </c>
      <c r="K27" s="543">
        <f>IF($B27="","",VLOOKUP($B27,'6-2_算定表③(旧・旧制度)'!$B$8:$R$65536,11,FALSE))</f>
      </c>
      <c r="L27" s="544">
        <f>IF($B27="","",VLOOKUP($B27,'6-2_算定表③(旧・旧制度)'!$B$8:$R$65536,11,FALSE))</f>
      </c>
      <c r="M27" s="545">
        <f>IF($B27="","",VLOOKUP($B27,'6-2_算定表③(旧・旧制度)'!$B$8:$R$65536,11,FALSE))</f>
      </c>
      <c r="N27" s="543">
        <f>IF($B27="","",VLOOKUP($B27,'6-2_算定表③(旧・旧制度)'!$B$8:$R$65536,14,FALSE))</f>
      </c>
      <c r="O27" s="544">
        <f>IF($B27="","",VLOOKUP($B27,'6-2_算定表③(旧・旧制度)'!$B$8:$R$65536,14,FALSE))</f>
      </c>
      <c r="P27" s="544">
        <f>IF($B27="","",VLOOKUP($B27,'6-2_算定表③(旧・旧制度)'!$B$8:$R$65536,14,FALSE))</f>
      </c>
      <c r="Q27" s="544">
        <f>IF($B27="","",VLOOKUP($B27,'6-2_算定表③(旧・旧制度)'!$B$8:$R$65536,14,FALSE))</f>
      </c>
      <c r="R27" s="544">
        <f>IF($B27="","",VLOOKUP($B27,'6-2_算定表③(旧・旧制度)'!$B$8:$R$65536,14,FALSE))</f>
      </c>
      <c r="S27" s="544">
        <f>IF($B27="","",VLOOKUP($B27,'6-2_算定表③(旧・旧制度)'!$B$8:$R$65536,14,FALSE))</f>
      </c>
      <c r="T27" s="544">
        <f>IF($B27="","",VLOOKUP($B27,'6-2_算定表③(旧・旧制度)'!$B$8:$R$65536,14,FALSE))</f>
      </c>
      <c r="U27" s="544">
        <f>IF($B27="","",VLOOKUP($B27,'6-2_算定表③(旧・旧制度)'!$B$8:$R$65536,14,FALSE))</f>
      </c>
      <c r="V27" s="545">
        <f>IF($B27="","",VLOOKUP($B27,'6-2_算定表③(旧・旧制度)'!$B$8:$R$65536,14,FALSE))</f>
      </c>
      <c r="W27" s="546">
        <f t="shared" si="1"/>
      </c>
      <c r="X27" s="547">
        <f t="shared" si="2"/>
      </c>
      <c r="Y27" s="546">
        <f t="shared" si="3"/>
      </c>
      <c r="Z27" s="548">
        <f t="shared" si="4"/>
      </c>
      <c r="AA27" s="537">
        <f t="shared" si="5"/>
      </c>
      <c r="AB27" s="538">
        <f t="shared" si="6"/>
      </c>
      <c r="AC27" s="537">
        <f t="shared" si="7"/>
      </c>
      <c r="AD27" s="539">
        <f t="shared" si="8"/>
      </c>
      <c r="AE27" s="506">
        <f t="shared" si="9"/>
      </c>
      <c r="AF27" s="503">
        <f t="shared" si="11"/>
      </c>
      <c r="AG27" s="590">
        <f>IF(B27="","",VLOOKUP($B27,'6-2_算定表③(旧・旧制度)'!$B$8:$AB$65536,27,FALSE))</f>
      </c>
      <c r="AH27" s="591" t="s">
        <v>205</v>
      </c>
      <c r="AI27" s="592" t="s">
        <v>205</v>
      </c>
      <c r="AK27" s="63">
        <f t="shared" si="12"/>
      </c>
      <c r="AL27" s="63">
        <f t="shared" si="10"/>
      </c>
    </row>
    <row r="28" spans="1:38" s="54" customFormat="1" ht="18.75" customHeight="1">
      <c r="A28" s="27">
        <f t="shared" si="0"/>
      </c>
      <c r="B28" s="280"/>
      <c r="C28" s="97">
        <f>IF(B28="","",VLOOKUP($B28,'6-2_算定表③(旧・旧制度)'!$B$8:$R$65536,2,FALSE))</f>
      </c>
      <c r="D28" s="541">
        <f>IF(B28="","",VLOOKUP($B28,'6-2_算定表③(旧・旧制度)'!$B$8:$R$65536,3,FALSE))</f>
      </c>
      <c r="E28" s="541">
        <f>IF(B28="","",VLOOKUP($B28,'6-2_算定表③(旧・旧制度)'!$B$8:$R$65536,4,FALSE))</f>
      </c>
      <c r="F28" s="542">
        <f>IF(B28="","",VLOOKUP($B28,'6-2_算定表③(旧・旧制度)'!$B$8:$R$65536,11,FALSE))</f>
      </c>
      <c r="G28" s="493">
        <f>IF(B28="","",VLOOKUP($B28,'6-2_算定表③(旧・旧制度)'!$B$8:$R$65536,13,FALSE))</f>
      </c>
      <c r="H28" s="542">
        <f>IF(B28="","",VLOOKUP($B28,'6-2_算定表③(旧・旧制度)'!$B$8:$R$65536,14,FALSE))</f>
      </c>
      <c r="I28" s="493">
        <f>IF(B28="","",VLOOKUP($B28,'6-2_算定表③(旧・旧制度)'!$B$8:$R$65536,16,FALSE))</f>
      </c>
      <c r="J28" s="506">
        <f>IF(B28="","",VLOOKUP($B28,'6-2_算定表③(旧・旧制度)'!$B$8:$R$65536,17,FALSE))</f>
      </c>
      <c r="K28" s="543">
        <f>IF($B28="","",VLOOKUP($B28,'6-2_算定表③(旧・旧制度)'!$B$8:$R$65536,11,FALSE))</f>
      </c>
      <c r="L28" s="544">
        <f>IF($B28="","",VLOOKUP($B28,'6-2_算定表③(旧・旧制度)'!$B$8:$R$65536,11,FALSE))</f>
      </c>
      <c r="M28" s="545">
        <f>IF($B28="","",VLOOKUP($B28,'6-2_算定表③(旧・旧制度)'!$B$8:$R$65536,11,FALSE))</f>
      </c>
      <c r="N28" s="543">
        <f>IF($B28="","",VLOOKUP($B28,'6-2_算定表③(旧・旧制度)'!$B$8:$R$65536,14,FALSE))</f>
      </c>
      <c r="O28" s="544">
        <f>IF($B28="","",VLOOKUP($B28,'6-2_算定表③(旧・旧制度)'!$B$8:$R$65536,14,FALSE))</f>
      </c>
      <c r="P28" s="544">
        <f>IF($B28="","",VLOOKUP($B28,'6-2_算定表③(旧・旧制度)'!$B$8:$R$65536,14,FALSE))</f>
      </c>
      <c r="Q28" s="544">
        <f>IF($B28="","",VLOOKUP($B28,'6-2_算定表③(旧・旧制度)'!$B$8:$R$65536,14,FALSE))</f>
      </c>
      <c r="R28" s="544">
        <f>IF($B28="","",VLOOKUP($B28,'6-2_算定表③(旧・旧制度)'!$B$8:$R$65536,14,FALSE))</f>
      </c>
      <c r="S28" s="544">
        <f>IF($B28="","",VLOOKUP($B28,'6-2_算定表③(旧・旧制度)'!$B$8:$R$65536,14,FALSE))</f>
      </c>
      <c r="T28" s="544">
        <f>IF($B28="","",VLOOKUP($B28,'6-2_算定表③(旧・旧制度)'!$B$8:$R$65536,14,FALSE))</f>
      </c>
      <c r="U28" s="544">
        <f>IF($B28="","",VLOOKUP($B28,'6-2_算定表③(旧・旧制度)'!$B$8:$R$65536,14,FALSE))</f>
      </c>
      <c r="V28" s="545">
        <f>IF($B28="","",VLOOKUP($B28,'6-2_算定表③(旧・旧制度)'!$B$8:$R$65536,14,FALSE))</f>
      </c>
      <c r="W28" s="546">
        <f t="shared" si="1"/>
      </c>
      <c r="X28" s="547">
        <f t="shared" si="2"/>
      </c>
      <c r="Y28" s="546">
        <f t="shared" si="3"/>
      </c>
      <c r="Z28" s="548">
        <f t="shared" si="4"/>
      </c>
      <c r="AA28" s="537">
        <f t="shared" si="5"/>
      </c>
      <c r="AB28" s="538">
        <f t="shared" si="6"/>
      </c>
      <c r="AC28" s="537">
        <f t="shared" si="7"/>
      </c>
      <c r="AD28" s="539">
        <f t="shared" si="8"/>
      </c>
      <c r="AE28" s="506">
        <f t="shared" si="9"/>
      </c>
      <c r="AF28" s="503">
        <f t="shared" si="11"/>
      </c>
      <c r="AG28" s="851">
        <f>IF(B28="","",VLOOKUP($B28,'6-2_算定表③(旧・旧制度)'!$B$8:$AB$65536,27,FALSE))</f>
      </c>
      <c r="AH28" s="852" t="s">
        <v>205</v>
      </c>
      <c r="AI28" s="853" t="s">
        <v>205</v>
      </c>
      <c r="AK28" s="63">
        <f t="shared" si="12"/>
      </c>
      <c r="AL28" s="63">
        <f t="shared" si="10"/>
      </c>
    </row>
    <row r="29" spans="1:38" s="54" customFormat="1" ht="18.75" customHeight="1">
      <c r="A29" s="27">
        <f t="shared" si="0"/>
      </c>
      <c r="B29" s="280"/>
      <c r="C29" s="97">
        <f>IF(B29="","",VLOOKUP($B29,'6-2_算定表③(旧・旧制度)'!$B$8:$R$65536,2,FALSE))</f>
      </c>
      <c r="D29" s="541">
        <f>IF(B29="","",VLOOKUP($B29,'6-2_算定表③(旧・旧制度)'!$B$8:$R$65536,3,FALSE))</f>
      </c>
      <c r="E29" s="541">
        <f>IF(B29="","",VLOOKUP($B29,'6-2_算定表③(旧・旧制度)'!$B$8:$R$65536,4,FALSE))</f>
      </c>
      <c r="F29" s="542">
        <f>IF(B29="","",VLOOKUP($B29,'6-2_算定表③(旧・旧制度)'!$B$8:$R$65536,11,FALSE))</f>
      </c>
      <c r="G29" s="493">
        <f>IF(B29="","",VLOOKUP($B29,'6-2_算定表③(旧・旧制度)'!$B$8:$R$65536,13,FALSE))</f>
      </c>
      <c r="H29" s="542">
        <f>IF(B29="","",VLOOKUP($B29,'6-2_算定表③(旧・旧制度)'!$B$8:$R$65536,14,FALSE))</f>
      </c>
      <c r="I29" s="493">
        <f>IF(B29="","",VLOOKUP($B29,'6-2_算定表③(旧・旧制度)'!$B$8:$R$65536,16,FALSE))</f>
      </c>
      <c r="J29" s="506">
        <f>IF(B29="","",VLOOKUP($B29,'6-2_算定表③(旧・旧制度)'!$B$8:$R$65536,17,FALSE))</f>
      </c>
      <c r="K29" s="543">
        <f>IF($B29="","",VLOOKUP($B29,'6-2_算定表③(旧・旧制度)'!$B$8:$R$65536,11,FALSE))</f>
      </c>
      <c r="L29" s="544">
        <f>IF($B29="","",VLOOKUP($B29,'6-2_算定表③(旧・旧制度)'!$B$8:$R$65536,11,FALSE))</f>
      </c>
      <c r="M29" s="545">
        <f>IF($B29="","",VLOOKUP($B29,'6-2_算定表③(旧・旧制度)'!$B$8:$R$65536,11,FALSE))</f>
      </c>
      <c r="N29" s="543">
        <f>IF($B29="","",VLOOKUP($B29,'6-2_算定表③(旧・旧制度)'!$B$8:$R$65536,14,FALSE))</f>
      </c>
      <c r="O29" s="544">
        <f>IF($B29="","",VLOOKUP($B29,'6-2_算定表③(旧・旧制度)'!$B$8:$R$65536,14,FALSE))</f>
      </c>
      <c r="P29" s="544">
        <f>IF($B29="","",VLOOKUP($B29,'6-2_算定表③(旧・旧制度)'!$B$8:$R$65536,14,FALSE))</f>
      </c>
      <c r="Q29" s="544">
        <f>IF($B29="","",VLOOKUP($B29,'6-2_算定表③(旧・旧制度)'!$B$8:$R$65536,14,FALSE))</f>
      </c>
      <c r="R29" s="544">
        <f>IF($B29="","",VLOOKUP($B29,'6-2_算定表③(旧・旧制度)'!$B$8:$R$65536,14,FALSE))</f>
      </c>
      <c r="S29" s="544">
        <f>IF($B29="","",VLOOKUP($B29,'6-2_算定表③(旧・旧制度)'!$B$8:$R$65536,14,FALSE))</f>
      </c>
      <c r="T29" s="544">
        <f>IF($B29="","",VLOOKUP($B29,'6-2_算定表③(旧・旧制度)'!$B$8:$R$65536,14,FALSE))</f>
      </c>
      <c r="U29" s="544">
        <f>IF($B29="","",VLOOKUP($B29,'6-2_算定表③(旧・旧制度)'!$B$8:$R$65536,14,FALSE))</f>
      </c>
      <c r="V29" s="545">
        <f>IF($B29="","",VLOOKUP($B29,'6-2_算定表③(旧・旧制度)'!$B$8:$R$65536,14,FALSE))</f>
      </c>
      <c r="W29" s="546">
        <f t="shared" si="1"/>
      </c>
      <c r="X29" s="547">
        <f t="shared" si="2"/>
      </c>
      <c r="Y29" s="546">
        <f t="shared" si="3"/>
      </c>
      <c r="Z29" s="548">
        <f t="shared" si="4"/>
      </c>
      <c r="AA29" s="537">
        <f t="shared" si="5"/>
      </c>
      <c r="AB29" s="538">
        <f t="shared" si="6"/>
      </c>
      <c r="AC29" s="537">
        <f t="shared" si="7"/>
      </c>
      <c r="AD29" s="539">
        <f t="shared" si="8"/>
      </c>
      <c r="AE29" s="506">
        <f t="shared" si="9"/>
      </c>
      <c r="AF29" s="503">
        <f t="shared" si="11"/>
      </c>
      <c r="AG29" s="851">
        <f>IF(B29="","",VLOOKUP($B29,'6-2_算定表③(旧・旧制度)'!$B$8:$AB$65536,27,FALSE))</f>
      </c>
      <c r="AH29" s="852" t="s">
        <v>205</v>
      </c>
      <c r="AI29" s="853" t="s">
        <v>205</v>
      </c>
      <c r="AK29" s="63">
        <f t="shared" si="12"/>
      </c>
      <c r="AL29" s="63">
        <f t="shared" si="10"/>
      </c>
    </row>
    <row r="30" spans="1:38" s="54" customFormat="1" ht="18.75" customHeight="1">
      <c r="A30" s="27">
        <f t="shared" si="0"/>
      </c>
      <c r="B30" s="280"/>
      <c r="C30" s="97">
        <f>IF(B30="","",VLOOKUP($B30,'6-2_算定表③(旧・旧制度)'!$B$8:$R$65536,2,FALSE))</f>
      </c>
      <c r="D30" s="541">
        <f>IF(B30="","",VLOOKUP($B30,'6-2_算定表③(旧・旧制度)'!$B$8:$R$65536,3,FALSE))</f>
      </c>
      <c r="E30" s="541">
        <f>IF(B30="","",VLOOKUP($B30,'6-2_算定表③(旧・旧制度)'!$B$8:$R$65536,4,FALSE))</f>
      </c>
      <c r="F30" s="542">
        <f>IF(B30="","",VLOOKUP($B30,'6-2_算定表③(旧・旧制度)'!$B$8:$R$65536,11,FALSE))</f>
      </c>
      <c r="G30" s="493">
        <f>IF(B30="","",VLOOKUP($B30,'6-2_算定表③(旧・旧制度)'!$B$8:$R$65536,13,FALSE))</f>
      </c>
      <c r="H30" s="542">
        <f>IF(B30="","",VLOOKUP($B30,'6-2_算定表③(旧・旧制度)'!$B$8:$R$65536,14,FALSE))</f>
      </c>
      <c r="I30" s="493">
        <f>IF(B30="","",VLOOKUP($B30,'6-2_算定表③(旧・旧制度)'!$B$8:$R$65536,16,FALSE))</f>
      </c>
      <c r="J30" s="506">
        <f>IF(B30="","",VLOOKUP($B30,'6-2_算定表③(旧・旧制度)'!$B$8:$R$65536,17,FALSE))</f>
      </c>
      <c r="K30" s="543">
        <f>IF($B30="","",VLOOKUP($B30,'6-2_算定表③(旧・旧制度)'!$B$8:$R$65536,11,FALSE))</f>
      </c>
      <c r="L30" s="544">
        <f>IF($B30="","",VLOOKUP($B30,'6-2_算定表③(旧・旧制度)'!$B$8:$R$65536,11,FALSE))</f>
      </c>
      <c r="M30" s="545">
        <f>IF($B30="","",VLOOKUP($B30,'6-2_算定表③(旧・旧制度)'!$B$8:$R$65536,11,FALSE))</f>
      </c>
      <c r="N30" s="543">
        <f>IF($B30="","",VLOOKUP($B30,'6-2_算定表③(旧・旧制度)'!$B$8:$R$65536,14,FALSE))</f>
      </c>
      <c r="O30" s="544">
        <f>IF($B30="","",VLOOKUP($B30,'6-2_算定表③(旧・旧制度)'!$B$8:$R$65536,14,FALSE))</f>
      </c>
      <c r="P30" s="544">
        <f>IF($B30="","",VLOOKUP($B30,'6-2_算定表③(旧・旧制度)'!$B$8:$R$65536,14,FALSE))</f>
      </c>
      <c r="Q30" s="544">
        <f>IF($B30="","",VLOOKUP($B30,'6-2_算定表③(旧・旧制度)'!$B$8:$R$65536,14,FALSE))</f>
      </c>
      <c r="R30" s="544">
        <f>IF($B30="","",VLOOKUP($B30,'6-2_算定表③(旧・旧制度)'!$B$8:$R$65536,14,FALSE))</f>
      </c>
      <c r="S30" s="544">
        <f>IF($B30="","",VLOOKUP($B30,'6-2_算定表③(旧・旧制度)'!$B$8:$R$65536,14,FALSE))</f>
      </c>
      <c r="T30" s="544">
        <f>IF($B30="","",VLOOKUP($B30,'6-2_算定表③(旧・旧制度)'!$B$8:$R$65536,14,FALSE))</f>
      </c>
      <c r="U30" s="544">
        <f>IF($B30="","",VLOOKUP($B30,'6-2_算定表③(旧・旧制度)'!$B$8:$R$65536,14,FALSE))</f>
      </c>
      <c r="V30" s="545">
        <f>IF($B30="","",VLOOKUP($B30,'6-2_算定表③(旧・旧制度)'!$B$8:$R$65536,14,FALSE))</f>
      </c>
      <c r="W30" s="546">
        <f t="shared" si="1"/>
      </c>
      <c r="X30" s="547">
        <f t="shared" si="2"/>
      </c>
      <c r="Y30" s="546">
        <f t="shared" si="3"/>
      </c>
      <c r="Z30" s="548">
        <f t="shared" si="4"/>
      </c>
      <c r="AA30" s="537">
        <f t="shared" si="5"/>
      </c>
      <c r="AB30" s="538">
        <f t="shared" si="6"/>
      </c>
      <c r="AC30" s="537">
        <f t="shared" si="7"/>
      </c>
      <c r="AD30" s="539">
        <f t="shared" si="8"/>
      </c>
      <c r="AE30" s="506">
        <f t="shared" si="9"/>
      </c>
      <c r="AF30" s="503">
        <f t="shared" si="11"/>
      </c>
      <c r="AG30" s="851">
        <f>IF(B30="","",VLOOKUP($B30,'6-2_算定表③(旧・旧制度)'!$B$8:$AB$65536,27,FALSE))</f>
      </c>
      <c r="AH30" s="852" t="s">
        <v>205</v>
      </c>
      <c r="AI30" s="853" t="s">
        <v>205</v>
      </c>
      <c r="AK30" s="63">
        <f>IF(A30&gt;0,ASC(C30&amp;H30),"")</f>
      </c>
      <c r="AL30" s="63">
        <f t="shared" si="10"/>
      </c>
    </row>
    <row r="31" spans="1:38" s="54" customFormat="1" ht="18.75" customHeight="1">
      <c r="A31" s="27">
        <f t="shared" si="0"/>
      </c>
      <c r="B31" s="280"/>
      <c r="C31" s="97">
        <f>IF(B31="","",VLOOKUP($B31,'6-2_算定表③(旧・旧制度)'!$B$8:$R$65536,2,FALSE))</f>
      </c>
      <c r="D31" s="541">
        <f>IF(B31="","",VLOOKUP($B31,'6-2_算定表③(旧・旧制度)'!$B$8:$R$65536,3,FALSE))</f>
      </c>
      <c r="E31" s="541">
        <f>IF(B31="","",VLOOKUP($B31,'6-2_算定表③(旧・旧制度)'!$B$8:$R$65536,4,FALSE))</f>
      </c>
      <c r="F31" s="542">
        <f>IF(B31="","",VLOOKUP($B31,'6-2_算定表③(旧・旧制度)'!$B$8:$R$65536,11,FALSE))</f>
      </c>
      <c r="G31" s="493">
        <f>IF(B31="","",VLOOKUP($B31,'6-2_算定表③(旧・旧制度)'!$B$8:$R$65536,13,FALSE))</f>
      </c>
      <c r="H31" s="542">
        <f>IF(B31="","",VLOOKUP($B31,'6-2_算定表③(旧・旧制度)'!$B$8:$R$65536,14,FALSE))</f>
      </c>
      <c r="I31" s="493">
        <f>IF(B31="","",VLOOKUP($B31,'6-2_算定表③(旧・旧制度)'!$B$8:$R$65536,16,FALSE))</f>
      </c>
      <c r="J31" s="506">
        <f>IF(B31="","",VLOOKUP($B31,'6-2_算定表③(旧・旧制度)'!$B$8:$R$65536,17,FALSE))</f>
      </c>
      <c r="K31" s="543">
        <f>IF($B31="","",VLOOKUP($B31,'6-2_算定表③(旧・旧制度)'!$B$8:$R$65536,11,FALSE))</f>
      </c>
      <c r="L31" s="544">
        <f>IF($B31="","",VLOOKUP($B31,'6-2_算定表③(旧・旧制度)'!$B$8:$R$65536,11,FALSE))</f>
      </c>
      <c r="M31" s="545">
        <f>IF($B31="","",VLOOKUP($B31,'6-2_算定表③(旧・旧制度)'!$B$8:$R$65536,11,FALSE))</f>
      </c>
      <c r="N31" s="543">
        <f>IF($B31="","",VLOOKUP($B31,'6-2_算定表③(旧・旧制度)'!$B$8:$R$65536,14,FALSE))</f>
      </c>
      <c r="O31" s="544">
        <f>IF($B31="","",VLOOKUP($B31,'6-2_算定表③(旧・旧制度)'!$B$8:$R$65536,14,FALSE))</f>
      </c>
      <c r="P31" s="544">
        <f>IF($B31="","",VLOOKUP($B31,'6-2_算定表③(旧・旧制度)'!$B$8:$R$65536,14,FALSE))</f>
      </c>
      <c r="Q31" s="544">
        <f>IF($B31="","",VLOOKUP($B31,'6-2_算定表③(旧・旧制度)'!$B$8:$R$65536,14,FALSE))</f>
      </c>
      <c r="R31" s="544">
        <f>IF($B31="","",VLOOKUP($B31,'6-2_算定表③(旧・旧制度)'!$B$8:$R$65536,14,FALSE))</f>
      </c>
      <c r="S31" s="544">
        <f>IF($B31="","",VLOOKUP($B31,'6-2_算定表③(旧・旧制度)'!$B$8:$R$65536,14,FALSE))</f>
      </c>
      <c r="T31" s="544">
        <f>IF($B31="","",VLOOKUP($B31,'6-2_算定表③(旧・旧制度)'!$B$8:$R$65536,14,FALSE))</f>
      </c>
      <c r="U31" s="544">
        <f>IF($B31="","",VLOOKUP($B31,'6-2_算定表③(旧・旧制度)'!$B$8:$R$65536,14,FALSE))</f>
      </c>
      <c r="V31" s="545">
        <f>IF($B31="","",VLOOKUP($B31,'6-2_算定表③(旧・旧制度)'!$B$8:$R$65536,14,FALSE))</f>
      </c>
      <c r="W31" s="546">
        <f t="shared" si="1"/>
      </c>
      <c r="X31" s="547">
        <f t="shared" si="2"/>
      </c>
      <c r="Y31" s="546">
        <f t="shared" si="3"/>
      </c>
      <c r="Z31" s="548">
        <f t="shared" si="4"/>
      </c>
      <c r="AA31" s="537">
        <f t="shared" si="5"/>
      </c>
      <c r="AB31" s="538">
        <f t="shared" si="6"/>
      </c>
      <c r="AC31" s="537">
        <f t="shared" si="7"/>
      </c>
      <c r="AD31" s="539">
        <f t="shared" si="8"/>
      </c>
      <c r="AE31" s="506">
        <f t="shared" si="9"/>
      </c>
      <c r="AF31" s="503">
        <f t="shared" si="11"/>
      </c>
      <c r="AG31" s="851">
        <f>IF(B31="","",VLOOKUP($B31,'6-2_算定表③(旧・旧制度)'!$B$8:$AB$65536,27,FALSE))</f>
      </c>
      <c r="AH31" s="852" t="s">
        <v>205</v>
      </c>
      <c r="AI31" s="853" t="s">
        <v>205</v>
      </c>
      <c r="AK31" s="63">
        <f>IF(A31&gt;0,ASC(C31&amp;H31),"")</f>
      </c>
      <c r="AL31" s="63">
        <f t="shared" si="10"/>
      </c>
    </row>
    <row r="32" spans="1:38" s="54" customFormat="1" ht="18.75" customHeight="1">
      <c r="A32" s="27">
        <f t="shared" si="0"/>
      </c>
      <c r="B32" s="280"/>
      <c r="C32" s="97">
        <f>IF(B32="","",VLOOKUP($B32,'6-2_算定表③(旧・旧制度)'!$B$8:$R$65536,2,FALSE))</f>
      </c>
      <c r="D32" s="541">
        <f>IF(B32="","",VLOOKUP($B32,'6-2_算定表③(旧・旧制度)'!$B$8:$R$65536,3,FALSE))</f>
      </c>
      <c r="E32" s="541">
        <f>IF(B32="","",VLOOKUP($B32,'6-2_算定表③(旧・旧制度)'!$B$8:$R$65536,4,FALSE))</f>
      </c>
      <c r="F32" s="542">
        <f>IF(B32="","",VLOOKUP($B32,'6-2_算定表③(旧・旧制度)'!$B$8:$R$65536,11,FALSE))</f>
      </c>
      <c r="G32" s="493">
        <f>IF(B32="","",VLOOKUP($B32,'6-2_算定表③(旧・旧制度)'!$B$8:$R$65536,13,FALSE))</f>
      </c>
      <c r="H32" s="542">
        <f>IF(B32="","",VLOOKUP($B32,'6-2_算定表③(旧・旧制度)'!$B$8:$R$65536,14,FALSE))</f>
      </c>
      <c r="I32" s="493">
        <f>IF(B32="","",VLOOKUP($B32,'6-2_算定表③(旧・旧制度)'!$B$8:$R$65536,16,FALSE))</f>
      </c>
      <c r="J32" s="506">
        <f>IF(B32="","",VLOOKUP($B32,'6-2_算定表③(旧・旧制度)'!$B$8:$R$65536,17,FALSE))</f>
      </c>
      <c r="K32" s="543">
        <f>IF($B32="","",VLOOKUP($B32,'6-2_算定表③(旧・旧制度)'!$B$8:$R$65536,11,FALSE))</f>
      </c>
      <c r="L32" s="544">
        <f>IF($B32="","",VLOOKUP($B32,'6-2_算定表③(旧・旧制度)'!$B$8:$R$65536,11,FALSE))</f>
      </c>
      <c r="M32" s="545">
        <f>IF($B32="","",VLOOKUP($B32,'6-2_算定表③(旧・旧制度)'!$B$8:$R$65536,11,FALSE))</f>
      </c>
      <c r="N32" s="543">
        <f>IF($B32="","",VLOOKUP($B32,'6-2_算定表③(旧・旧制度)'!$B$8:$R$65536,14,FALSE))</f>
      </c>
      <c r="O32" s="544">
        <f>IF($B32="","",VLOOKUP($B32,'6-2_算定表③(旧・旧制度)'!$B$8:$R$65536,14,FALSE))</f>
      </c>
      <c r="P32" s="544">
        <f>IF($B32="","",VLOOKUP($B32,'6-2_算定表③(旧・旧制度)'!$B$8:$R$65536,14,FALSE))</f>
      </c>
      <c r="Q32" s="544">
        <f>IF($B32="","",VLOOKUP($B32,'6-2_算定表③(旧・旧制度)'!$B$8:$R$65536,14,FALSE))</f>
      </c>
      <c r="R32" s="544">
        <f>IF($B32="","",VLOOKUP($B32,'6-2_算定表③(旧・旧制度)'!$B$8:$R$65536,14,FALSE))</f>
      </c>
      <c r="S32" s="544">
        <f>IF($B32="","",VLOOKUP($B32,'6-2_算定表③(旧・旧制度)'!$B$8:$R$65536,14,FALSE))</f>
      </c>
      <c r="T32" s="544">
        <f>IF($B32="","",VLOOKUP($B32,'6-2_算定表③(旧・旧制度)'!$B$8:$R$65536,14,FALSE))</f>
      </c>
      <c r="U32" s="544">
        <f>IF($B32="","",VLOOKUP($B32,'6-2_算定表③(旧・旧制度)'!$B$8:$R$65536,14,FALSE))</f>
      </c>
      <c r="V32" s="545">
        <f>IF($B32="","",VLOOKUP($B32,'6-2_算定表③(旧・旧制度)'!$B$8:$R$65536,14,FALSE))</f>
      </c>
      <c r="W32" s="546">
        <f t="shared" si="1"/>
      </c>
      <c r="X32" s="547">
        <f t="shared" si="2"/>
      </c>
      <c r="Y32" s="546">
        <f t="shared" si="3"/>
      </c>
      <c r="Z32" s="548">
        <f t="shared" si="4"/>
      </c>
      <c r="AA32" s="537">
        <f t="shared" si="5"/>
      </c>
      <c r="AB32" s="538">
        <f t="shared" si="6"/>
      </c>
      <c r="AC32" s="537">
        <f t="shared" si="7"/>
      </c>
      <c r="AD32" s="539">
        <f t="shared" si="8"/>
      </c>
      <c r="AE32" s="506">
        <f t="shared" si="9"/>
      </c>
      <c r="AF32" s="503">
        <f t="shared" si="11"/>
      </c>
      <c r="AG32" s="851">
        <f>IF(B32="","",VLOOKUP($B32,'6-2_算定表③(旧・旧制度)'!$B$8:$AB$65536,27,FALSE))</f>
      </c>
      <c r="AH32" s="852" t="s">
        <v>205</v>
      </c>
      <c r="AI32" s="853" t="s">
        <v>205</v>
      </c>
      <c r="AK32" s="63">
        <f>IF(A32&gt;0,ASC(C32&amp;H32),"")</f>
      </c>
      <c r="AL32" s="63">
        <f t="shared" si="10"/>
      </c>
    </row>
    <row r="33" spans="1:38" s="54" customFormat="1" ht="18.75" customHeight="1">
      <c r="A33" s="27">
        <f t="shared" si="0"/>
      </c>
      <c r="B33" s="280"/>
      <c r="C33" s="97">
        <f>IF(B33="","",VLOOKUP($B33,'6-2_算定表③(旧・旧制度)'!$B$8:$R$65536,2,FALSE))</f>
      </c>
      <c r="D33" s="541">
        <f>IF(B33="","",VLOOKUP($B33,'6-2_算定表③(旧・旧制度)'!$B$8:$R$65536,3,FALSE))</f>
      </c>
      <c r="E33" s="541">
        <f>IF(B33="","",VLOOKUP($B33,'6-2_算定表③(旧・旧制度)'!$B$8:$R$65536,4,FALSE))</f>
      </c>
      <c r="F33" s="542">
        <f>IF(B33="","",VLOOKUP($B33,'6-2_算定表③(旧・旧制度)'!$B$8:$R$65536,11,FALSE))</f>
      </c>
      <c r="G33" s="493">
        <f>IF(B33="","",VLOOKUP($B33,'6-2_算定表③(旧・旧制度)'!$B$8:$R$65536,13,FALSE))</f>
      </c>
      <c r="H33" s="542">
        <f>IF(B33="","",VLOOKUP($B33,'6-2_算定表③(旧・旧制度)'!$B$8:$R$65536,14,FALSE))</f>
      </c>
      <c r="I33" s="493">
        <f>IF(B33="","",VLOOKUP($B33,'6-2_算定表③(旧・旧制度)'!$B$8:$R$65536,16,FALSE))</f>
      </c>
      <c r="J33" s="506">
        <f>IF(B33="","",VLOOKUP($B33,'6-2_算定表③(旧・旧制度)'!$B$8:$R$65536,17,FALSE))</f>
      </c>
      <c r="K33" s="543">
        <f>IF($B33="","",VLOOKUP($B33,'6-2_算定表③(旧・旧制度)'!$B$8:$R$65536,11,FALSE))</f>
      </c>
      <c r="L33" s="544">
        <f>IF($B33="","",VLOOKUP($B33,'6-2_算定表③(旧・旧制度)'!$B$8:$R$65536,11,FALSE))</f>
      </c>
      <c r="M33" s="545">
        <f>IF($B33="","",VLOOKUP($B33,'6-2_算定表③(旧・旧制度)'!$B$8:$R$65536,11,FALSE))</f>
      </c>
      <c r="N33" s="543">
        <f>IF($B33="","",VLOOKUP($B33,'6-2_算定表③(旧・旧制度)'!$B$8:$R$65536,14,FALSE))</f>
      </c>
      <c r="O33" s="544">
        <f>IF($B33="","",VLOOKUP($B33,'6-2_算定表③(旧・旧制度)'!$B$8:$R$65536,14,FALSE))</f>
      </c>
      <c r="P33" s="544">
        <f>IF($B33="","",VLOOKUP($B33,'6-2_算定表③(旧・旧制度)'!$B$8:$R$65536,14,FALSE))</f>
      </c>
      <c r="Q33" s="544">
        <f>IF($B33="","",VLOOKUP($B33,'6-2_算定表③(旧・旧制度)'!$B$8:$R$65536,14,FALSE))</f>
      </c>
      <c r="R33" s="544">
        <f>IF($B33="","",VLOOKUP($B33,'6-2_算定表③(旧・旧制度)'!$B$8:$R$65536,14,FALSE))</f>
      </c>
      <c r="S33" s="544">
        <f>IF($B33="","",VLOOKUP($B33,'6-2_算定表③(旧・旧制度)'!$B$8:$R$65536,14,FALSE))</f>
      </c>
      <c r="T33" s="544">
        <f>IF($B33="","",VLOOKUP($B33,'6-2_算定表③(旧・旧制度)'!$B$8:$R$65536,14,FALSE))</f>
      </c>
      <c r="U33" s="544">
        <f>IF($B33="","",VLOOKUP($B33,'6-2_算定表③(旧・旧制度)'!$B$8:$R$65536,14,FALSE))</f>
      </c>
      <c r="V33" s="545">
        <f>IF($B33="","",VLOOKUP($B33,'6-2_算定表③(旧・旧制度)'!$B$8:$R$65536,14,FALSE))</f>
      </c>
      <c r="W33" s="546">
        <f t="shared" si="1"/>
      </c>
      <c r="X33" s="547">
        <f t="shared" si="2"/>
      </c>
      <c r="Y33" s="546">
        <f t="shared" si="3"/>
      </c>
      <c r="Z33" s="548">
        <f t="shared" si="4"/>
      </c>
      <c r="AA33" s="537">
        <f t="shared" si="5"/>
      </c>
      <c r="AB33" s="538">
        <f t="shared" si="6"/>
      </c>
      <c r="AC33" s="537">
        <f t="shared" si="7"/>
      </c>
      <c r="AD33" s="539">
        <f t="shared" si="8"/>
      </c>
      <c r="AE33" s="506">
        <f t="shared" si="9"/>
      </c>
      <c r="AF33" s="503">
        <f t="shared" si="11"/>
      </c>
      <c r="AG33" s="851">
        <f>IF(B33="","",VLOOKUP($B33,'6-2_算定表③(旧・旧制度)'!$B$8:$AB$65536,27,FALSE))</f>
      </c>
      <c r="AH33" s="852" t="s">
        <v>205</v>
      </c>
      <c r="AI33" s="853" t="s">
        <v>205</v>
      </c>
      <c r="AK33" s="63">
        <f t="shared" si="12"/>
      </c>
      <c r="AL33" s="63">
        <f t="shared" si="10"/>
      </c>
    </row>
    <row r="34" spans="1:38" s="54" customFormat="1" ht="18.75" customHeight="1">
      <c r="A34" s="27">
        <f t="shared" si="0"/>
      </c>
      <c r="B34" s="280"/>
      <c r="C34" s="97">
        <f>IF(B34="","",VLOOKUP($B34,'6-2_算定表③(旧・旧制度)'!$B$8:$R$65536,2,FALSE))</f>
      </c>
      <c r="D34" s="541">
        <f>IF(B34="","",VLOOKUP($B34,'6-2_算定表③(旧・旧制度)'!$B$8:$R$65536,3,FALSE))</f>
      </c>
      <c r="E34" s="541">
        <f>IF(B34="","",VLOOKUP($B34,'6-2_算定表③(旧・旧制度)'!$B$8:$R$65536,4,FALSE))</f>
      </c>
      <c r="F34" s="542">
        <f>IF(B34="","",VLOOKUP($B34,'6-2_算定表③(旧・旧制度)'!$B$8:$R$65536,11,FALSE))</f>
      </c>
      <c r="G34" s="493">
        <f>IF(B34="","",VLOOKUP($B34,'6-2_算定表③(旧・旧制度)'!$B$8:$R$65536,13,FALSE))</f>
      </c>
      <c r="H34" s="542">
        <f>IF(B34="","",VLOOKUP($B34,'6-2_算定表③(旧・旧制度)'!$B$8:$R$65536,14,FALSE))</f>
      </c>
      <c r="I34" s="493">
        <f>IF(B34="","",VLOOKUP($B34,'6-2_算定表③(旧・旧制度)'!$B$8:$R$65536,16,FALSE))</f>
      </c>
      <c r="J34" s="506">
        <f>IF(B34="","",VLOOKUP($B34,'6-2_算定表③(旧・旧制度)'!$B$8:$R$65536,17,FALSE))</f>
      </c>
      <c r="K34" s="543">
        <f>IF($B34="","",VLOOKUP($B34,'6-2_算定表③(旧・旧制度)'!$B$8:$R$65536,11,FALSE))</f>
      </c>
      <c r="L34" s="544">
        <f>IF($B34="","",VLOOKUP($B34,'6-2_算定表③(旧・旧制度)'!$B$8:$R$65536,11,FALSE))</f>
      </c>
      <c r="M34" s="545">
        <f>IF($B34="","",VLOOKUP($B34,'6-2_算定表③(旧・旧制度)'!$B$8:$R$65536,11,FALSE))</f>
      </c>
      <c r="N34" s="543">
        <f>IF($B34="","",VLOOKUP($B34,'6-2_算定表③(旧・旧制度)'!$B$8:$R$65536,14,FALSE))</f>
      </c>
      <c r="O34" s="544">
        <f>IF($B34="","",VLOOKUP($B34,'6-2_算定表③(旧・旧制度)'!$B$8:$R$65536,14,FALSE))</f>
      </c>
      <c r="P34" s="544">
        <f>IF($B34="","",VLOOKUP($B34,'6-2_算定表③(旧・旧制度)'!$B$8:$R$65536,14,FALSE))</f>
      </c>
      <c r="Q34" s="544">
        <f>IF($B34="","",VLOOKUP($B34,'6-2_算定表③(旧・旧制度)'!$B$8:$R$65536,14,FALSE))</f>
      </c>
      <c r="R34" s="544">
        <f>IF($B34="","",VLOOKUP($B34,'6-2_算定表③(旧・旧制度)'!$B$8:$R$65536,14,FALSE))</f>
      </c>
      <c r="S34" s="544">
        <f>IF($B34="","",VLOOKUP($B34,'6-2_算定表③(旧・旧制度)'!$B$8:$R$65536,14,FALSE))</f>
      </c>
      <c r="T34" s="544">
        <f>IF($B34="","",VLOOKUP($B34,'6-2_算定表③(旧・旧制度)'!$B$8:$R$65536,14,FALSE))</f>
      </c>
      <c r="U34" s="544">
        <f>IF($B34="","",VLOOKUP($B34,'6-2_算定表③(旧・旧制度)'!$B$8:$R$65536,14,FALSE))</f>
      </c>
      <c r="V34" s="545">
        <f>IF($B34="","",VLOOKUP($B34,'6-2_算定表③(旧・旧制度)'!$B$8:$R$65536,14,FALSE))</f>
      </c>
      <c r="W34" s="546">
        <f t="shared" si="1"/>
      </c>
      <c r="X34" s="547">
        <f t="shared" si="2"/>
      </c>
      <c r="Y34" s="546">
        <f t="shared" si="3"/>
      </c>
      <c r="Z34" s="548">
        <f t="shared" si="4"/>
      </c>
      <c r="AA34" s="537">
        <f t="shared" si="5"/>
      </c>
      <c r="AB34" s="538">
        <f t="shared" si="6"/>
      </c>
      <c r="AC34" s="537">
        <f t="shared" si="7"/>
      </c>
      <c r="AD34" s="539">
        <f t="shared" si="8"/>
      </c>
      <c r="AE34" s="506">
        <f t="shared" si="9"/>
      </c>
      <c r="AF34" s="503">
        <f t="shared" si="11"/>
      </c>
      <c r="AG34" s="851">
        <f>IF(B34="","",VLOOKUP($B34,'6-2_算定表③(旧・旧制度)'!$B$8:$AB$65536,27,FALSE))</f>
      </c>
      <c r="AH34" s="852" t="s">
        <v>205</v>
      </c>
      <c r="AI34" s="853" t="s">
        <v>205</v>
      </c>
      <c r="AK34" s="63">
        <f t="shared" si="12"/>
      </c>
      <c r="AL34" s="63">
        <f t="shared" si="10"/>
      </c>
    </row>
    <row r="35" spans="1:38" s="54" customFormat="1" ht="18.75" customHeight="1">
      <c r="A35" s="27">
        <f t="shared" si="0"/>
      </c>
      <c r="B35" s="280"/>
      <c r="C35" s="97">
        <f>IF(B35="","",VLOOKUP($B35,'6-2_算定表③(旧・旧制度)'!$B$8:$R$65536,2,FALSE))</f>
      </c>
      <c r="D35" s="541">
        <f>IF(B35="","",VLOOKUP($B35,'6-2_算定表③(旧・旧制度)'!$B$8:$R$65536,3,FALSE))</f>
      </c>
      <c r="E35" s="541">
        <f>IF(B35="","",VLOOKUP($B35,'6-2_算定表③(旧・旧制度)'!$B$8:$R$65536,4,FALSE))</f>
      </c>
      <c r="F35" s="542">
        <f>IF(B35="","",VLOOKUP($B35,'6-2_算定表③(旧・旧制度)'!$B$8:$R$65536,11,FALSE))</f>
      </c>
      <c r="G35" s="493">
        <f>IF(B35="","",VLOOKUP($B35,'6-2_算定表③(旧・旧制度)'!$B$8:$R$65536,13,FALSE))</f>
      </c>
      <c r="H35" s="542">
        <f>IF(B35="","",VLOOKUP($B35,'6-2_算定表③(旧・旧制度)'!$B$8:$R$65536,14,FALSE))</f>
      </c>
      <c r="I35" s="493">
        <f>IF(B35="","",VLOOKUP($B35,'6-2_算定表③(旧・旧制度)'!$B$8:$R$65536,16,FALSE))</f>
      </c>
      <c r="J35" s="506">
        <f>IF(B35="","",VLOOKUP($B35,'6-2_算定表③(旧・旧制度)'!$B$8:$R$65536,17,FALSE))</f>
      </c>
      <c r="K35" s="543">
        <f>IF($B35="","",VLOOKUP($B35,'6-2_算定表③(旧・旧制度)'!$B$8:$R$65536,11,FALSE))</f>
      </c>
      <c r="L35" s="544">
        <f>IF($B35="","",VLOOKUP($B35,'6-2_算定表③(旧・旧制度)'!$B$8:$R$65536,11,FALSE))</f>
      </c>
      <c r="M35" s="545">
        <f>IF($B35="","",VLOOKUP($B35,'6-2_算定表③(旧・旧制度)'!$B$8:$R$65536,11,FALSE))</f>
      </c>
      <c r="N35" s="543">
        <f>IF($B35="","",VLOOKUP($B35,'6-2_算定表③(旧・旧制度)'!$B$8:$R$65536,14,FALSE))</f>
      </c>
      <c r="O35" s="544">
        <f>IF($B35="","",VLOOKUP($B35,'6-2_算定表③(旧・旧制度)'!$B$8:$R$65536,14,FALSE))</f>
      </c>
      <c r="P35" s="544">
        <f>IF($B35="","",VLOOKUP($B35,'6-2_算定表③(旧・旧制度)'!$B$8:$R$65536,14,FALSE))</f>
      </c>
      <c r="Q35" s="544">
        <f>IF($B35="","",VLOOKUP($B35,'6-2_算定表③(旧・旧制度)'!$B$8:$R$65536,14,FALSE))</f>
      </c>
      <c r="R35" s="544">
        <f>IF($B35="","",VLOOKUP($B35,'6-2_算定表③(旧・旧制度)'!$B$8:$R$65536,14,FALSE))</f>
      </c>
      <c r="S35" s="544">
        <f>IF($B35="","",VLOOKUP($B35,'6-2_算定表③(旧・旧制度)'!$B$8:$R$65536,14,FALSE))</f>
      </c>
      <c r="T35" s="544">
        <f>IF($B35="","",VLOOKUP($B35,'6-2_算定表③(旧・旧制度)'!$B$8:$R$65536,14,FALSE))</f>
      </c>
      <c r="U35" s="544">
        <f>IF($B35="","",VLOOKUP($B35,'6-2_算定表③(旧・旧制度)'!$B$8:$R$65536,14,FALSE))</f>
      </c>
      <c r="V35" s="545">
        <f>IF($B35="","",VLOOKUP($B35,'6-2_算定表③(旧・旧制度)'!$B$8:$R$65536,14,FALSE))</f>
      </c>
      <c r="W35" s="546">
        <f t="shared" si="1"/>
      </c>
      <c r="X35" s="547">
        <f t="shared" si="2"/>
      </c>
      <c r="Y35" s="546">
        <f t="shared" si="3"/>
      </c>
      <c r="Z35" s="548">
        <f t="shared" si="4"/>
      </c>
      <c r="AA35" s="537">
        <f t="shared" si="5"/>
      </c>
      <c r="AB35" s="538">
        <f t="shared" si="6"/>
      </c>
      <c r="AC35" s="537">
        <f t="shared" si="7"/>
      </c>
      <c r="AD35" s="539">
        <f t="shared" si="8"/>
      </c>
      <c r="AE35" s="506">
        <f t="shared" si="9"/>
      </c>
      <c r="AF35" s="503">
        <f t="shared" si="11"/>
      </c>
      <c r="AG35" s="851">
        <f>IF(B35="","",VLOOKUP($B35,'6-2_算定表③(旧・旧制度)'!$B$8:$AB$65536,27,FALSE))</f>
      </c>
      <c r="AH35" s="852" t="s">
        <v>205</v>
      </c>
      <c r="AI35" s="853" t="s">
        <v>205</v>
      </c>
      <c r="AK35" s="63">
        <f t="shared" si="12"/>
      </c>
      <c r="AL35" s="63">
        <f t="shared" si="10"/>
      </c>
    </row>
    <row r="36" spans="1:38" s="54" customFormat="1" ht="18.75" customHeight="1">
      <c r="A36" s="27">
        <f t="shared" si="0"/>
      </c>
      <c r="B36" s="280"/>
      <c r="C36" s="97">
        <f>IF(B36="","",VLOOKUP($B36,'6-2_算定表③(旧・旧制度)'!$B$8:$R$65536,2,FALSE))</f>
      </c>
      <c r="D36" s="541">
        <f>IF(B36="","",VLOOKUP($B36,'6-2_算定表③(旧・旧制度)'!$B$8:$R$65536,3,FALSE))</f>
      </c>
      <c r="E36" s="541">
        <f>IF(B36="","",VLOOKUP($B36,'6-2_算定表③(旧・旧制度)'!$B$8:$R$65536,4,FALSE))</f>
      </c>
      <c r="F36" s="542">
        <f>IF(B36="","",VLOOKUP($B36,'6-2_算定表③(旧・旧制度)'!$B$8:$R$65536,11,FALSE))</f>
      </c>
      <c r="G36" s="493">
        <f>IF(B36="","",VLOOKUP($B36,'6-2_算定表③(旧・旧制度)'!$B$8:$R$65536,13,FALSE))</f>
      </c>
      <c r="H36" s="542">
        <f>IF(B36="","",VLOOKUP($B36,'6-2_算定表③(旧・旧制度)'!$B$8:$R$65536,14,FALSE))</f>
      </c>
      <c r="I36" s="493">
        <f>IF(B36="","",VLOOKUP($B36,'6-2_算定表③(旧・旧制度)'!$B$8:$R$65536,16,FALSE))</f>
      </c>
      <c r="J36" s="506">
        <f>IF(B36="","",VLOOKUP($B36,'6-2_算定表③(旧・旧制度)'!$B$8:$R$65536,17,FALSE))</f>
      </c>
      <c r="K36" s="543">
        <f>IF($B36="","",VLOOKUP($B36,'6-2_算定表③(旧・旧制度)'!$B$8:$R$65536,11,FALSE))</f>
      </c>
      <c r="L36" s="544">
        <f>IF($B36="","",VLOOKUP($B36,'6-2_算定表③(旧・旧制度)'!$B$8:$R$65536,11,FALSE))</f>
      </c>
      <c r="M36" s="545">
        <f>IF($B36="","",VLOOKUP($B36,'6-2_算定表③(旧・旧制度)'!$B$8:$R$65536,11,FALSE))</f>
      </c>
      <c r="N36" s="543">
        <f>IF($B36="","",VLOOKUP($B36,'6-2_算定表③(旧・旧制度)'!$B$8:$R$65536,14,FALSE))</f>
      </c>
      <c r="O36" s="544">
        <f>IF($B36="","",VLOOKUP($B36,'6-2_算定表③(旧・旧制度)'!$B$8:$R$65536,14,FALSE))</f>
      </c>
      <c r="P36" s="544">
        <f>IF($B36="","",VLOOKUP($B36,'6-2_算定表③(旧・旧制度)'!$B$8:$R$65536,14,FALSE))</f>
      </c>
      <c r="Q36" s="544">
        <f>IF($B36="","",VLOOKUP($B36,'6-2_算定表③(旧・旧制度)'!$B$8:$R$65536,14,FALSE))</f>
      </c>
      <c r="R36" s="544">
        <f>IF($B36="","",VLOOKUP($B36,'6-2_算定表③(旧・旧制度)'!$B$8:$R$65536,14,FALSE))</f>
      </c>
      <c r="S36" s="544">
        <f>IF($B36="","",VLOOKUP($B36,'6-2_算定表③(旧・旧制度)'!$B$8:$R$65536,14,FALSE))</f>
      </c>
      <c r="T36" s="544">
        <f>IF($B36="","",VLOOKUP($B36,'6-2_算定表③(旧・旧制度)'!$B$8:$R$65536,14,FALSE))</f>
      </c>
      <c r="U36" s="544">
        <f>IF($B36="","",VLOOKUP($B36,'6-2_算定表③(旧・旧制度)'!$B$8:$R$65536,14,FALSE))</f>
      </c>
      <c r="V36" s="545">
        <f>IF($B36="","",VLOOKUP($B36,'6-2_算定表③(旧・旧制度)'!$B$8:$R$65536,14,FALSE))</f>
      </c>
      <c r="W36" s="546">
        <f t="shared" si="1"/>
      </c>
      <c r="X36" s="547">
        <f t="shared" si="2"/>
      </c>
      <c r="Y36" s="546">
        <f t="shared" si="3"/>
      </c>
      <c r="Z36" s="548">
        <f t="shared" si="4"/>
      </c>
      <c r="AA36" s="537">
        <f t="shared" si="5"/>
      </c>
      <c r="AB36" s="538">
        <f t="shared" si="6"/>
      </c>
      <c r="AC36" s="537">
        <f t="shared" si="7"/>
      </c>
      <c r="AD36" s="539">
        <f t="shared" si="8"/>
      </c>
      <c r="AE36" s="506">
        <f t="shared" si="9"/>
      </c>
      <c r="AF36" s="503">
        <f t="shared" si="11"/>
      </c>
      <c r="AG36" s="851">
        <f>IF(B36="","",VLOOKUP($B36,'6-2_算定表③(旧・旧制度)'!$B$8:$AB$65536,27,FALSE))</f>
      </c>
      <c r="AH36" s="852" t="s">
        <v>205</v>
      </c>
      <c r="AI36" s="853" t="s">
        <v>205</v>
      </c>
      <c r="AK36" s="63">
        <f t="shared" si="12"/>
      </c>
      <c r="AL36" s="63">
        <f t="shared" si="10"/>
      </c>
    </row>
    <row r="37" spans="1:38" s="54" customFormat="1" ht="18.75" customHeight="1">
      <c r="A37" s="27">
        <f t="shared" si="0"/>
      </c>
      <c r="B37" s="280"/>
      <c r="C37" s="97">
        <f>IF(B37="","",VLOOKUP($B37,'6-2_算定表③(旧・旧制度)'!$B$8:$R$65536,2,FALSE))</f>
      </c>
      <c r="D37" s="541">
        <f>IF(B37="","",VLOOKUP($B37,'6-2_算定表③(旧・旧制度)'!$B$8:$R$65536,3,FALSE))</f>
      </c>
      <c r="E37" s="541">
        <f>IF(B37="","",VLOOKUP($B37,'6-2_算定表③(旧・旧制度)'!$B$8:$R$65536,4,FALSE))</f>
      </c>
      <c r="F37" s="542">
        <f>IF(B37="","",VLOOKUP($B37,'6-2_算定表③(旧・旧制度)'!$B$8:$R$65536,11,FALSE))</f>
      </c>
      <c r="G37" s="493">
        <f>IF(B37="","",VLOOKUP($B37,'6-2_算定表③(旧・旧制度)'!$B$8:$R$65536,13,FALSE))</f>
      </c>
      <c r="H37" s="542">
        <f>IF(B37="","",VLOOKUP($B37,'6-2_算定表③(旧・旧制度)'!$B$8:$R$65536,14,FALSE))</f>
      </c>
      <c r="I37" s="493">
        <f>IF(B37="","",VLOOKUP($B37,'6-2_算定表③(旧・旧制度)'!$B$8:$R$65536,16,FALSE))</f>
      </c>
      <c r="J37" s="506">
        <f>IF(B37="","",VLOOKUP($B37,'6-2_算定表③(旧・旧制度)'!$B$8:$R$65536,17,FALSE))</f>
      </c>
      <c r="K37" s="543">
        <f>IF($B37="","",VLOOKUP($B37,'6-2_算定表③(旧・旧制度)'!$B$8:$R$65536,11,FALSE))</f>
      </c>
      <c r="L37" s="544">
        <f>IF($B37="","",VLOOKUP($B37,'6-2_算定表③(旧・旧制度)'!$B$8:$R$65536,11,FALSE))</f>
      </c>
      <c r="M37" s="545">
        <f>IF($B37="","",VLOOKUP($B37,'6-2_算定表③(旧・旧制度)'!$B$8:$R$65536,11,FALSE))</f>
      </c>
      <c r="N37" s="543">
        <f>IF($B37="","",VLOOKUP($B37,'6-2_算定表③(旧・旧制度)'!$B$8:$R$65536,14,FALSE))</f>
      </c>
      <c r="O37" s="544">
        <f>IF($B37="","",VLOOKUP($B37,'6-2_算定表③(旧・旧制度)'!$B$8:$R$65536,14,FALSE))</f>
      </c>
      <c r="P37" s="544">
        <f>IF($B37="","",VLOOKUP($B37,'6-2_算定表③(旧・旧制度)'!$B$8:$R$65536,14,FALSE))</f>
      </c>
      <c r="Q37" s="544">
        <f>IF($B37="","",VLOOKUP($B37,'6-2_算定表③(旧・旧制度)'!$B$8:$R$65536,14,FALSE))</f>
      </c>
      <c r="R37" s="544">
        <f>IF($B37="","",VLOOKUP($B37,'6-2_算定表③(旧・旧制度)'!$B$8:$R$65536,14,FALSE))</f>
      </c>
      <c r="S37" s="544">
        <f>IF($B37="","",VLOOKUP($B37,'6-2_算定表③(旧・旧制度)'!$B$8:$R$65536,14,FALSE))</f>
      </c>
      <c r="T37" s="544">
        <f>IF($B37="","",VLOOKUP($B37,'6-2_算定表③(旧・旧制度)'!$B$8:$R$65536,14,FALSE))</f>
      </c>
      <c r="U37" s="544">
        <f>IF($B37="","",VLOOKUP($B37,'6-2_算定表③(旧・旧制度)'!$B$8:$R$65536,14,FALSE))</f>
      </c>
      <c r="V37" s="545">
        <f>IF($B37="","",VLOOKUP($B37,'6-2_算定表③(旧・旧制度)'!$B$8:$R$65536,14,FALSE))</f>
      </c>
      <c r="W37" s="546">
        <f t="shared" si="1"/>
      </c>
      <c r="X37" s="547">
        <f t="shared" si="2"/>
      </c>
      <c r="Y37" s="546">
        <f t="shared" si="3"/>
      </c>
      <c r="Z37" s="548">
        <f t="shared" si="4"/>
      </c>
      <c r="AA37" s="537">
        <f t="shared" si="5"/>
      </c>
      <c r="AB37" s="538">
        <f t="shared" si="6"/>
      </c>
      <c r="AC37" s="537">
        <f t="shared" si="7"/>
      </c>
      <c r="AD37" s="539">
        <f t="shared" si="8"/>
      </c>
      <c r="AE37" s="506">
        <f t="shared" si="9"/>
      </c>
      <c r="AF37" s="503">
        <f t="shared" si="11"/>
      </c>
      <c r="AG37" s="851">
        <f>IF(B37="","",VLOOKUP($B37,'6-2_算定表③(旧・旧制度)'!$B$8:$AB$65536,27,FALSE))</f>
      </c>
      <c r="AH37" s="852" t="s">
        <v>205</v>
      </c>
      <c r="AI37" s="853" t="s">
        <v>205</v>
      </c>
      <c r="AK37" s="63">
        <f t="shared" si="12"/>
      </c>
      <c r="AL37" s="63">
        <f t="shared" si="10"/>
      </c>
    </row>
    <row r="38" spans="1:38" s="54" customFormat="1" ht="18.75" customHeight="1" thickBot="1">
      <c r="A38" s="27">
        <f t="shared" si="0"/>
      </c>
      <c r="B38" s="280"/>
      <c r="C38" s="97">
        <f>IF(B38="","",VLOOKUP($B38,'6-2_算定表③(旧・旧制度)'!$B$8:$R$65536,2,FALSE))</f>
      </c>
      <c r="D38" s="541">
        <f>IF(B38="","",VLOOKUP($B38,'6-2_算定表③(旧・旧制度)'!$B$8:$R$65536,3,FALSE))</f>
      </c>
      <c r="E38" s="541">
        <f>IF(B38="","",VLOOKUP($B38,'6-2_算定表③(旧・旧制度)'!$B$8:$R$65536,4,FALSE))</f>
      </c>
      <c r="F38" s="542">
        <f>IF(B38="","",VLOOKUP($B38,'6-2_算定表③(旧・旧制度)'!$B$8:$R$65536,11,FALSE))</f>
      </c>
      <c r="G38" s="493">
        <f>IF(B38="","",VLOOKUP($B38,'6-2_算定表③(旧・旧制度)'!$B$8:$R$65536,13,FALSE))</f>
      </c>
      <c r="H38" s="542">
        <f>IF(B38="","",VLOOKUP($B38,'6-2_算定表③(旧・旧制度)'!$B$8:$R$65536,14,FALSE))</f>
      </c>
      <c r="I38" s="493">
        <f>IF(B38="","",VLOOKUP($B38,'6-2_算定表③(旧・旧制度)'!$B$8:$R$65536,16,FALSE))</f>
      </c>
      <c r="J38" s="506">
        <f>IF(B38="","",VLOOKUP($B38,'6-2_算定表③(旧・旧制度)'!$B$8:$R$65536,17,FALSE))</f>
      </c>
      <c r="K38" s="543">
        <f>IF($B38="","",VLOOKUP($B38,'6-2_算定表③(旧・旧制度)'!$B$8:$R$65536,11,FALSE))</f>
      </c>
      <c r="L38" s="544">
        <f>IF($B38="","",VLOOKUP($B38,'6-2_算定表③(旧・旧制度)'!$B$8:$R$65536,11,FALSE))</f>
      </c>
      <c r="M38" s="545">
        <f>IF($B38="","",VLOOKUP($B38,'6-2_算定表③(旧・旧制度)'!$B$8:$R$65536,11,FALSE))</f>
      </c>
      <c r="N38" s="543">
        <f>IF($B38="","",VLOOKUP($B38,'6-2_算定表③(旧・旧制度)'!$B$8:$R$65536,14,FALSE))</f>
      </c>
      <c r="O38" s="544">
        <f>IF($B38="","",VLOOKUP($B38,'6-2_算定表③(旧・旧制度)'!$B$8:$R$65536,14,FALSE))</f>
      </c>
      <c r="P38" s="544">
        <f>IF($B38="","",VLOOKUP($B38,'6-2_算定表③(旧・旧制度)'!$B$8:$R$65536,14,FALSE))</f>
      </c>
      <c r="Q38" s="544">
        <f>IF($B38="","",VLOOKUP($B38,'6-2_算定表③(旧・旧制度)'!$B$8:$R$65536,14,FALSE))</f>
      </c>
      <c r="R38" s="544">
        <f>IF($B38="","",VLOOKUP($B38,'6-2_算定表③(旧・旧制度)'!$B$8:$R$65536,14,FALSE))</f>
      </c>
      <c r="S38" s="544">
        <f>IF($B38="","",VLOOKUP($B38,'6-2_算定表③(旧・旧制度)'!$B$8:$R$65536,14,FALSE))</f>
      </c>
      <c r="T38" s="544">
        <f>IF($B38="","",VLOOKUP($B38,'6-2_算定表③(旧・旧制度)'!$B$8:$R$65536,14,FALSE))</f>
      </c>
      <c r="U38" s="544">
        <f>IF($B38="","",VLOOKUP($B38,'6-2_算定表③(旧・旧制度)'!$B$8:$R$65536,14,FALSE))</f>
      </c>
      <c r="V38" s="545">
        <f>IF($B38="","",VLOOKUP($B38,'6-2_算定表③(旧・旧制度)'!$B$8:$R$65536,14,FALSE))</f>
      </c>
      <c r="W38" s="546">
        <f t="shared" si="1"/>
      </c>
      <c r="X38" s="547">
        <f t="shared" si="2"/>
      </c>
      <c r="Y38" s="546">
        <f t="shared" si="3"/>
      </c>
      <c r="Z38" s="548">
        <f t="shared" si="4"/>
      </c>
      <c r="AA38" s="549">
        <f t="shared" si="5"/>
      </c>
      <c r="AB38" s="550">
        <f t="shared" si="6"/>
      </c>
      <c r="AC38" s="549">
        <f t="shared" si="7"/>
      </c>
      <c r="AD38" s="551">
        <f t="shared" si="8"/>
      </c>
      <c r="AE38" s="506">
        <f t="shared" si="9"/>
      </c>
      <c r="AF38" s="503">
        <f t="shared" si="11"/>
      </c>
      <c r="AG38" s="854">
        <f>IF(B38="","",VLOOKUP($B38,'6-2_算定表③(旧・旧制度)'!$B$8:$AB$65536,27,FALSE))</f>
      </c>
      <c r="AH38" s="855" t="s">
        <v>205</v>
      </c>
      <c r="AI38" s="856" t="s">
        <v>205</v>
      </c>
      <c r="AK38" s="63">
        <f t="shared" si="12"/>
      </c>
      <c r="AL38" s="63">
        <f t="shared" si="10"/>
      </c>
    </row>
    <row r="39" spans="1:38" s="69" customFormat="1" ht="18.75" customHeight="1" thickBot="1">
      <c r="A39" s="715" t="s">
        <v>27</v>
      </c>
      <c r="B39" s="850"/>
      <c r="C39" s="850"/>
      <c r="D39" s="850"/>
      <c r="E39" s="850"/>
      <c r="F39" s="850"/>
      <c r="G39" s="850"/>
      <c r="H39" s="850"/>
      <c r="I39" s="850"/>
      <c r="J39" s="513">
        <f>SUM(J9:J38)</f>
        <v>0</v>
      </c>
      <c r="K39" s="197" t="s">
        <v>204</v>
      </c>
      <c r="L39" s="198" t="s">
        <v>204</v>
      </c>
      <c r="M39" s="199" t="s">
        <v>204</v>
      </c>
      <c r="N39" s="197" t="s">
        <v>204</v>
      </c>
      <c r="O39" s="198" t="s">
        <v>204</v>
      </c>
      <c r="P39" s="198" t="s">
        <v>204</v>
      </c>
      <c r="Q39" s="198" t="s">
        <v>204</v>
      </c>
      <c r="R39" s="198" t="s">
        <v>204</v>
      </c>
      <c r="S39" s="198" t="s">
        <v>204</v>
      </c>
      <c r="T39" s="198" t="s">
        <v>204</v>
      </c>
      <c r="U39" s="198" t="s">
        <v>204</v>
      </c>
      <c r="V39" s="199" t="s">
        <v>204</v>
      </c>
      <c r="W39" s="197" t="s">
        <v>204</v>
      </c>
      <c r="X39" s="200" t="s">
        <v>204</v>
      </c>
      <c r="Y39" s="197" t="s">
        <v>204</v>
      </c>
      <c r="Z39" s="201" t="s">
        <v>204</v>
      </c>
      <c r="AA39" s="202" t="s">
        <v>204</v>
      </c>
      <c r="AB39" s="203" t="s">
        <v>204</v>
      </c>
      <c r="AC39" s="263" t="s">
        <v>204</v>
      </c>
      <c r="AD39" s="199" t="s">
        <v>204</v>
      </c>
      <c r="AE39" s="513">
        <f>SUM(AE9:AE38)</f>
        <v>0</v>
      </c>
      <c r="AF39" s="513">
        <f>SUM(AF9:AF38)</f>
        <v>0</v>
      </c>
      <c r="AG39" s="718"/>
      <c r="AH39" s="719"/>
      <c r="AI39" s="720"/>
      <c r="AK39" s="70"/>
      <c r="AL39" s="70"/>
    </row>
    <row r="40" spans="1:38" s="71" customFormat="1" ht="16.5" customHeight="1">
      <c r="A40" s="71" t="s">
        <v>29</v>
      </c>
      <c r="B40" s="268"/>
      <c r="C40" s="290"/>
      <c r="AK40" s="72"/>
      <c r="AL40" s="72"/>
    </row>
    <row r="41" spans="1:29" s="190" customFormat="1" ht="14.25" customHeight="1">
      <c r="A41" s="283" t="s">
        <v>254</v>
      </c>
      <c r="B41" s="269"/>
      <c r="C41" s="291"/>
      <c r="Z41" s="191"/>
      <c r="AA41" s="191"/>
      <c r="AC41" s="191"/>
    </row>
    <row r="42" spans="1:38" s="190" customFormat="1" ht="11.25">
      <c r="A42" s="283" t="s">
        <v>71</v>
      </c>
      <c r="C42" s="291"/>
      <c r="AK42" s="191"/>
      <c r="AL42" s="191"/>
    </row>
    <row r="43" spans="1:38" s="190" customFormat="1" ht="10.5" customHeight="1">
      <c r="A43" s="283" t="s">
        <v>179</v>
      </c>
      <c r="B43" s="269"/>
      <c r="C43" s="291"/>
      <c r="AK43" s="191"/>
      <c r="AL43" s="191"/>
    </row>
    <row r="44" spans="2:38" s="71" customFormat="1" ht="10.5" customHeight="1">
      <c r="B44" s="268"/>
      <c r="C44" s="290"/>
      <c r="AK44" s="72"/>
      <c r="AL44" s="72"/>
    </row>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sheetData>
  <sheetProtection/>
  <mergeCells count="73">
    <mergeCell ref="W1:Y1"/>
    <mergeCell ref="Z1:AF1"/>
    <mergeCell ref="AH1:AI1"/>
    <mergeCell ref="W2:Y2"/>
    <mergeCell ref="Z2:AF2"/>
    <mergeCell ref="AH2:AI2"/>
    <mergeCell ref="A4:A8"/>
    <mergeCell ref="B4:B8"/>
    <mergeCell ref="C4:C8"/>
    <mergeCell ref="D4:D8"/>
    <mergeCell ref="E4:E8"/>
    <mergeCell ref="F4:J4"/>
    <mergeCell ref="I6:I7"/>
    <mergeCell ref="J6:J7"/>
    <mergeCell ref="K4:AD4"/>
    <mergeCell ref="AE4:AE7"/>
    <mergeCell ref="AF4:AF7"/>
    <mergeCell ref="AG4:AI8"/>
    <mergeCell ref="F5:J5"/>
    <mergeCell ref="K5:V5"/>
    <mergeCell ref="W5:AD5"/>
    <mergeCell ref="F6:F8"/>
    <mergeCell ref="G6:G7"/>
    <mergeCell ref="H6:H8"/>
    <mergeCell ref="K6:M6"/>
    <mergeCell ref="N6:V6"/>
    <mergeCell ref="W6:W8"/>
    <mergeCell ref="X6:X8"/>
    <mergeCell ref="Y6:Y8"/>
    <mergeCell ref="Z6:Z8"/>
    <mergeCell ref="Q7:Q8"/>
    <mergeCell ref="R7:R8"/>
    <mergeCell ref="S7:S8"/>
    <mergeCell ref="T7:T8"/>
    <mergeCell ref="K7:K8"/>
    <mergeCell ref="L7:L8"/>
    <mergeCell ref="M7:M8"/>
    <mergeCell ref="N7:N8"/>
    <mergeCell ref="O7:O8"/>
    <mergeCell ref="P7:P8"/>
    <mergeCell ref="U7:U8"/>
    <mergeCell ref="V7:V8"/>
    <mergeCell ref="AK7:AK8"/>
    <mergeCell ref="AL7:AL8"/>
    <mergeCell ref="AG9:AI9"/>
    <mergeCell ref="AA6:AA8"/>
    <mergeCell ref="AB6:AB8"/>
    <mergeCell ref="AC6:AC8"/>
    <mergeCell ref="AD6:AD8"/>
    <mergeCell ref="AG11:AI11"/>
    <mergeCell ref="AG12:AI12"/>
    <mergeCell ref="AG13:AI13"/>
    <mergeCell ref="AG14:AI14"/>
    <mergeCell ref="AG17:AI17"/>
    <mergeCell ref="AG18:AI18"/>
    <mergeCell ref="AG19:AI19"/>
    <mergeCell ref="AG22:AI22"/>
    <mergeCell ref="AG23:AI23"/>
    <mergeCell ref="AG25:AI25"/>
    <mergeCell ref="AG26:AI26"/>
    <mergeCell ref="AG28:AI28"/>
    <mergeCell ref="AG29:AI29"/>
    <mergeCell ref="AG30:AI30"/>
    <mergeCell ref="AG31:AI31"/>
    <mergeCell ref="AG32:AI32"/>
    <mergeCell ref="AG33:AI33"/>
    <mergeCell ref="AG34:AI34"/>
    <mergeCell ref="AG35:AI35"/>
    <mergeCell ref="AG36:AI36"/>
    <mergeCell ref="AG37:AI37"/>
    <mergeCell ref="AG38:AI38"/>
    <mergeCell ref="A39:I39"/>
    <mergeCell ref="AG39:AI39"/>
  </mergeCells>
  <dataValidations count="2">
    <dataValidation type="whole" allowBlank="1" showInputMessage="1" showErrorMessage="1" sqref="B14:B38">
      <formula1>1</formula1>
      <formula2>999999</formula2>
    </dataValidation>
    <dataValidation type="list" allowBlank="1" showInputMessage="1" showErrorMessage="1" sqref="K9:V38">
      <formula1>"Ａ,Ｂ,Ｃ,Ｄ"</formula1>
    </dataValidation>
  </dataValidations>
  <printOptions/>
  <pageMargins left="0.7480314960629921" right="0.7480314960629921" top="0.984251968503937" bottom="0.984251968503937" header="0.5118110236220472" footer="0.5118110236220472"/>
  <pageSetup cellComments="asDisplayed" fitToWidth="0" horizontalDpi="600" verticalDpi="600" orientation="landscape" paperSize="9" scale="59" r:id="rId1"/>
</worksheet>
</file>

<file path=xl/worksheets/sheet12.xml><?xml version="1.0" encoding="utf-8"?>
<worksheet xmlns="http://schemas.openxmlformats.org/spreadsheetml/2006/main" xmlns:r="http://schemas.openxmlformats.org/officeDocument/2006/relationships">
  <sheetPr>
    <tabColor rgb="FF00B0F0"/>
  </sheetPr>
  <dimension ref="A1:W41"/>
  <sheetViews>
    <sheetView view="pageBreakPreview" zoomScaleNormal="75" zoomScaleSheetLayoutView="100" zoomScalePageLayoutView="0" workbookViewId="0" topLeftCell="A1">
      <pane xSplit="1" ySplit="8" topLeftCell="B9" activePane="bottomRight" state="frozen"/>
      <selection pane="topLeft" activeCell="A2" sqref="A2"/>
      <selection pane="topRight" activeCell="A2" sqref="A2"/>
      <selection pane="bottomLeft" activeCell="A2" sqref="A2"/>
      <selection pane="bottomRight" activeCell="A2" sqref="A2"/>
    </sheetView>
  </sheetViews>
  <sheetFormatPr defaultColWidth="9.625" defaultRowHeight="13.5"/>
  <cols>
    <col min="1" max="1" width="6.875" style="40" customWidth="1"/>
    <col min="2" max="4" width="12.50390625" style="40" customWidth="1"/>
    <col min="5" max="5" width="10.25390625" style="40" bestFit="1" customWidth="1"/>
    <col min="6" max="6" width="13.625" style="40" customWidth="1"/>
    <col min="7" max="7" width="13.00390625" style="40" customWidth="1"/>
    <col min="8" max="8" width="11.25390625" style="40" bestFit="1" customWidth="1"/>
    <col min="9" max="10" width="12.25390625" style="40" bestFit="1" customWidth="1"/>
    <col min="11" max="11" width="5.125" style="40" customWidth="1"/>
    <col min="12" max="12" width="10.00390625" style="40" customWidth="1"/>
    <col min="13" max="13" width="8.25390625" style="40" customWidth="1"/>
    <col min="14" max="14" width="14.875" style="40" customWidth="1"/>
    <col min="15" max="15" width="8.25390625" style="40" customWidth="1"/>
    <col min="16" max="16" width="14.875" style="40" customWidth="1"/>
    <col min="17" max="17" width="8.25390625" style="344" customWidth="1"/>
    <col min="18" max="18" width="14.875" style="344" customWidth="1"/>
    <col min="19" max="19" width="3.125" style="40" customWidth="1"/>
    <col min="20" max="21" width="5.625" style="40" customWidth="1"/>
    <col min="22" max="22" width="8.25390625" style="40" customWidth="1"/>
    <col min="23" max="16384" width="9.625" style="40" customWidth="1"/>
  </cols>
  <sheetData>
    <row r="1" ht="18.75" customHeight="1" thickBot="1">
      <c r="A1" s="38" t="s">
        <v>244</v>
      </c>
    </row>
    <row r="2" spans="8:18" ht="24.75" customHeight="1" thickBot="1">
      <c r="H2" s="416"/>
      <c r="I2" s="948"/>
      <c r="J2" s="949"/>
      <c r="K2" s="949"/>
      <c r="L2" s="703" t="s">
        <v>25</v>
      </c>
      <c r="M2" s="704"/>
      <c r="N2" s="707">
        <f>'5_総括表'!E3</f>
        <v>0</v>
      </c>
      <c r="O2" s="708"/>
      <c r="P2" s="703" t="s">
        <v>26</v>
      </c>
      <c r="Q2" s="704"/>
      <c r="R2" s="180">
        <f>'5_総括表'!Z3</f>
        <v>0</v>
      </c>
    </row>
    <row r="3" spans="1:18" ht="24.75" customHeight="1" thickBot="1">
      <c r="A3" s="38"/>
      <c r="F3" s="130"/>
      <c r="G3" s="130"/>
      <c r="H3" s="416"/>
      <c r="I3" s="948"/>
      <c r="J3" s="949"/>
      <c r="K3" s="949"/>
      <c r="L3" s="705" t="s">
        <v>23</v>
      </c>
      <c r="M3" s="706"/>
      <c r="N3" s="707">
        <f>'5_総括表'!E4</f>
        <v>0</v>
      </c>
      <c r="O3" s="708"/>
      <c r="P3" s="705" t="s">
        <v>24</v>
      </c>
      <c r="Q3" s="706"/>
      <c r="R3" s="414">
        <f>'5_総括表'!Z4</f>
        <v>0</v>
      </c>
    </row>
    <row r="4" spans="1:9" ht="18.75" customHeight="1" thickBot="1">
      <c r="A4" s="330" t="s">
        <v>224</v>
      </c>
      <c r="F4" s="131"/>
      <c r="G4" s="131"/>
      <c r="H4" s="131"/>
      <c r="I4" s="131"/>
    </row>
    <row r="5" spans="1:18" s="44" customFormat="1" ht="19.5" customHeight="1" thickBot="1">
      <c r="A5" s="132" t="s">
        <v>17</v>
      </c>
      <c r="B5" s="669" t="s">
        <v>125</v>
      </c>
      <c r="C5" s="334"/>
      <c r="D5" s="335"/>
      <c r="E5" s="670" t="s">
        <v>160</v>
      </c>
      <c r="F5" s="174"/>
      <c r="G5" s="175"/>
      <c r="H5" s="672" t="s">
        <v>147</v>
      </c>
      <c r="I5" s="674" t="s">
        <v>148</v>
      </c>
      <c r="J5" s="674" t="s">
        <v>149</v>
      </c>
      <c r="K5" s="664" t="s">
        <v>245</v>
      </c>
      <c r="L5" s="665"/>
      <c r="M5" s="665"/>
      <c r="N5" s="666"/>
      <c r="O5" s="667" t="s">
        <v>246</v>
      </c>
      <c r="P5" s="668"/>
      <c r="Q5" s="667" t="s">
        <v>247</v>
      </c>
      <c r="R5" s="668"/>
    </row>
    <row r="6" spans="1:20" s="44" customFormat="1" ht="38.25" customHeight="1" thickBot="1">
      <c r="A6" s="676" t="s">
        <v>119</v>
      </c>
      <c r="B6" s="670"/>
      <c r="C6" s="336" t="s">
        <v>211</v>
      </c>
      <c r="D6" s="336" t="s">
        <v>67</v>
      </c>
      <c r="E6" s="671"/>
      <c r="F6" s="133" t="s">
        <v>141</v>
      </c>
      <c r="G6" s="135" t="s">
        <v>124</v>
      </c>
      <c r="H6" s="673"/>
      <c r="I6" s="670"/>
      <c r="J6" s="675"/>
      <c r="K6" s="133" t="s">
        <v>21</v>
      </c>
      <c r="L6" s="134" t="s">
        <v>50</v>
      </c>
      <c r="M6" s="135" t="s">
        <v>49</v>
      </c>
      <c r="N6" s="408" t="s">
        <v>68</v>
      </c>
      <c r="O6" s="135" t="s">
        <v>49</v>
      </c>
      <c r="P6" s="136" t="s">
        <v>68</v>
      </c>
      <c r="Q6" s="401" t="s">
        <v>49</v>
      </c>
      <c r="R6" s="402" t="s">
        <v>68</v>
      </c>
      <c r="T6" s="137" t="s">
        <v>70</v>
      </c>
    </row>
    <row r="7" spans="1:20" s="44" customFormat="1" ht="20.25" customHeight="1" thickBot="1">
      <c r="A7" s="677"/>
      <c r="B7" s="48" t="s">
        <v>126</v>
      </c>
      <c r="C7" s="48" t="s">
        <v>127</v>
      </c>
      <c r="D7" s="48" t="s">
        <v>128</v>
      </c>
      <c r="E7" s="48" t="s">
        <v>144</v>
      </c>
      <c r="F7" s="138" t="s">
        <v>129</v>
      </c>
      <c r="G7" s="140" t="s">
        <v>130</v>
      </c>
      <c r="H7" s="170" t="s">
        <v>131</v>
      </c>
      <c r="I7" s="48" t="s">
        <v>132</v>
      </c>
      <c r="J7" s="47" t="s">
        <v>133</v>
      </c>
      <c r="K7" s="138"/>
      <c r="L7" s="139"/>
      <c r="M7" s="140"/>
      <c r="N7" s="393" t="s">
        <v>102</v>
      </c>
      <c r="O7" s="140"/>
      <c r="P7" s="141" t="s">
        <v>102</v>
      </c>
      <c r="Q7" s="403"/>
      <c r="R7" s="404"/>
      <c r="T7" s="142"/>
    </row>
    <row r="8" spans="1:18" s="149" customFormat="1" ht="20.25" customHeight="1" thickBot="1">
      <c r="A8" s="143"/>
      <c r="B8" s="144" t="s">
        <v>19</v>
      </c>
      <c r="C8" s="144" t="s">
        <v>19</v>
      </c>
      <c r="D8" s="144" t="s">
        <v>19</v>
      </c>
      <c r="E8" s="144" t="s">
        <v>145</v>
      </c>
      <c r="F8" s="145" t="s">
        <v>142</v>
      </c>
      <c r="G8" s="147" t="s">
        <v>143</v>
      </c>
      <c r="H8" s="171" t="s">
        <v>22</v>
      </c>
      <c r="I8" s="144" t="s">
        <v>22</v>
      </c>
      <c r="J8" s="144" t="s">
        <v>22</v>
      </c>
      <c r="K8" s="145"/>
      <c r="L8" s="146" t="s">
        <v>20</v>
      </c>
      <c r="M8" s="147" t="s">
        <v>19</v>
      </c>
      <c r="N8" s="395" t="s">
        <v>20</v>
      </c>
      <c r="O8" s="147" t="s">
        <v>19</v>
      </c>
      <c r="P8" s="148" t="s">
        <v>20</v>
      </c>
      <c r="Q8" s="405" t="s">
        <v>19</v>
      </c>
      <c r="R8" s="406" t="s">
        <v>20</v>
      </c>
    </row>
    <row r="9" spans="1:20" s="44" customFormat="1" ht="18" customHeight="1" thickBot="1">
      <c r="A9" s="678">
        <v>1</v>
      </c>
      <c r="B9" s="908"/>
      <c r="C9" s="908"/>
      <c r="D9" s="908"/>
      <c r="E9" s="904"/>
      <c r="F9" s="469"/>
      <c r="G9" s="470"/>
      <c r="H9" s="593">
        <f>IF(F9="","",IF(ISERROR(F9+ROUNDDOWN(G9*3/74,0)),"",F9+ROUNDDOWN(G9*3/74,0)))</f>
      </c>
      <c r="I9" s="594">
        <f>IF(H9="","",IF(H9&gt;10032,10032,H9))</f>
      </c>
      <c r="J9" s="595">
        <f>IF(H9="","",MIN(H9,I9))</f>
      </c>
      <c r="K9" s="152" t="s">
        <v>84</v>
      </c>
      <c r="L9" s="74">
        <v>1532</v>
      </c>
      <c r="M9" s="444"/>
      <c r="N9" s="445"/>
      <c r="O9" s="425">
        <f>SUMIF('6-2_算定表④(旧・新制度)'!$AF:$AF,$T9,'6-2_算定表④(旧・新制度)'!$AG:$AG)</f>
        <v>0</v>
      </c>
      <c r="P9" s="153">
        <f>SUMIF('6-2_算定表④(旧・新制度)'!$AF:$AF,$T9,'6-2_算定表④(旧・新制度)'!$AA:$AA)</f>
        <v>0</v>
      </c>
      <c r="Q9" s="427">
        <f>O9-M9</f>
        <v>0</v>
      </c>
      <c r="R9" s="428">
        <f>P9-N9</f>
        <v>0</v>
      </c>
      <c r="T9" s="154" t="str">
        <f>ASC($A$9&amp;$K9)</f>
        <v>1A</v>
      </c>
    </row>
    <row r="10" spans="1:22" s="44" customFormat="1" ht="18" customHeight="1" thickBot="1">
      <c r="A10" s="678"/>
      <c r="B10" s="909"/>
      <c r="C10" s="909"/>
      <c r="D10" s="909"/>
      <c r="E10" s="905"/>
      <c r="F10" s="469"/>
      <c r="G10" s="470"/>
      <c r="H10" s="593">
        <f>IF(F10="","",IF(ISERROR(F10+ROUNDDOWN(G10*3/74,0)),"",F10+ROUNDDOWN(G10*3/74,0)))</f>
      </c>
      <c r="I10" s="594">
        <f aca="true" t="shared" si="0" ref="I10:I20">IF(H10="","",IF(H10&gt;10032,10032,H10))</f>
      </c>
      <c r="J10" s="595">
        <f>IF(H10="","",MIN(H10,I10))</f>
      </c>
      <c r="K10" s="155" t="s">
        <v>90</v>
      </c>
      <c r="L10" s="273">
        <v>1532</v>
      </c>
      <c r="M10" s="446"/>
      <c r="N10" s="447"/>
      <c r="O10" s="429">
        <f>SUMIF('6-2_算定表④(旧・新制度)'!$AF:$AF,$T10,'6-2_算定表④(旧・新制度)'!$AG:$AG)</f>
        <v>0</v>
      </c>
      <c r="P10" s="157">
        <f>SUMIF('6-2_算定表④(旧・新制度)'!$AF:$AF,$T10,'6-2_算定表④(旧・新制度)'!$AA:$AA)</f>
        <v>0</v>
      </c>
      <c r="Q10" s="427">
        <f aca="true" t="shared" si="1" ref="Q10:R22">O10-M10</f>
        <v>0</v>
      </c>
      <c r="R10" s="428">
        <f t="shared" si="1"/>
        <v>0</v>
      </c>
      <c r="T10" s="158" t="str">
        <f>ASC($A$9&amp;$K10)</f>
        <v>1B</v>
      </c>
      <c r="V10" s="56" t="s">
        <v>8</v>
      </c>
    </row>
    <row r="11" spans="1:21" s="44" customFormat="1" ht="18" customHeight="1" thickBot="1">
      <c r="A11" s="678"/>
      <c r="B11" s="909"/>
      <c r="C11" s="909"/>
      <c r="D11" s="909"/>
      <c r="E11" s="905"/>
      <c r="F11" s="469"/>
      <c r="G11" s="470"/>
      <c r="H11" s="593">
        <f>IF(F11="","",IF(ISERROR(F11+ROUNDDOWN(G11*3/74,0)),"",F11+ROUNDDOWN(G11*3/74,0)))</f>
      </c>
      <c r="I11" s="594">
        <f>IF(H11="","",IF(H11&gt;10032,10032,H11))</f>
      </c>
      <c r="J11" s="595">
        <f>IF(H11="","",MIN(H11,I11))</f>
      </c>
      <c r="K11" s="155" t="s">
        <v>206</v>
      </c>
      <c r="L11" s="274">
        <v>2814</v>
      </c>
      <c r="M11" s="446"/>
      <c r="N11" s="447"/>
      <c r="O11" s="429">
        <f>SUMIF('6-2_算定表④(旧・新制度)'!$AF:$AF,T11,'6-2_算定表④(旧・新制度)'!$AG:$AG)+SUMIF('6-2_算定表④(旧・新制度)'!$AF:$AF,U11,'6-2_算定表④(旧・新制度)'!$AG:$AG)</f>
        <v>0</v>
      </c>
      <c r="P11" s="157">
        <f>SUMIF('6-2_算定表④(旧・新制度)'!$AF:$AF,$T11,'6-2_算定表④(旧・新制度)'!$AA:$AA)+SUMIF('6-2_算定表④(旧・新制度)'!$AF:$AF,U11,'6-2_算定表④(旧・新制度)'!$AA:$AA)</f>
        <v>0</v>
      </c>
      <c r="Q11" s="431">
        <f t="shared" si="1"/>
        <v>0</v>
      </c>
      <c r="R11" s="432">
        <f t="shared" si="1"/>
        <v>0</v>
      </c>
      <c r="T11" s="158" t="str">
        <f>ASC($A$9&amp;$K11)</f>
        <v>1C1</v>
      </c>
      <c r="U11" s="306"/>
    </row>
    <row r="12" spans="1:21" s="44" customFormat="1" ht="18" customHeight="1" thickBot="1">
      <c r="A12" s="678"/>
      <c r="B12" s="909"/>
      <c r="C12" s="909"/>
      <c r="D12" s="909"/>
      <c r="E12" s="905"/>
      <c r="F12" s="469"/>
      <c r="G12" s="470"/>
      <c r="H12" s="593">
        <f aca="true" t="shared" si="2" ref="H12:H20">IF(F12="","",IF(ISERROR(F12+ROUNDDOWN(G12*3/74,0)),"",F12+ROUNDDOWN(G12*3/74,0)))</f>
      </c>
      <c r="I12" s="594">
        <f t="shared" si="0"/>
      </c>
      <c r="J12" s="595">
        <f>IF(H12="","",MIN(H12,I12))</f>
      </c>
      <c r="K12" s="155" t="s">
        <v>207</v>
      </c>
      <c r="L12" s="274">
        <v>5220</v>
      </c>
      <c r="M12" s="446"/>
      <c r="N12" s="447"/>
      <c r="O12" s="429">
        <f>SUMIF('6-2_算定表④(旧・新制度)'!$AF:$AF,T12,'6-2_算定表④(旧・新制度)'!$AG:$AG)+SUMIF('6-2_算定表④(旧・新制度)'!$AF:$AF,U12,'6-2_算定表④(旧・新制度)'!$AG:$AG)</f>
        <v>0</v>
      </c>
      <c r="P12" s="157">
        <f>SUMIF('6-2_算定表④(旧・新制度)'!$AF:$AF,$T12,'6-2_算定表④(旧・新制度)'!$AA:$AA)+SUMIF('6-2_算定表④(旧・新制度)'!$AF:$AF,U12,'6-2_算定表④(旧・新制度)'!$AA:$AA)</f>
        <v>0</v>
      </c>
      <c r="Q12" s="431">
        <f t="shared" si="1"/>
        <v>0</v>
      </c>
      <c r="R12" s="432">
        <f t="shared" si="1"/>
        <v>0</v>
      </c>
      <c r="T12" s="158" t="str">
        <f>ASC($A$9&amp;$K12)</f>
        <v>1C2</v>
      </c>
      <c r="U12" s="306"/>
    </row>
    <row r="13" spans="1:20" s="44" customFormat="1" ht="18" customHeight="1" thickBot="1">
      <c r="A13" s="678"/>
      <c r="B13" s="909"/>
      <c r="C13" s="909"/>
      <c r="D13" s="909"/>
      <c r="E13" s="905"/>
      <c r="F13" s="469"/>
      <c r="G13" s="470"/>
      <c r="H13" s="593"/>
      <c r="I13" s="594"/>
      <c r="J13" s="595"/>
      <c r="K13" s="123" t="s">
        <v>174</v>
      </c>
      <c r="L13" s="275" t="s">
        <v>155</v>
      </c>
      <c r="M13" s="446"/>
      <c r="N13" s="447"/>
      <c r="O13" s="429">
        <f>SUMIF('6-2_算定表④(旧・新制度)'!$AF:$AF,$T13,'6-2_算定表④(旧・新制度)'!$AG:$AG)</f>
        <v>0</v>
      </c>
      <c r="P13" s="157">
        <f>SUMIF('6-2_算定表④(旧・新制度)'!$AF:$AF,$T13,'6-2_算定表④(旧・新制度)'!$AA:$AA)</f>
        <v>0</v>
      </c>
      <c r="Q13" s="431">
        <f>O13-M13</f>
        <v>0</v>
      </c>
      <c r="R13" s="432">
        <f>P13-N13</f>
        <v>0</v>
      </c>
      <c r="T13" s="158" t="str">
        <f>ASC($A$9&amp;$K13)</f>
        <v>1D</v>
      </c>
    </row>
    <row r="14" spans="1:18" s="44" customFormat="1" ht="18" customHeight="1" thickBot="1">
      <c r="A14" s="678"/>
      <c r="B14" s="909"/>
      <c r="C14" s="909"/>
      <c r="D14" s="909"/>
      <c r="E14" s="906"/>
      <c r="F14" s="471"/>
      <c r="G14" s="472"/>
      <c r="H14" s="596">
        <f t="shared" si="2"/>
      </c>
      <c r="I14" s="597">
        <f t="shared" si="0"/>
      </c>
      <c r="J14" s="598">
        <f>IF(H14="","",MIN(H14,I14))</f>
      </c>
      <c r="K14" s="684" t="s">
        <v>120</v>
      </c>
      <c r="L14" s="685"/>
      <c r="M14" s="433">
        <f aca="true" t="shared" si="3" ref="M14:R14">SUM(M9:M13)</f>
        <v>0</v>
      </c>
      <c r="N14" s="434">
        <f t="shared" si="3"/>
        <v>0</v>
      </c>
      <c r="O14" s="433">
        <f t="shared" si="3"/>
        <v>0</v>
      </c>
      <c r="P14" s="161">
        <f t="shared" si="3"/>
        <v>0</v>
      </c>
      <c r="Q14" s="436">
        <f t="shared" si="3"/>
        <v>0</v>
      </c>
      <c r="R14" s="437">
        <f t="shared" si="3"/>
        <v>0</v>
      </c>
    </row>
    <row r="15" spans="1:23" s="44" customFormat="1" ht="18" customHeight="1" thickBot="1" thickTop="1">
      <c r="A15" s="686">
        <v>2</v>
      </c>
      <c r="B15" s="909"/>
      <c r="C15" s="909"/>
      <c r="D15" s="909"/>
      <c r="E15" s="910"/>
      <c r="F15" s="599"/>
      <c r="G15" s="600"/>
      <c r="H15" s="593">
        <f t="shared" si="2"/>
      </c>
      <c r="I15" s="594">
        <f t="shared" si="0"/>
      </c>
      <c r="J15" s="595">
        <f>IF(H15="","",MIN(H15,I15))</f>
      </c>
      <c r="K15" s="152" t="s">
        <v>84</v>
      </c>
      <c r="L15" s="74">
        <v>1532</v>
      </c>
      <c r="M15" s="444"/>
      <c r="N15" s="445"/>
      <c r="O15" s="425">
        <f>SUMIF('6-2_算定表④(旧・新制度)'!$AF:$AF,$T15,'6-2_算定表④(旧・新制度)'!$AG:$AG)</f>
        <v>0</v>
      </c>
      <c r="P15" s="153">
        <f>SUMIF('6-2_算定表④(旧・新制度)'!$AF:$AF,$T15,'6-2_算定表④(旧・新制度)'!$AA:$AA)</f>
        <v>0</v>
      </c>
      <c r="Q15" s="458">
        <f t="shared" si="1"/>
        <v>0</v>
      </c>
      <c r="R15" s="459">
        <f t="shared" si="1"/>
        <v>0</v>
      </c>
      <c r="T15" s="154" t="str">
        <f>ASC($A$15&amp;$K15)</f>
        <v>2A</v>
      </c>
      <c r="V15" s="162" t="s">
        <v>9</v>
      </c>
      <c r="W15" s="64" t="str">
        <f>IF(D9&gt;=O14,"OK","ERR")</f>
        <v>OK</v>
      </c>
    </row>
    <row r="16" spans="1:23" s="44" customFormat="1" ht="18" customHeight="1" thickBot="1" thickTop="1">
      <c r="A16" s="678"/>
      <c r="B16" s="909"/>
      <c r="C16" s="909"/>
      <c r="D16" s="909"/>
      <c r="E16" s="911"/>
      <c r="F16" s="599"/>
      <c r="G16" s="600"/>
      <c r="H16" s="593">
        <f t="shared" si="2"/>
      </c>
      <c r="I16" s="594">
        <f t="shared" si="0"/>
      </c>
      <c r="J16" s="595">
        <f>IF(H16="","",MIN(H16,I16))</f>
      </c>
      <c r="K16" s="155" t="s">
        <v>90</v>
      </c>
      <c r="L16" s="273">
        <v>1532</v>
      </c>
      <c r="M16" s="446"/>
      <c r="N16" s="447"/>
      <c r="O16" s="429">
        <f>SUMIF('6-2_算定表④(旧・新制度)'!$AF:$AF,$T16,'6-2_算定表④(旧・新制度)'!$AG:$AG)</f>
        <v>0</v>
      </c>
      <c r="P16" s="157">
        <f>SUMIF('6-2_算定表④(旧・新制度)'!$AF:$AF,$T16,'6-2_算定表④(旧・新制度)'!$AA:$AA)</f>
        <v>0</v>
      </c>
      <c r="Q16" s="431">
        <f t="shared" si="1"/>
        <v>0</v>
      </c>
      <c r="R16" s="432">
        <f t="shared" si="1"/>
        <v>0</v>
      </c>
      <c r="T16" s="158" t="str">
        <f>ASC($A$15&amp;$K16)</f>
        <v>2B</v>
      </c>
      <c r="V16" s="162" t="s">
        <v>10</v>
      </c>
      <c r="W16" s="64" t="str">
        <f>IF(D15&gt;=O20,"OK","ERR")</f>
        <v>OK</v>
      </c>
    </row>
    <row r="17" spans="1:23" s="44" customFormat="1" ht="18" customHeight="1" thickBot="1" thickTop="1">
      <c r="A17" s="678"/>
      <c r="B17" s="909"/>
      <c r="C17" s="909"/>
      <c r="D17" s="909"/>
      <c r="E17" s="911"/>
      <c r="F17" s="599"/>
      <c r="G17" s="600"/>
      <c r="H17" s="593">
        <f>IF(F17="","",IF(ISERROR(F17+ROUNDDOWN(G17*3/74,0)),"",F17+ROUNDDOWN(G17*3/74,0)))</f>
      </c>
      <c r="I17" s="594">
        <f>IF(H17="","",IF(H17&gt;10032,10032,H17))</f>
      </c>
      <c r="J17" s="595">
        <f>IF(H17="","",MIN(H17,I17))</f>
      </c>
      <c r="K17" s="155" t="s">
        <v>206</v>
      </c>
      <c r="L17" s="274">
        <v>2814</v>
      </c>
      <c r="M17" s="446"/>
      <c r="N17" s="447"/>
      <c r="O17" s="429">
        <f>SUMIF('6-2_算定表④(旧・新制度)'!$AF:$AF,T17,'6-2_算定表④(旧・新制度)'!$AG:$AG)+SUMIF('6-2_算定表④(旧・新制度)'!$AF:$AF,U17,'6-2_算定表④(旧・新制度)'!$AG:$AG)</f>
        <v>0</v>
      </c>
      <c r="P17" s="157">
        <f>SUMIF('6-2_算定表④(旧・新制度)'!$AF:$AF,$T17,'6-2_算定表④(旧・新制度)'!$AA:$AA)+SUMIF('6-2_算定表④(旧・新制度)'!$AF:$AF,U17,'6-2_算定表④(旧・新制度)'!$AA:$AA)</f>
        <v>0</v>
      </c>
      <c r="Q17" s="431">
        <f t="shared" si="1"/>
        <v>0</v>
      </c>
      <c r="R17" s="432">
        <f t="shared" si="1"/>
        <v>0</v>
      </c>
      <c r="T17" s="158" t="str">
        <f>ASC($A$15&amp;$K17)</f>
        <v>2C1</v>
      </c>
      <c r="U17" s="306"/>
      <c r="V17" s="162"/>
      <c r="W17" s="64"/>
    </row>
    <row r="18" spans="1:23" s="44" customFormat="1" ht="18" customHeight="1" thickBot="1" thickTop="1">
      <c r="A18" s="678"/>
      <c r="B18" s="909"/>
      <c r="C18" s="909"/>
      <c r="D18" s="909"/>
      <c r="E18" s="911"/>
      <c r="F18" s="599"/>
      <c r="G18" s="600"/>
      <c r="H18" s="593">
        <f t="shared" si="2"/>
      </c>
      <c r="I18" s="594">
        <f t="shared" si="0"/>
      </c>
      <c r="J18" s="595">
        <f>IF(H18="","",MIN(H18,I18))</f>
      </c>
      <c r="K18" s="155" t="s">
        <v>207</v>
      </c>
      <c r="L18" s="274">
        <v>5220</v>
      </c>
      <c r="M18" s="446"/>
      <c r="N18" s="447"/>
      <c r="O18" s="429">
        <f>SUMIF('6-2_算定表④(旧・新制度)'!$AF:$AF,T18,'6-2_算定表④(旧・新制度)'!$AG:$AG)+SUMIF('6-2_算定表④(旧・新制度)'!$AF:$AF,U18,'6-2_算定表④(旧・新制度)'!$AG:$AG)</f>
        <v>0</v>
      </c>
      <c r="P18" s="157">
        <f>SUMIF('6-2_算定表④(旧・新制度)'!$AF:$AF,$T18,'6-2_算定表④(旧・新制度)'!$AA:$AA)+SUMIF('6-2_算定表④(旧・新制度)'!$AF:$AF,U18,'6-2_算定表④(旧・新制度)'!$AA:$AA)</f>
        <v>0</v>
      </c>
      <c r="Q18" s="431">
        <f>O18-M18</f>
        <v>0</v>
      </c>
      <c r="R18" s="432">
        <f>P18-N18</f>
        <v>0</v>
      </c>
      <c r="T18" s="158" t="str">
        <f>ASC($A$15&amp;$K18)</f>
        <v>2C2</v>
      </c>
      <c r="U18" s="306"/>
      <c r="V18" s="162" t="s">
        <v>11</v>
      </c>
      <c r="W18" s="64" t="str">
        <f>IF(D21&gt;=O26,"OK","ERR")</f>
        <v>OK</v>
      </c>
    </row>
    <row r="19" spans="1:20" s="44" customFormat="1" ht="18" customHeight="1" thickBot="1">
      <c r="A19" s="678"/>
      <c r="B19" s="909"/>
      <c r="C19" s="909"/>
      <c r="D19" s="909"/>
      <c r="E19" s="911"/>
      <c r="F19" s="599"/>
      <c r="G19" s="600"/>
      <c r="H19" s="593"/>
      <c r="I19" s="594"/>
      <c r="J19" s="595"/>
      <c r="K19" s="123" t="s">
        <v>174</v>
      </c>
      <c r="L19" s="275" t="s">
        <v>155</v>
      </c>
      <c r="M19" s="444"/>
      <c r="N19" s="457"/>
      <c r="O19" s="425">
        <f>SUMIF('6-2_算定表④(旧・新制度)'!$AF:$AF,$T19,'6-2_算定表④(旧・新制度)'!$AG:$AG)</f>
        <v>0</v>
      </c>
      <c r="P19" s="284">
        <f>SUMIF('6-2_算定表④(旧・新制度)'!$AF:$AF,$T19,'6-2_算定表④(旧・新制度)'!$AA:$AA)</f>
        <v>0</v>
      </c>
      <c r="Q19" s="431">
        <f>O19-M19</f>
        <v>0</v>
      </c>
      <c r="R19" s="432">
        <f>P19-N19</f>
        <v>0</v>
      </c>
      <c r="T19" s="158" t="str">
        <f>ASC($A$15&amp;$K19)</f>
        <v>2D</v>
      </c>
    </row>
    <row r="20" spans="1:22" s="44" customFormat="1" ht="18" customHeight="1" thickBot="1">
      <c r="A20" s="687"/>
      <c r="B20" s="909"/>
      <c r="C20" s="909"/>
      <c r="D20" s="909"/>
      <c r="E20" s="912"/>
      <c r="F20" s="601"/>
      <c r="G20" s="602"/>
      <c r="H20" s="596">
        <f t="shared" si="2"/>
      </c>
      <c r="I20" s="597">
        <f t="shared" si="0"/>
      </c>
      <c r="J20" s="598">
        <f>IF(H20="","",MIN(H20,I20))</f>
      </c>
      <c r="K20" s="684" t="s">
        <v>121</v>
      </c>
      <c r="L20" s="685"/>
      <c r="M20" s="433">
        <f aca="true" t="shared" si="4" ref="M20:R20">SUM(M15:M19)</f>
        <v>0</v>
      </c>
      <c r="N20" s="434">
        <f t="shared" si="4"/>
        <v>0</v>
      </c>
      <c r="O20" s="433">
        <f t="shared" si="4"/>
        <v>0</v>
      </c>
      <c r="P20" s="161">
        <f t="shared" si="4"/>
        <v>0</v>
      </c>
      <c r="Q20" s="436">
        <f t="shared" si="4"/>
        <v>0</v>
      </c>
      <c r="R20" s="437">
        <f t="shared" si="4"/>
        <v>0</v>
      </c>
      <c r="V20" s="56"/>
    </row>
    <row r="21" spans="1:22" s="44" customFormat="1" ht="18" customHeight="1" thickBot="1">
      <c r="A21" s="686">
        <v>3</v>
      </c>
      <c r="B21" s="909"/>
      <c r="C21" s="909"/>
      <c r="D21" s="909"/>
      <c r="E21" s="910"/>
      <c r="F21" s="599"/>
      <c r="G21" s="600"/>
      <c r="H21" s="593">
        <f>IF(F21="","",IF(ISERROR(F21+ROUNDDOWN(G21*3/74,0)),"",F21+ROUNDDOWN(G21*3/74,0)))</f>
      </c>
      <c r="I21" s="594">
        <f>IF(H21="","",IF(H21&gt;10032,10032,H21))</f>
      </c>
      <c r="J21" s="595">
        <f>IF(H21="","",MIN(H21,I21))</f>
      </c>
      <c r="K21" s="152" t="s">
        <v>84</v>
      </c>
      <c r="L21" s="74">
        <v>1532</v>
      </c>
      <c r="M21" s="444"/>
      <c r="N21" s="445"/>
      <c r="O21" s="425">
        <f>SUMIF('6-2_算定表④(旧・新制度)'!$AF:$AF,$T21,'6-2_算定表④(旧・新制度)'!$AG:$AG)</f>
        <v>0</v>
      </c>
      <c r="P21" s="153">
        <f>SUMIF('6-2_算定表④(旧・新制度)'!$AF:$AF,$T21,'6-2_算定表④(旧・新制度)'!$AA:$AA)</f>
        <v>0</v>
      </c>
      <c r="Q21" s="458">
        <f t="shared" si="1"/>
        <v>0</v>
      </c>
      <c r="R21" s="459">
        <f t="shared" si="1"/>
        <v>0</v>
      </c>
      <c r="T21" s="154" t="str">
        <f>ASC($A$21&amp;$K21)</f>
        <v>3A</v>
      </c>
      <c r="V21" s="56" t="s">
        <v>13</v>
      </c>
    </row>
    <row r="22" spans="1:23" s="44" customFormat="1" ht="18" customHeight="1" thickBot="1" thickTop="1">
      <c r="A22" s="678"/>
      <c r="B22" s="909"/>
      <c r="C22" s="909"/>
      <c r="D22" s="909"/>
      <c r="E22" s="911"/>
      <c r="F22" s="599"/>
      <c r="G22" s="600"/>
      <c r="H22" s="593">
        <f>IF(F22="","",IF(ISERROR(F22+ROUNDDOWN(G22*3/74,0)),"",F22+ROUNDDOWN(G22*3/74,0)))</f>
      </c>
      <c r="I22" s="594">
        <f>IF(H22="","",IF(H22&gt;10032,10032,H22))</f>
      </c>
      <c r="J22" s="595">
        <f>IF(H22="","",MIN(H22,I22))</f>
      </c>
      <c r="K22" s="155" t="s">
        <v>90</v>
      </c>
      <c r="L22" s="273">
        <v>1532</v>
      </c>
      <c r="M22" s="446"/>
      <c r="N22" s="447"/>
      <c r="O22" s="429">
        <f>SUMIF('6-2_算定表④(旧・新制度)'!$AF:$AF,$T22,'6-2_算定表④(旧・新制度)'!$AG:$AG)</f>
        <v>0</v>
      </c>
      <c r="P22" s="157">
        <f>SUMIF('6-2_算定表④(旧・新制度)'!$AF:$AF,$T22,'6-2_算定表④(旧・新制度)'!$AA:$AA)</f>
        <v>0</v>
      </c>
      <c r="Q22" s="431">
        <f t="shared" si="1"/>
        <v>0</v>
      </c>
      <c r="R22" s="432">
        <f t="shared" si="1"/>
        <v>0</v>
      </c>
      <c r="T22" s="158" t="str">
        <f>ASC($A$21&amp;$K22)</f>
        <v>3B</v>
      </c>
      <c r="V22" s="56" t="s">
        <v>49</v>
      </c>
      <c r="W22" s="64" t="str">
        <f>IF(O32=SUM('6-2_算定表④(旧・新制度)'!AG8:AG44),"OK","ERR")</f>
        <v>OK</v>
      </c>
    </row>
    <row r="23" spans="1:23" s="44" customFormat="1" ht="18" customHeight="1" thickBot="1" thickTop="1">
      <c r="A23" s="678"/>
      <c r="B23" s="909"/>
      <c r="C23" s="909"/>
      <c r="D23" s="909"/>
      <c r="E23" s="911"/>
      <c r="F23" s="599"/>
      <c r="G23" s="600"/>
      <c r="H23" s="593">
        <f>IF(F23="","",IF(ISERROR(F23+ROUNDDOWN(G23*3/74,0)),"",F23+ROUNDDOWN(G23*3/74,0)))</f>
      </c>
      <c r="I23" s="594">
        <f>IF(H23="","",IF(H23&gt;10032,10032,H23))</f>
      </c>
      <c r="J23" s="595">
        <f>IF(H23="","",MIN(H23,I23))</f>
      </c>
      <c r="K23" s="155" t="s">
        <v>206</v>
      </c>
      <c r="L23" s="274">
        <v>2814</v>
      </c>
      <c r="M23" s="446"/>
      <c r="N23" s="447"/>
      <c r="O23" s="429">
        <f>SUMIF('6-2_算定表④(旧・新制度)'!$AF:$AF,T23,'6-2_算定表④(旧・新制度)'!$AG:$AG)+SUMIF('6-2_算定表④(旧・新制度)'!$AF:$AF,U23,'6-2_算定表④(旧・新制度)'!$AG:$AG)</f>
        <v>0</v>
      </c>
      <c r="P23" s="157">
        <f>SUMIF('6-2_算定表④(旧・新制度)'!$AF:$AF,$T23,'6-2_算定表④(旧・新制度)'!$AA:$AA)+SUMIF('6-2_算定表④(旧・新制度)'!$AF:$AF,U23,'6-2_算定表④(旧・新制度)'!$AA:$AA)</f>
        <v>0</v>
      </c>
      <c r="Q23" s="431">
        <f aca="true" t="shared" si="5" ref="Q23:R25">O23-M23</f>
        <v>0</v>
      </c>
      <c r="R23" s="432">
        <f t="shared" si="5"/>
        <v>0</v>
      </c>
      <c r="T23" s="158" t="str">
        <f>ASC($A$21&amp;$K23)</f>
        <v>3C1</v>
      </c>
      <c r="U23" s="306"/>
      <c r="V23" s="56"/>
      <c r="W23" s="307"/>
    </row>
    <row r="24" spans="1:23" s="44" customFormat="1" ht="18" customHeight="1" thickBot="1" thickTop="1">
      <c r="A24" s="678"/>
      <c r="B24" s="909"/>
      <c r="C24" s="909"/>
      <c r="D24" s="909"/>
      <c r="E24" s="911"/>
      <c r="F24" s="599"/>
      <c r="G24" s="600"/>
      <c r="H24" s="593">
        <f>IF(F24="","",IF(ISERROR(F24+ROUNDDOWN(G24*3/74,0)),"",F24+ROUNDDOWN(G24*3/74,0)))</f>
      </c>
      <c r="I24" s="594">
        <f>IF(H24="","",IF(H24&gt;10032,10032,H24))</f>
      </c>
      <c r="J24" s="595">
        <f>IF(H24="","",MIN(H24,I24))</f>
      </c>
      <c r="K24" s="155" t="s">
        <v>207</v>
      </c>
      <c r="L24" s="274">
        <v>5220</v>
      </c>
      <c r="M24" s="446"/>
      <c r="N24" s="447"/>
      <c r="O24" s="429">
        <f>SUMIF('6-2_算定表④(旧・新制度)'!$AF:$AF,T24,'6-2_算定表④(旧・新制度)'!$AG:$AG)+SUMIF('6-2_算定表④(旧・新制度)'!$AF:$AF,U24,'6-2_算定表④(旧・新制度)'!$AG:$AG)</f>
        <v>0</v>
      </c>
      <c r="P24" s="157">
        <f>SUMIF('6-2_算定表④(旧・新制度)'!$AF:$AF,$T24,'6-2_算定表④(旧・新制度)'!$AA:$AA)+SUMIF('6-2_算定表④(旧・新制度)'!$AF:$AF,U24,'6-2_算定表④(旧・新制度)'!$AA:$AA)</f>
        <v>0</v>
      </c>
      <c r="Q24" s="431">
        <f t="shared" si="5"/>
        <v>0</v>
      </c>
      <c r="R24" s="432">
        <f t="shared" si="5"/>
        <v>0</v>
      </c>
      <c r="T24" s="158" t="str">
        <f>ASC($A$21&amp;$K24)</f>
        <v>3C2</v>
      </c>
      <c r="U24" s="306"/>
      <c r="V24" s="56" t="s">
        <v>12</v>
      </c>
      <c r="W24" s="64" t="str">
        <f>IF(P32='6-2_算定表④(旧・新制度)'!AA45,"OK","ERR")</f>
        <v>OK</v>
      </c>
    </row>
    <row r="25" spans="1:20" s="44" customFormat="1" ht="18" customHeight="1" thickBot="1">
      <c r="A25" s="678"/>
      <c r="B25" s="909"/>
      <c r="C25" s="909"/>
      <c r="D25" s="909"/>
      <c r="E25" s="911"/>
      <c r="F25" s="599"/>
      <c r="G25" s="600"/>
      <c r="H25" s="593"/>
      <c r="I25" s="594"/>
      <c r="J25" s="595"/>
      <c r="K25" s="123" t="s">
        <v>174</v>
      </c>
      <c r="L25" s="275" t="s">
        <v>155</v>
      </c>
      <c r="M25" s="444"/>
      <c r="N25" s="457"/>
      <c r="O25" s="425">
        <f>SUMIF('6-2_算定表④(旧・新制度)'!$AF:$AF,$T25,'6-2_算定表④(旧・新制度)'!$AG:$AG)</f>
        <v>0</v>
      </c>
      <c r="P25" s="284">
        <f>SUMIF('6-2_算定表④(旧・新制度)'!$AF:$AF,$T25,'6-2_算定表④(旧・新制度)'!$AA:$AA)</f>
        <v>0</v>
      </c>
      <c r="Q25" s="431">
        <f t="shared" si="5"/>
        <v>0</v>
      </c>
      <c r="R25" s="432">
        <f t="shared" si="5"/>
        <v>0</v>
      </c>
      <c r="T25" s="158" t="str">
        <f>ASC($A$21&amp;$K25)</f>
        <v>3D</v>
      </c>
    </row>
    <row r="26" spans="1:22" s="44" customFormat="1" ht="18" customHeight="1" thickBot="1">
      <c r="A26" s="687"/>
      <c r="B26" s="909"/>
      <c r="C26" s="909"/>
      <c r="D26" s="909"/>
      <c r="E26" s="912"/>
      <c r="F26" s="601"/>
      <c r="G26" s="602"/>
      <c r="H26" s="596">
        <f>IF(F26="","",IF(ISERROR(F26+ROUNDDOWN(G26*3/74,0)),"",F26+ROUNDDOWN(G26*3/74,0)))</f>
      </c>
      <c r="I26" s="597">
        <f>IF(H26="","",IF(H26&gt;10032,10032,H26))</f>
      </c>
      <c r="J26" s="598">
        <f>IF(H26="","",MIN(H26,I26))</f>
      </c>
      <c r="K26" s="684" t="s">
        <v>122</v>
      </c>
      <c r="L26" s="685"/>
      <c r="M26" s="433">
        <f aca="true" t="shared" si="6" ref="M26:R26">SUM(M21:M25)</f>
        <v>0</v>
      </c>
      <c r="N26" s="434">
        <f t="shared" si="6"/>
        <v>0</v>
      </c>
      <c r="O26" s="433">
        <f t="shared" si="6"/>
        <v>0</v>
      </c>
      <c r="P26" s="161">
        <f t="shared" si="6"/>
        <v>0</v>
      </c>
      <c r="Q26" s="436">
        <f t="shared" si="6"/>
        <v>0</v>
      </c>
      <c r="R26" s="437">
        <f t="shared" si="6"/>
        <v>0</v>
      </c>
      <c r="V26" s="56"/>
    </row>
    <row r="27" spans="1:18" s="44" customFormat="1" ht="18" customHeight="1" thickBot="1">
      <c r="A27" s="696" t="s">
        <v>27</v>
      </c>
      <c r="B27" s="916">
        <f>SUM(B9:B26)</f>
        <v>0</v>
      </c>
      <c r="C27" s="916">
        <f>SUM(C9:C26)</f>
        <v>0</v>
      </c>
      <c r="D27" s="913">
        <f>SUM(D9:D26)</f>
        <v>0</v>
      </c>
      <c r="E27" s="913">
        <f>SUM(E9:E26)</f>
        <v>0</v>
      </c>
      <c r="F27" s="917"/>
      <c r="G27" s="918"/>
      <c r="H27" s="907"/>
      <c r="I27" s="903"/>
      <c r="J27" s="903"/>
      <c r="K27" s="302" t="s">
        <v>84</v>
      </c>
      <c r="L27" s="74">
        <v>1532</v>
      </c>
      <c r="M27" s="441">
        <f aca="true" t="shared" si="7" ref="M27:N31">SUM(M9,M15,M21)</f>
        <v>0</v>
      </c>
      <c r="N27" s="426">
        <f t="shared" si="7"/>
        <v>0</v>
      </c>
      <c r="O27" s="441">
        <f aca="true" t="shared" si="8" ref="O27:R31">SUM(O9,O15,O21)</f>
        <v>0</v>
      </c>
      <c r="P27" s="419">
        <f t="shared" si="8"/>
        <v>0</v>
      </c>
      <c r="Q27" s="463">
        <f t="shared" si="8"/>
        <v>0</v>
      </c>
      <c r="R27" s="461">
        <f t="shared" si="8"/>
        <v>0</v>
      </c>
    </row>
    <row r="28" spans="1:22" s="44" customFormat="1" ht="18" customHeight="1" thickBot="1">
      <c r="A28" s="697"/>
      <c r="B28" s="916"/>
      <c r="C28" s="916"/>
      <c r="D28" s="914"/>
      <c r="E28" s="914"/>
      <c r="F28" s="917"/>
      <c r="G28" s="918"/>
      <c r="H28" s="907"/>
      <c r="I28" s="903"/>
      <c r="J28" s="903"/>
      <c r="K28" s="155" t="s">
        <v>90</v>
      </c>
      <c r="L28" s="156">
        <v>1532</v>
      </c>
      <c r="M28" s="442">
        <f t="shared" si="7"/>
        <v>0</v>
      </c>
      <c r="N28" s="430">
        <f t="shared" si="7"/>
        <v>0</v>
      </c>
      <c r="O28" s="442">
        <f t="shared" si="8"/>
        <v>0</v>
      </c>
      <c r="P28" s="418">
        <f t="shared" si="8"/>
        <v>0</v>
      </c>
      <c r="Q28" s="427">
        <f t="shared" si="8"/>
        <v>0</v>
      </c>
      <c r="R28" s="428">
        <f t="shared" si="8"/>
        <v>0</v>
      </c>
      <c r="V28" s="56"/>
    </row>
    <row r="29" spans="1:18" s="44" customFormat="1" ht="18" customHeight="1" thickBot="1">
      <c r="A29" s="697"/>
      <c r="B29" s="916"/>
      <c r="C29" s="916"/>
      <c r="D29" s="914"/>
      <c r="E29" s="914"/>
      <c r="F29" s="917"/>
      <c r="G29" s="918"/>
      <c r="H29" s="907"/>
      <c r="I29" s="903"/>
      <c r="J29" s="903"/>
      <c r="K29" s="155" t="s">
        <v>206</v>
      </c>
      <c r="L29" s="272">
        <v>2814</v>
      </c>
      <c r="M29" s="442">
        <f t="shared" si="7"/>
        <v>0</v>
      </c>
      <c r="N29" s="430">
        <f t="shared" si="7"/>
        <v>0</v>
      </c>
      <c r="O29" s="442">
        <f t="shared" si="8"/>
        <v>0</v>
      </c>
      <c r="P29" s="418">
        <f t="shared" si="8"/>
        <v>0</v>
      </c>
      <c r="Q29" s="427">
        <f t="shared" si="8"/>
        <v>0</v>
      </c>
      <c r="R29" s="428">
        <f t="shared" si="8"/>
        <v>0</v>
      </c>
    </row>
    <row r="30" spans="1:18" s="44" customFormat="1" ht="18" customHeight="1" thickBot="1">
      <c r="A30" s="697"/>
      <c r="B30" s="916"/>
      <c r="C30" s="916"/>
      <c r="D30" s="914"/>
      <c r="E30" s="914"/>
      <c r="F30" s="917"/>
      <c r="G30" s="918"/>
      <c r="H30" s="907"/>
      <c r="I30" s="903"/>
      <c r="J30" s="903"/>
      <c r="K30" s="155" t="s">
        <v>207</v>
      </c>
      <c r="L30" s="272">
        <v>5220</v>
      </c>
      <c r="M30" s="442">
        <f t="shared" si="7"/>
        <v>0</v>
      </c>
      <c r="N30" s="430">
        <f t="shared" si="7"/>
        <v>0</v>
      </c>
      <c r="O30" s="442">
        <f t="shared" si="8"/>
        <v>0</v>
      </c>
      <c r="P30" s="418">
        <f t="shared" si="8"/>
        <v>0</v>
      </c>
      <c r="Q30" s="427">
        <f t="shared" si="8"/>
        <v>0</v>
      </c>
      <c r="R30" s="428">
        <f t="shared" si="8"/>
        <v>0</v>
      </c>
    </row>
    <row r="31" spans="1:18" s="44" customFormat="1" ht="18" customHeight="1" thickBot="1">
      <c r="A31" s="697"/>
      <c r="B31" s="916"/>
      <c r="C31" s="916"/>
      <c r="D31" s="914"/>
      <c r="E31" s="914"/>
      <c r="F31" s="917"/>
      <c r="G31" s="918"/>
      <c r="H31" s="907"/>
      <c r="I31" s="903"/>
      <c r="J31" s="903"/>
      <c r="K31" s="123" t="s">
        <v>174</v>
      </c>
      <c r="L31" s="275" t="s">
        <v>155</v>
      </c>
      <c r="M31" s="441">
        <f t="shared" si="7"/>
        <v>0</v>
      </c>
      <c r="N31" s="462">
        <f t="shared" si="7"/>
        <v>0</v>
      </c>
      <c r="O31" s="441">
        <f t="shared" si="8"/>
        <v>0</v>
      </c>
      <c r="P31" s="415">
        <f t="shared" si="8"/>
        <v>0</v>
      </c>
      <c r="Q31" s="464">
        <f t="shared" si="8"/>
        <v>0</v>
      </c>
      <c r="R31" s="465">
        <f t="shared" si="8"/>
        <v>0</v>
      </c>
    </row>
    <row r="32" spans="1:19" s="44" customFormat="1" ht="18" customHeight="1" thickBot="1">
      <c r="A32" s="698"/>
      <c r="B32" s="916"/>
      <c r="C32" s="916"/>
      <c r="D32" s="915"/>
      <c r="E32" s="915"/>
      <c r="F32" s="917"/>
      <c r="G32" s="918"/>
      <c r="H32" s="907"/>
      <c r="I32" s="903"/>
      <c r="J32" s="903"/>
      <c r="K32" s="684" t="s">
        <v>156</v>
      </c>
      <c r="L32" s="685"/>
      <c r="M32" s="433">
        <f aca="true" t="shared" si="9" ref="M32:R32">SUM(M27:M31)</f>
        <v>0</v>
      </c>
      <c r="N32" s="434">
        <f t="shared" si="9"/>
        <v>0</v>
      </c>
      <c r="O32" s="433">
        <f t="shared" si="9"/>
        <v>0</v>
      </c>
      <c r="P32" s="161">
        <f t="shared" si="9"/>
        <v>0</v>
      </c>
      <c r="Q32" s="436">
        <f t="shared" si="9"/>
        <v>0</v>
      </c>
      <c r="R32" s="437">
        <f t="shared" si="9"/>
        <v>0</v>
      </c>
      <c r="S32" s="169"/>
    </row>
    <row r="33" spans="1:18" s="342" customFormat="1" ht="11.25" customHeight="1">
      <c r="A33" s="337" t="s">
        <v>29</v>
      </c>
      <c r="B33" s="338"/>
      <c r="C33" s="338"/>
      <c r="D33" s="338"/>
      <c r="E33" s="338"/>
      <c r="F33" s="339"/>
      <c r="G33" s="339"/>
      <c r="H33" s="339"/>
      <c r="I33" s="339"/>
      <c r="J33" s="339"/>
      <c r="K33" s="340"/>
      <c r="L33" s="340"/>
      <c r="M33" s="338"/>
      <c r="N33" s="341"/>
      <c r="O33" s="338"/>
      <c r="P33" s="341"/>
      <c r="Q33" s="344"/>
      <c r="R33" s="344"/>
    </row>
    <row r="34" spans="1:18" s="342" customFormat="1" ht="11.25" customHeight="1">
      <c r="A34" s="343" t="s">
        <v>150</v>
      </c>
      <c r="Q34" s="344"/>
      <c r="R34" s="344"/>
    </row>
    <row r="35" spans="1:9" s="344" customFormat="1" ht="11.25" customHeight="1">
      <c r="A35" s="343" t="s">
        <v>227</v>
      </c>
      <c r="E35" s="353"/>
      <c r="F35" s="353"/>
      <c r="G35" s="353"/>
      <c r="H35" s="353"/>
      <c r="I35" s="353"/>
    </row>
    <row r="36" spans="1:18" s="342" customFormat="1" ht="11.25" customHeight="1">
      <c r="A36" s="343" t="s">
        <v>228</v>
      </c>
      <c r="Q36" s="344"/>
      <c r="R36" s="344"/>
    </row>
    <row r="37" s="344" customFormat="1" ht="11.25" customHeight="1">
      <c r="A37" s="343" t="s">
        <v>5</v>
      </c>
    </row>
    <row r="38" s="344" customFormat="1" ht="11.25" customHeight="1">
      <c r="A38" s="337" t="s">
        <v>151</v>
      </c>
    </row>
    <row r="39" s="344" customFormat="1" ht="11.25" customHeight="1">
      <c r="A39" s="337" t="s">
        <v>152</v>
      </c>
    </row>
    <row r="40" s="344" customFormat="1" ht="11.25" customHeight="1">
      <c r="A40" s="343" t="s">
        <v>6</v>
      </c>
    </row>
    <row r="41" s="344" customFormat="1" ht="11.25" customHeight="1">
      <c r="A41" s="337" t="s">
        <v>210</v>
      </c>
    </row>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sheetData>
  <sheetProtection/>
  <mergeCells count="46">
    <mergeCell ref="Q5:R5"/>
    <mergeCell ref="K5:N5"/>
    <mergeCell ref="O5:P5"/>
    <mergeCell ref="L2:M2"/>
    <mergeCell ref="N2:O2"/>
    <mergeCell ref="P2:Q2"/>
    <mergeCell ref="L3:M3"/>
    <mergeCell ref="N3:O3"/>
    <mergeCell ref="P3:Q3"/>
    <mergeCell ref="I2:K2"/>
    <mergeCell ref="I3:K3"/>
    <mergeCell ref="B5:B6"/>
    <mergeCell ref="E5:E6"/>
    <mergeCell ref="H5:H6"/>
    <mergeCell ref="I5:I6"/>
    <mergeCell ref="J5:J6"/>
    <mergeCell ref="A6:A7"/>
    <mergeCell ref="A9:A14"/>
    <mergeCell ref="B9:B14"/>
    <mergeCell ref="C9:C14"/>
    <mergeCell ref="D9:D14"/>
    <mergeCell ref="E9:E14"/>
    <mergeCell ref="K14:L14"/>
    <mergeCell ref="K26:L26"/>
    <mergeCell ref="A15:A20"/>
    <mergeCell ref="B15:B20"/>
    <mergeCell ref="C15:C20"/>
    <mergeCell ref="D15:D20"/>
    <mergeCell ref="E15:E20"/>
    <mergeCell ref="K20:L20"/>
    <mergeCell ref="F27:F32"/>
    <mergeCell ref="A21:A26"/>
    <mergeCell ref="B21:B26"/>
    <mergeCell ref="C21:C26"/>
    <mergeCell ref="D21:D26"/>
    <mergeCell ref="E21:E26"/>
    <mergeCell ref="G27:G32"/>
    <mergeCell ref="H27:H32"/>
    <mergeCell ref="I27:I32"/>
    <mergeCell ref="J27:J32"/>
    <mergeCell ref="K32:L32"/>
    <mergeCell ref="A27:A32"/>
    <mergeCell ref="B27:B32"/>
    <mergeCell ref="C27:C32"/>
    <mergeCell ref="D27:D32"/>
    <mergeCell ref="E27:E32"/>
  </mergeCells>
  <dataValidations count="1">
    <dataValidation type="whole" allowBlank="1" showInputMessage="1" showErrorMessage="1" sqref="E9 E15 E21 B9:D26">
      <formula1>0</formula1>
      <formula2>999999</formula2>
    </dataValidation>
  </dataValidations>
  <printOptions/>
  <pageMargins left="0.7480314960629921" right="0.7480314960629921" top="0.984251968503937" bottom="0.984251968503937" header="0.5118110236220472" footer="0.5118110236220472"/>
  <pageSetup cellComments="asDisplayed" fitToWidth="0" horizontalDpi="600" verticalDpi="600" orientation="landscape" paperSize="9" scale="65" r:id="rId2"/>
  <drawing r:id="rId1"/>
</worksheet>
</file>

<file path=xl/worksheets/sheet13.xml><?xml version="1.0" encoding="utf-8"?>
<worksheet xmlns="http://schemas.openxmlformats.org/spreadsheetml/2006/main" xmlns:r="http://schemas.openxmlformats.org/officeDocument/2006/relationships">
  <sheetPr>
    <tabColor rgb="FF00B0F0"/>
  </sheetPr>
  <dimension ref="A1:AJ59"/>
  <sheetViews>
    <sheetView view="pageBreakPreview" zoomScale="55" zoomScaleNormal="75" zoomScaleSheetLayoutView="55" zoomScalePageLayoutView="0" workbookViewId="0" topLeftCell="A1">
      <selection activeCell="A52" sqref="A52"/>
    </sheetView>
  </sheetViews>
  <sheetFormatPr defaultColWidth="9.625" defaultRowHeight="13.5"/>
  <cols>
    <col min="1" max="1" width="6.25390625" style="40" customWidth="1"/>
    <col min="2" max="2" width="19.125" style="40" bestFit="1" customWidth="1"/>
    <col min="3" max="3" width="3.75390625" style="40" customWidth="1"/>
    <col min="4" max="4" width="10.125" style="40" customWidth="1"/>
    <col min="5" max="5" width="10.375" style="40" customWidth="1"/>
    <col min="6" max="6" width="12.25390625" style="40" customWidth="1"/>
    <col min="7" max="7" width="12.375" style="40" customWidth="1"/>
    <col min="8" max="8" width="12.25390625" style="40" bestFit="1" customWidth="1"/>
    <col min="9" max="9" width="5.50390625" style="40" bestFit="1" customWidth="1"/>
    <col min="10" max="10" width="14.125" style="40" bestFit="1" customWidth="1"/>
    <col min="11" max="11" width="13.125" style="40" bestFit="1" customWidth="1"/>
    <col min="12" max="12" width="6.125" style="40" customWidth="1"/>
    <col min="13" max="13" width="9.50390625" style="40" hidden="1" customWidth="1"/>
    <col min="14" max="14" width="10.00390625" style="40" customWidth="1"/>
    <col min="15" max="15" width="5.25390625" style="40" customWidth="1"/>
    <col min="16" max="16" width="10.00390625" style="40" hidden="1" customWidth="1"/>
    <col min="17" max="17" width="10.00390625" style="40" customWidth="1"/>
    <col min="18" max="18" width="10.75390625" style="40" customWidth="1"/>
    <col min="19" max="19" width="10.625" style="40" customWidth="1"/>
    <col min="20" max="20" width="10.875" style="40" customWidth="1"/>
    <col min="21" max="21" width="12.50390625" style="40" customWidth="1"/>
    <col min="22" max="22" width="13.25390625" style="40" customWidth="1"/>
    <col min="23" max="23" width="11.25390625" style="40" customWidth="1"/>
    <col min="24" max="24" width="11.625" style="40" customWidth="1"/>
    <col min="25" max="26" width="11.25390625" style="40" customWidth="1"/>
    <col min="27" max="27" width="13.00390625" style="40" customWidth="1"/>
    <col min="28" max="28" width="1.37890625" style="40" customWidth="1"/>
    <col min="29" max="29" width="9.125" style="40" customWidth="1"/>
    <col min="30" max="30" width="16.375" style="40" customWidth="1"/>
    <col min="31" max="31" width="3.125" style="40" customWidth="1"/>
    <col min="32" max="32" width="5.625" style="41" customWidth="1"/>
    <col min="33" max="33" width="3.125" style="41" customWidth="1"/>
    <col min="34" max="34" width="3.125" style="40" customWidth="1"/>
    <col min="35" max="35" width="8.25390625" style="40" customWidth="1"/>
    <col min="36" max="16384" width="9.625" style="40" customWidth="1"/>
  </cols>
  <sheetData>
    <row r="1" spans="1:30" ht="24.75" customHeight="1">
      <c r="A1" s="213" t="s">
        <v>248</v>
      </c>
      <c r="B1" s="39"/>
      <c r="X1" s="186" t="s">
        <v>25</v>
      </c>
      <c r="Y1" s="761">
        <f>'5_総括表'!E3</f>
        <v>0</v>
      </c>
      <c r="Z1" s="762"/>
      <c r="AA1" s="762"/>
      <c r="AB1" s="763"/>
      <c r="AC1" s="186" t="s">
        <v>26</v>
      </c>
      <c r="AD1" s="188">
        <f>'5_総括表'!Z3</f>
        <v>0</v>
      </c>
    </row>
    <row r="2" spans="1:30" ht="24.75" customHeight="1" thickBot="1">
      <c r="A2" s="42"/>
      <c r="X2" s="187" t="s">
        <v>23</v>
      </c>
      <c r="Y2" s="764">
        <f>'5_総括表'!E4</f>
        <v>0</v>
      </c>
      <c r="Z2" s="765"/>
      <c r="AA2" s="765"/>
      <c r="AB2" s="766"/>
      <c r="AC2" s="187" t="s">
        <v>24</v>
      </c>
      <c r="AD2" s="189">
        <f>'5_総括表'!Z4</f>
        <v>0</v>
      </c>
    </row>
    <row r="3" spans="1:30" ht="31.5" customHeight="1" thickBot="1">
      <c r="A3" s="212" t="s">
        <v>225</v>
      </c>
      <c r="B3" s="332"/>
      <c r="AC3" s="43"/>
      <c r="AD3" s="43" t="s">
        <v>28</v>
      </c>
    </row>
    <row r="4" spans="1:33" s="44" customFormat="1" ht="22.5" customHeight="1" thickBot="1">
      <c r="A4" s="675" t="s">
        <v>32</v>
      </c>
      <c r="B4" s="670" t="s">
        <v>167</v>
      </c>
      <c r="C4" s="770" t="s">
        <v>119</v>
      </c>
      <c r="D4" s="777" t="s">
        <v>117</v>
      </c>
      <c r="E4" s="773" t="s">
        <v>100</v>
      </c>
      <c r="F4" s="774"/>
      <c r="G4" s="775" t="s">
        <v>109</v>
      </c>
      <c r="H4" s="776"/>
      <c r="I4" s="776"/>
      <c r="J4" s="776"/>
      <c r="K4" s="774"/>
      <c r="L4" s="684" t="s">
        <v>113</v>
      </c>
      <c r="M4" s="685"/>
      <c r="N4" s="685"/>
      <c r="O4" s="755"/>
      <c r="P4" s="755"/>
      <c r="Q4" s="755"/>
      <c r="R4" s="755"/>
      <c r="S4" s="755"/>
      <c r="T4" s="756"/>
      <c r="U4" s="670" t="s">
        <v>4</v>
      </c>
      <c r="V4" s="670" t="s">
        <v>115</v>
      </c>
      <c r="W4" s="670" t="s">
        <v>214</v>
      </c>
      <c r="X4" s="670" t="s">
        <v>69</v>
      </c>
      <c r="Y4" s="670" t="s">
        <v>31</v>
      </c>
      <c r="Z4" s="670" t="s">
        <v>99</v>
      </c>
      <c r="AA4" s="757" t="s">
        <v>187</v>
      </c>
      <c r="AB4" s="721" t="s">
        <v>7</v>
      </c>
      <c r="AC4" s="722"/>
      <c r="AD4" s="723"/>
      <c r="AF4" s="730" t="s">
        <v>30</v>
      </c>
      <c r="AG4" s="730" t="s">
        <v>78</v>
      </c>
    </row>
    <row r="5" spans="1:33" s="44" customFormat="1" ht="22.5" customHeight="1" thickBot="1">
      <c r="A5" s="767"/>
      <c r="B5" s="737"/>
      <c r="C5" s="771"/>
      <c r="D5" s="778"/>
      <c r="E5" s="45"/>
      <c r="F5" s="925" t="s">
        <v>76</v>
      </c>
      <c r="G5" s="927" t="s">
        <v>3</v>
      </c>
      <c r="H5" s="759" t="s">
        <v>77</v>
      </c>
      <c r="I5" s="935" t="s">
        <v>158</v>
      </c>
      <c r="J5" s="753" t="s">
        <v>157</v>
      </c>
      <c r="K5" s="925" t="s">
        <v>2</v>
      </c>
      <c r="L5" s="684" t="s">
        <v>186</v>
      </c>
      <c r="M5" s="685"/>
      <c r="N5" s="685"/>
      <c r="O5" s="684" t="s">
        <v>180</v>
      </c>
      <c r="P5" s="685"/>
      <c r="Q5" s="921"/>
      <c r="R5" s="922" t="s">
        <v>110</v>
      </c>
      <c r="S5" s="744" t="s">
        <v>112</v>
      </c>
      <c r="T5" s="933" t="s">
        <v>111</v>
      </c>
      <c r="U5" s="737"/>
      <c r="V5" s="737"/>
      <c r="W5" s="737"/>
      <c r="X5" s="737"/>
      <c r="Y5" s="737"/>
      <c r="Z5" s="737"/>
      <c r="AA5" s="758"/>
      <c r="AB5" s="930"/>
      <c r="AC5" s="931"/>
      <c r="AD5" s="726"/>
      <c r="AF5" s="929"/>
      <c r="AG5" s="929"/>
    </row>
    <row r="6" spans="1:33" s="44" customFormat="1" ht="50.25" customHeight="1">
      <c r="A6" s="767"/>
      <c r="B6" s="737"/>
      <c r="C6" s="771"/>
      <c r="D6" s="924"/>
      <c r="E6" s="300" t="s">
        <v>146</v>
      </c>
      <c r="F6" s="926"/>
      <c r="G6" s="928"/>
      <c r="H6" s="760"/>
      <c r="I6" s="936"/>
      <c r="J6" s="754"/>
      <c r="K6" s="926"/>
      <c r="L6" s="746" t="s">
        <v>18</v>
      </c>
      <c r="M6" s="919" t="s">
        <v>166</v>
      </c>
      <c r="N6" s="214" t="s">
        <v>169</v>
      </c>
      <c r="O6" s="746" t="s">
        <v>18</v>
      </c>
      <c r="P6" s="919" t="s">
        <v>172</v>
      </c>
      <c r="Q6" s="286" t="s">
        <v>169</v>
      </c>
      <c r="R6" s="923"/>
      <c r="S6" s="745"/>
      <c r="T6" s="934"/>
      <c r="U6" s="794"/>
      <c r="V6" s="767"/>
      <c r="W6" s="737"/>
      <c r="X6" s="767"/>
      <c r="Y6" s="767"/>
      <c r="Z6" s="767"/>
      <c r="AA6" s="932"/>
      <c r="AB6" s="724"/>
      <c r="AC6" s="725"/>
      <c r="AD6" s="726"/>
      <c r="AF6" s="731"/>
      <c r="AG6" s="731"/>
    </row>
    <row r="7" spans="1:33" s="44" customFormat="1" ht="17.25" customHeight="1" thickBot="1">
      <c r="A7" s="768"/>
      <c r="B7" s="769"/>
      <c r="C7" s="772"/>
      <c r="D7" s="125" t="s">
        <v>104</v>
      </c>
      <c r="E7" s="301" t="s">
        <v>0</v>
      </c>
      <c r="F7" s="299" t="s">
        <v>1</v>
      </c>
      <c r="G7" s="126" t="s">
        <v>88</v>
      </c>
      <c r="H7" s="49" t="s">
        <v>79</v>
      </c>
      <c r="I7" s="122" t="s">
        <v>89</v>
      </c>
      <c r="J7" s="287" t="s">
        <v>102</v>
      </c>
      <c r="K7" s="124" t="s">
        <v>103</v>
      </c>
      <c r="L7" s="747"/>
      <c r="M7" s="920"/>
      <c r="N7" s="311" t="s">
        <v>212</v>
      </c>
      <c r="O7" s="747"/>
      <c r="P7" s="920"/>
      <c r="Q7" s="312" t="s">
        <v>213</v>
      </c>
      <c r="R7" s="285" t="s">
        <v>82</v>
      </c>
      <c r="S7" s="119" t="s">
        <v>83</v>
      </c>
      <c r="T7" s="50" t="s">
        <v>92</v>
      </c>
      <c r="U7" s="47" t="s">
        <v>93</v>
      </c>
      <c r="V7" s="47" t="s">
        <v>94</v>
      </c>
      <c r="W7" s="47" t="s">
        <v>95</v>
      </c>
      <c r="X7" s="47" t="s">
        <v>96</v>
      </c>
      <c r="Y7" s="47" t="s">
        <v>97</v>
      </c>
      <c r="Z7" s="47" t="s">
        <v>98</v>
      </c>
      <c r="AA7" s="51" t="s">
        <v>114</v>
      </c>
      <c r="AB7" s="727"/>
      <c r="AC7" s="728"/>
      <c r="AD7" s="729"/>
      <c r="AF7" s="733"/>
      <c r="AG7" s="733"/>
    </row>
    <row r="8" spans="1:36" s="54" customFormat="1" ht="18.75" customHeight="1" thickBot="1">
      <c r="A8" s="26">
        <f>IF(B8="","",ROW($A8)-ROW($A$7))</f>
      </c>
      <c r="B8" s="271"/>
      <c r="C8" s="276"/>
      <c r="D8" s="473"/>
      <c r="E8" s="53"/>
      <c r="F8" s="215">
        <f>IF(A8="","",IF(E8&gt;30,30,E8))</f>
      </c>
      <c r="G8" s="476">
        <f>IF(A8="","",(D8*F8))</f>
      </c>
      <c r="H8" s="477"/>
      <c r="I8" s="127"/>
      <c r="J8" s="483">
        <f>IF(A8="","",ROUNDDOWN((H8*I8/12+G8),0))</f>
      </c>
      <c r="K8" s="484">
        <f>IF(A8="","",ROUNDDOWN(10032*F8,0))</f>
      </c>
      <c r="L8" s="553"/>
      <c r="M8" s="554"/>
      <c r="N8" s="492">
        <f>IF($G8="","",IF($L8="Ａ",LOOKUP($D8,{8000,8500,9000,10000,10032,12000},{0,1532,1032,32,0,0}),IF($L8="Ｂ",LOOKUP($D8,{8000,8500,9000,10000,10032,12000},{0,1532,1032,408,408,408}),IF($L8="Ｃ１",LOOKUP($D8,{8000,8500,9000,10000,10032,12000},{782,2814,2814,2814,2814,2814}),IF($L8="Ｃ２",LOOKUP($D8,{8000,8500,9000,10000,10032,12000},{3188,5220,5220,5220,5220,5220}),0)))))</f>
      </c>
      <c r="O8" s="555"/>
      <c r="P8" s="556"/>
      <c r="Q8" s="492">
        <f>IF($G8="","",IF($O8="Ａ",LOOKUP($D8,{8000,8500,9000,10000,10032,12000},{0,1532,1032,32,0,0}),IF($O8="Ｂ",LOOKUP($D8,{8000,8500,9000,10000,10032,12000},{0,1532,1032,408,408,408}),IF($O8="Ｃ１",LOOKUP($D8,{8000,8500,9000,10000,10032,12000},{782,2814,2814,2814,2814,2814}),IF($O8="Ｃ２",LOOKUP($D8,{8000,8500,9000,10000,10032,12000},{3188,5220,5220,5220,5220,5220}),0)))))</f>
      </c>
      <c r="R8" s="495">
        <f>IF(ISERROR(ROUNDUP(N8*3/12+Q8*9/12,0)),"",ROUNDUP(N8*3/12+Q8*9/12,0))</f>
      </c>
      <c r="S8" s="496">
        <f>IF(B8="","",SUMIF('6-3_調整額内訳④(旧・新制度)'!B:B,$B8,'6-3_調整額内訳④(旧・新制度)'!AH:AH))</f>
      </c>
      <c r="T8" s="497">
        <f>IF(B8="","",SUM(R8:S8))</f>
      </c>
      <c r="U8" s="498">
        <f>IF(B8="","",ROUNDDOWN(T8*F8,0))</f>
      </c>
      <c r="V8" s="499">
        <f>IF(J8&gt;=K8,K8,J8)</f>
      </c>
      <c r="W8" s="500"/>
      <c r="X8" s="499">
        <f>IF(A8="","",IF((J8-V8)&lt;W8,V8-(J8-W8),0))</f>
      </c>
      <c r="Y8" s="501"/>
      <c r="Z8" s="495">
        <f>IF(B8="","",MAX(0,V8-X8-Y8))</f>
      </c>
      <c r="AA8" s="502">
        <f>IF(B8="","",MIN(U8,Z8))</f>
      </c>
      <c r="AB8" s="734"/>
      <c r="AC8" s="735"/>
      <c r="AD8" s="736"/>
      <c r="AF8" s="55">
        <f>IF(A8&gt;0,ASC(C8&amp;O8),"")</f>
      </c>
      <c r="AG8" s="55">
        <f aca="true" t="shared" si="0" ref="AG8:AG44">IF(B8="","",IF(AA8&gt;0,1,0))</f>
      </c>
      <c r="AI8" s="56" t="s">
        <v>15</v>
      </c>
      <c r="AJ8" s="44"/>
    </row>
    <row r="9" spans="1:36" s="54" customFormat="1" ht="18.75" customHeight="1" thickBot="1" thickTop="1">
      <c r="A9" s="37">
        <f aca="true" t="shared" si="1" ref="A9:A44">IF(B9="","",ROW($A9)-ROW($A$7))</f>
      </c>
      <c r="B9" s="277"/>
      <c r="C9" s="57"/>
      <c r="D9" s="474"/>
      <c r="E9" s="278"/>
      <c r="F9" s="216">
        <f aca="true" t="shared" si="2" ref="F9:F44">IF(A9="","",IF(E9&gt;30,30,E9))</f>
      </c>
      <c r="G9" s="478">
        <f aca="true" t="shared" si="3" ref="G9:G44">IF(A9="","",(D9*F9))</f>
      </c>
      <c r="H9" s="479"/>
      <c r="I9" s="128"/>
      <c r="J9" s="485">
        <f>IF(A9="","",ROUNDDOWN((H9*I9/12+G9),0))</f>
      </c>
      <c r="K9" s="486">
        <f aca="true" t="shared" si="4" ref="K9:K44">IF(A9="","",ROUNDDOWN(10032*F9,0))</f>
      </c>
      <c r="L9" s="555"/>
      <c r="M9" s="557"/>
      <c r="N9" s="493">
        <f>IF($G9="","",IF($L9="Ａ",LOOKUP($D9,{8000,8500,9000,10000,10032,12000},{0,1532,1032,32,0,0}),IF($L9="Ｂ",LOOKUP($D9,{8000,8500,9000,10000,10032,12000},{0,1532,1032,408,408,408}),IF($L9="Ｃ１",LOOKUP($D9,{8000,8500,9000,10000,10032,12000},{782,2814,2814,2814,2814,2814}),IF($L9="Ｃ２",LOOKUP($D9,{8000,8500,9000,10000,10032,12000},{3188,5220,5220,5220,5220,5220}),0)))))</f>
      </c>
      <c r="O9" s="555"/>
      <c r="P9" s="558"/>
      <c r="Q9" s="493">
        <f>IF($G9="","",IF($O9="Ａ",LOOKUP($D9,{8000,8500,9000,10000,10032,12000},{0,1532,1032,32,0,0}),IF($O9="Ｂ",LOOKUP($D9,{8000,8500,9000,10000,10032,12000},{0,1532,1032,408,408,408}),IF($O9="Ｃ１",LOOKUP($D9,{8000,8500,9000,10000,10032,12000},{782,2814,2814,2814,2814,2814}),IF($O9="Ｃ２",LOOKUP($D9,{8000,8500,9000,10000,10032,12000},{3188,5220,5220,5220,5220,5220}),0)))))</f>
      </c>
      <c r="R9" s="503">
        <f aca="true" t="shared" si="5" ref="R9:R44">IF(ISERROR(ROUNDUP(N9*3/12+Q9*9/12,0)),"",ROUNDUP(N9*3/12+Q9*9/12,0))</f>
      </c>
      <c r="S9" s="504">
        <f>IF(B9="","",SUMIF('6-3_調整額内訳④(旧・新制度)'!B:B,$B9,'6-3_調整額内訳④(旧・新制度)'!AH:AH))</f>
      </c>
      <c r="T9" s="505">
        <f aca="true" t="shared" si="6" ref="T9:T44">IF(B9="","",SUM(R9:S9))</f>
      </c>
      <c r="U9" s="506">
        <f aca="true" t="shared" si="7" ref="U9:U44">IF(B9="","",ROUNDDOWN(T9*F9,0))</f>
      </c>
      <c r="V9" s="506">
        <f aca="true" t="shared" si="8" ref="V9:V44">IF(J9&gt;=K9,K9,J9)</f>
      </c>
      <c r="W9" s="507"/>
      <c r="X9" s="506">
        <f aca="true" t="shared" si="9" ref="X9:X44">IF(A9="","",IF((J9-V9)&lt;W9,V9-(J9-W9),0))</f>
      </c>
      <c r="Y9" s="501"/>
      <c r="Z9" s="503">
        <f aca="true" t="shared" si="10" ref="Z9:Z44">IF(B9="","",MAX(0,V9-X9-Y9))</f>
      </c>
      <c r="AA9" s="508">
        <f aca="true" t="shared" si="11" ref="AA9:AA44">IF(B9="","",MIN(U9,Z9))</f>
      </c>
      <c r="AB9" s="712"/>
      <c r="AC9" s="713"/>
      <c r="AD9" s="714"/>
      <c r="AF9" s="63">
        <f aca="true" t="shared" si="12" ref="AF9:AF44">IF(A9&gt;0,ASC(C9&amp;O9),"")</f>
      </c>
      <c r="AG9" s="63">
        <f t="shared" si="0"/>
      </c>
      <c r="AI9" s="56" t="s">
        <v>14</v>
      </c>
      <c r="AJ9" s="64" t="str">
        <f>IF(S45='6-3_調整額内訳④(旧・新制度)'!AH39,"OK","ERR")</f>
        <v>OK</v>
      </c>
    </row>
    <row r="10" spans="1:36" s="54" customFormat="1" ht="18.75" customHeight="1" thickTop="1">
      <c r="A10" s="204">
        <f t="shared" si="1"/>
      </c>
      <c r="B10" s="277"/>
      <c r="C10" s="57"/>
      <c r="D10" s="474"/>
      <c r="E10" s="59"/>
      <c r="F10" s="216">
        <f t="shared" si="2"/>
      </c>
      <c r="G10" s="478">
        <f t="shared" si="3"/>
      </c>
      <c r="H10" s="479"/>
      <c r="I10" s="128"/>
      <c r="J10" s="478">
        <f aca="true" t="shared" si="13" ref="J10:J44">IF(A10="","",ROUNDDOWN((H10*I10/12+G10),0))</f>
      </c>
      <c r="K10" s="486">
        <f t="shared" si="4"/>
      </c>
      <c r="L10" s="555"/>
      <c r="M10" s="557"/>
      <c r="N10" s="493">
        <f>IF($G10="","",IF($L10="Ａ",LOOKUP($D10,{8000,8500,9000,10000,10032,12000},{0,1532,1032,32,0,0}),IF($L10="Ｂ",LOOKUP($D10,{8000,8500,9000,10000,10032,12000},{0,1532,1032,408,408,408}),IF($L10="Ｃ１",LOOKUP($D10,{8000,8500,9000,10000,10032,12000},{782,2814,2814,2814,2814,2814}),IF($L10="Ｃ２",LOOKUP($D10,{8000,8500,9000,10000,10032,12000},{3188,5220,5220,5220,5220,5220}),0)))))</f>
      </c>
      <c r="O10" s="555"/>
      <c r="P10" s="558"/>
      <c r="Q10" s="493">
        <f>IF($G10="","",IF($O10="Ａ",LOOKUP($D10,{8000,8500,9000,10000,10032,12000},{0,1532,1032,32,0,0}),IF($O10="Ｂ",LOOKUP($D10,{8000,8500,9000,10000,10032,12000},{0,1532,1032,408,408,408}),IF($O10="Ｃ１",LOOKUP($D10,{8000,8500,9000,10000,10032,12000},{782,2814,2814,2814,2814,2814}),IF($O10="Ｃ２",LOOKUP($D10,{8000,8500,9000,10000,10032,12000},{3188,5220,5220,5220,5220,5220}),0)))))</f>
      </c>
      <c r="R10" s="503">
        <f t="shared" si="5"/>
      </c>
      <c r="S10" s="504">
        <f>IF(B10="","",SUMIF('6-3_調整額内訳④(旧・新制度)'!B:B,$B10,'6-3_調整額内訳④(旧・新制度)'!AH:AH))</f>
      </c>
      <c r="T10" s="505">
        <f t="shared" si="6"/>
      </c>
      <c r="U10" s="506">
        <f t="shared" si="7"/>
      </c>
      <c r="V10" s="506">
        <f t="shared" si="8"/>
      </c>
      <c r="W10" s="507"/>
      <c r="X10" s="506">
        <f t="shared" si="9"/>
      </c>
      <c r="Y10" s="501"/>
      <c r="Z10" s="503">
        <f t="shared" si="10"/>
      </c>
      <c r="AA10" s="508">
        <f t="shared" si="11"/>
      </c>
      <c r="AB10" s="712"/>
      <c r="AC10" s="713"/>
      <c r="AD10" s="714"/>
      <c r="AF10" s="63">
        <f t="shared" si="12"/>
      </c>
      <c r="AG10" s="63">
        <f t="shared" si="0"/>
      </c>
      <c r="AI10" s="56"/>
      <c r="AJ10" s="65"/>
    </row>
    <row r="11" spans="1:33" s="54" customFormat="1" ht="18.75" customHeight="1">
      <c r="A11" s="204">
        <f t="shared" si="1"/>
      </c>
      <c r="B11" s="277"/>
      <c r="C11" s="57"/>
      <c r="D11" s="474"/>
      <c r="E11" s="59"/>
      <c r="F11" s="216">
        <f t="shared" si="2"/>
      </c>
      <c r="G11" s="478">
        <f t="shared" si="3"/>
      </c>
      <c r="H11" s="479"/>
      <c r="I11" s="128"/>
      <c r="J11" s="478">
        <f t="shared" si="13"/>
      </c>
      <c r="K11" s="486">
        <f t="shared" si="4"/>
      </c>
      <c r="L11" s="555"/>
      <c r="M11" s="557"/>
      <c r="N11" s="493">
        <f>IF($G11="","",IF($L11="Ａ",LOOKUP($D11,{8000,8500,9000,10000,10032,12000},{0,1532,1032,32,0,0}),IF($L11="Ｂ",LOOKUP($D11,{8000,8500,9000,10000,10032,12000},{0,1532,1032,408,408,408}),IF($L11="Ｃ１",LOOKUP($D11,{8000,8500,9000,10000,10032,12000},{782,2814,2814,2814,2814,2814}),IF($L11="Ｃ２",LOOKUP($D11,{8000,8500,9000,10000,10032,12000},{3188,5220,5220,5220,5220,5220}),0)))))</f>
      </c>
      <c r="O11" s="555"/>
      <c r="P11" s="558"/>
      <c r="Q11" s="493">
        <f>IF($G11="","",IF($O11="Ａ",LOOKUP($D11,{8000,8500,9000,10000,10032,12000},{0,1532,1032,32,0,0}),IF($O11="Ｂ",LOOKUP($D11,{8000,8500,9000,10000,10032,12000},{0,1532,1032,408,408,408}),IF($O11="Ｃ１",LOOKUP($D11,{8000,8500,9000,10000,10032,12000},{782,2814,2814,2814,2814,2814}),IF($O11="Ｃ２",LOOKUP($D11,{8000,8500,9000,10000,10032,12000},{3188,5220,5220,5220,5220,5220}),0)))))</f>
      </c>
      <c r="R11" s="503">
        <f t="shared" si="5"/>
      </c>
      <c r="S11" s="504">
        <f>IF(B11="","",SUMIF('6-3_調整額内訳④(旧・新制度)'!B:B,$B11,'6-3_調整額内訳④(旧・新制度)'!AH:AH))</f>
      </c>
      <c r="T11" s="505">
        <f t="shared" si="6"/>
      </c>
      <c r="U11" s="506">
        <f t="shared" si="7"/>
      </c>
      <c r="V11" s="506">
        <f t="shared" si="8"/>
      </c>
      <c r="W11" s="507"/>
      <c r="X11" s="506">
        <f t="shared" si="9"/>
      </c>
      <c r="Y11" s="501"/>
      <c r="Z11" s="503">
        <f t="shared" si="10"/>
      </c>
      <c r="AA11" s="508">
        <f t="shared" si="11"/>
      </c>
      <c r="AB11" s="712"/>
      <c r="AC11" s="713"/>
      <c r="AD11" s="714"/>
      <c r="AF11" s="63">
        <f t="shared" si="12"/>
      </c>
      <c r="AG11" s="63">
        <f t="shared" si="0"/>
      </c>
    </row>
    <row r="12" spans="1:33" s="54" customFormat="1" ht="18.75" customHeight="1">
      <c r="A12" s="204">
        <f t="shared" si="1"/>
      </c>
      <c r="B12" s="277"/>
      <c r="C12" s="57"/>
      <c r="D12" s="474"/>
      <c r="E12" s="59"/>
      <c r="F12" s="216">
        <f t="shared" si="2"/>
      </c>
      <c r="G12" s="478">
        <f t="shared" si="3"/>
      </c>
      <c r="H12" s="479"/>
      <c r="I12" s="128"/>
      <c r="J12" s="478">
        <f t="shared" si="13"/>
      </c>
      <c r="K12" s="486">
        <f t="shared" si="4"/>
      </c>
      <c r="L12" s="555"/>
      <c r="M12" s="557"/>
      <c r="N12" s="493">
        <f>IF($G12="","",IF($L12="Ａ",LOOKUP($D12,{8000,8500,9000,10000,10032,12000},{0,1532,1032,32,0,0}),IF($L12="Ｂ",LOOKUP($D12,{8000,8500,9000,10000,10032,12000},{0,1532,1032,408,408,408}),IF($L12="Ｃ１",LOOKUP($D12,{8000,8500,9000,10000,10032,12000},{782,2814,2814,2814,2814,2814}),IF($L12="Ｃ２",LOOKUP($D12,{8000,8500,9000,10000,10032,12000},{3188,5220,5220,5220,5220,5220}),0)))))</f>
      </c>
      <c r="O12" s="555"/>
      <c r="P12" s="558"/>
      <c r="Q12" s="493">
        <f>IF($G12="","",IF($O12="Ａ",LOOKUP($D12,{8000,8500,9000,10000,10032,12000},{0,1532,1032,32,0,0}),IF($O12="Ｂ",LOOKUP($D12,{8000,8500,9000,10000,10032,12000},{0,1532,1032,408,408,408}),IF($O12="Ｃ１",LOOKUP($D12,{8000,8500,9000,10000,10032,12000},{782,2814,2814,2814,2814,2814}),IF($O12="Ｃ２",LOOKUP($D12,{8000,8500,9000,10000,10032,12000},{3188,5220,5220,5220,5220,5220}),0)))))</f>
      </c>
      <c r="R12" s="503">
        <f t="shared" si="5"/>
      </c>
      <c r="S12" s="504">
        <f>IF(B12="","",SUMIF('6-3_調整額内訳④(旧・新制度)'!B:B,$B12,'6-3_調整額内訳④(旧・新制度)'!AH:AH))</f>
      </c>
      <c r="T12" s="505">
        <f t="shared" si="6"/>
      </c>
      <c r="U12" s="506">
        <f t="shared" si="7"/>
      </c>
      <c r="V12" s="506">
        <f t="shared" si="8"/>
      </c>
      <c r="W12" s="507"/>
      <c r="X12" s="506">
        <f t="shared" si="9"/>
      </c>
      <c r="Y12" s="501"/>
      <c r="Z12" s="503">
        <f t="shared" si="10"/>
      </c>
      <c r="AA12" s="508">
        <f t="shared" si="11"/>
      </c>
      <c r="AB12" s="712"/>
      <c r="AC12" s="713"/>
      <c r="AD12" s="714"/>
      <c r="AF12" s="63">
        <f t="shared" si="12"/>
      </c>
      <c r="AG12" s="63">
        <f t="shared" si="0"/>
      </c>
    </row>
    <row r="13" spans="1:33" s="54" customFormat="1" ht="18.75" customHeight="1">
      <c r="A13" s="204">
        <f t="shared" si="1"/>
      </c>
      <c r="B13" s="277"/>
      <c r="C13" s="57"/>
      <c r="D13" s="474"/>
      <c r="E13" s="59"/>
      <c r="F13" s="216">
        <f t="shared" si="2"/>
      </c>
      <c r="G13" s="478">
        <f t="shared" si="3"/>
      </c>
      <c r="H13" s="479"/>
      <c r="I13" s="128"/>
      <c r="J13" s="478">
        <f t="shared" si="13"/>
      </c>
      <c r="K13" s="486">
        <f t="shared" si="4"/>
      </c>
      <c r="L13" s="555"/>
      <c r="M13" s="557"/>
      <c r="N13" s="493">
        <f>IF($G13="","",IF($L13="Ａ",LOOKUP($D13,{8000,8500,9000,10000,10032,12000},{0,1532,1032,32,0,0}),IF($L13="Ｂ",LOOKUP($D13,{8000,8500,9000,10000,10032,12000},{0,1532,1032,408,408,408}),IF($L13="Ｃ１",LOOKUP($D13,{8000,8500,9000,10000,10032,12000},{782,2814,2814,2814,2814,2814}),IF($L13="Ｃ２",LOOKUP($D13,{8000,8500,9000,10000,10032,12000},{3188,5220,5220,5220,5220,5220}),0)))))</f>
      </c>
      <c r="O13" s="555"/>
      <c r="P13" s="558"/>
      <c r="Q13" s="493">
        <f>IF($G13="","",IF($O13="Ａ",LOOKUP($D13,{8000,8500,9000,10000,10032,12000},{0,1532,1032,32,0,0}),IF($O13="Ｂ",LOOKUP($D13,{8000,8500,9000,10000,10032,12000},{0,1532,1032,408,408,408}),IF($O13="Ｃ１",LOOKUP($D13,{8000,8500,9000,10000,10032,12000},{782,2814,2814,2814,2814,2814}),IF($O13="Ｃ２",LOOKUP($D13,{8000,8500,9000,10000,10032,12000},{3188,5220,5220,5220,5220,5220}),0)))))</f>
      </c>
      <c r="R13" s="503">
        <f t="shared" si="5"/>
      </c>
      <c r="S13" s="504">
        <f>IF(B13="","",SUMIF('6-3_調整額内訳④(旧・新制度)'!B:B,$B13,'6-3_調整額内訳④(旧・新制度)'!AH:AH))</f>
      </c>
      <c r="T13" s="505">
        <f t="shared" si="6"/>
      </c>
      <c r="U13" s="506">
        <f t="shared" si="7"/>
      </c>
      <c r="V13" s="506">
        <f t="shared" si="8"/>
      </c>
      <c r="W13" s="507"/>
      <c r="X13" s="506">
        <f t="shared" si="9"/>
      </c>
      <c r="Y13" s="501"/>
      <c r="Z13" s="503">
        <f t="shared" si="10"/>
      </c>
      <c r="AA13" s="508">
        <f t="shared" si="11"/>
      </c>
      <c r="AB13" s="712"/>
      <c r="AC13" s="713"/>
      <c r="AD13" s="714"/>
      <c r="AF13" s="63">
        <f t="shared" si="12"/>
      </c>
      <c r="AG13" s="63">
        <f t="shared" si="0"/>
      </c>
    </row>
    <row r="14" spans="1:33" s="54" customFormat="1" ht="18.75" customHeight="1">
      <c r="A14" s="204">
        <f t="shared" si="1"/>
      </c>
      <c r="B14" s="277"/>
      <c r="C14" s="57"/>
      <c r="D14" s="474"/>
      <c r="E14" s="59"/>
      <c r="F14" s="216">
        <f t="shared" si="2"/>
      </c>
      <c r="G14" s="478">
        <f t="shared" si="3"/>
      </c>
      <c r="H14" s="479"/>
      <c r="I14" s="128"/>
      <c r="J14" s="478">
        <f t="shared" si="13"/>
      </c>
      <c r="K14" s="486">
        <f t="shared" si="4"/>
      </c>
      <c r="L14" s="555"/>
      <c r="M14" s="557"/>
      <c r="N14" s="493">
        <f>IF($G14="","",IF($L14="Ａ",LOOKUP($D14,{8000,8500,9000,10000,10032,12000},{0,1532,1032,32,0,0}),IF($L14="Ｂ",LOOKUP($D14,{8000,8500,9000,10000,10032,12000},{0,1532,1032,408,408,408}),IF($L14="Ｃ１",LOOKUP($D14,{8000,8500,9000,10000,10032,12000},{782,2814,2814,2814,2814,2814}),IF($L14="Ｃ２",LOOKUP($D14,{8000,8500,9000,10000,10032,12000},{3188,5220,5220,5220,5220,5220}),0)))))</f>
      </c>
      <c r="O14" s="555"/>
      <c r="P14" s="558"/>
      <c r="Q14" s="493">
        <f>IF($G14="","",IF($O14="Ａ",LOOKUP($D14,{8000,8500,9000,10000,10032,12000},{0,1532,1032,32,0,0}),IF($O14="Ｂ",LOOKUP($D14,{8000,8500,9000,10000,10032,12000},{0,1532,1032,408,408,408}),IF($O14="Ｃ１",LOOKUP($D14,{8000,8500,9000,10000,10032,12000},{782,2814,2814,2814,2814,2814}),IF($O14="Ｃ２",LOOKUP($D14,{8000,8500,9000,10000,10032,12000},{3188,5220,5220,5220,5220,5220}),0)))))</f>
      </c>
      <c r="R14" s="503">
        <f t="shared" si="5"/>
      </c>
      <c r="S14" s="504">
        <f>IF(B14="","",SUMIF('6-3_調整額内訳④(旧・新制度)'!B:B,$B14,'6-3_調整額内訳④(旧・新制度)'!AH:AH))</f>
      </c>
      <c r="T14" s="505">
        <f t="shared" si="6"/>
      </c>
      <c r="U14" s="506">
        <f t="shared" si="7"/>
      </c>
      <c r="V14" s="506">
        <f t="shared" si="8"/>
      </c>
      <c r="W14" s="507"/>
      <c r="X14" s="506">
        <f t="shared" si="9"/>
      </c>
      <c r="Y14" s="501"/>
      <c r="Z14" s="503">
        <f t="shared" si="10"/>
      </c>
      <c r="AA14" s="508">
        <f t="shared" si="11"/>
      </c>
      <c r="AB14" s="712"/>
      <c r="AC14" s="713"/>
      <c r="AD14" s="714"/>
      <c r="AF14" s="63">
        <f t="shared" si="12"/>
      </c>
      <c r="AG14" s="63">
        <f t="shared" si="0"/>
      </c>
    </row>
    <row r="15" spans="1:33" s="54" customFormat="1" ht="18.75" customHeight="1">
      <c r="A15" s="204">
        <f t="shared" si="1"/>
      </c>
      <c r="B15" s="277"/>
      <c r="C15" s="57"/>
      <c r="D15" s="474"/>
      <c r="E15" s="59"/>
      <c r="F15" s="216">
        <f t="shared" si="2"/>
      </c>
      <c r="G15" s="478">
        <f t="shared" si="3"/>
      </c>
      <c r="H15" s="479"/>
      <c r="I15" s="128"/>
      <c r="J15" s="478">
        <f t="shared" si="13"/>
      </c>
      <c r="K15" s="486">
        <f t="shared" si="4"/>
      </c>
      <c r="L15" s="555"/>
      <c r="M15" s="557"/>
      <c r="N15" s="493">
        <f>IF($G15="","",IF($L15="Ａ",LOOKUP($D15,{8000,8500,9000,10000,10032,12000},{0,1532,1032,32,0,0}),IF($L15="Ｂ",LOOKUP($D15,{8000,8500,9000,10000,10032,12000},{0,1532,1032,408,408,408}),IF($L15="Ｃ１",LOOKUP($D15,{8000,8500,9000,10000,10032,12000},{782,2814,2814,2814,2814,2814}),IF($L15="Ｃ２",LOOKUP($D15,{8000,8500,9000,10000,10032,12000},{3188,5220,5220,5220,5220,5220}),0)))))</f>
      </c>
      <c r="O15" s="555"/>
      <c r="P15" s="558"/>
      <c r="Q15" s="493">
        <f>IF($G15="","",IF($O15="Ａ",LOOKUP($D15,{8000,8500,9000,10000,10032,12000},{0,1532,1032,32,0,0}),IF($O15="Ｂ",LOOKUP($D15,{8000,8500,9000,10000,10032,12000},{0,1532,1032,408,408,408}),IF($O15="Ｃ１",LOOKUP($D15,{8000,8500,9000,10000,10032,12000},{782,2814,2814,2814,2814,2814}),IF($O15="Ｃ２",LOOKUP($D15,{8000,8500,9000,10000,10032,12000},{3188,5220,5220,5220,5220,5220}),0)))))</f>
      </c>
      <c r="R15" s="503">
        <f t="shared" si="5"/>
      </c>
      <c r="S15" s="504">
        <f>IF(B15="","",SUMIF('6-3_調整額内訳④(旧・新制度)'!B:B,$B15,'6-3_調整額内訳④(旧・新制度)'!AH:AH))</f>
      </c>
      <c r="T15" s="505">
        <f t="shared" si="6"/>
      </c>
      <c r="U15" s="506">
        <f t="shared" si="7"/>
      </c>
      <c r="V15" s="506">
        <f t="shared" si="8"/>
      </c>
      <c r="W15" s="507"/>
      <c r="X15" s="506">
        <f t="shared" si="9"/>
      </c>
      <c r="Y15" s="501"/>
      <c r="Z15" s="503">
        <f t="shared" si="10"/>
      </c>
      <c r="AA15" s="508">
        <f t="shared" si="11"/>
      </c>
      <c r="AB15" s="712"/>
      <c r="AC15" s="713"/>
      <c r="AD15" s="714"/>
      <c r="AF15" s="63">
        <f t="shared" si="12"/>
      </c>
      <c r="AG15" s="63">
        <f t="shared" si="0"/>
      </c>
    </row>
    <row r="16" spans="1:33" s="54" customFormat="1" ht="18.75" customHeight="1">
      <c r="A16" s="204">
        <f t="shared" si="1"/>
      </c>
      <c r="B16" s="277"/>
      <c r="C16" s="57"/>
      <c r="D16" s="474"/>
      <c r="E16" s="59"/>
      <c r="F16" s="216">
        <f t="shared" si="2"/>
      </c>
      <c r="G16" s="478">
        <f t="shared" si="3"/>
      </c>
      <c r="H16" s="479"/>
      <c r="I16" s="128"/>
      <c r="J16" s="478">
        <f t="shared" si="13"/>
      </c>
      <c r="K16" s="486">
        <f t="shared" si="4"/>
      </c>
      <c r="L16" s="555"/>
      <c r="M16" s="557"/>
      <c r="N16" s="493">
        <f>IF($G16="","",IF($L16="Ａ",LOOKUP($D16,{8000,8500,9000,10000,10032,12000},{0,1532,1032,32,0,0}),IF($L16="Ｂ",LOOKUP($D16,{8000,8500,9000,10000,10032,12000},{0,1532,1032,408,408,408}),IF($L16="Ｃ１",LOOKUP($D16,{8000,8500,9000,10000,10032,12000},{782,2814,2814,2814,2814,2814}),IF($L16="Ｃ２",LOOKUP($D16,{8000,8500,9000,10000,10032,12000},{3188,5220,5220,5220,5220,5220}),0)))))</f>
      </c>
      <c r="O16" s="555"/>
      <c r="P16" s="558"/>
      <c r="Q16" s="493">
        <f>IF($G16="","",IF($O16="Ａ",LOOKUP($D16,{8000,8500,9000,10000,10032,12000},{0,1532,1032,32,0,0}),IF($O16="Ｂ",LOOKUP($D16,{8000,8500,9000,10000,10032,12000},{0,1532,1032,408,408,408}),IF($O16="Ｃ１",LOOKUP($D16,{8000,8500,9000,10000,10032,12000},{782,2814,2814,2814,2814,2814}),IF($O16="Ｃ２",LOOKUP($D16,{8000,8500,9000,10000,10032,12000},{3188,5220,5220,5220,5220,5220}),0)))))</f>
      </c>
      <c r="R16" s="503">
        <f t="shared" si="5"/>
      </c>
      <c r="S16" s="504">
        <f>IF(B16="","",SUMIF('6-3_調整額内訳④(旧・新制度)'!B:B,$B16,'6-3_調整額内訳④(旧・新制度)'!AH:AH))</f>
      </c>
      <c r="T16" s="505">
        <f t="shared" si="6"/>
      </c>
      <c r="U16" s="506">
        <f t="shared" si="7"/>
      </c>
      <c r="V16" s="506">
        <f t="shared" si="8"/>
      </c>
      <c r="W16" s="507"/>
      <c r="X16" s="506">
        <f t="shared" si="9"/>
      </c>
      <c r="Y16" s="501"/>
      <c r="Z16" s="503">
        <f t="shared" si="10"/>
      </c>
      <c r="AA16" s="508">
        <f t="shared" si="11"/>
      </c>
      <c r="AB16" s="712"/>
      <c r="AC16" s="713"/>
      <c r="AD16" s="714"/>
      <c r="AF16" s="63">
        <f t="shared" si="12"/>
      </c>
      <c r="AG16" s="63">
        <f t="shared" si="0"/>
      </c>
    </row>
    <row r="17" spans="1:33" s="54" customFormat="1" ht="18.75" customHeight="1">
      <c r="A17" s="204">
        <f t="shared" si="1"/>
      </c>
      <c r="B17" s="277"/>
      <c r="C17" s="57"/>
      <c r="D17" s="474"/>
      <c r="E17" s="59"/>
      <c r="F17" s="216">
        <f t="shared" si="2"/>
      </c>
      <c r="G17" s="478">
        <f t="shared" si="3"/>
      </c>
      <c r="H17" s="479"/>
      <c r="I17" s="128"/>
      <c r="J17" s="478">
        <f t="shared" si="13"/>
      </c>
      <c r="K17" s="486">
        <f t="shared" si="4"/>
      </c>
      <c r="L17" s="555"/>
      <c r="M17" s="557"/>
      <c r="N17" s="493">
        <f>IF($G17="","",IF($L17="Ａ",LOOKUP($D17,{8000,8500,9000,10000,10032,12000},{0,1532,1032,32,0,0}),IF($L17="Ｂ",LOOKUP($D17,{8000,8500,9000,10000,10032,12000},{0,1532,1032,408,408,408}),IF($L17="Ｃ１",LOOKUP($D17,{8000,8500,9000,10000,10032,12000},{782,2814,2814,2814,2814,2814}),IF($L17="Ｃ２",LOOKUP($D17,{8000,8500,9000,10000,10032,12000},{3188,5220,5220,5220,5220,5220}),0)))))</f>
      </c>
      <c r="O17" s="555"/>
      <c r="P17" s="558"/>
      <c r="Q17" s="493">
        <f>IF($G17="","",IF($O17="Ａ",LOOKUP($D17,{8000,8500,9000,10000,10032,12000},{0,1532,1032,32,0,0}),IF($O17="Ｂ",LOOKUP($D17,{8000,8500,9000,10000,10032,12000},{0,1532,1032,408,408,408}),IF($O17="Ｃ１",LOOKUP($D17,{8000,8500,9000,10000,10032,12000},{782,2814,2814,2814,2814,2814}),IF($O17="Ｃ２",LOOKUP($D17,{8000,8500,9000,10000,10032,12000},{3188,5220,5220,5220,5220,5220}),0)))))</f>
      </c>
      <c r="R17" s="503">
        <f t="shared" si="5"/>
      </c>
      <c r="S17" s="504">
        <f>IF(B17="","",SUMIF('6-3_調整額内訳④(旧・新制度)'!B:B,$B17,'6-3_調整額内訳④(旧・新制度)'!AH:AH))</f>
      </c>
      <c r="T17" s="505">
        <f t="shared" si="6"/>
      </c>
      <c r="U17" s="506">
        <f t="shared" si="7"/>
      </c>
      <c r="V17" s="506">
        <f t="shared" si="8"/>
      </c>
      <c r="W17" s="507"/>
      <c r="X17" s="506">
        <f t="shared" si="9"/>
      </c>
      <c r="Y17" s="501"/>
      <c r="Z17" s="503">
        <f t="shared" si="10"/>
      </c>
      <c r="AA17" s="508">
        <f t="shared" si="11"/>
      </c>
      <c r="AB17" s="712"/>
      <c r="AC17" s="713"/>
      <c r="AD17" s="714"/>
      <c r="AF17" s="63">
        <f t="shared" si="12"/>
      </c>
      <c r="AG17" s="63">
        <f t="shared" si="0"/>
      </c>
    </row>
    <row r="18" spans="1:33" s="54" customFormat="1" ht="18.75" customHeight="1">
      <c r="A18" s="204">
        <f t="shared" si="1"/>
      </c>
      <c r="B18" s="277"/>
      <c r="C18" s="57"/>
      <c r="D18" s="474"/>
      <c r="E18" s="59"/>
      <c r="F18" s="216">
        <f t="shared" si="2"/>
      </c>
      <c r="G18" s="478">
        <f t="shared" si="3"/>
      </c>
      <c r="H18" s="479"/>
      <c r="I18" s="128"/>
      <c r="J18" s="478">
        <f t="shared" si="13"/>
      </c>
      <c r="K18" s="486">
        <f t="shared" si="4"/>
      </c>
      <c r="L18" s="555"/>
      <c r="M18" s="557"/>
      <c r="N18" s="493">
        <f>IF($G18="","",IF($L18="Ａ",LOOKUP($D18,{8000,8500,9000,10000,10032,12000},{0,1532,1032,32,0,0}),IF($L18="Ｂ",LOOKUP($D18,{8000,8500,9000,10000,10032,12000},{0,1532,1032,408,408,408}),IF($L18="Ｃ１",LOOKUP($D18,{8000,8500,9000,10000,10032,12000},{782,2814,2814,2814,2814,2814}),IF($L18="Ｃ２",LOOKUP($D18,{8000,8500,9000,10000,10032,12000},{3188,5220,5220,5220,5220,5220}),0)))))</f>
      </c>
      <c r="O18" s="555"/>
      <c r="P18" s="558"/>
      <c r="Q18" s="493">
        <f>IF($G18="","",IF($O18="Ａ",LOOKUP($D18,{8000,8500,9000,10000,10032,12000},{0,1532,1032,32,0,0}),IF($O18="Ｂ",LOOKUP($D18,{8000,8500,9000,10000,10032,12000},{0,1532,1032,408,408,408}),IF($O18="Ｃ１",LOOKUP($D18,{8000,8500,9000,10000,10032,12000},{782,2814,2814,2814,2814,2814}),IF($O18="Ｃ２",LOOKUP($D18,{8000,8500,9000,10000,10032,12000},{3188,5220,5220,5220,5220,5220}),0)))))</f>
      </c>
      <c r="R18" s="503">
        <f t="shared" si="5"/>
      </c>
      <c r="S18" s="504">
        <f>IF(B18="","",SUMIF('6-3_調整額内訳④(旧・新制度)'!B:B,$B18,'6-3_調整額内訳④(旧・新制度)'!AH:AH))</f>
      </c>
      <c r="T18" s="505">
        <f t="shared" si="6"/>
      </c>
      <c r="U18" s="506">
        <f t="shared" si="7"/>
      </c>
      <c r="V18" s="506">
        <f t="shared" si="8"/>
      </c>
      <c r="W18" s="507"/>
      <c r="X18" s="506">
        <f t="shared" si="9"/>
      </c>
      <c r="Y18" s="501"/>
      <c r="Z18" s="503">
        <f t="shared" si="10"/>
      </c>
      <c r="AA18" s="508">
        <f t="shared" si="11"/>
      </c>
      <c r="AB18" s="712"/>
      <c r="AC18" s="713"/>
      <c r="AD18" s="714"/>
      <c r="AF18" s="63">
        <f t="shared" si="12"/>
      </c>
      <c r="AG18" s="63">
        <f t="shared" si="0"/>
      </c>
    </row>
    <row r="19" spans="1:33" s="54" customFormat="1" ht="18.75" customHeight="1">
      <c r="A19" s="204">
        <f t="shared" si="1"/>
      </c>
      <c r="B19" s="277"/>
      <c r="C19" s="57"/>
      <c r="D19" s="474"/>
      <c r="E19" s="59"/>
      <c r="F19" s="216">
        <f t="shared" si="2"/>
      </c>
      <c r="G19" s="478">
        <f t="shared" si="3"/>
      </c>
      <c r="H19" s="479"/>
      <c r="I19" s="128"/>
      <c r="J19" s="478">
        <f t="shared" si="13"/>
      </c>
      <c r="K19" s="486">
        <f t="shared" si="4"/>
      </c>
      <c r="L19" s="555"/>
      <c r="M19" s="557"/>
      <c r="N19" s="493">
        <f>IF($G19="","",IF($L19="Ａ",LOOKUP($D19,{8000,8500,9000,10000,10032,12000},{0,1532,1032,32,0,0}),IF($L19="Ｂ",LOOKUP($D19,{8000,8500,9000,10000,10032,12000},{0,1532,1032,408,408,408}),IF($L19="Ｃ１",LOOKUP($D19,{8000,8500,9000,10000,10032,12000},{782,2814,2814,2814,2814,2814}),IF($L19="Ｃ２",LOOKUP($D19,{8000,8500,9000,10000,10032,12000},{3188,5220,5220,5220,5220,5220}),0)))))</f>
      </c>
      <c r="O19" s="555"/>
      <c r="P19" s="558"/>
      <c r="Q19" s="493">
        <f>IF($G19="","",IF($O19="Ａ",LOOKUP($D19,{8000,8500,9000,10000,10032,12000},{0,1532,1032,32,0,0}),IF($O19="Ｂ",LOOKUP($D19,{8000,8500,9000,10000,10032,12000},{0,1532,1032,408,408,408}),IF($O19="Ｃ１",LOOKUP($D19,{8000,8500,9000,10000,10032,12000},{782,2814,2814,2814,2814,2814}),IF($O19="Ｃ２",LOOKUP($D19,{8000,8500,9000,10000,10032,12000},{3188,5220,5220,5220,5220,5220}),0)))))</f>
      </c>
      <c r="R19" s="503">
        <f t="shared" si="5"/>
      </c>
      <c r="S19" s="504">
        <f>IF(B19="","",SUMIF('6-3_調整額内訳④(旧・新制度)'!B:B,$B19,'6-3_調整額内訳④(旧・新制度)'!AH:AH))</f>
      </c>
      <c r="T19" s="505">
        <f t="shared" si="6"/>
      </c>
      <c r="U19" s="506">
        <f t="shared" si="7"/>
      </c>
      <c r="V19" s="506">
        <f t="shared" si="8"/>
      </c>
      <c r="W19" s="507"/>
      <c r="X19" s="506">
        <f t="shared" si="9"/>
      </c>
      <c r="Y19" s="501"/>
      <c r="Z19" s="503">
        <f t="shared" si="10"/>
      </c>
      <c r="AA19" s="508">
        <f t="shared" si="11"/>
      </c>
      <c r="AB19" s="712"/>
      <c r="AC19" s="713"/>
      <c r="AD19" s="714"/>
      <c r="AF19" s="63">
        <f t="shared" si="12"/>
      </c>
      <c r="AG19" s="63">
        <f t="shared" si="0"/>
      </c>
    </row>
    <row r="20" spans="1:33" s="54" customFormat="1" ht="18.75" customHeight="1">
      <c r="A20" s="204">
        <f t="shared" si="1"/>
      </c>
      <c r="B20" s="277"/>
      <c r="C20" s="57"/>
      <c r="D20" s="474"/>
      <c r="E20" s="59"/>
      <c r="F20" s="216">
        <f t="shared" si="2"/>
      </c>
      <c r="G20" s="478">
        <f t="shared" si="3"/>
      </c>
      <c r="H20" s="479"/>
      <c r="I20" s="128"/>
      <c r="J20" s="478">
        <f t="shared" si="13"/>
      </c>
      <c r="K20" s="486">
        <f t="shared" si="4"/>
      </c>
      <c r="L20" s="555"/>
      <c r="M20" s="557"/>
      <c r="N20" s="493">
        <f>IF($G20="","",IF($L20="Ａ",LOOKUP($D20,{8000,8500,9000,10000,10032,12000},{0,1532,1032,32,0,0}),IF($L20="Ｂ",LOOKUP($D20,{8000,8500,9000,10000,10032,12000},{0,1532,1032,408,408,408}),IF($L20="Ｃ１",LOOKUP($D20,{8000,8500,9000,10000,10032,12000},{782,2814,2814,2814,2814,2814}),IF($L20="Ｃ２",LOOKUP($D20,{8000,8500,9000,10000,10032,12000},{3188,5220,5220,5220,5220,5220}),0)))))</f>
      </c>
      <c r="O20" s="555"/>
      <c r="P20" s="558"/>
      <c r="Q20" s="493">
        <f>IF($G20="","",IF($O20="Ａ",LOOKUP($D20,{8000,8500,9000,10000,10032,12000},{0,1532,1032,32,0,0}),IF($O20="Ｂ",LOOKUP($D20,{8000,8500,9000,10000,10032,12000},{0,1532,1032,408,408,408}),IF($O20="Ｃ１",LOOKUP($D20,{8000,8500,9000,10000,10032,12000},{782,2814,2814,2814,2814,2814}),IF($O20="Ｃ２",LOOKUP($D20,{8000,8500,9000,10000,10032,12000},{3188,5220,5220,5220,5220,5220}),0)))))</f>
      </c>
      <c r="R20" s="503">
        <f t="shared" si="5"/>
      </c>
      <c r="S20" s="504">
        <f>IF(B20="","",SUMIF('6-3_調整額内訳④(旧・新制度)'!B:B,$B20,'6-3_調整額内訳④(旧・新制度)'!AH:AH))</f>
      </c>
      <c r="T20" s="505">
        <f t="shared" si="6"/>
      </c>
      <c r="U20" s="506">
        <f t="shared" si="7"/>
      </c>
      <c r="V20" s="506">
        <f t="shared" si="8"/>
      </c>
      <c r="W20" s="507"/>
      <c r="X20" s="506">
        <f t="shared" si="9"/>
      </c>
      <c r="Y20" s="501"/>
      <c r="Z20" s="503">
        <f t="shared" si="10"/>
      </c>
      <c r="AA20" s="508">
        <f t="shared" si="11"/>
      </c>
      <c r="AB20" s="712"/>
      <c r="AC20" s="713"/>
      <c r="AD20" s="714"/>
      <c r="AF20" s="63">
        <f t="shared" si="12"/>
      </c>
      <c r="AG20" s="63">
        <f t="shared" si="0"/>
      </c>
    </row>
    <row r="21" spans="1:33" s="54" customFormat="1" ht="18.75" customHeight="1">
      <c r="A21" s="204">
        <f t="shared" si="1"/>
      </c>
      <c r="B21" s="277"/>
      <c r="C21" s="57"/>
      <c r="D21" s="474"/>
      <c r="E21" s="59"/>
      <c r="F21" s="216">
        <f t="shared" si="2"/>
      </c>
      <c r="G21" s="478">
        <f t="shared" si="3"/>
      </c>
      <c r="H21" s="479"/>
      <c r="I21" s="128"/>
      <c r="J21" s="478">
        <f t="shared" si="13"/>
      </c>
      <c r="K21" s="486">
        <f t="shared" si="4"/>
      </c>
      <c r="L21" s="555"/>
      <c r="M21" s="557"/>
      <c r="N21" s="493">
        <f>IF($G21="","",IF($L21="Ａ",LOOKUP($D21,{8000,8500,9000,10000,10032,12000},{0,1532,1032,32,0,0}),IF($L21="Ｂ",LOOKUP($D21,{8000,8500,9000,10000,10032,12000},{0,1532,1032,408,408,408}),IF($L21="Ｃ１",LOOKUP($D21,{8000,8500,9000,10000,10032,12000},{782,2814,2814,2814,2814,2814}),IF($L21="Ｃ２",LOOKUP($D21,{8000,8500,9000,10000,10032,12000},{3188,5220,5220,5220,5220,5220}),0)))))</f>
      </c>
      <c r="O21" s="555"/>
      <c r="P21" s="558"/>
      <c r="Q21" s="493">
        <f>IF($G21="","",IF($O21="Ａ",LOOKUP($D21,{8000,8500,9000,10000,10032,12000},{0,1532,1032,32,0,0}),IF($O21="Ｂ",LOOKUP($D21,{8000,8500,9000,10000,10032,12000},{0,1532,1032,408,408,408}),IF($O21="Ｃ１",LOOKUP($D21,{8000,8500,9000,10000,10032,12000},{782,2814,2814,2814,2814,2814}),IF($O21="Ｃ２",LOOKUP($D21,{8000,8500,9000,10000,10032,12000},{3188,5220,5220,5220,5220,5220}),0)))))</f>
      </c>
      <c r="R21" s="503">
        <f t="shared" si="5"/>
      </c>
      <c r="S21" s="504">
        <f>IF(B21="","",SUMIF('6-3_調整額内訳④(旧・新制度)'!B:B,$B21,'6-3_調整額内訳④(旧・新制度)'!AH:AH))</f>
      </c>
      <c r="T21" s="505">
        <f t="shared" si="6"/>
      </c>
      <c r="U21" s="506">
        <f t="shared" si="7"/>
      </c>
      <c r="V21" s="506">
        <f t="shared" si="8"/>
      </c>
      <c r="W21" s="507"/>
      <c r="X21" s="506">
        <f t="shared" si="9"/>
      </c>
      <c r="Y21" s="501"/>
      <c r="Z21" s="503">
        <f t="shared" si="10"/>
      </c>
      <c r="AA21" s="508">
        <f t="shared" si="11"/>
      </c>
      <c r="AB21" s="712"/>
      <c r="AC21" s="713"/>
      <c r="AD21" s="714"/>
      <c r="AF21" s="63">
        <f t="shared" si="12"/>
      </c>
      <c r="AG21" s="63">
        <f t="shared" si="0"/>
      </c>
    </row>
    <row r="22" spans="1:33" s="54" customFormat="1" ht="18.75" customHeight="1">
      <c r="A22" s="204">
        <f t="shared" si="1"/>
      </c>
      <c r="B22" s="277"/>
      <c r="C22" s="57"/>
      <c r="D22" s="474"/>
      <c r="E22" s="59"/>
      <c r="F22" s="216">
        <f t="shared" si="2"/>
      </c>
      <c r="G22" s="478">
        <f t="shared" si="3"/>
      </c>
      <c r="H22" s="479"/>
      <c r="I22" s="128"/>
      <c r="J22" s="478">
        <f t="shared" si="13"/>
      </c>
      <c r="K22" s="486">
        <f t="shared" si="4"/>
      </c>
      <c r="L22" s="555"/>
      <c r="M22" s="557"/>
      <c r="N22" s="493">
        <f>IF($G22="","",IF($L22="Ａ",LOOKUP($D22,{8000,8500,9000,10000,10032,12000},{0,1532,1032,32,0,0}),IF($L22="Ｂ",LOOKUP($D22,{8000,8500,9000,10000,10032,12000},{0,1532,1032,408,408,408}),IF($L22="Ｃ１",LOOKUP($D22,{8000,8500,9000,10000,10032,12000},{782,2814,2814,2814,2814,2814}),IF($L22="Ｃ２",LOOKUP($D22,{8000,8500,9000,10000,10032,12000},{3188,5220,5220,5220,5220,5220}),0)))))</f>
      </c>
      <c r="O22" s="555"/>
      <c r="P22" s="558"/>
      <c r="Q22" s="493">
        <f>IF($G22="","",IF($O22="Ａ",LOOKUP($D22,{8000,8500,9000,10000,10032,12000},{0,1532,1032,32,0,0}),IF($O22="Ｂ",LOOKUP($D22,{8000,8500,9000,10000,10032,12000},{0,1532,1032,408,408,408}),IF($O22="Ｃ１",LOOKUP($D22,{8000,8500,9000,10000,10032,12000},{782,2814,2814,2814,2814,2814}),IF($O22="Ｃ２",LOOKUP($D22,{8000,8500,9000,10000,10032,12000},{3188,5220,5220,5220,5220,5220}),0)))))</f>
      </c>
      <c r="R22" s="503">
        <f t="shared" si="5"/>
      </c>
      <c r="S22" s="504">
        <f>IF(B22="","",SUMIF('6-3_調整額内訳④(旧・新制度)'!B:B,$B22,'6-3_調整額内訳④(旧・新制度)'!AH:AH))</f>
      </c>
      <c r="T22" s="505">
        <f t="shared" si="6"/>
      </c>
      <c r="U22" s="506">
        <f t="shared" si="7"/>
      </c>
      <c r="V22" s="506">
        <f t="shared" si="8"/>
      </c>
      <c r="W22" s="507"/>
      <c r="X22" s="506">
        <f t="shared" si="9"/>
      </c>
      <c r="Y22" s="501"/>
      <c r="Z22" s="503">
        <f t="shared" si="10"/>
      </c>
      <c r="AA22" s="508">
        <f t="shared" si="11"/>
      </c>
      <c r="AB22" s="712"/>
      <c r="AC22" s="713"/>
      <c r="AD22" s="714"/>
      <c r="AF22" s="63">
        <f t="shared" si="12"/>
      </c>
      <c r="AG22" s="63">
        <f t="shared" si="0"/>
      </c>
    </row>
    <row r="23" spans="1:33" s="54" customFormat="1" ht="18.75" customHeight="1">
      <c r="A23" s="204">
        <f t="shared" si="1"/>
      </c>
      <c r="B23" s="277"/>
      <c r="C23" s="57"/>
      <c r="D23" s="474"/>
      <c r="E23" s="59"/>
      <c r="F23" s="216">
        <f t="shared" si="2"/>
      </c>
      <c r="G23" s="478">
        <f t="shared" si="3"/>
      </c>
      <c r="H23" s="479"/>
      <c r="I23" s="128"/>
      <c r="J23" s="478">
        <f t="shared" si="13"/>
      </c>
      <c r="K23" s="486">
        <f t="shared" si="4"/>
      </c>
      <c r="L23" s="555"/>
      <c r="M23" s="557"/>
      <c r="N23" s="493">
        <f>IF($G23="","",IF($L23="Ａ",LOOKUP($D23,{8000,8500,9000,10000,10032,12000},{0,1532,1032,32,0,0}),IF($L23="Ｂ",LOOKUP($D23,{8000,8500,9000,10000,10032,12000},{0,1532,1032,408,408,408}),IF($L23="Ｃ１",LOOKUP($D23,{8000,8500,9000,10000,10032,12000},{782,2814,2814,2814,2814,2814}),IF($L23="Ｃ２",LOOKUP($D23,{8000,8500,9000,10000,10032,12000},{3188,5220,5220,5220,5220,5220}),0)))))</f>
      </c>
      <c r="O23" s="555"/>
      <c r="P23" s="558"/>
      <c r="Q23" s="493">
        <f>IF($G23="","",IF($O23="Ａ",LOOKUP($D23,{8000,8500,9000,10000,10032,12000},{0,1532,1032,32,0,0}),IF($O23="Ｂ",LOOKUP($D23,{8000,8500,9000,10000,10032,12000},{0,1532,1032,408,408,408}),IF($O23="Ｃ１",LOOKUP($D23,{8000,8500,9000,10000,10032,12000},{782,2814,2814,2814,2814,2814}),IF($O23="Ｃ２",LOOKUP($D23,{8000,8500,9000,10000,10032,12000},{3188,5220,5220,5220,5220,5220}),0)))))</f>
      </c>
      <c r="R23" s="503">
        <f t="shared" si="5"/>
      </c>
      <c r="S23" s="504">
        <f>IF(B23="","",SUMIF('6-3_調整額内訳④(旧・新制度)'!B:B,$B23,'6-3_調整額内訳④(旧・新制度)'!AH:AH))</f>
      </c>
      <c r="T23" s="505">
        <f t="shared" si="6"/>
      </c>
      <c r="U23" s="506">
        <f t="shared" si="7"/>
      </c>
      <c r="V23" s="506">
        <f t="shared" si="8"/>
      </c>
      <c r="W23" s="507"/>
      <c r="X23" s="506">
        <f t="shared" si="9"/>
      </c>
      <c r="Y23" s="501"/>
      <c r="Z23" s="503">
        <f t="shared" si="10"/>
      </c>
      <c r="AA23" s="508">
        <f t="shared" si="11"/>
      </c>
      <c r="AB23" s="712"/>
      <c r="AC23" s="713"/>
      <c r="AD23" s="714"/>
      <c r="AF23" s="63">
        <f t="shared" si="12"/>
      </c>
      <c r="AG23" s="63">
        <f t="shared" si="0"/>
      </c>
    </row>
    <row r="24" spans="1:33" s="54" customFormat="1" ht="18.75" customHeight="1">
      <c r="A24" s="204">
        <f t="shared" si="1"/>
      </c>
      <c r="B24" s="277"/>
      <c r="C24" s="57"/>
      <c r="D24" s="474"/>
      <c r="E24" s="59"/>
      <c r="F24" s="216">
        <f t="shared" si="2"/>
      </c>
      <c r="G24" s="478">
        <f t="shared" si="3"/>
      </c>
      <c r="H24" s="479"/>
      <c r="I24" s="128"/>
      <c r="J24" s="478">
        <f t="shared" si="13"/>
      </c>
      <c r="K24" s="486">
        <f t="shared" si="4"/>
      </c>
      <c r="L24" s="555"/>
      <c r="M24" s="557"/>
      <c r="N24" s="493">
        <f>IF($G24="","",IF($L24="Ａ",LOOKUP($D24,{8000,8500,9000,10000,10032,12000},{0,1532,1032,32,0,0}),IF($L24="Ｂ",LOOKUP($D24,{8000,8500,9000,10000,10032,12000},{0,1532,1032,408,408,408}),IF($L24="Ｃ１",LOOKUP($D24,{8000,8500,9000,10000,10032,12000},{782,2814,2814,2814,2814,2814}),IF($L24="Ｃ２",LOOKUP($D24,{8000,8500,9000,10000,10032,12000},{3188,5220,5220,5220,5220,5220}),0)))))</f>
      </c>
      <c r="O24" s="555"/>
      <c r="P24" s="558"/>
      <c r="Q24" s="493">
        <f>IF($G24="","",IF($O24="Ａ",LOOKUP($D24,{8000,8500,9000,10000,10032,12000},{0,1532,1032,32,0,0}),IF($O24="Ｂ",LOOKUP($D24,{8000,8500,9000,10000,10032,12000},{0,1532,1032,408,408,408}),IF($O24="Ｃ１",LOOKUP($D24,{8000,8500,9000,10000,10032,12000},{782,2814,2814,2814,2814,2814}),IF($O24="Ｃ２",LOOKUP($D24,{8000,8500,9000,10000,10032,12000},{3188,5220,5220,5220,5220,5220}),0)))))</f>
      </c>
      <c r="R24" s="503">
        <f t="shared" si="5"/>
      </c>
      <c r="S24" s="504">
        <f>IF(B24="","",SUMIF('6-3_調整額内訳④(旧・新制度)'!B:B,$B24,'6-3_調整額内訳④(旧・新制度)'!AH:AH))</f>
      </c>
      <c r="T24" s="505">
        <f t="shared" si="6"/>
      </c>
      <c r="U24" s="506">
        <f t="shared" si="7"/>
      </c>
      <c r="V24" s="506">
        <f t="shared" si="8"/>
      </c>
      <c r="W24" s="507"/>
      <c r="X24" s="506">
        <f t="shared" si="9"/>
      </c>
      <c r="Y24" s="501"/>
      <c r="Z24" s="503">
        <f t="shared" si="10"/>
      </c>
      <c r="AA24" s="508">
        <f t="shared" si="11"/>
      </c>
      <c r="AB24" s="712"/>
      <c r="AC24" s="713"/>
      <c r="AD24" s="714"/>
      <c r="AF24" s="63">
        <f t="shared" si="12"/>
      </c>
      <c r="AG24" s="63">
        <f t="shared" si="0"/>
      </c>
    </row>
    <row r="25" spans="1:33" s="54" customFormat="1" ht="18.75" customHeight="1">
      <c r="A25" s="204">
        <f t="shared" si="1"/>
      </c>
      <c r="B25" s="277"/>
      <c r="C25" s="57"/>
      <c r="D25" s="474"/>
      <c r="E25" s="59"/>
      <c r="F25" s="216">
        <f t="shared" si="2"/>
      </c>
      <c r="G25" s="478">
        <f t="shared" si="3"/>
      </c>
      <c r="H25" s="479"/>
      <c r="I25" s="128"/>
      <c r="J25" s="478">
        <f t="shared" si="13"/>
      </c>
      <c r="K25" s="486">
        <f t="shared" si="4"/>
      </c>
      <c r="L25" s="555"/>
      <c r="M25" s="557"/>
      <c r="N25" s="493">
        <f>IF($G25="","",IF($L25="Ａ",LOOKUP($D25,{8000,8500,9000,10000,10032,12000},{0,1532,1032,32,0,0}),IF($L25="Ｂ",LOOKUP($D25,{8000,8500,9000,10000,10032,12000},{0,1532,1032,408,408,408}),IF($L25="Ｃ１",LOOKUP($D25,{8000,8500,9000,10000,10032,12000},{782,2814,2814,2814,2814,2814}),IF($L25="Ｃ２",LOOKUP($D25,{8000,8500,9000,10000,10032,12000},{3188,5220,5220,5220,5220,5220}),0)))))</f>
      </c>
      <c r="O25" s="555"/>
      <c r="P25" s="558"/>
      <c r="Q25" s="493">
        <f>IF($G25="","",IF($O25="Ａ",LOOKUP($D25,{8000,8500,9000,10000,10032,12000},{0,1532,1032,32,0,0}),IF($O25="Ｂ",LOOKUP($D25,{8000,8500,9000,10000,10032,12000},{0,1532,1032,408,408,408}),IF($O25="Ｃ１",LOOKUP($D25,{8000,8500,9000,10000,10032,12000},{782,2814,2814,2814,2814,2814}),IF($O25="Ｃ２",LOOKUP($D25,{8000,8500,9000,10000,10032,12000},{3188,5220,5220,5220,5220,5220}),0)))))</f>
      </c>
      <c r="R25" s="503">
        <f t="shared" si="5"/>
      </c>
      <c r="S25" s="504">
        <f>IF(B25="","",SUMIF('6-3_調整額内訳④(旧・新制度)'!B:B,$B25,'6-3_調整額内訳④(旧・新制度)'!AH:AH))</f>
      </c>
      <c r="T25" s="505">
        <f t="shared" si="6"/>
      </c>
      <c r="U25" s="506">
        <f t="shared" si="7"/>
      </c>
      <c r="V25" s="506">
        <f t="shared" si="8"/>
      </c>
      <c r="W25" s="507"/>
      <c r="X25" s="506">
        <f t="shared" si="9"/>
      </c>
      <c r="Y25" s="501"/>
      <c r="Z25" s="503">
        <f t="shared" si="10"/>
      </c>
      <c r="AA25" s="508">
        <f t="shared" si="11"/>
      </c>
      <c r="AB25" s="712"/>
      <c r="AC25" s="713"/>
      <c r="AD25" s="714"/>
      <c r="AF25" s="63">
        <f t="shared" si="12"/>
      </c>
      <c r="AG25" s="63">
        <f t="shared" si="0"/>
      </c>
    </row>
    <row r="26" spans="1:33" s="54" customFormat="1" ht="18.75" customHeight="1">
      <c r="A26" s="204">
        <f t="shared" si="1"/>
      </c>
      <c r="B26" s="277"/>
      <c r="C26" s="57"/>
      <c r="D26" s="474"/>
      <c r="E26" s="59"/>
      <c r="F26" s="216">
        <f t="shared" si="2"/>
      </c>
      <c r="G26" s="478">
        <f t="shared" si="3"/>
      </c>
      <c r="H26" s="479"/>
      <c r="I26" s="128"/>
      <c r="J26" s="478">
        <f t="shared" si="13"/>
      </c>
      <c r="K26" s="486">
        <f t="shared" si="4"/>
      </c>
      <c r="L26" s="555"/>
      <c r="M26" s="557"/>
      <c r="N26" s="493">
        <f>IF($G26="","",IF($L26="Ａ",LOOKUP($D26,{8000,8500,9000,10000,10032,12000},{0,1532,1032,32,0,0}),IF($L26="Ｂ",LOOKUP($D26,{8000,8500,9000,10000,10032,12000},{0,1532,1032,408,408,408}),IF($L26="Ｃ１",LOOKUP($D26,{8000,8500,9000,10000,10032,12000},{782,2814,2814,2814,2814,2814}),IF($L26="Ｃ２",LOOKUP($D26,{8000,8500,9000,10000,10032,12000},{3188,5220,5220,5220,5220,5220}),0)))))</f>
      </c>
      <c r="O26" s="555"/>
      <c r="P26" s="558"/>
      <c r="Q26" s="493">
        <f>IF($G26="","",IF($O26="Ａ",LOOKUP($D26,{8000,8500,9000,10000,10032,12000},{0,1532,1032,32,0,0}),IF($O26="Ｂ",LOOKUP($D26,{8000,8500,9000,10000,10032,12000},{0,1532,1032,408,408,408}),IF($O26="Ｃ１",LOOKUP($D26,{8000,8500,9000,10000,10032,12000},{782,2814,2814,2814,2814,2814}),IF($O26="Ｃ２",LOOKUP($D26,{8000,8500,9000,10000,10032,12000},{3188,5220,5220,5220,5220,5220}),0)))))</f>
      </c>
      <c r="R26" s="503">
        <f t="shared" si="5"/>
      </c>
      <c r="S26" s="504">
        <f>IF(B26="","",SUMIF('6-3_調整額内訳④(旧・新制度)'!B:B,$B26,'6-3_調整額内訳④(旧・新制度)'!AH:AH))</f>
      </c>
      <c r="T26" s="505">
        <f t="shared" si="6"/>
      </c>
      <c r="U26" s="506">
        <f t="shared" si="7"/>
      </c>
      <c r="V26" s="506">
        <f t="shared" si="8"/>
      </c>
      <c r="W26" s="507"/>
      <c r="X26" s="506">
        <f t="shared" si="9"/>
      </c>
      <c r="Y26" s="501"/>
      <c r="Z26" s="503">
        <f t="shared" si="10"/>
      </c>
      <c r="AA26" s="508">
        <f t="shared" si="11"/>
      </c>
      <c r="AB26" s="712"/>
      <c r="AC26" s="713"/>
      <c r="AD26" s="714"/>
      <c r="AF26" s="63">
        <f t="shared" si="12"/>
      </c>
      <c r="AG26" s="63">
        <f t="shared" si="0"/>
      </c>
    </row>
    <row r="27" spans="1:33" s="54" customFormat="1" ht="18.75" customHeight="1">
      <c r="A27" s="204">
        <f t="shared" si="1"/>
      </c>
      <c r="B27" s="277"/>
      <c r="C27" s="57"/>
      <c r="D27" s="474"/>
      <c r="E27" s="59"/>
      <c r="F27" s="216">
        <f t="shared" si="2"/>
      </c>
      <c r="G27" s="478">
        <f t="shared" si="3"/>
      </c>
      <c r="H27" s="479"/>
      <c r="I27" s="128"/>
      <c r="J27" s="478">
        <f t="shared" si="13"/>
      </c>
      <c r="K27" s="486">
        <f t="shared" si="4"/>
      </c>
      <c r="L27" s="555"/>
      <c r="M27" s="557"/>
      <c r="N27" s="493">
        <f>IF($G27="","",IF($L27="Ａ",LOOKUP($D27,{8000,8500,9000,10000,10032,12000},{0,1532,1032,32,0,0}),IF($L27="Ｂ",LOOKUP($D27,{8000,8500,9000,10000,10032,12000},{0,1532,1032,408,408,408}),IF($L27="Ｃ１",LOOKUP($D27,{8000,8500,9000,10000,10032,12000},{782,2814,2814,2814,2814,2814}),IF($L27="Ｃ２",LOOKUP($D27,{8000,8500,9000,10000,10032,12000},{3188,5220,5220,5220,5220,5220}),0)))))</f>
      </c>
      <c r="O27" s="555"/>
      <c r="P27" s="558"/>
      <c r="Q27" s="493">
        <f>IF($G27="","",IF($O27="Ａ",LOOKUP($D27,{8000,8500,9000,10000,10032,12000},{0,1532,1032,32,0,0}),IF($O27="Ｂ",LOOKUP($D27,{8000,8500,9000,10000,10032,12000},{0,1532,1032,408,408,408}),IF($O27="Ｃ１",LOOKUP($D27,{8000,8500,9000,10000,10032,12000},{782,2814,2814,2814,2814,2814}),IF($O27="Ｃ２",LOOKUP($D27,{8000,8500,9000,10000,10032,12000},{3188,5220,5220,5220,5220,5220}),0)))))</f>
      </c>
      <c r="R27" s="503">
        <f t="shared" si="5"/>
      </c>
      <c r="S27" s="504">
        <f>IF(B27="","",SUMIF('6-3_調整額内訳④(旧・新制度)'!B:B,$B27,'6-3_調整額内訳④(旧・新制度)'!AH:AH))</f>
      </c>
      <c r="T27" s="505">
        <f t="shared" si="6"/>
      </c>
      <c r="U27" s="506">
        <f t="shared" si="7"/>
      </c>
      <c r="V27" s="506">
        <f t="shared" si="8"/>
      </c>
      <c r="W27" s="507"/>
      <c r="X27" s="506">
        <f t="shared" si="9"/>
      </c>
      <c r="Y27" s="501"/>
      <c r="Z27" s="503">
        <f t="shared" si="10"/>
      </c>
      <c r="AA27" s="508">
        <f t="shared" si="11"/>
      </c>
      <c r="AB27" s="712"/>
      <c r="AC27" s="713"/>
      <c r="AD27" s="714"/>
      <c r="AF27" s="63">
        <f t="shared" si="12"/>
      </c>
      <c r="AG27" s="63">
        <f t="shared" si="0"/>
      </c>
    </row>
    <row r="28" spans="1:33" s="54" customFormat="1" ht="18.75" customHeight="1">
      <c r="A28" s="204">
        <f t="shared" si="1"/>
      </c>
      <c r="B28" s="277"/>
      <c r="C28" s="57"/>
      <c r="D28" s="474"/>
      <c r="E28" s="59"/>
      <c r="F28" s="216">
        <f t="shared" si="2"/>
      </c>
      <c r="G28" s="478">
        <f t="shared" si="3"/>
      </c>
      <c r="H28" s="479"/>
      <c r="I28" s="128"/>
      <c r="J28" s="478">
        <f t="shared" si="13"/>
      </c>
      <c r="K28" s="486">
        <f t="shared" si="4"/>
      </c>
      <c r="L28" s="555"/>
      <c r="M28" s="557"/>
      <c r="N28" s="493">
        <f>IF($G28="","",IF($L28="Ａ",LOOKUP($D28,{8000,8500,9000,10000,10032,12000},{0,1532,1032,32,0,0}),IF($L28="Ｂ",LOOKUP($D28,{8000,8500,9000,10000,10032,12000},{0,1532,1032,408,408,408}),IF($L28="Ｃ１",LOOKUP($D28,{8000,8500,9000,10000,10032,12000},{782,2814,2814,2814,2814,2814}),IF($L28="Ｃ２",LOOKUP($D28,{8000,8500,9000,10000,10032,12000},{3188,5220,5220,5220,5220,5220}),0)))))</f>
      </c>
      <c r="O28" s="555"/>
      <c r="P28" s="558"/>
      <c r="Q28" s="493">
        <f>IF($G28="","",IF($O28="Ａ",LOOKUP($D28,{8000,8500,9000,10000,10032,12000},{0,1532,1032,32,0,0}),IF($O28="Ｂ",LOOKUP($D28,{8000,8500,9000,10000,10032,12000},{0,1532,1032,408,408,408}),IF($O28="Ｃ１",LOOKUP($D28,{8000,8500,9000,10000,10032,12000},{782,2814,2814,2814,2814,2814}),IF($O28="Ｃ２",LOOKUP($D28,{8000,8500,9000,10000,10032,12000},{3188,5220,5220,5220,5220,5220}),0)))))</f>
      </c>
      <c r="R28" s="503">
        <f t="shared" si="5"/>
      </c>
      <c r="S28" s="504">
        <f>IF(B28="","",SUMIF('6-3_調整額内訳④(旧・新制度)'!B:B,$B28,'6-3_調整額内訳④(旧・新制度)'!AH:AH))</f>
      </c>
      <c r="T28" s="505">
        <f t="shared" si="6"/>
      </c>
      <c r="U28" s="506">
        <f t="shared" si="7"/>
      </c>
      <c r="V28" s="506">
        <f t="shared" si="8"/>
      </c>
      <c r="W28" s="507"/>
      <c r="X28" s="506">
        <f t="shared" si="9"/>
      </c>
      <c r="Y28" s="501"/>
      <c r="Z28" s="503">
        <f t="shared" si="10"/>
      </c>
      <c r="AA28" s="508">
        <f t="shared" si="11"/>
      </c>
      <c r="AB28" s="712"/>
      <c r="AC28" s="713"/>
      <c r="AD28" s="714"/>
      <c r="AF28" s="63">
        <f t="shared" si="12"/>
      </c>
      <c r="AG28" s="63">
        <f t="shared" si="0"/>
      </c>
    </row>
    <row r="29" spans="1:33" s="54" customFormat="1" ht="18.75" customHeight="1">
      <c r="A29" s="204">
        <f t="shared" si="1"/>
      </c>
      <c r="B29" s="277"/>
      <c r="C29" s="57"/>
      <c r="D29" s="474"/>
      <c r="E29" s="59"/>
      <c r="F29" s="216">
        <f t="shared" si="2"/>
      </c>
      <c r="G29" s="478">
        <f t="shared" si="3"/>
      </c>
      <c r="H29" s="479"/>
      <c r="I29" s="128"/>
      <c r="J29" s="478">
        <f t="shared" si="13"/>
      </c>
      <c r="K29" s="486">
        <f t="shared" si="4"/>
      </c>
      <c r="L29" s="555"/>
      <c r="M29" s="557"/>
      <c r="N29" s="493">
        <f>IF($G29="","",IF($L29="Ａ",LOOKUP($D29,{8000,8500,9000,10000,10032,12000},{0,1532,1032,32,0,0}),IF($L29="Ｂ",LOOKUP($D29,{8000,8500,9000,10000,10032,12000},{0,1532,1032,408,408,408}),IF($L29="Ｃ１",LOOKUP($D29,{8000,8500,9000,10000,10032,12000},{782,2814,2814,2814,2814,2814}),IF($L29="Ｃ２",LOOKUP($D29,{8000,8500,9000,10000,10032,12000},{3188,5220,5220,5220,5220,5220}),0)))))</f>
      </c>
      <c r="O29" s="555"/>
      <c r="P29" s="558"/>
      <c r="Q29" s="493">
        <f>IF($G29="","",IF($O29="Ａ",LOOKUP($D29,{8000,8500,9000,10000,10032,12000},{0,1532,1032,32,0,0}),IF($O29="Ｂ",LOOKUP($D29,{8000,8500,9000,10000,10032,12000},{0,1532,1032,408,408,408}),IF($O29="Ｃ１",LOOKUP($D29,{8000,8500,9000,10000,10032,12000},{782,2814,2814,2814,2814,2814}),IF($O29="Ｃ２",LOOKUP($D29,{8000,8500,9000,10000,10032,12000},{3188,5220,5220,5220,5220,5220}),0)))))</f>
      </c>
      <c r="R29" s="503">
        <f t="shared" si="5"/>
      </c>
      <c r="S29" s="504">
        <f>IF(B29="","",SUMIF('6-3_調整額内訳④(旧・新制度)'!B:B,$B29,'6-3_調整額内訳④(旧・新制度)'!AH:AH))</f>
      </c>
      <c r="T29" s="505">
        <f t="shared" si="6"/>
      </c>
      <c r="U29" s="506">
        <f t="shared" si="7"/>
      </c>
      <c r="V29" s="506">
        <f t="shared" si="8"/>
      </c>
      <c r="W29" s="507"/>
      <c r="X29" s="506">
        <f t="shared" si="9"/>
      </c>
      <c r="Y29" s="501"/>
      <c r="Z29" s="503">
        <f t="shared" si="10"/>
      </c>
      <c r="AA29" s="508">
        <f t="shared" si="11"/>
      </c>
      <c r="AB29" s="712"/>
      <c r="AC29" s="713"/>
      <c r="AD29" s="714"/>
      <c r="AF29" s="63">
        <f t="shared" si="12"/>
      </c>
      <c r="AG29" s="63">
        <f t="shared" si="0"/>
      </c>
    </row>
    <row r="30" spans="1:33" s="54" customFormat="1" ht="18.75" customHeight="1">
      <c r="A30" s="204">
        <f t="shared" si="1"/>
      </c>
      <c r="B30" s="277"/>
      <c r="C30" s="57"/>
      <c r="D30" s="474"/>
      <c r="E30" s="59"/>
      <c r="F30" s="216">
        <f t="shared" si="2"/>
      </c>
      <c r="G30" s="478">
        <f t="shared" si="3"/>
      </c>
      <c r="H30" s="479"/>
      <c r="I30" s="128"/>
      <c r="J30" s="478">
        <f t="shared" si="13"/>
      </c>
      <c r="K30" s="486">
        <f t="shared" si="4"/>
      </c>
      <c r="L30" s="555"/>
      <c r="M30" s="557"/>
      <c r="N30" s="493">
        <f>IF($G30="","",IF($L30="Ａ",LOOKUP($D30,{8000,8500,9000,10000,10032,12000},{0,1532,1032,32,0,0}),IF($L30="Ｂ",LOOKUP($D30,{8000,8500,9000,10000,10032,12000},{0,1532,1032,408,408,408}),IF($L30="Ｃ１",LOOKUP($D30,{8000,8500,9000,10000,10032,12000},{782,2814,2814,2814,2814,2814}),IF($L30="Ｃ２",LOOKUP($D30,{8000,8500,9000,10000,10032,12000},{3188,5220,5220,5220,5220,5220}),0)))))</f>
      </c>
      <c r="O30" s="555"/>
      <c r="P30" s="558"/>
      <c r="Q30" s="493">
        <f>IF($G30="","",IF($O30="Ａ",LOOKUP($D30,{8000,8500,9000,10000,10032,12000},{0,1532,1032,32,0,0}),IF($O30="Ｂ",LOOKUP($D30,{8000,8500,9000,10000,10032,12000},{0,1532,1032,408,408,408}),IF($O30="Ｃ１",LOOKUP($D30,{8000,8500,9000,10000,10032,12000},{782,2814,2814,2814,2814,2814}),IF($O30="Ｃ２",LOOKUP($D30,{8000,8500,9000,10000,10032,12000},{3188,5220,5220,5220,5220,5220}),0)))))</f>
      </c>
      <c r="R30" s="503">
        <f t="shared" si="5"/>
      </c>
      <c r="S30" s="504">
        <f>IF(B30="","",SUMIF('6-3_調整額内訳④(旧・新制度)'!B:B,$B30,'6-3_調整額内訳④(旧・新制度)'!AH:AH))</f>
      </c>
      <c r="T30" s="505">
        <f t="shared" si="6"/>
      </c>
      <c r="U30" s="506">
        <f t="shared" si="7"/>
      </c>
      <c r="V30" s="506">
        <f t="shared" si="8"/>
      </c>
      <c r="W30" s="507"/>
      <c r="X30" s="506">
        <f t="shared" si="9"/>
      </c>
      <c r="Y30" s="501"/>
      <c r="Z30" s="503">
        <f t="shared" si="10"/>
      </c>
      <c r="AA30" s="508">
        <f t="shared" si="11"/>
      </c>
      <c r="AB30" s="712"/>
      <c r="AC30" s="713"/>
      <c r="AD30" s="714"/>
      <c r="AF30" s="63">
        <f t="shared" si="12"/>
      </c>
      <c r="AG30" s="63">
        <f t="shared" si="0"/>
      </c>
    </row>
    <row r="31" spans="1:33" s="54" customFormat="1" ht="18.75" customHeight="1">
      <c r="A31" s="204">
        <f t="shared" si="1"/>
      </c>
      <c r="B31" s="277"/>
      <c r="C31" s="57"/>
      <c r="D31" s="474"/>
      <c r="E31" s="59"/>
      <c r="F31" s="216">
        <f t="shared" si="2"/>
      </c>
      <c r="G31" s="478">
        <f t="shared" si="3"/>
      </c>
      <c r="H31" s="479"/>
      <c r="I31" s="128"/>
      <c r="J31" s="478">
        <f t="shared" si="13"/>
      </c>
      <c r="K31" s="486">
        <f t="shared" si="4"/>
      </c>
      <c r="L31" s="555"/>
      <c r="M31" s="557"/>
      <c r="N31" s="493">
        <f>IF($G31="","",IF($L31="Ａ",LOOKUP($D31,{8000,8500,9000,10000,10032,12000},{0,1532,1032,32,0,0}),IF($L31="Ｂ",LOOKUP($D31,{8000,8500,9000,10000,10032,12000},{0,1532,1032,408,408,408}),IF($L31="Ｃ１",LOOKUP($D31,{8000,8500,9000,10000,10032,12000},{782,2814,2814,2814,2814,2814}),IF($L31="Ｃ２",LOOKUP($D31,{8000,8500,9000,10000,10032,12000},{3188,5220,5220,5220,5220,5220}),0)))))</f>
      </c>
      <c r="O31" s="555"/>
      <c r="P31" s="558"/>
      <c r="Q31" s="493">
        <f>IF($G31="","",IF($O31="Ａ",LOOKUP($D31,{8000,8500,9000,10000,10032,12000},{0,1532,1032,32,0,0}),IF($O31="Ｂ",LOOKUP($D31,{8000,8500,9000,10000,10032,12000},{0,1532,1032,408,408,408}),IF($O31="Ｃ１",LOOKUP($D31,{8000,8500,9000,10000,10032,12000},{782,2814,2814,2814,2814,2814}),IF($O31="Ｃ２",LOOKUP($D31,{8000,8500,9000,10000,10032,12000},{3188,5220,5220,5220,5220,5220}),0)))))</f>
      </c>
      <c r="R31" s="503">
        <f t="shared" si="5"/>
      </c>
      <c r="S31" s="504">
        <f>IF(B31="","",SUMIF('6-3_調整額内訳④(旧・新制度)'!B:B,$B31,'6-3_調整額内訳④(旧・新制度)'!AH:AH))</f>
      </c>
      <c r="T31" s="505">
        <f t="shared" si="6"/>
      </c>
      <c r="U31" s="506">
        <f t="shared" si="7"/>
      </c>
      <c r="V31" s="506">
        <f t="shared" si="8"/>
      </c>
      <c r="W31" s="507"/>
      <c r="X31" s="506">
        <f t="shared" si="9"/>
      </c>
      <c r="Y31" s="501"/>
      <c r="Z31" s="503">
        <f t="shared" si="10"/>
      </c>
      <c r="AA31" s="508">
        <f t="shared" si="11"/>
      </c>
      <c r="AB31" s="712"/>
      <c r="AC31" s="713"/>
      <c r="AD31" s="714"/>
      <c r="AF31" s="63">
        <f t="shared" si="12"/>
      </c>
      <c r="AG31" s="63">
        <f t="shared" si="0"/>
      </c>
    </row>
    <row r="32" spans="1:33" s="54" customFormat="1" ht="18.75" customHeight="1">
      <c r="A32" s="204">
        <f t="shared" si="1"/>
      </c>
      <c r="B32" s="277"/>
      <c r="C32" s="57"/>
      <c r="D32" s="474"/>
      <c r="E32" s="59"/>
      <c r="F32" s="216">
        <f t="shared" si="2"/>
      </c>
      <c r="G32" s="478">
        <f t="shared" si="3"/>
      </c>
      <c r="H32" s="479"/>
      <c r="I32" s="128"/>
      <c r="J32" s="478">
        <f t="shared" si="13"/>
      </c>
      <c r="K32" s="486">
        <f t="shared" si="4"/>
      </c>
      <c r="L32" s="555"/>
      <c r="M32" s="557"/>
      <c r="N32" s="493">
        <f>IF($G32="","",IF($L32="Ａ",LOOKUP($D32,{8000,8500,9000,10000,10032,12000},{0,1532,1032,32,0,0}),IF($L32="Ｂ",LOOKUP($D32,{8000,8500,9000,10000,10032,12000},{0,1532,1032,408,408,408}),IF($L32="Ｃ１",LOOKUP($D32,{8000,8500,9000,10000,10032,12000},{782,2814,2814,2814,2814,2814}),IF($L32="Ｃ２",LOOKUP($D32,{8000,8500,9000,10000,10032,12000},{3188,5220,5220,5220,5220,5220}),0)))))</f>
      </c>
      <c r="O32" s="555"/>
      <c r="P32" s="558"/>
      <c r="Q32" s="493">
        <f>IF($G32="","",IF($O32="Ａ",LOOKUP($D32,{8000,8500,9000,10000,10032,12000},{0,1532,1032,32,0,0}),IF($O32="Ｂ",LOOKUP($D32,{8000,8500,9000,10000,10032,12000},{0,1532,1032,408,408,408}),IF($O32="Ｃ１",LOOKUP($D32,{8000,8500,9000,10000,10032,12000},{782,2814,2814,2814,2814,2814}),IF($O32="Ｃ２",LOOKUP($D32,{8000,8500,9000,10000,10032,12000},{3188,5220,5220,5220,5220,5220}),0)))))</f>
      </c>
      <c r="R32" s="503">
        <f t="shared" si="5"/>
      </c>
      <c r="S32" s="504">
        <f>IF(B32="","",SUMIF('6-3_調整額内訳④(旧・新制度)'!B:B,$B32,'6-3_調整額内訳④(旧・新制度)'!AH:AH))</f>
      </c>
      <c r="T32" s="505">
        <f t="shared" si="6"/>
      </c>
      <c r="U32" s="506">
        <f t="shared" si="7"/>
      </c>
      <c r="V32" s="506">
        <f t="shared" si="8"/>
      </c>
      <c r="W32" s="507"/>
      <c r="X32" s="506">
        <f t="shared" si="9"/>
      </c>
      <c r="Y32" s="501"/>
      <c r="Z32" s="503">
        <f t="shared" si="10"/>
      </c>
      <c r="AA32" s="508">
        <f t="shared" si="11"/>
      </c>
      <c r="AB32" s="712"/>
      <c r="AC32" s="713"/>
      <c r="AD32" s="714"/>
      <c r="AF32" s="63">
        <f t="shared" si="12"/>
      </c>
      <c r="AG32" s="63">
        <f t="shared" si="0"/>
      </c>
    </row>
    <row r="33" spans="1:33" s="54" customFormat="1" ht="18.75" customHeight="1">
      <c r="A33" s="27">
        <f t="shared" si="1"/>
      </c>
      <c r="B33" s="277"/>
      <c r="C33" s="57"/>
      <c r="D33" s="474"/>
      <c r="E33" s="59"/>
      <c r="F33" s="216">
        <f t="shared" si="2"/>
      </c>
      <c r="G33" s="478">
        <f t="shared" si="3"/>
      </c>
      <c r="H33" s="479"/>
      <c r="I33" s="128"/>
      <c r="J33" s="478">
        <f t="shared" si="13"/>
      </c>
      <c r="K33" s="486">
        <f t="shared" si="4"/>
      </c>
      <c r="L33" s="555"/>
      <c r="M33" s="557"/>
      <c r="N33" s="493">
        <f>IF($G33="","",IF($L33="Ａ",LOOKUP($D33,{8000,8500,9000,10000,10032,12000},{0,1532,1032,32,0,0}),IF($L33="Ｂ",LOOKUP($D33,{8000,8500,9000,10000,10032,12000},{0,1532,1032,408,408,408}),IF($L33="Ｃ１",LOOKUP($D33,{8000,8500,9000,10000,10032,12000},{782,2814,2814,2814,2814,2814}),IF($L33="Ｃ２",LOOKUP($D33,{8000,8500,9000,10000,10032,12000},{3188,5220,5220,5220,5220,5220}),0)))))</f>
      </c>
      <c r="O33" s="555"/>
      <c r="P33" s="558"/>
      <c r="Q33" s="493">
        <f>IF($G33="","",IF($O33="Ａ",LOOKUP($D33,{8000,8500,9000,10000,10032,12000},{0,1532,1032,32,0,0}),IF($O33="Ｂ",LOOKUP($D33,{8000,8500,9000,10000,10032,12000},{0,1532,1032,408,408,408}),IF($O33="Ｃ１",LOOKUP($D33,{8000,8500,9000,10000,10032,12000},{782,2814,2814,2814,2814,2814}),IF($O33="Ｃ２",LOOKUP($D33,{8000,8500,9000,10000,10032,12000},{3188,5220,5220,5220,5220,5220}),0)))))</f>
      </c>
      <c r="R33" s="503">
        <f t="shared" si="5"/>
      </c>
      <c r="S33" s="504">
        <f>IF(B33="","",SUMIF('6-3_調整額内訳④(旧・新制度)'!B:B,$B33,'6-3_調整額内訳④(旧・新制度)'!AH:AH))</f>
      </c>
      <c r="T33" s="505">
        <f t="shared" si="6"/>
      </c>
      <c r="U33" s="506">
        <f t="shared" si="7"/>
      </c>
      <c r="V33" s="506">
        <f t="shared" si="8"/>
      </c>
      <c r="W33" s="507"/>
      <c r="X33" s="506">
        <f t="shared" si="9"/>
      </c>
      <c r="Y33" s="501"/>
      <c r="Z33" s="503">
        <f t="shared" si="10"/>
      </c>
      <c r="AA33" s="508">
        <f t="shared" si="11"/>
      </c>
      <c r="AB33" s="712"/>
      <c r="AC33" s="713"/>
      <c r="AD33" s="714"/>
      <c r="AF33" s="63">
        <f t="shared" si="12"/>
      </c>
      <c r="AG33" s="63">
        <f t="shared" si="0"/>
      </c>
    </row>
    <row r="34" spans="1:33" s="54" customFormat="1" ht="18.75" customHeight="1">
      <c r="A34" s="27">
        <f t="shared" si="1"/>
      </c>
      <c r="B34" s="277"/>
      <c r="C34" s="57"/>
      <c r="D34" s="474"/>
      <c r="E34" s="59"/>
      <c r="F34" s="216">
        <f t="shared" si="2"/>
      </c>
      <c r="G34" s="478">
        <f t="shared" si="3"/>
      </c>
      <c r="H34" s="479"/>
      <c r="I34" s="128"/>
      <c r="J34" s="478">
        <f t="shared" si="13"/>
      </c>
      <c r="K34" s="486">
        <f t="shared" si="4"/>
      </c>
      <c r="L34" s="555"/>
      <c r="M34" s="557"/>
      <c r="N34" s="493">
        <f>IF($G34="","",IF($L34="Ａ",LOOKUP($D34,{8000,8500,9000,10000,10032,12000},{0,1532,1032,32,0,0}),IF($L34="Ｂ",LOOKUP($D34,{8000,8500,9000,10000,10032,12000},{0,1532,1032,408,408,408}),IF($L34="Ｃ１",LOOKUP($D34,{8000,8500,9000,10000,10032,12000},{782,2814,2814,2814,2814,2814}),IF($L34="Ｃ２",LOOKUP($D34,{8000,8500,9000,10000,10032,12000},{3188,5220,5220,5220,5220,5220}),0)))))</f>
      </c>
      <c r="O34" s="555"/>
      <c r="P34" s="558"/>
      <c r="Q34" s="493">
        <f>IF($G34="","",IF($O34="Ａ",LOOKUP($D34,{8000,8500,9000,10000,10032,12000},{0,1532,1032,32,0,0}),IF($O34="Ｂ",LOOKUP($D34,{8000,8500,9000,10000,10032,12000},{0,1532,1032,408,408,408}),IF($O34="Ｃ１",LOOKUP($D34,{8000,8500,9000,10000,10032,12000},{782,2814,2814,2814,2814,2814}),IF($O34="Ｃ２",LOOKUP($D34,{8000,8500,9000,10000,10032,12000},{3188,5220,5220,5220,5220,5220}),0)))))</f>
      </c>
      <c r="R34" s="503">
        <f t="shared" si="5"/>
      </c>
      <c r="S34" s="504">
        <f>IF(B34="","",SUMIF('6-3_調整額内訳④(旧・新制度)'!B:B,$B34,'6-3_調整額内訳④(旧・新制度)'!AH:AH))</f>
      </c>
      <c r="T34" s="505">
        <f t="shared" si="6"/>
      </c>
      <c r="U34" s="506">
        <f t="shared" si="7"/>
      </c>
      <c r="V34" s="506">
        <f t="shared" si="8"/>
      </c>
      <c r="W34" s="507"/>
      <c r="X34" s="506">
        <f t="shared" si="9"/>
      </c>
      <c r="Y34" s="501"/>
      <c r="Z34" s="503">
        <f t="shared" si="10"/>
      </c>
      <c r="AA34" s="508">
        <f t="shared" si="11"/>
      </c>
      <c r="AB34" s="712"/>
      <c r="AC34" s="713"/>
      <c r="AD34" s="714"/>
      <c r="AF34" s="63">
        <f t="shared" si="12"/>
      </c>
      <c r="AG34" s="63">
        <f t="shared" si="0"/>
      </c>
    </row>
    <row r="35" spans="1:33" s="54" customFormat="1" ht="18.75" customHeight="1">
      <c r="A35" s="27">
        <f>IF(B35="","",ROW($A35)-ROW($A$7))</f>
      </c>
      <c r="B35" s="277"/>
      <c r="C35" s="57"/>
      <c r="D35" s="474"/>
      <c r="E35" s="59"/>
      <c r="F35" s="216">
        <f>IF(A35="","",IF(E35&gt;30,30,E35))</f>
      </c>
      <c r="G35" s="478">
        <f>IF(A35="","",(D35*F35))</f>
      </c>
      <c r="H35" s="479"/>
      <c r="I35" s="128"/>
      <c r="J35" s="478">
        <f>IF(A35="","",ROUNDDOWN((H35*I35/12+G35),0))</f>
      </c>
      <c r="K35" s="486">
        <f>IF(A35="","",ROUNDDOWN(10032*F35,0))</f>
      </c>
      <c r="L35" s="555"/>
      <c r="M35" s="557"/>
      <c r="N35" s="493">
        <f>IF($G35="","",IF($L35="Ａ",LOOKUP($D35,{8000,8500,9000,10000,10032,12000},{0,1532,1032,32,0,0}),IF($L35="Ｂ",LOOKUP($D35,{8000,8500,9000,10000,10032,12000},{0,1532,1032,408,408,408}),IF($L35="Ｃ１",LOOKUP($D35,{8000,8500,9000,10000,10032,12000},{782,2814,2814,2814,2814,2814}),IF($L35="Ｃ２",LOOKUP($D35,{8000,8500,9000,10000,10032,12000},{3188,5220,5220,5220,5220,5220}),0)))))</f>
      </c>
      <c r="O35" s="555"/>
      <c r="P35" s="558"/>
      <c r="Q35" s="493">
        <f>IF($G35="","",IF($O35="Ａ",LOOKUP($D35,{8000,8500,9000,10000,10032,12000},{0,1532,1032,32,0,0}),IF($O35="Ｂ",LOOKUP($D35,{8000,8500,9000,10000,10032,12000},{0,1532,1032,408,408,408}),IF($O35="Ｃ１",LOOKUP($D35,{8000,8500,9000,10000,10032,12000},{782,2814,2814,2814,2814,2814}),IF($O35="Ｃ２",LOOKUP($D35,{8000,8500,9000,10000,10032,12000},{3188,5220,5220,5220,5220,5220}),0)))))</f>
      </c>
      <c r="R35" s="503">
        <f>IF(ISERROR(ROUNDUP(N35*3/12+Q35*9/12,0)),"",ROUNDUP(N35*3/12+Q35*9/12,0))</f>
      </c>
      <c r="S35" s="504">
        <f>IF(B35="","",SUMIF('6-3_調整額内訳④(旧・新制度)'!B:B,$B35,'6-3_調整額内訳④(旧・新制度)'!AH:AH))</f>
      </c>
      <c r="T35" s="505">
        <f>IF(B35="","",SUM(R35:S35))</f>
      </c>
      <c r="U35" s="506">
        <f>IF(B35="","",ROUNDDOWN(T35*F35,0))</f>
      </c>
      <c r="V35" s="506">
        <f>IF(J35&gt;=K35,K35,J35)</f>
      </c>
      <c r="W35" s="507"/>
      <c r="X35" s="506">
        <f>IF(A35="","",IF((J35-V35)&lt;W35,V35-(J35-W35),0))</f>
      </c>
      <c r="Y35" s="501"/>
      <c r="Z35" s="503">
        <f>IF(B35="","",MAX(0,V35-X35-Y35))</f>
      </c>
      <c r="AA35" s="508">
        <f>IF(B35="","",MIN(U35,Z35))</f>
      </c>
      <c r="AB35" s="712"/>
      <c r="AC35" s="713"/>
      <c r="AD35" s="714"/>
      <c r="AF35" s="63">
        <f t="shared" si="12"/>
      </c>
      <c r="AG35" s="63">
        <f t="shared" si="0"/>
      </c>
    </row>
    <row r="36" spans="1:33" s="54" customFormat="1" ht="18.75" customHeight="1">
      <c r="A36" s="204">
        <f t="shared" si="1"/>
      </c>
      <c r="B36" s="277"/>
      <c r="C36" s="57"/>
      <c r="D36" s="474"/>
      <c r="E36" s="59"/>
      <c r="F36" s="216">
        <f t="shared" si="2"/>
      </c>
      <c r="G36" s="478">
        <f t="shared" si="3"/>
      </c>
      <c r="H36" s="479"/>
      <c r="I36" s="128"/>
      <c r="J36" s="478">
        <f t="shared" si="13"/>
      </c>
      <c r="K36" s="486">
        <f t="shared" si="4"/>
      </c>
      <c r="L36" s="555"/>
      <c r="M36" s="557"/>
      <c r="N36" s="493">
        <f>IF($G36="","",IF($L36="Ａ",LOOKUP($D36,{8000,8500,9000,10000,10032,12000},{0,1532,1032,32,0,0}),IF($L36="Ｂ",LOOKUP($D36,{8000,8500,9000,10000,10032,12000},{0,1532,1032,408,408,408}),IF($L36="Ｃ１",LOOKUP($D36,{8000,8500,9000,10000,10032,12000},{782,2814,2814,2814,2814,2814}),IF($L36="Ｃ２",LOOKUP($D36,{8000,8500,9000,10000,10032,12000},{3188,5220,5220,5220,5220,5220}),0)))))</f>
      </c>
      <c r="O36" s="555"/>
      <c r="P36" s="558"/>
      <c r="Q36" s="493">
        <f>IF($G36="","",IF($O36="Ａ",LOOKUP($D36,{8000,8500,9000,10000,10032,12000},{0,1532,1032,32,0,0}),IF($O36="Ｂ",LOOKUP($D36,{8000,8500,9000,10000,10032,12000},{0,1532,1032,408,408,408}),IF($O36="Ｃ１",LOOKUP($D36,{8000,8500,9000,10000,10032,12000},{782,2814,2814,2814,2814,2814}),IF($O36="Ｃ２",LOOKUP($D36,{8000,8500,9000,10000,10032,12000},{3188,5220,5220,5220,5220,5220}),0)))))</f>
      </c>
      <c r="R36" s="503">
        <f t="shared" si="5"/>
      </c>
      <c r="S36" s="504">
        <f>IF(B36="","",SUMIF('6-3_調整額内訳④(旧・新制度)'!B:B,$B36,'6-3_調整額内訳④(旧・新制度)'!AH:AH))</f>
      </c>
      <c r="T36" s="505">
        <f t="shared" si="6"/>
      </c>
      <c r="U36" s="506">
        <f t="shared" si="7"/>
      </c>
      <c r="V36" s="506">
        <f t="shared" si="8"/>
      </c>
      <c r="W36" s="507"/>
      <c r="X36" s="506">
        <f t="shared" si="9"/>
      </c>
      <c r="Y36" s="501"/>
      <c r="Z36" s="503">
        <f t="shared" si="10"/>
      </c>
      <c r="AA36" s="508">
        <f t="shared" si="11"/>
      </c>
      <c r="AB36" s="712"/>
      <c r="AC36" s="713"/>
      <c r="AD36" s="714"/>
      <c r="AF36" s="63">
        <f t="shared" si="12"/>
      </c>
      <c r="AG36" s="63">
        <f t="shared" si="0"/>
      </c>
    </row>
    <row r="37" spans="1:33" s="54" customFormat="1" ht="18.75" customHeight="1">
      <c r="A37" s="27">
        <f t="shared" si="1"/>
      </c>
      <c r="B37" s="277"/>
      <c r="C37" s="57"/>
      <c r="D37" s="474"/>
      <c r="E37" s="59"/>
      <c r="F37" s="216">
        <f t="shared" si="2"/>
      </c>
      <c r="G37" s="478">
        <f t="shared" si="3"/>
      </c>
      <c r="H37" s="479"/>
      <c r="I37" s="128"/>
      <c r="J37" s="478">
        <f t="shared" si="13"/>
      </c>
      <c r="K37" s="486">
        <f t="shared" si="4"/>
      </c>
      <c r="L37" s="555"/>
      <c r="M37" s="557"/>
      <c r="N37" s="493">
        <f>IF($G37="","",IF($L37="Ａ",LOOKUP($D37,{8000,8500,9000,10000,10032,12000},{0,1532,1032,32,0,0}),IF($L37="Ｂ",LOOKUP($D37,{8000,8500,9000,10000,10032,12000},{0,1532,1032,408,408,408}),IF($L37="Ｃ１",LOOKUP($D37,{8000,8500,9000,10000,10032,12000},{782,2814,2814,2814,2814,2814}),IF($L37="Ｃ２",LOOKUP($D37,{8000,8500,9000,10000,10032,12000},{3188,5220,5220,5220,5220,5220}),0)))))</f>
      </c>
      <c r="O37" s="555"/>
      <c r="P37" s="558"/>
      <c r="Q37" s="493">
        <f>IF($G37="","",IF($O37="Ａ",LOOKUP($D37,{8000,8500,9000,10000,10032,12000},{0,1532,1032,32,0,0}),IF($O37="Ｂ",LOOKUP($D37,{8000,8500,9000,10000,10032,12000},{0,1532,1032,408,408,408}),IF($O37="Ｃ１",LOOKUP($D37,{8000,8500,9000,10000,10032,12000},{782,2814,2814,2814,2814,2814}),IF($O37="Ｃ２",LOOKUP($D37,{8000,8500,9000,10000,10032,12000},{3188,5220,5220,5220,5220,5220}),0)))))</f>
      </c>
      <c r="R37" s="503">
        <f t="shared" si="5"/>
      </c>
      <c r="S37" s="504">
        <f>IF(B37="","",SUMIF('6-3_調整額内訳④(旧・新制度)'!B:B,$B37,'6-3_調整額内訳④(旧・新制度)'!AH:AH))</f>
      </c>
      <c r="T37" s="505">
        <f t="shared" si="6"/>
      </c>
      <c r="U37" s="506">
        <f t="shared" si="7"/>
      </c>
      <c r="V37" s="506">
        <f t="shared" si="8"/>
      </c>
      <c r="W37" s="507"/>
      <c r="X37" s="506">
        <f t="shared" si="9"/>
      </c>
      <c r="Y37" s="501"/>
      <c r="Z37" s="503">
        <f t="shared" si="10"/>
      </c>
      <c r="AA37" s="508">
        <f t="shared" si="11"/>
      </c>
      <c r="AB37" s="712"/>
      <c r="AC37" s="713"/>
      <c r="AD37" s="714"/>
      <c r="AF37" s="63">
        <f t="shared" si="12"/>
      </c>
      <c r="AG37" s="63">
        <f t="shared" si="0"/>
      </c>
    </row>
    <row r="38" spans="1:33" s="54" customFormat="1" ht="18.75" customHeight="1">
      <c r="A38" s="27">
        <f t="shared" si="1"/>
      </c>
      <c r="B38" s="277"/>
      <c r="C38" s="57"/>
      <c r="D38" s="474"/>
      <c r="E38" s="59"/>
      <c r="F38" s="216">
        <f t="shared" si="2"/>
      </c>
      <c r="G38" s="478">
        <f t="shared" si="3"/>
      </c>
      <c r="H38" s="479"/>
      <c r="I38" s="128"/>
      <c r="J38" s="478">
        <f t="shared" si="13"/>
      </c>
      <c r="K38" s="486">
        <f t="shared" si="4"/>
      </c>
      <c r="L38" s="555"/>
      <c r="M38" s="557"/>
      <c r="N38" s="493">
        <f>IF($G38="","",IF($L38="Ａ",LOOKUP($D38,{8000,8500,9000,10000,10032,12000},{0,1532,1032,32,0,0}),IF($L38="Ｂ",LOOKUP($D38,{8000,8500,9000,10000,10032,12000},{0,1532,1032,408,408,408}),IF($L38="Ｃ１",LOOKUP($D38,{8000,8500,9000,10000,10032,12000},{782,2814,2814,2814,2814,2814}),IF($L38="Ｃ２",LOOKUP($D38,{8000,8500,9000,10000,10032,12000},{3188,5220,5220,5220,5220,5220}),0)))))</f>
      </c>
      <c r="O38" s="555"/>
      <c r="P38" s="558"/>
      <c r="Q38" s="493">
        <f>IF($G38="","",IF($O38="Ａ",LOOKUP($D38,{8000,8500,9000,10000,10032,12000},{0,1532,1032,32,0,0}),IF($O38="Ｂ",LOOKUP($D38,{8000,8500,9000,10000,10032,12000},{0,1532,1032,408,408,408}),IF($O38="Ｃ１",LOOKUP($D38,{8000,8500,9000,10000,10032,12000},{782,2814,2814,2814,2814,2814}),IF($O38="Ｃ２",LOOKUP($D38,{8000,8500,9000,10000,10032,12000},{3188,5220,5220,5220,5220,5220}),0)))))</f>
      </c>
      <c r="R38" s="503">
        <f t="shared" si="5"/>
      </c>
      <c r="S38" s="504">
        <f>IF(B38="","",SUMIF('6-3_調整額内訳④(旧・新制度)'!B:B,$B38,'6-3_調整額内訳④(旧・新制度)'!AH:AH))</f>
      </c>
      <c r="T38" s="505">
        <f t="shared" si="6"/>
      </c>
      <c r="U38" s="506">
        <f t="shared" si="7"/>
      </c>
      <c r="V38" s="506">
        <f t="shared" si="8"/>
      </c>
      <c r="W38" s="507"/>
      <c r="X38" s="506">
        <f t="shared" si="9"/>
      </c>
      <c r="Y38" s="501"/>
      <c r="Z38" s="503">
        <f t="shared" si="10"/>
      </c>
      <c r="AA38" s="508">
        <f t="shared" si="11"/>
      </c>
      <c r="AB38" s="712"/>
      <c r="AC38" s="713"/>
      <c r="AD38" s="714"/>
      <c r="AF38" s="63">
        <f t="shared" si="12"/>
      </c>
      <c r="AG38" s="63">
        <f t="shared" si="0"/>
      </c>
    </row>
    <row r="39" spans="1:33" s="54" customFormat="1" ht="18.75" customHeight="1">
      <c r="A39" s="27">
        <f t="shared" si="1"/>
      </c>
      <c r="B39" s="277"/>
      <c r="C39" s="57"/>
      <c r="D39" s="474"/>
      <c r="E39" s="59"/>
      <c r="F39" s="216">
        <f t="shared" si="2"/>
      </c>
      <c r="G39" s="478">
        <f t="shared" si="3"/>
      </c>
      <c r="H39" s="479"/>
      <c r="I39" s="128"/>
      <c r="J39" s="478">
        <f t="shared" si="13"/>
      </c>
      <c r="K39" s="486">
        <f t="shared" si="4"/>
      </c>
      <c r="L39" s="555"/>
      <c r="M39" s="557"/>
      <c r="N39" s="493">
        <f>IF($G39="","",IF($L39="Ａ",LOOKUP($D39,{8000,8500,9000,10000,10032,12000},{0,1532,1032,32,0,0}),IF($L39="Ｂ",LOOKUP($D39,{8000,8500,9000,10000,10032,12000},{0,1532,1032,408,408,408}),IF($L39="Ｃ１",LOOKUP($D39,{8000,8500,9000,10000,10032,12000},{782,2814,2814,2814,2814,2814}),IF($L39="Ｃ２",LOOKUP($D39,{8000,8500,9000,10000,10032,12000},{3188,5220,5220,5220,5220,5220}),0)))))</f>
      </c>
      <c r="O39" s="555"/>
      <c r="P39" s="558"/>
      <c r="Q39" s="493">
        <f>IF($G39="","",IF($O39="Ａ",LOOKUP($D39,{8000,8500,9000,10000,10032,12000},{0,1532,1032,32,0,0}),IF($O39="Ｂ",LOOKUP($D39,{8000,8500,9000,10000,10032,12000},{0,1532,1032,408,408,408}),IF($O39="Ｃ１",LOOKUP($D39,{8000,8500,9000,10000,10032,12000},{782,2814,2814,2814,2814,2814}),IF($O39="Ｃ２",LOOKUP($D39,{8000,8500,9000,10000,10032,12000},{3188,5220,5220,5220,5220,5220}),0)))))</f>
      </c>
      <c r="R39" s="503">
        <f t="shared" si="5"/>
      </c>
      <c r="S39" s="504">
        <f>IF(B39="","",SUMIF('6-3_調整額内訳④(旧・新制度)'!B:B,$B39,'6-3_調整額内訳④(旧・新制度)'!AH:AH))</f>
      </c>
      <c r="T39" s="505">
        <f t="shared" si="6"/>
      </c>
      <c r="U39" s="506">
        <f t="shared" si="7"/>
      </c>
      <c r="V39" s="506">
        <f t="shared" si="8"/>
      </c>
      <c r="W39" s="507"/>
      <c r="X39" s="506">
        <f t="shared" si="9"/>
      </c>
      <c r="Y39" s="501"/>
      <c r="Z39" s="503">
        <f t="shared" si="10"/>
      </c>
      <c r="AA39" s="508">
        <f t="shared" si="11"/>
      </c>
      <c r="AB39" s="712"/>
      <c r="AC39" s="713"/>
      <c r="AD39" s="714"/>
      <c r="AF39" s="63">
        <f t="shared" si="12"/>
      </c>
      <c r="AG39" s="63">
        <f t="shared" si="0"/>
      </c>
    </row>
    <row r="40" spans="1:33" s="54" customFormat="1" ht="18.75" customHeight="1">
      <c r="A40" s="37">
        <f t="shared" si="1"/>
      </c>
      <c r="B40" s="277"/>
      <c r="C40" s="183"/>
      <c r="D40" s="475"/>
      <c r="E40" s="184"/>
      <c r="F40" s="217">
        <f t="shared" si="2"/>
      </c>
      <c r="G40" s="480">
        <f t="shared" si="3"/>
      </c>
      <c r="H40" s="481"/>
      <c r="I40" s="185"/>
      <c r="J40" s="480">
        <f t="shared" si="13"/>
      </c>
      <c r="K40" s="487">
        <f t="shared" si="4"/>
      </c>
      <c r="L40" s="559"/>
      <c r="M40" s="557"/>
      <c r="N40" s="493">
        <f>IF($G40="","",IF($L40="Ａ",LOOKUP($D40,{8000,8500,9000,10000,10032,12000},{0,1532,1032,32,0,0}),IF($L40="Ｂ",LOOKUP($D40,{8000,8500,9000,10000,10032,12000},{0,1532,1032,408,408,408}),IF($L40="Ｃ１",LOOKUP($D40,{8000,8500,9000,10000,10032,12000},{782,2814,2814,2814,2814,2814}),IF($L40="Ｃ２",LOOKUP($D40,{8000,8500,9000,10000,10032,12000},{3188,5220,5220,5220,5220,5220}),0)))))</f>
      </c>
      <c r="O40" s="555"/>
      <c r="P40" s="558"/>
      <c r="Q40" s="493">
        <f>IF($G40="","",IF($O40="Ａ",LOOKUP($D40,{8000,8500,9000,10000,10032,12000},{0,1532,1032,32,0,0}),IF($O40="Ｂ",LOOKUP($D40,{8000,8500,9000,10000,10032,12000},{0,1532,1032,408,408,408}),IF($O40="Ｃ１",LOOKUP($D40,{8000,8500,9000,10000,10032,12000},{782,2814,2814,2814,2814,2814}),IF($O40="Ｃ２",LOOKUP($D40,{8000,8500,9000,10000,10032,12000},{3188,5220,5220,5220,5220,5220}),0)))))</f>
      </c>
      <c r="R40" s="503">
        <f t="shared" si="5"/>
      </c>
      <c r="S40" s="504">
        <f>IF(B40="","",SUMIF('6-3_調整額内訳④(旧・新制度)'!B:B,$B40,'6-3_調整額内訳④(旧・新制度)'!AH:AH))</f>
      </c>
      <c r="T40" s="505">
        <f t="shared" si="6"/>
      </c>
      <c r="U40" s="506">
        <f t="shared" si="7"/>
      </c>
      <c r="V40" s="506">
        <f t="shared" si="8"/>
      </c>
      <c r="W40" s="507"/>
      <c r="X40" s="506">
        <f t="shared" si="9"/>
      </c>
      <c r="Y40" s="501"/>
      <c r="Z40" s="503">
        <f t="shared" si="10"/>
      </c>
      <c r="AA40" s="508">
        <f t="shared" si="11"/>
      </c>
      <c r="AB40" s="712"/>
      <c r="AC40" s="713"/>
      <c r="AD40" s="714"/>
      <c r="AF40" s="63">
        <f t="shared" si="12"/>
      </c>
      <c r="AG40" s="63">
        <f t="shared" si="0"/>
      </c>
    </row>
    <row r="41" spans="1:33" s="54" customFormat="1" ht="18.75" customHeight="1">
      <c r="A41" s="204">
        <f t="shared" si="1"/>
      </c>
      <c r="B41" s="277"/>
      <c r="C41" s="57"/>
      <c r="D41" s="474"/>
      <c r="E41" s="59"/>
      <c r="F41" s="216">
        <f t="shared" si="2"/>
      </c>
      <c r="G41" s="478">
        <f t="shared" si="3"/>
      </c>
      <c r="H41" s="479"/>
      <c r="I41" s="128"/>
      <c r="J41" s="478">
        <f t="shared" si="13"/>
      </c>
      <c r="K41" s="486">
        <f t="shared" si="4"/>
      </c>
      <c r="L41" s="555"/>
      <c r="M41" s="557"/>
      <c r="N41" s="493">
        <f>IF($G41="","",IF($L41="Ａ",LOOKUP($D41,{8000,8500,9000,10000,10032,12000},{0,1532,1032,32,0,0}),IF($L41="Ｂ",LOOKUP($D41,{8000,8500,9000,10000,10032,12000},{0,1532,1032,408,408,408}),IF($L41="Ｃ１",LOOKUP($D41,{8000,8500,9000,10000,10032,12000},{782,2814,2814,2814,2814,2814}),IF($L41="Ｃ２",LOOKUP($D41,{8000,8500,9000,10000,10032,12000},{3188,5220,5220,5220,5220,5220}),0)))))</f>
      </c>
      <c r="O41" s="555"/>
      <c r="P41" s="558"/>
      <c r="Q41" s="493">
        <f>IF($G41="","",IF($O41="Ａ",LOOKUP($D41,{8000,8500,9000,10000,10032,12000},{0,1532,1032,32,0,0}),IF($O41="Ｂ",LOOKUP($D41,{8000,8500,9000,10000,10032,12000},{0,1532,1032,408,408,408}),IF($O41="Ｃ１",LOOKUP($D41,{8000,8500,9000,10000,10032,12000},{782,2814,2814,2814,2814,2814}),IF($O41="Ｃ２",LOOKUP($D41,{8000,8500,9000,10000,10032,12000},{3188,5220,5220,5220,5220,5220}),0)))))</f>
      </c>
      <c r="R41" s="503">
        <f t="shared" si="5"/>
      </c>
      <c r="S41" s="504">
        <f>IF(B41="","",SUMIF('6-3_調整額内訳④(旧・新制度)'!B:B,$B41,'6-3_調整額内訳④(旧・新制度)'!AH:AH))</f>
      </c>
      <c r="T41" s="505">
        <f t="shared" si="6"/>
      </c>
      <c r="U41" s="506">
        <f t="shared" si="7"/>
      </c>
      <c r="V41" s="506">
        <f t="shared" si="8"/>
      </c>
      <c r="W41" s="507"/>
      <c r="X41" s="506">
        <f t="shared" si="9"/>
      </c>
      <c r="Y41" s="501"/>
      <c r="Z41" s="503">
        <f t="shared" si="10"/>
      </c>
      <c r="AA41" s="508">
        <f t="shared" si="11"/>
      </c>
      <c r="AB41" s="712"/>
      <c r="AC41" s="713"/>
      <c r="AD41" s="714"/>
      <c r="AF41" s="63">
        <f t="shared" si="12"/>
      </c>
      <c r="AG41" s="63">
        <f t="shared" si="0"/>
      </c>
    </row>
    <row r="42" spans="1:33" s="54" customFormat="1" ht="18.75" customHeight="1">
      <c r="A42" s="27">
        <f t="shared" si="1"/>
      </c>
      <c r="B42" s="277"/>
      <c r="C42" s="57"/>
      <c r="D42" s="474"/>
      <c r="E42" s="59"/>
      <c r="F42" s="216">
        <f t="shared" si="2"/>
      </c>
      <c r="G42" s="478">
        <f t="shared" si="3"/>
      </c>
      <c r="H42" s="479"/>
      <c r="I42" s="128"/>
      <c r="J42" s="478">
        <f t="shared" si="13"/>
      </c>
      <c r="K42" s="486">
        <f t="shared" si="4"/>
      </c>
      <c r="L42" s="555"/>
      <c r="M42" s="557"/>
      <c r="N42" s="493">
        <f>IF($G42="","",IF($L42="Ａ",LOOKUP($D42,{8000,8500,9000,10000,10032,12000},{0,1532,1032,32,0,0}),IF($L42="Ｂ",LOOKUP($D42,{8000,8500,9000,10000,10032,12000},{0,1532,1032,408,408,408}),IF($L42="Ｃ１",LOOKUP($D42,{8000,8500,9000,10000,10032,12000},{782,2814,2814,2814,2814,2814}),IF($L42="Ｃ２",LOOKUP($D42,{8000,8500,9000,10000,10032,12000},{3188,5220,5220,5220,5220,5220}),0)))))</f>
      </c>
      <c r="O42" s="555"/>
      <c r="P42" s="558"/>
      <c r="Q42" s="493">
        <f>IF($G42="","",IF($O42="Ａ",LOOKUP($D42,{8000,8500,9000,10000,10032,12000},{0,1532,1032,32,0,0}),IF($O42="Ｂ",LOOKUP($D42,{8000,8500,9000,10000,10032,12000},{0,1532,1032,408,408,408}),IF($O42="Ｃ１",LOOKUP($D42,{8000,8500,9000,10000,10032,12000},{782,2814,2814,2814,2814,2814}),IF($O42="Ｃ２",LOOKUP($D42,{8000,8500,9000,10000,10032,12000},{3188,5220,5220,5220,5220,5220}),0)))))</f>
      </c>
      <c r="R42" s="503">
        <f t="shared" si="5"/>
      </c>
      <c r="S42" s="504">
        <f>IF(B42="","",SUMIF('6-3_調整額内訳④(旧・新制度)'!B:B,$B42,'6-3_調整額内訳④(旧・新制度)'!AH:AH))</f>
      </c>
      <c r="T42" s="505">
        <f t="shared" si="6"/>
      </c>
      <c r="U42" s="506">
        <f t="shared" si="7"/>
      </c>
      <c r="V42" s="506">
        <f t="shared" si="8"/>
      </c>
      <c r="W42" s="507"/>
      <c r="X42" s="506">
        <f t="shared" si="9"/>
      </c>
      <c r="Y42" s="501"/>
      <c r="Z42" s="503">
        <f t="shared" si="10"/>
      </c>
      <c r="AA42" s="508">
        <f t="shared" si="11"/>
      </c>
      <c r="AB42" s="712"/>
      <c r="AC42" s="713"/>
      <c r="AD42" s="714"/>
      <c r="AF42" s="63">
        <f t="shared" si="12"/>
      </c>
      <c r="AG42" s="63">
        <f t="shared" si="0"/>
      </c>
    </row>
    <row r="43" spans="1:33" s="54" customFormat="1" ht="18.75" customHeight="1">
      <c r="A43" s="27">
        <f t="shared" si="1"/>
      </c>
      <c r="B43" s="277"/>
      <c r="C43" s="57"/>
      <c r="D43" s="474"/>
      <c r="E43" s="59"/>
      <c r="F43" s="216">
        <f t="shared" si="2"/>
      </c>
      <c r="G43" s="478">
        <f t="shared" si="3"/>
      </c>
      <c r="H43" s="479"/>
      <c r="I43" s="128"/>
      <c r="J43" s="478">
        <f t="shared" si="13"/>
      </c>
      <c r="K43" s="486">
        <f t="shared" si="4"/>
      </c>
      <c r="L43" s="555"/>
      <c r="M43" s="557"/>
      <c r="N43" s="493">
        <f>IF($G43="","",IF($L43="Ａ",LOOKUP($D43,{8000,8500,9000,10000,10032,12000},{0,1532,1032,32,0,0}),IF($L43="Ｂ",LOOKUP($D43,{8000,8500,9000,10000,10032,12000},{0,1532,1032,408,408,408}),IF($L43="Ｃ１",LOOKUP($D43,{8000,8500,9000,10000,10032,12000},{782,2814,2814,2814,2814,2814}),IF($L43="Ｃ２",LOOKUP($D43,{8000,8500,9000,10000,10032,12000},{3188,5220,5220,5220,5220,5220}),0)))))</f>
      </c>
      <c r="O43" s="555"/>
      <c r="P43" s="558"/>
      <c r="Q43" s="493">
        <f>IF($G43="","",IF($O43="Ａ",LOOKUP($D43,{8000,8500,9000,10000,10032,12000},{0,1532,1032,32,0,0}),IF($O43="Ｂ",LOOKUP($D43,{8000,8500,9000,10000,10032,12000},{0,1532,1032,408,408,408}),IF($O43="Ｃ１",LOOKUP($D43,{8000,8500,9000,10000,10032,12000},{782,2814,2814,2814,2814,2814}),IF($O43="Ｃ２",LOOKUP($D43,{8000,8500,9000,10000,10032,12000},{3188,5220,5220,5220,5220,5220}),0)))))</f>
      </c>
      <c r="R43" s="503">
        <f t="shared" si="5"/>
      </c>
      <c r="S43" s="504">
        <f>IF(B43="","",SUMIF('6-3_調整額内訳④(旧・新制度)'!B:B,$B43,'6-3_調整額内訳④(旧・新制度)'!AH:AH))</f>
      </c>
      <c r="T43" s="505">
        <f t="shared" si="6"/>
      </c>
      <c r="U43" s="506">
        <f t="shared" si="7"/>
      </c>
      <c r="V43" s="506">
        <f t="shared" si="8"/>
      </c>
      <c r="W43" s="507"/>
      <c r="X43" s="506">
        <f t="shared" si="9"/>
      </c>
      <c r="Y43" s="501"/>
      <c r="Z43" s="503">
        <f t="shared" si="10"/>
      </c>
      <c r="AA43" s="508">
        <f t="shared" si="11"/>
      </c>
      <c r="AB43" s="712"/>
      <c r="AC43" s="713"/>
      <c r="AD43" s="714"/>
      <c r="AF43" s="63">
        <f t="shared" si="12"/>
      </c>
      <c r="AG43" s="63">
        <f t="shared" si="0"/>
      </c>
    </row>
    <row r="44" spans="1:33" s="54" customFormat="1" ht="18.75" customHeight="1" thickBot="1">
      <c r="A44" s="27">
        <f t="shared" si="1"/>
      </c>
      <c r="B44" s="279"/>
      <c r="C44" s="57"/>
      <c r="D44" s="474"/>
      <c r="E44" s="59"/>
      <c r="F44" s="218">
        <f t="shared" si="2"/>
      </c>
      <c r="G44" s="482">
        <f t="shared" si="3"/>
      </c>
      <c r="H44" s="479"/>
      <c r="I44" s="129"/>
      <c r="J44" s="482">
        <f t="shared" si="13"/>
      </c>
      <c r="K44" s="486">
        <f t="shared" si="4"/>
      </c>
      <c r="L44" s="555"/>
      <c r="M44" s="560"/>
      <c r="N44" s="494">
        <f>IF($G44="","",IF($L44="Ａ",LOOKUP($D44,{8000,8500,9000,10000,10032,12000},{0,1532,1032,32,0,0}),IF($L44="Ｂ",LOOKUP($D44,{8000,8500,9000,10000,10032,12000},{0,1532,1032,408,408,408}),IF($L44="Ｃ１",LOOKUP($D44,{8000,8500,9000,10000,10032,12000},{782,2814,2814,2814,2814,2814}),IF($L44="Ｃ２",LOOKUP($D44,{8000,8500,9000,10000,10032,12000},{3188,5220,5220,5220,5220,5220}),0)))))</f>
      </c>
      <c r="O44" s="555"/>
      <c r="P44" s="561"/>
      <c r="Q44" s="494">
        <f>IF($G44="","",IF($O44="Ａ",LOOKUP($D44,{8000,8500,9000,10000,10032,12000},{0,1532,1032,32,0,0}),IF($O44="Ｂ",LOOKUP($D44,{8000,8500,9000,10000,10032,12000},{0,1532,1032,408,408,408}),IF($O44="Ｃ１",LOOKUP($D44,{8000,8500,9000,10000,10032,12000},{782,2814,2814,2814,2814,2814}),IF($O44="Ｃ２",LOOKUP($D44,{8000,8500,9000,10000,10032,12000},{3188,5220,5220,5220,5220,5220}),0)))))</f>
      </c>
      <c r="R44" s="503">
        <f t="shared" si="5"/>
      </c>
      <c r="S44" s="504">
        <f>IF(B44="","",SUMIF('6-3_調整額内訳④(旧・新制度)'!B:B,$B44,'6-3_調整額内訳④(旧・新制度)'!AH:AH))</f>
      </c>
      <c r="T44" s="505">
        <f t="shared" si="6"/>
      </c>
      <c r="U44" s="509">
        <f t="shared" si="7"/>
      </c>
      <c r="V44" s="506">
        <f t="shared" si="8"/>
      </c>
      <c r="W44" s="507"/>
      <c r="X44" s="506">
        <f t="shared" si="9"/>
      </c>
      <c r="Y44" s="501"/>
      <c r="Z44" s="503">
        <f t="shared" si="10"/>
      </c>
      <c r="AA44" s="508">
        <f t="shared" si="11"/>
      </c>
      <c r="AB44" s="709"/>
      <c r="AC44" s="710"/>
      <c r="AD44" s="711"/>
      <c r="AF44" s="63">
        <f t="shared" si="12"/>
      </c>
      <c r="AG44" s="63">
        <f t="shared" si="0"/>
      </c>
    </row>
    <row r="45" spans="1:33" s="69" customFormat="1" ht="25.5" customHeight="1" thickBot="1">
      <c r="A45" s="715" t="s">
        <v>161</v>
      </c>
      <c r="B45" s="716"/>
      <c r="C45" s="716"/>
      <c r="D45" s="717"/>
      <c r="E45" s="208">
        <f>SUM(E8:E44)</f>
        <v>0</v>
      </c>
      <c r="F45" s="207">
        <f>SUM(F8:F44)</f>
        <v>0</v>
      </c>
      <c r="G45" s="491" t="s">
        <v>155</v>
      </c>
      <c r="H45" s="552" t="s">
        <v>155</v>
      </c>
      <c r="I45" s="206" t="s">
        <v>155</v>
      </c>
      <c r="J45" s="488">
        <f>SUM(J8:J44)</f>
        <v>0</v>
      </c>
      <c r="K45" s="489" t="s">
        <v>155</v>
      </c>
      <c r="L45" s="491" t="s">
        <v>155</v>
      </c>
      <c r="M45" s="491"/>
      <c r="N45" s="489"/>
      <c r="O45" s="491" t="s">
        <v>155</v>
      </c>
      <c r="P45" s="491"/>
      <c r="Q45" s="489"/>
      <c r="R45" s="510">
        <f aca="true" t="shared" si="14" ref="R45:AA45">SUM(R8:R44)</f>
        <v>0</v>
      </c>
      <c r="S45" s="511">
        <f t="shared" si="14"/>
        <v>0</v>
      </c>
      <c r="T45" s="512">
        <f t="shared" si="14"/>
        <v>0</v>
      </c>
      <c r="U45" s="513">
        <f t="shared" si="14"/>
        <v>0</v>
      </c>
      <c r="V45" s="513">
        <f>SUM(V8:V44)</f>
        <v>0</v>
      </c>
      <c r="W45" s="513">
        <f t="shared" si="14"/>
        <v>0</v>
      </c>
      <c r="X45" s="513">
        <f t="shared" si="14"/>
        <v>0</v>
      </c>
      <c r="Y45" s="513">
        <f t="shared" si="14"/>
        <v>0</v>
      </c>
      <c r="Z45" s="513">
        <f t="shared" si="14"/>
        <v>0</v>
      </c>
      <c r="AA45" s="514">
        <f t="shared" si="14"/>
        <v>0</v>
      </c>
      <c r="AB45" s="718"/>
      <c r="AC45" s="719"/>
      <c r="AD45" s="720"/>
      <c r="AF45" s="70"/>
      <c r="AG45" s="70"/>
    </row>
    <row r="46" spans="1:33" s="345" customFormat="1" ht="15.75" customHeight="1">
      <c r="A46" s="345" t="s">
        <v>29</v>
      </c>
      <c r="L46" s="346"/>
      <c r="O46" s="346"/>
      <c r="AF46" s="347"/>
      <c r="AG46" s="347"/>
    </row>
    <row r="47" spans="1:33" s="345" customFormat="1" ht="15.75" customHeight="1">
      <c r="A47" s="345" t="s">
        <v>153</v>
      </c>
      <c r="L47" s="346"/>
      <c r="O47" s="346"/>
      <c r="AF47" s="347"/>
      <c r="AG47" s="347"/>
    </row>
    <row r="48" spans="1:33" s="345" customFormat="1" ht="15.75" customHeight="1">
      <c r="A48" s="345" t="s">
        <v>168</v>
      </c>
      <c r="L48" s="346"/>
      <c r="O48" s="346"/>
      <c r="AF48" s="347"/>
      <c r="AG48" s="347"/>
    </row>
    <row r="49" spans="1:33" s="345" customFormat="1" ht="15.75" customHeight="1">
      <c r="A49" s="345" t="s">
        <v>159</v>
      </c>
      <c r="L49" s="346"/>
      <c r="O49" s="346"/>
      <c r="AF49" s="347"/>
      <c r="AG49" s="347"/>
    </row>
    <row r="50" spans="1:33" s="345" customFormat="1" ht="15.75" customHeight="1">
      <c r="A50" s="345" t="s">
        <v>249</v>
      </c>
      <c r="L50" s="346"/>
      <c r="O50" s="346"/>
      <c r="AF50" s="347"/>
      <c r="AG50" s="347"/>
    </row>
    <row r="51" spans="1:33" s="345" customFormat="1" ht="15.75" customHeight="1">
      <c r="A51" s="345" t="s">
        <v>257</v>
      </c>
      <c r="L51" s="346"/>
      <c r="O51" s="346"/>
      <c r="AF51" s="347"/>
      <c r="AG51" s="347"/>
    </row>
    <row r="52" spans="1:33" s="345" customFormat="1" ht="15.75" customHeight="1">
      <c r="A52" s="345" t="s">
        <v>176</v>
      </c>
      <c r="L52" s="346"/>
      <c r="O52" s="346"/>
      <c r="AF52" s="347"/>
      <c r="AG52" s="347"/>
    </row>
    <row r="53" spans="1:33" s="345" customFormat="1" ht="15.75" customHeight="1">
      <c r="A53" s="345" t="s">
        <v>177</v>
      </c>
      <c r="L53" s="346"/>
      <c r="O53" s="346"/>
      <c r="AF53" s="347"/>
      <c r="AG53" s="347"/>
    </row>
    <row r="54" spans="1:33" s="345" customFormat="1" ht="15.75" customHeight="1">
      <c r="A54" s="345" t="s">
        <v>250</v>
      </c>
      <c r="L54" s="346"/>
      <c r="O54" s="346"/>
      <c r="AF54" s="347"/>
      <c r="AG54" s="347"/>
    </row>
    <row r="55" spans="1:33" s="345" customFormat="1" ht="15.75" customHeight="1">
      <c r="A55" s="345" t="s">
        <v>229</v>
      </c>
      <c r="L55" s="346"/>
      <c r="O55" s="346"/>
      <c r="AF55" s="347"/>
      <c r="AG55" s="347"/>
    </row>
    <row r="56" spans="1:32" s="345" customFormat="1" ht="15.75" customHeight="1">
      <c r="A56" s="345" t="s">
        <v>230</v>
      </c>
      <c r="L56" s="346"/>
      <c r="O56" s="346"/>
      <c r="AE56" s="347"/>
      <c r="AF56" s="347"/>
    </row>
    <row r="57" spans="1:33" s="345" customFormat="1" ht="15.75" customHeight="1">
      <c r="A57" s="345" t="s">
        <v>163</v>
      </c>
      <c r="L57" s="346"/>
      <c r="O57" s="346"/>
      <c r="AF57" s="347"/>
      <c r="AG57" s="347"/>
    </row>
    <row r="58" spans="1:33" s="345" customFormat="1" ht="15.75" customHeight="1">
      <c r="A58" s="345" t="s">
        <v>164</v>
      </c>
      <c r="L58" s="346"/>
      <c r="O58" s="346"/>
      <c r="AF58" s="347"/>
      <c r="AG58" s="347"/>
    </row>
    <row r="59" spans="1:33" s="345" customFormat="1" ht="15.75" customHeight="1">
      <c r="A59" s="345" t="s">
        <v>165</v>
      </c>
      <c r="L59" s="346"/>
      <c r="O59" s="346"/>
      <c r="AF59" s="347"/>
      <c r="AG59" s="347"/>
    </row>
    <row r="60" ht="12"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sheetData>
  <sheetProtection/>
  <mergeCells count="73">
    <mergeCell ref="Y1:AB1"/>
    <mergeCell ref="Y2:AB2"/>
    <mergeCell ref="A4:A7"/>
    <mergeCell ref="B4:B7"/>
    <mergeCell ref="C4:C7"/>
    <mergeCell ref="D4:D6"/>
    <mergeCell ref="E4:F4"/>
    <mergeCell ref="G4:K4"/>
    <mergeCell ref="L4:T4"/>
    <mergeCell ref="U4:U6"/>
    <mergeCell ref="V4:V6"/>
    <mergeCell ref="W4:W6"/>
    <mergeCell ref="X4:X6"/>
    <mergeCell ref="Y4:Y6"/>
    <mergeCell ref="Z4:Z6"/>
    <mergeCell ref="AA4:AA6"/>
    <mergeCell ref="AB4:AD7"/>
    <mergeCell ref="AF4:AF7"/>
    <mergeCell ref="AG4:AG7"/>
    <mergeCell ref="F5:F6"/>
    <mergeCell ref="G5:G6"/>
    <mergeCell ref="H5:H6"/>
    <mergeCell ref="I5:I6"/>
    <mergeCell ref="J5:J6"/>
    <mergeCell ref="K5:K6"/>
    <mergeCell ref="L5:N5"/>
    <mergeCell ref="O5:Q5"/>
    <mergeCell ref="R5:R6"/>
    <mergeCell ref="S5:S6"/>
    <mergeCell ref="T5:T6"/>
    <mergeCell ref="L6:L7"/>
    <mergeCell ref="M6:M7"/>
    <mergeCell ref="O6:O7"/>
    <mergeCell ref="P6:P7"/>
    <mergeCell ref="AB8:AD8"/>
    <mergeCell ref="AB9:AD9"/>
    <mergeCell ref="AB10:AD10"/>
    <mergeCell ref="AB11:AD11"/>
    <mergeCell ref="AB12:AD12"/>
    <mergeCell ref="AB13:AD13"/>
    <mergeCell ref="AB14:AD14"/>
    <mergeCell ref="AB15:AD15"/>
    <mergeCell ref="AB16:AD16"/>
    <mergeCell ref="AB17:AD17"/>
    <mergeCell ref="AB18:AD18"/>
    <mergeCell ref="AB19:AD19"/>
    <mergeCell ref="AB20:AD20"/>
    <mergeCell ref="AB21:AD21"/>
    <mergeCell ref="AB22:AD22"/>
    <mergeCell ref="AB23:AD23"/>
    <mergeCell ref="AB24:AD24"/>
    <mergeCell ref="AB25:AD25"/>
    <mergeCell ref="AB26:AD26"/>
    <mergeCell ref="AB27:AD27"/>
    <mergeCell ref="AB28:AD28"/>
    <mergeCell ref="AB29:AD29"/>
    <mergeCell ref="AB30:AD30"/>
    <mergeCell ref="AB31:AD31"/>
    <mergeCell ref="AB32:AD32"/>
    <mergeCell ref="AB33:AD33"/>
    <mergeCell ref="AB34:AD34"/>
    <mergeCell ref="AB35:AD35"/>
    <mergeCell ref="AB36:AD36"/>
    <mergeCell ref="AB37:AD37"/>
    <mergeCell ref="AB44:AD44"/>
    <mergeCell ref="A45:D45"/>
    <mergeCell ref="AB45:AD45"/>
    <mergeCell ref="AB38:AD38"/>
    <mergeCell ref="AB39:AD39"/>
    <mergeCell ref="AB40:AD40"/>
    <mergeCell ref="AB41:AD41"/>
    <mergeCell ref="AB42:AD42"/>
    <mergeCell ref="AB43:AD43"/>
  </mergeCells>
  <dataValidations count="3">
    <dataValidation type="list" allowBlank="1" showInputMessage="1" showErrorMessage="1" sqref="O8:O44 L8:L44">
      <formula1>"Ａ,Ｂ,Ｃ１,Ｃ２,Ｄ"</formula1>
    </dataValidation>
    <dataValidation type="whole" allowBlank="1" showInputMessage="1" showErrorMessage="1" sqref="C8:C44">
      <formula1>1</formula1>
      <formula2>4</formula2>
    </dataValidation>
    <dataValidation type="whole" allowBlank="1" showInputMessage="1" showErrorMessage="1" sqref="J8:K44 W8:W44 G8:H44">
      <formula1>0</formula1>
      <formula2>9999999</formula2>
    </dataValidation>
  </dataValidations>
  <printOptions/>
  <pageMargins left="0.7480314960629921" right="0.7480314960629921" top="0.984251968503937" bottom="0.984251968503937" header="0.5118110236220472" footer="0.5118110236220472"/>
  <pageSetup cellComments="asDisplayed" fitToWidth="0" horizontalDpi="600" verticalDpi="600" orientation="landscape" paperSize="9" scale="44" r:id="rId3"/>
  <legacyDrawing r:id="rId2"/>
</worksheet>
</file>

<file path=xl/worksheets/sheet14.xml><?xml version="1.0" encoding="utf-8"?>
<worksheet xmlns="http://schemas.openxmlformats.org/spreadsheetml/2006/main" xmlns:r="http://schemas.openxmlformats.org/officeDocument/2006/relationships">
  <sheetPr>
    <tabColor rgb="FF00B0F0"/>
  </sheetPr>
  <dimension ref="A1:AQ44"/>
  <sheetViews>
    <sheetView view="pageBreakPreview" zoomScale="75" zoomScaleNormal="75" zoomScaleSheetLayoutView="75" zoomScalePageLayoutView="0" workbookViewId="0" topLeftCell="A1">
      <selection activeCell="R48" sqref="R48"/>
    </sheetView>
  </sheetViews>
  <sheetFormatPr defaultColWidth="9.625" defaultRowHeight="13.5"/>
  <cols>
    <col min="1" max="1" width="6.25390625" style="40" customWidth="1"/>
    <col min="2" max="2" width="15.625" style="266" customWidth="1"/>
    <col min="3" max="3" width="9.00390625" style="288" bestFit="1" customWidth="1"/>
    <col min="4" max="5" width="11.25390625" style="40" customWidth="1"/>
    <col min="6" max="6" width="5.50390625" style="40" customWidth="1"/>
    <col min="7" max="7" width="10.25390625" style="40" bestFit="1" customWidth="1"/>
    <col min="8" max="8" width="3.50390625" style="40" bestFit="1" customWidth="1"/>
    <col min="9" max="9" width="10.75390625" style="40" customWidth="1"/>
    <col min="10" max="10" width="12.25390625" style="40" bestFit="1" customWidth="1"/>
    <col min="11" max="22" width="4.25390625" style="40" customWidth="1"/>
    <col min="23" max="32" width="4.375" style="40" customWidth="1"/>
    <col min="33" max="33" width="11.00390625" style="40" bestFit="1" customWidth="1"/>
    <col min="34" max="34" width="10.25390625" style="40" bestFit="1" customWidth="1"/>
    <col min="35" max="35" width="9.75390625" style="40" customWidth="1"/>
    <col min="36" max="36" width="6.50390625" style="40" customWidth="1"/>
    <col min="37" max="37" width="8.25390625" style="40" customWidth="1"/>
    <col min="38" max="38" width="3.125" style="40" customWidth="1"/>
    <col min="39" max="39" width="8.625" style="41" bestFit="1" customWidth="1"/>
    <col min="40" max="40" width="5.25390625" style="41" bestFit="1" customWidth="1"/>
    <col min="41" max="16384" width="9.625" style="40" customWidth="1"/>
  </cols>
  <sheetData>
    <row r="1" spans="1:40" ht="24.75" customHeight="1">
      <c r="A1" s="39" t="s">
        <v>251</v>
      </c>
      <c r="B1" s="265"/>
      <c r="W1" s="781" t="s">
        <v>25</v>
      </c>
      <c r="X1" s="781"/>
      <c r="Y1" s="781"/>
      <c r="Z1" s="761">
        <f>'5_総括表'!E3</f>
        <v>0</v>
      </c>
      <c r="AA1" s="782"/>
      <c r="AB1" s="782"/>
      <c r="AC1" s="782"/>
      <c r="AD1" s="782"/>
      <c r="AE1" s="782"/>
      <c r="AF1" s="782"/>
      <c r="AG1" s="782"/>
      <c r="AH1" s="783"/>
      <c r="AI1" s="186" t="s">
        <v>26</v>
      </c>
      <c r="AJ1" s="784">
        <f>'5_総括表'!Z3</f>
        <v>0</v>
      </c>
      <c r="AK1" s="785"/>
      <c r="AM1" s="46"/>
      <c r="AN1" s="46"/>
    </row>
    <row r="2" spans="1:40" ht="24.75" customHeight="1" thickBot="1">
      <c r="A2" s="42"/>
      <c r="W2" s="786" t="s">
        <v>23</v>
      </c>
      <c r="X2" s="786"/>
      <c r="Y2" s="786"/>
      <c r="Z2" s="764">
        <f>'5_総括表'!E4</f>
        <v>0</v>
      </c>
      <c r="AA2" s="787"/>
      <c r="AB2" s="787"/>
      <c r="AC2" s="787"/>
      <c r="AD2" s="787"/>
      <c r="AE2" s="787"/>
      <c r="AF2" s="787"/>
      <c r="AG2" s="787"/>
      <c r="AH2" s="788"/>
      <c r="AI2" s="187" t="s">
        <v>24</v>
      </c>
      <c r="AJ2" s="789">
        <f>'5_総括表'!Z4</f>
        <v>0</v>
      </c>
      <c r="AK2" s="790"/>
      <c r="AM2" s="73"/>
      <c r="AN2" s="74"/>
    </row>
    <row r="3" spans="1:40" ht="18.75" customHeight="1" thickBot="1">
      <c r="A3" s="331" t="s">
        <v>224</v>
      </c>
      <c r="B3" s="267"/>
      <c r="AJ3" s="43"/>
      <c r="AK3" s="43" t="s">
        <v>28</v>
      </c>
      <c r="AM3" s="73"/>
      <c r="AN3" s="74"/>
    </row>
    <row r="4" spans="1:40" s="44" customFormat="1" ht="18.75" customHeight="1" thickBot="1">
      <c r="A4" s="675" t="s">
        <v>32</v>
      </c>
      <c r="B4" s="945" t="s">
        <v>170</v>
      </c>
      <c r="C4" s="770" t="s">
        <v>16</v>
      </c>
      <c r="D4" s="670" t="s">
        <v>75</v>
      </c>
      <c r="E4" s="670" t="s">
        <v>106</v>
      </c>
      <c r="F4" s="664" t="s">
        <v>253</v>
      </c>
      <c r="G4" s="665"/>
      <c r="H4" s="665"/>
      <c r="I4" s="665"/>
      <c r="J4" s="666"/>
      <c r="K4" s="795" t="s">
        <v>65</v>
      </c>
      <c r="L4" s="796"/>
      <c r="M4" s="796"/>
      <c r="N4" s="796"/>
      <c r="O4" s="796"/>
      <c r="P4" s="796"/>
      <c r="Q4" s="796"/>
      <c r="R4" s="796"/>
      <c r="S4" s="796"/>
      <c r="T4" s="796"/>
      <c r="U4" s="796"/>
      <c r="V4" s="796"/>
      <c r="W4" s="796"/>
      <c r="X4" s="796"/>
      <c r="Y4" s="796"/>
      <c r="Z4" s="796"/>
      <c r="AA4" s="796"/>
      <c r="AB4" s="796"/>
      <c r="AC4" s="796"/>
      <c r="AD4" s="796"/>
      <c r="AE4" s="796"/>
      <c r="AF4" s="802"/>
      <c r="AG4" s="670" t="s">
        <v>63</v>
      </c>
      <c r="AH4" s="797" t="s">
        <v>64</v>
      </c>
      <c r="AI4" s="800" t="s">
        <v>66</v>
      </c>
      <c r="AJ4" s="801"/>
      <c r="AK4" s="802"/>
      <c r="AM4" s="73"/>
      <c r="AN4" s="74"/>
    </row>
    <row r="5" spans="1:40" s="44" customFormat="1" ht="18.75" customHeight="1" thickBot="1">
      <c r="A5" s="767"/>
      <c r="B5" s="946"/>
      <c r="C5" s="771"/>
      <c r="D5" s="737"/>
      <c r="E5" s="737"/>
      <c r="F5" s="795" t="s">
        <v>107</v>
      </c>
      <c r="G5" s="811"/>
      <c r="H5" s="812"/>
      <c r="I5" s="812"/>
      <c r="J5" s="813"/>
      <c r="K5" s="814" t="s">
        <v>62</v>
      </c>
      <c r="L5" s="815"/>
      <c r="M5" s="815"/>
      <c r="N5" s="815"/>
      <c r="O5" s="815"/>
      <c r="P5" s="815"/>
      <c r="Q5" s="815"/>
      <c r="R5" s="815"/>
      <c r="S5" s="815"/>
      <c r="T5" s="815"/>
      <c r="U5" s="815"/>
      <c r="V5" s="816"/>
      <c r="W5" s="664" t="s">
        <v>118</v>
      </c>
      <c r="X5" s="665"/>
      <c r="Y5" s="665"/>
      <c r="Z5" s="665"/>
      <c r="AA5" s="665"/>
      <c r="AB5" s="665"/>
      <c r="AC5" s="665"/>
      <c r="AD5" s="665"/>
      <c r="AE5" s="665"/>
      <c r="AF5" s="666"/>
      <c r="AG5" s="737"/>
      <c r="AH5" s="798"/>
      <c r="AI5" s="803"/>
      <c r="AJ5" s="804"/>
      <c r="AK5" s="805"/>
      <c r="AM5" s="73"/>
      <c r="AN5" s="74"/>
    </row>
    <row r="6" spans="1:40" s="44" customFormat="1" ht="21.75" customHeight="1" thickBot="1">
      <c r="A6" s="767"/>
      <c r="B6" s="946"/>
      <c r="C6" s="771"/>
      <c r="D6" s="737"/>
      <c r="E6" s="737"/>
      <c r="F6" s="817" t="s">
        <v>18</v>
      </c>
      <c r="G6" s="791" t="s">
        <v>50</v>
      </c>
      <c r="H6" s="817" t="s">
        <v>18</v>
      </c>
      <c r="I6" s="791" t="s">
        <v>50</v>
      </c>
      <c r="J6" s="793" t="s">
        <v>108</v>
      </c>
      <c r="K6" s="944" t="s">
        <v>60</v>
      </c>
      <c r="L6" s="944"/>
      <c r="M6" s="944"/>
      <c r="N6" s="820" t="s">
        <v>61</v>
      </c>
      <c r="O6" s="821"/>
      <c r="P6" s="821"/>
      <c r="Q6" s="821"/>
      <c r="R6" s="821"/>
      <c r="S6" s="821"/>
      <c r="T6" s="821"/>
      <c r="U6" s="821"/>
      <c r="V6" s="822"/>
      <c r="W6" s="795" t="s">
        <v>84</v>
      </c>
      <c r="X6" s="823" t="s">
        <v>84</v>
      </c>
      <c r="Y6" s="795" t="s">
        <v>90</v>
      </c>
      <c r="Z6" s="826" t="s">
        <v>90</v>
      </c>
      <c r="AA6" s="841" t="s">
        <v>208</v>
      </c>
      <c r="AB6" s="844" t="s">
        <v>208</v>
      </c>
      <c r="AC6" s="956" t="s">
        <v>209</v>
      </c>
      <c r="AD6" s="844" t="s">
        <v>209</v>
      </c>
      <c r="AE6" s="956" t="s">
        <v>174</v>
      </c>
      <c r="AF6" s="959" t="s">
        <v>174</v>
      </c>
      <c r="AG6" s="737"/>
      <c r="AH6" s="799"/>
      <c r="AI6" s="806"/>
      <c r="AJ6" s="807"/>
      <c r="AK6" s="805"/>
      <c r="AM6" s="73"/>
      <c r="AN6" s="75"/>
    </row>
    <row r="7" spans="1:43" s="44" customFormat="1" ht="20.25" customHeight="1" thickBot="1">
      <c r="A7" s="767"/>
      <c r="B7" s="946"/>
      <c r="C7" s="771"/>
      <c r="D7" s="737"/>
      <c r="E7" s="737"/>
      <c r="F7" s="818"/>
      <c r="G7" s="792"/>
      <c r="H7" s="818"/>
      <c r="I7" s="792"/>
      <c r="J7" s="794"/>
      <c r="K7" s="664" t="s">
        <v>54</v>
      </c>
      <c r="L7" s="937" t="s">
        <v>55</v>
      </c>
      <c r="M7" s="666" t="s">
        <v>56</v>
      </c>
      <c r="N7" s="664" t="s">
        <v>51</v>
      </c>
      <c r="O7" s="937" t="s">
        <v>85</v>
      </c>
      <c r="P7" s="937" t="s">
        <v>86</v>
      </c>
      <c r="Q7" s="937" t="s">
        <v>87</v>
      </c>
      <c r="R7" s="937" t="s">
        <v>52</v>
      </c>
      <c r="S7" s="937" t="s">
        <v>53</v>
      </c>
      <c r="T7" s="937" t="s">
        <v>57</v>
      </c>
      <c r="U7" s="937" t="s">
        <v>58</v>
      </c>
      <c r="V7" s="666" t="s">
        <v>59</v>
      </c>
      <c r="W7" s="806"/>
      <c r="X7" s="824"/>
      <c r="Y7" s="806"/>
      <c r="Z7" s="827"/>
      <c r="AA7" s="842"/>
      <c r="AB7" s="845"/>
      <c r="AC7" s="957"/>
      <c r="AD7" s="845"/>
      <c r="AE7" s="957"/>
      <c r="AF7" s="960"/>
      <c r="AG7" s="737"/>
      <c r="AH7" s="799"/>
      <c r="AI7" s="806"/>
      <c r="AJ7" s="807"/>
      <c r="AK7" s="805"/>
      <c r="AM7" s="833" t="s">
        <v>30</v>
      </c>
      <c r="AN7" s="833" t="s">
        <v>78</v>
      </c>
      <c r="AO7" s="76"/>
      <c r="AP7" s="76"/>
      <c r="AQ7" s="76"/>
    </row>
    <row r="8" spans="1:40" s="44" customFormat="1" ht="18.75" customHeight="1" thickBot="1">
      <c r="A8" s="768"/>
      <c r="B8" s="947"/>
      <c r="C8" s="772"/>
      <c r="D8" s="769"/>
      <c r="E8" s="769"/>
      <c r="F8" s="819"/>
      <c r="G8" s="77" t="s">
        <v>80</v>
      </c>
      <c r="H8" s="819"/>
      <c r="I8" s="77" t="s">
        <v>81</v>
      </c>
      <c r="J8" s="47" t="s">
        <v>88</v>
      </c>
      <c r="K8" s="664"/>
      <c r="L8" s="937"/>
      <c r="M8" s="666"/>
      <c r="N8" s="664"/>
      <c r="O8" s="937"/>
      <c r="P8" s="937"/>
      <c r="Q8" s="937"/>
      <c r="R8" s="937"/>
      <c r="S8" s="937"/>
      <c r="T8" s="937"/>
      <c r="U8" s="937"/>
      <c r="V8" s="666"/>
      <c r="W8" s="808"/>
      <c r="X8" s="825"/>
      <c r="Y8" s="808"/>
      <c r="Z8" s="828"/>
      <c r="AA8" s="843"/>
      <c r="AB8" s="846"/>
      <c r="AC8" s="958"/>
      <c r="AD8" s="846"/>
      <c r="AE8" s="958"/>
      <c r="AF8" s="961"/>
      <c r="AG8" s="47" t="s">
        <v>89</v>
      </c>
      <c r="AH8" s="78" t="s">
        <v>79</v>
      </c>
      <c r="AI8" s="808"/>
      <c r="AJ8" s="809"/>
      <c r="AK8" s="810"/>
      <c r="AM8" s="834"/>
      <c r="AN8" s="834"/>
    </row>
    <row r="9" spans="1:40" s="54" customFormat="1" ht="18.75" customHeight="1">
      <c r="A9" s="26">
        <f>IF(B9="","",ROW($A9)-ROW($A$8))</f>
      </c>
      <c r="B9" s="305"/>
      <c r="C9" s="289">
        <f>IF(B9="","",VLOOKUP($B9,'6-2_算定表④(旧・新制度)'!$B$8:$R$65536,2,FALSE))</f>
      </c>
      <c r="D9" s="515">
        <f>IF(B9="","",VLOOKUP($B9,'6-2_算定表④(旧・新制度)'!$B$8:$R$65536,3,FALSE))</f>
      </c>
      <c r="E9" s="79">
        <f>IF(B9="","",VLOOKUP($B9,'6-2_算定表④(旧・新制度)'!$B$8:$R$65536,4,FALSE))</f>
      </c>
      <c r="F9" s="516">
        <f>IF(B9="","",VLOOKUP($B9,'6-2_算定表④(旧・新制度)'!$B$8:$R$65536,11,FALSE))</f>
      </c>
      <c r="G9" s="492">
        <f>IF(B9="","",VLOOKUP($B9,'6-2_算定表④(旧・新制度)'!$B$8:$R$65536,13,FALSE))</f>
      </c>
      <c r="H9" s="516">
        <f>IF(B9="","",VLOOKUP($B9,'6-2_算定表④(旧・新制度)'!$B$8:$R$65536,14,FALSE))</f>
      </c>
      <c r="I9" s="492">
        <f>IF(B9="","",VLOOKUP($B9,'6-2_算定表④(旧・新制度)'!$B$8:$R$65536,16,FALSE))</f>
      </c>
      <c r="J9" s="498">
        <f>IF(B9="","",VLOOKUP($B9,'6-2_算定表④(旧・新制度)'!$B$8:$R$65536,17,FALSE))</f>
      </c>
      <c r="K9" s="517">
        <f>IF($B9="","",VLOOKUP($B9,'6-2_算定表④(旧・新制度)'!$B$8:$R$65536,11,FALSE))</f>
      </c>
      <c r="L9" s="518">
        <f>IF($B9="","",VLOOKUP($B9,'6-2_算定表④(旧・新制度)'!$B$8:$R$65536,11,FALSE))</f>
      </c>
      <c r="M9" s="519">
        <f>IF($B9="","",VLOOKUP($B9,'6-2_算定表④(旧・新制度)'!$B$8:$R$65536,11,FALSE))</f>
      </c>
      <c r="N9" s="517">
        <f>IF($B9="","",VLOOKUP($B9,'6-2_算定表④(旧・新制度)'!$B$8:$R$65536,14,FALSE))</f>
      </c>
      <c r="O9" s="518">
        <f>IF($B9="","",VLOOKUP($B9,'6-2_算定表④(旧・新制度)'!$B$8:$R$65536,14,FALSE))</f>
      </c>
      <c r="P9" s="518">
        <f>IF($B9="","",VLOOKUP($B9,'6-2_算定表④(旧・新制度)'!$B$8:$R$65536,14,FALSE))</f>
      </c>
      <c r="Q9" s="518">
        <f>IF($B9="","",VLOOKUP($B9,'6-2_算定表④(旧・新制度)'!$B$8:$R$65536,14,FALSE))</f>
      </c>
      <c r="R9" s="518">
        <f>IF($B9="","",VLOOKUP($B9,'6-2_算定表④(旧・新制度)'!$B$8:$R$65536,14,FALSE))</f>
      </c>
      <c r="S9" s="518">
        <f>IF($B9="","",VLOOKUP($B9,'6-2_算定表④(旧・新制度)'!$B$8:$R$65536,14,FALSE))</f>
      </c>
      <c r="T9" s="518">
        <f>IF($B9="","",VLOOKUP($B9,'6-2_算定表④(旧・新制度)'!$B$8:$R$65536,14,FALSE))</f>
      </c>
      <c r="U9" s="518">
        <f>IF($B9="","",VLOOKUP($B9,'6-2_算定表④(旧・新制度)'!$B$8:$R$65536,14,FALSE))</f>
      </c>
      <c r="V9" s="519">
        <f>IF($B9="","",VLOOKUP($B9,'6-2_算定表④(旧・新制度)'!$B$8:$R$65536,14,FALSE))</f>
      </c>
      <c r="W9" s="520">
        <f>IF($B9="","",COUNTIF($K9:$M9,W$6))</f>
      </c>
      <c r="X9" s="521">
        <f>IF($B9="","",COUNTIF($N9:$V9,X$6))</f>
      </c>
      <c r="Y9" s="520">
        <f>IF($B9="","",COUNTIF($K9:$M9,Y$6))</f>
      </c>
      <c r="Z9" s="522">
        <f>IF($B9="","",COUNTIF($N9:$V9,Z$6))</f>
      </c>
      <c r="AA9" s="562">
        <f>IF($B9="","",COUNTIF($K9:$M9,AA$6))</f>
      </c>
      <c r="AB9" s="524">
        <f>IF($B9="","",COUNTIF($N9:$V9,AB$6))</f>
      </c>
      <c r="AC9" s="523">
        <f>IF($B9="","",COUNTIF($K9:$M9,AC$6))</f>
      </c>
      <c r="AD9" s="524">
        <f>IF($B9="","",COUNTIF($N9:$V9,AD$6))</f>
      </c>
      <c r="AE9" s="523">
        <f>IF($B9="","",COUNTIF($K9:$M9,AE$6))</f>
      </c>
      <c r="AF9" s="525">
        <f>IF($B9="","",COUNTIF($N9:$V9,AF$6))</f>
      </c>
      <c r="AG9" s="498">
        <f>IF(B9="","",(G9/12*W9)+(I9/12*X9)+(G9/12*Y9)+(I9/12*Z9)+(G9/12*AA9)+(I9/12*AB9)+(G9/12*AC9)+(I9/12*AD9))</f>
      </c>
      <c r="AH9" s="526">
        <f>IF(B9="","",AG9-J9)</f>
      </c>
      <c r="AI9" s="953">
        <f>IF(B9="","",VLOOKUP($B9,'6-2_算定表④(旧・新制度)'!$B$8:$AB$65536,27,FALSE))</f>
      </c>
      <c r="AJ9" s="954" t="s">
        <v>205</v>
      </c>
      <c r="AK9" s="955" t="s">
        <v>205</v>
      </c>
      <c r="AM9" s="63">
        <f>IF(A9&gt;0,ASC(C9&amp;H9),"")</f>
      </c>
      <c r="AN9" s="63">
        <f>IF(B9="","",IF(AH9=0,0,1))</f>
      </c>
    </row>
    <row r="10" spans="1:40" s="54" customFormat="1" ht="18.75" customHeight="1">
      <c r="A10" s="34">
        <f aca="true" t="shared" si="0" ref="A10:A38">IF(B10="","",ROW($A10)-ROW($A$8))</f>
      </c>
      <c r="B10" s="280"/>
      <c r="C10" s="87">
        <f>IF(B10="","",VLOOKUP($B10,'6-2_算定表④(旧・新制度)'!$B$8:$R$65536,2,FALSE))</f>
      </c>
      <c r="D10" s="527">
        <f>IF(B10="","",VLOOKUP($B10,'6-2_算定表④(旧・新制度)'!$B$8:$R$65536,3,FALSE))</f>
      </c>
      <c r="E10" s="88">
        <f>IF(C10="","",VLOOKUP($B10,'6-2_算定表④(旧・新制度)'!$B$8:$R$65536,4,FALSE))</f>
      </c>
      <c r="F10" s="528">
        <f>IF(B10="","",VLOOKUP($B10,'6-2_算定表④(旧・新制度)'!$B$8:$R$65536,11,FALSE))</f>
      </c>
      <c r="G10" s="529">
        <f>IF(B10="","",VLOOKUP($B10,'6-2_算定表④(旧・新制度)'!$B$8:$R$65536,13,FALSE))</f>
      </c>
      <c r="H10" s="528">
        <f>IF(B10="","",VLOOKUP($B10,'6-2_算定表④(旧・新制度)'!$B$8:$R$65536,14,FALSE))</f>
      </c>
      <c r="I10" s="529">
        <f>IF(B10="","",VLOOKUP($B10,'6-2_算定表④(旧・新制度)'!$B$8:$R$65536,16,FALSE))</f>
      </c>
      <c r="J10" s="530">
        <f>IF(B10="","",VLOOKUP($B10,'6-2_算定表④(旧・新制度)'!$B$8:$R$65536,17,FALSE))</f>
      </c>
      <c r="K10" s="531">
        <f>IF($B10="","",VLOOKUP($B10,'6-2_算定表④(旧・新制度)'!$B$8:$R$65536,11,FALSE))</f>
      </c>
      <c r="L10" s="532">
        <f>IF($B10="","",VLOOKUP($B10,'6-2_算定表④(旧・新制度)'!$B$8:$R$65536,11,FALSE))</f>
      </c>
      <c r="M10" s="533">
        <f>IF($B10="","",VLOOKUP($B10,'6-2_算定表④(旧・新制度)'!$B$8:$R$65536,11,FALSE))</f>
      </c>
      <c r="N10" s="531">
        <f>IF($B10="","",VLOOKUP($B10,'6-2_算定表④(旧・新制度)'!$B$8:$R$65536,14,FALSE))</f>
      </c>
      <c r="O10" s="532">
        <f>IF($B10="","",VLOOKUP($B10,'6-2_算定表④(旧・新制度)'!$B$8:$R$65536,14,FALSE))</f>
      </c>
      <c r="P10" s="532">
        <f>IF($B10="","",VLOOKUP($B10,'6-2_算定表④(旧・新制度)'!$B$8:$R$65536,14,FALSE))</f>
      </c>
      <c r="Q10" s="532">
        <f>IF($B10="","",VLOOKUP($B10,'6-2_算定表④(旧・新制度)'!$B$8:$R$65536,14,FALSE))</f>
      </c>
      <c r="R10" s="532">
        <f>IF($B10="","",VLOOKUP($B10,'6-2_算定表④(旧・新制度)'!$B$8:$R$65536,14,FALSE))</f>
      </c>
      <c r="S10" s="532">
        <f>IF($B10="","",VLOOKUP($B10,'6-2_算定表④(旧・新制度)'!$B$8:$R$65536,14,FALSE))</f>
      </c>
      <c r="T10" s="532">
        <f>IF($B10="","",VLOOKUP($B10,'6-2_算定表④(旧・新制度)'!$B$8:$R$65536,14,FALSE))</f>
      </c>
      <c r="U10" s="532">
        <f>IF($B10="","",VLOOKUP($B10,'6-2_算定表④(旧・新制度)'!$B$8:$R$65536,14,FALSE))</f>
      </c>
      <c r="V10" s="533">
        <f>IF($B10="","",VLOOKUP($B10,'6-2_算定表④(旧・新制度)'!$B$8:$R$65536,14,FALSE))</f>
      </c>
      <c r="W10" s="534">
        <f aca="true" t="shared" si="1" ref="W10:W38">IF($B10="","",COUNTIF($K10:$M10,W$6))</f>
      </c>
      <c r="X10" s="535">
        <f aca="true" t="shared" si="2" ref="X10:X38">IF($B10="","",COUNTIF($N10:$V10,X$6))</f>
      </c>
      <c r="Y10" s="534">
        <f aca="true" t="shared" si="3" ref="Y10:Y38">IF($B10="","",COUNTIF($K10:$M10,Y$6))</f>
      </c>
      <c r="Z10" s="536">
        <f aca="true" t="shared" si="4" ref="Z10:Z38">IF($B10="","",COUNTIF($N10:$V10,Z$6))</f>
      </c>
      <c r="AA10" s="563">
        <f aca="true" t="shared" si="5" ref="AA10:AA38">IF($B10="","",COUNTIF($K10:$M10,AA$6))</f>
      </c>
      <c r="AB10" s="564">
        <f aca="true" t="shared" si="6" ref="AB10:AB38">IF($B10="","",COUNTIF($N10:$V10,AB$6))</f>
      </c>
      <c r="AC10" s="565">
        <f aca="true" t="shared" si="7" ref="AC10:AC38">IF($B10="","",COUNTIF($K10:$M10,AC$6))</f>
      </c>
      <c r="AD10" s="564">
        <f aca="true" t="shared" si="8" ref="AD10:AD38">IF($B10="","",COUNTIF($N10:$V10,AD$6))</f>
      </c>
      <c r="AE10" s="565">
        <f aca="true" t="shared" si="9" ref="AE10:AE38">IF($B10="","",COUNTIF($K10:$M10,AE$6))</f>
      </c>
      <c r="AF10" s="566">
        <f aca="true" t="shared" si="10" ref="AF10:AF38">IF($B10="","",COUNTIF($N10:$V10,AF$6))</f>
      </c>
      <c r="AG10" s="530">
        <f aca="true" t="shared" si="11" ref="AG10:AG38">IF(B10="","",(G10/12*W10)+(I10/12*X10)+(G10/12*Y10)+(I10/12*Z10)+(G10/12*AA10)+(I10/12*AB10)+(G10/12*AC10)+(I10/12*AD10))</f>
      </c>
      <c r="AH10" s="540">
        <f>IF(B10="","",AG10-J10)</f>
      </c>
      <c r="AI10" s="851">
        <f>IF(B10="","",VLOOKUP($B10,'6-2_算定表④(旧・新制度)'!$B$8:$AB$65536,27,FALSE))</f>
      </c>
      <c r="AJ10" s="852" t="s">
        <v>205</v>
      </c>
      <c r="AK10" s="853" t="s">
        <v>205</v>
      </c>
      <c r="AM10" s="55">
        <f>IF(A10&gt;0,ASC(C10&amp;H10),"")</f>
      </c>
      <c r="AN10" s="55">
        <f aca="true" t="shared" si="12" ref="AN10:AN38">IF(B10="","",IF(AH10=0,0,1))</f>
      </c>
    </row>
    <row r="11" spans="1:40" s="54" customFormat="1" ht="18.75" customHeight="1">
      <c r="A11" s="27">
        <f t="shared" si="0"/>
      </c>
      <c r="B11" s="280"/>
      <c r="C11" s="97">
        <f>IF(B11="","",VLOOKUP($B11,'6-2_算定表④(旧・新制度)'!$B$8:$R$65536,2,FALSE))</f>
      </c>
      <c r="D11" s="541">
        <f>IF(B11="","",VLOOKUP($B11,'6-2_算定表④(旧・新制度)'!$B$8:$R$65536,3,FALSE))</f>
      </c>
      <c r="E11" s="98">
        <f>IF(C11="","",VLOOKUP($B11,'6-2_算定表④(旧・新制度)'!$B$8:$R$65536,4,FALSE))</f>
      </c>
      <c r="F11" s="542">
        <f>IF(B11="","",VLOOKUP($B11,'6-2_算定表④(旧・新制度)'!$B$8:$R$65536,11,FALSE))</f>
      </c>
      <c r="G11" s="493">
        <f>IF(B11="","",VLOOKUP($B11,'6-2_算定表④(旧・新制度)'!$B$8:$R$65536,13,FALSE))</f>
      </c>
      <c r="H11" s="542">
        <f>IF(B11="","",VLOOKUP($B11,'6-2_算定表④(旧・新制度)'!$B$8:$R$65536,14,FALSE))</f>
      </c>
      <c r="I11" s="493">
        <f>IF(B11="","",VLOOKUP($B11,'6-2_算定表④(旧・新制度)'!$B$8:$R$65536,16,FALSE))</f>
      </c>
      <c r="J11" s="506">
        <f>IF(B11="","",VLOOKUP($B11,'6-2_算定表④(旧・新制度)'!$B$8:$R$65536,17,FALSE))</f>
      </c>
      <c r="K11" s="543">
        <f>IF($B11="","",VLOOKUP($B11,'6-2_算定表④(旧・新制度)'!$B$8:$R$65536,11,FALSE))</f>
      </c>
      <c r="L11" s="544">
        <f>IF($B11="","",VLOOKUP($B11,'6-2_算定表④(旧・新制度)'!$B$8:$R$65536,11,FALSE))</f>
      </c>
      <c r="M11" s="545">
        <f>IF($B11="","",VLOOKUP($B11,'6-2_算定表④(旧・新制度)'!$B$8:$R$65536,11,FALSE))</f>
      </c>
      <c r="N11" s="543">
        <f>IF($B11="","",VLOOKUP($B11,'6-2_算定表④(旧・新制度)'!$B$8:$R$65536,14,FALSE))</f>
      </c>
      <c r="O11" s="544">
        <f>IF($B11="","",VLOOKUP($B11,'6-2_算定表④(旧・新制度)'!$B$8:$R$65536,14,FALSE))</f>
      </c>
      <c r="P11" s="544">
        <f>IF($B11="","",VLOOKUP($B11,'6-2_算定表④(旧・新制度)'!$B$8:$R$65536,14,FALSE))</f>
      </c>
      <c r="Q11" s="544">
        <f>IF($B11="","",VLOOKUP($B11,'6-2_算定表④(旧・新制度)'!$B$8:$R$65536,14,FALSE))</f>
      </c>
      <c r="R11" s="544">
        <f>IF($B11="","",VLOOKUP($B11,'6-2_算定表④(旧・新制度)'!$B$8:$R$65536,14,FALSE))</f>
      </c>
      <c r="S11" s="544">
        <f>IF($B11="","",VLOOKUP($B11,'6-2_算定表④(旧・新制度)'!$B$8:$R$65536,14,FALSE))</f>
      </c>
      <c r="T11" s="544">
        <f>IF($B11="","",VLOOKUP($B11,'6-2_算定表④(旧・新制度)'!$B$8:$R$65536,14,FALSE))</f>
      </c>
      <c r="U11" s="544">
        <f>IF($B11="","",VLOOKUP($B11,'6-2_算定表④(旧・新制度)'!$B$8:$R$65536,14,FALSE))</f>
      </c>
      <c r="V11" s="545">
        <f>IF($B11="","",VLOOKUP($B11,'6-2_算定表④(旧・新制度)'!$B$8:$R$65536,14,FALSE))</f>
      </c>
      <c r="W11" s="534">
        <f t="shared" si="1"/>
      </c>
      <c r="X11" s="535">
        <f t="shared" si="2"/>
      </c>
      <c r="Y11" s="534">
        <f t="shared" si="3"/>
      </c>
      <c r="Z11" s="536">
        <f t="shared" si="4"/>
      </c>
      <c r="AA11" s="563">
        <f t="shared" si="5"/>
      </c>
      <c r="AB11" s="564">
        <f t="shared" si="6"/>
      </c>
      <c r="AC11" s="565">
        <f t="shared" si="7"/>
      </c>
      <c r="AD11" s="564">
        <f t="shared" si="8"/>
      </c>
      <c r="AE11" s="565">
        <f t="shared" si="9"/>
      </c>
      <c r="AF11" s="566">
        <f t="shared" si="10"/>
      </c>
      <c r="AG11" s="506">
        <f t="shared" si="11"/>
      </c>
      <c r="AH11" s="503">
        <f aca="true" t="shared" si="13" ref="AH11:AH38">IF(B11="","",AG11-J11)</f>
      </c>
      <c r="AI11" s="851">
        <f>IF(B11="","",VLOOKUP($B11,'6-2_算定表④(旧・新制度)'!$B$8:$AB$65536,27,FALSE))</f>
      </c>
      <c r="AJ11" s="852" t="s">
        <v>205</v>
      </c>
      <c r="AK11" s="853" t="s">
        <v>205</v>
      </c>
      <c r="AM11" s="63">
        <f aca="true" t="shared" si="14" ref="AM11:AM38">IF(A11&gt;0,ASC(C11&amp;H11),"")</f>
      </c>
      <c r="AN11" s="63">
        <f t="shared" si="12"/>
      </c>
    </row>
    <row r="12" spans="1:40" s="54" customFormat="1" ht="18.75" customHeight="1">
      <c r="A12" s="27">
        <f t="shared" si="0"/>
      </c>
      <c r="B12" s="280"/>
      <c r="C12" s="97">
        <f>IF(B12="","",VLOOKUP($B12,'6-2_算定表④(旧・新制度)'!$B$8:$R$65536,2,FALSE))</f>
      </c>
      <c r="D12" s="541">
        <f>IF(B12="","",VLOOKUP($B12,'6-2_算定表④(旧・新制度)'!$B$8:$R$65536,3,FALSE))</f>
      </c>
      <c r="E12" s="98">
        <f>IF(C12="","",VLOOKUP($B12,'6-2_算定表④(旧・新制度)'!$B$8:$R$65536,4,FALSE))</f>
      </c>
      <c r="F12" s="542">
        <f>IF(B12="","",VLOOKUP($B12,'6-2_算定表④(旧・新制度)'!$B$8:$R$65536,11,FALSE))</f>
      </c>
      <c r="G12" s="493">
        <f>IF(B12="","",VLOOKUP($B12,'6-2_算定表④(旧・新制度)'!$B$8:$R$65536,13,FALSE))</f>
      </c>
      <c r="H12" s="542">
        <f>IF(B12="","",VLOOKUP($B12,'6-2_算定表④(旧・新制度)'!$B$8:$R$65536,14,FALSE))</f>
      </c>
      <c r="I12" s="493">
        <f>IF(B12="","",VLOOKUP($B12,'6-2_算定表④(旧・新制度)'!$B$8:$R$65536,16,FALSE))</f>
      </c>
      <c r="J12" s="506">
        <f>IF(B12="","",VLOOKUP($B12,'6-2_算定表④(旧・新制度)'!$B$8:$R$65536,17,FALSE))</f>
      </c>
      <c r="K12" s="543">
        <f>IF($B12="","",VLOOKUP($B12,'6-2_算定表④(旧・新制度)'!$B$8:$R$65536,11,FALSE))</f>
      </c>
      <c r="L12" s="544">
        <f>IF($B12="","",VLOOKUP($B12,'6-2_算定表④(旧・新制度)'!$B$8:$R$65536,11,FALSE))</f>
      </c>
      <c r="M12" s="545">
        <f>IF($B12="","",VLOOKUP($B12,'6-2_算定表④(旧・新制度)'!$B$8:$R$65536,11,FALSE))</f>
      </c>
      <c r="N12" s="543">
        <f>IF($B12="","",VLOOKUP($B12,'6-2_算定表④(旧・新制度)'!$B$8:$R$65536,14,FALSE))</f>
      </c>
      <c r="O12" s="544">
        <f>IF($B12="","",VLOOKUP($B12,'6-2_算定表④(旧・新制度)'!$B$8:$R$65536,14,FALSE))</f>
      </c>
      <c r="P12" s="544">
        <f>IF($B12="","",VLOOKUP($B12,'6-2_算定表④(旧・新制度)'!$B$8:$R$65536,14,FALSE))</f>
      </c>
      <c r="Q12" s="544">
        <f>IF($B12="","",VLOOKUP($B12,'6-2_算定表④(旧・新制度)'!$B$8:$R$65536,14,FALSE))</f>
      </c>
      <c r="R12" s="544">
        <f>IF($B12="","",VLOOKUP($B12,'6-2_算定表④(旧・新制度)'!$B$8:$R$65536,14,FALSE))</f>
      </c>
      <c r="S12" s="544">
        <f>IF($B12="","",VLOOKUP($B12,'6-2_算定表④(旧・新制度)'!$B$8:$R$65536,14,FALSE))</f>
      </c>
      <c r="T12" s="544">
        <f>IF($B12="","",VLOOKUP($B12,'6-2_算定表④(旧・新制度)'!$B$8:$R$65536,14,FALSE))</f>
      </c>
      <c r="U12" s="544">
        <f>IF($B12="","",VLOOKUP($B12,'6-2_算定表④(旧・新制度)'!$B$8:$R$65536,14,FALSE))</f>
      </c>
      <c r="V12" s="545">
        <f>IF($B12="","",VLOOKUP($B12,'6-2_算定表④(旧・新制度)'!$B$8:$R$65536,14,FALSE))</f>
      </c>
      <c r="W12" s="546">
        <f t="shared" si="1"/>
      </c>
      <c r="X12" s="547">
        <f t="shared" si="2"/>
      </c>
      <c r="Y12" s="546">
        <f t="shared" si="3"/>
      </c>
      <c r="Z12" s="548">
        <f t="shared" si="4"/>
      </c>
      <c r="AA12" s="567">
        <f t="shared" si="5"/>
      </c>
      <c r="AB12" s="538">
        <f t="shared" si="6"/>
      </c>
      <c r="AC12" s="537">
        <f t="shared" si="7"/>
      </c>
      <c r="AD12" s="538">
        <f t="shared" si="8"/>
      </c>
      <c r="AE12" s="537">
        <f t="shared" si="9"/>
      </c>
      <c r="AF12" s="539">
        <f t="shared" si="10"/>
      </c>
      <c r="AG12" s="506">
        <f t="shared" si="11"/>
      </c>
      <c r="AH12" s="503">
        <f t="shared" si="13"/>
      </c>
      <c r="AI12" s="851">
        <f>IF(B12="","",VLOOKUP($B12,'6-2_算定表④(旧・新制度)'!$B$8:$AB$65536,27,FALSE))</f>
      </c>
      <c r="AJ12" s="852" t="s">
        <v>205</v>
      </c>
      <c r="AK12" s="853" t="s">
        <v>205</v>
      </c>
      <c r="AM12" s="63">
        <f t="shared" si="14"/>
      </c>
      <c r="AN12" s="63">
        <f t="shared" si="12"/>
      </c>
    </row>
    <row r="13" spans="1:40" s="54" customFormat="1" ht="18.75" customHeight="1">
      <c r="A13" s="27">
        <f t="shared" si="0"/>
      </c>
      <c r="B13" s="280"/>
      <c r="C13" s="97">
        <f>IF(B13="","",VLOOKUP($B13,'6-2_算定表④(旧・新制度)'!$B$8:$R$65536,2,FALSE))</f>
      </c>
      <c r="D13" s="541">
        <f>IF(B13="","",VLOOKUP($B13,'6-2_算定表④(旧・新制度)'!$B$8:$R$65536,3,FALSE))</f>
      </c>
      <c r="E13" s="98">
        <f>IF(C13="","",VLOOKUP($B13,'6-2_算定表④(旧・新制度)'!$B$8:$R$65536,4,FALSE))</f>
      </c>
      <c r="F13" s="542">
        <f>IF(B13="","",VLOOKUP($B13,'6-2_算定表④(旧・新制度)'!$B$8:$R$65536,11,FALSE))</f>
      </c>
      <c r="G13" s="493">
        <f>IF(B13="","",VLOOKUP($B13,'6-2_算定表④(旧・新制度)'!$B$8:$R$65536,13,FALSE))</f>
      </c>
      <c r="H13" s="542">
        <f>IF(B13="","",VLOOKUP($B13,'6-2_算定表④(旧・新制度)'!$B$8:$R$65536,14,FALSE))</f>
      </c>
      <c r="I13" s="493">
        <f>IF(B13="","",VLOOKUP($B13,'6-2_算定表④(旧・新制度)'!$B$8:$R$65536,16,FALSE))</f>
      </c>
      <c r="J13" s="506">
        <f>IF(B13="","",VLOOKUP($B13,'6-2_算定表④(旧・新制度)'!$B$8:$R$65536,17,FALSE))</f>
      </c>
      <c r="K13" s="543">
        <f>IF($B13="","",VLOOKUP($B13,'6-2_算定表④(旧・新制度)'!$B$8:$R$65536,11,FALSE))</f>
      </c>
      <c r="L13" s="544">
        <f>IF($B13="","",VLOOKUP($B13,'6-2_算定表④(旧・新制度)'!$B$8:$R$65536,11,FALSE))</f>
      </c>
      <c r="M13" s="545">
        <f>IF($B13="","",VLOOKUP($B13,'6-2_算定表④(旧・新制度)'!$B$8:$R$65536,11,FALSE))</f>
      </c>
      <c r="N13" s="543">
        <f>IF($B13="","",VLOOKUP($B13,'6-2_算定表④(旧・新制度)'!$B$8:$R$65536,14,FALSE))</f>
      </c>
      <c r="O13" s="544">
        <f>IF($B13="","",VLOOKUP($B13,'6-2_算定表④(旧・新制度)'!$B$8:$R$65536,14,FALSE))</f>
      </c>
      <c r="P13" s="544">
        <f>IF($B13="","",VLOOKUP($B13,'6-2_算定表④(旧・新制度)'!$B$8:$R$65536,14,FALSE))</f>
      </c>
      <c r="Q13" s="544">
        <f>IF($B13="","",VLOOKUP($B13,'6-2_算定表④(旧・新制度)'!$B$8:$R$65536,14,FALSE))</f>
      </c>
      <c r="R13" s="544">
        <f>IF($B13="","",VLOOKUP($B13,'6-2_算定表④(旧・新制度)'!$B$8:$R$65536,14,FALSE))</f>
      </c>
      <c r="S13" s="544">
        <f>IF($B13="","",VLOOKUP($B13,'6-2_算定表④(旧・新制度)'!$B$8:$R$65536,14,FALSE))</f>
      </c>
      <c r="T13" s="544">
        <f>IF($B13="","",VLOOKUP($B13,'6-2_算定表④(旧・新制度)'!$B$8:$R$65536,14,FALSE))</f>
      </c>
      <c r="U13" s="544">
        <f>IF($B13="","",VLOOKUP($B13,'6-2_算定表④(旧・新制度)'!$B$8:$R$65536,14,FALSE))</f>
      </c>
      <c r="V13" s="545">
        <f>IF($B13="","",VLOOKUP($B13,'6-2_算定表④(旧・新制度)'!$B$8:$R$65536,14,FALSE))</f>
      </c>
      <c r="W13" s="546">
        <f t="shared" si="1"/>
      </c>
      <c r="X13" s="547">
        <f t="shared" si="2"/>
      </c>
      <c r="Y13" s="546">
        <f t="shared" si="3"/>
      </c>
      <c r="Z13" s="548">
        <f t="shared" si="4"/>
      </c>
      <c r="AA13" s="567">
        <f t="shared" si="5"/>
      </c>
      <c r="AB13" s="538">
        <f t="shared" si="6"/>
      </c>
      <c r="AC13" s="537">
        <f t="shared" si="7"/>
      </c>
      <c r="AD13" s="538">
        <f t="shared" si="8"/>
      </c>
      <c r="AE13" s="537">
        <f t="shared" si="9"/>
      </c>
      <c r="AF13" s="539">
        <f t="shared" si="10"/>
      </c>
      <c r="AG13" s="506">
        <f t="shared" si="11"/>
      </c>
      <c r="AH13" s="503">
        <f>IF(B13="","",AG13-J13)</f>
      </c>
      <c r="AI13" s="851">
        <f>IF(B13="","",VLOOKUP($B13,'6-2_算定表④(旧・新制度)'!$B$8:$AB$65536,27,FALSE))</f>
      </c>
      <c r="AJ13" s="852" t="s">
        <v>205</v>
      </c>
      <c r="AK13" s="853" t="s">
        <v>205</v>
      </c>
      <c r="AM13" s="63">
        <f t="shared" si="14"/>
      </c>
      <c r="AN13" s="63">
        <f t="shared" si="12"/>
      </c>
    </row>
    <row r="14" spans="1:40" s="54" customFormat="1" ht="18.75" customHeight="1">
      <c r="A14" s="27">
        <f t="shared" si="0"/>
      </c>
      <c r="B14" s="280"/>
      <c r="C14" s="97">
        <f>IF(B14="","",VLOOKUP($B14,'6-2_算定表④(旧・新制度)'!$B$8:$R$65536,2,FALSE))</f>
      </c>
      <c r="D14" s="541">
        <f>IF(B14="","",VLOOKUP($B14,'6-2_算定表④(旧・新制度)'!$B$8:$R$65536,3,FALSE))</f>
      </c>
      <c r="E14" s="98">
        <f>IF(C14="","",VLOOKUP($B14,'6-2_算定表④(旧・新制度)'!$B$8:$R$65536,4,FALSE))</f>
      </c>
      <c r="F14" s="542">
        <f>IF(B14="","",VLOOKUP($B14,'6-2_算定表④(旧・新制度)'!$B$8:$R$65536,11,FALSE))</f>
      </c>
      <c r="G14" s="493">
        <f>IF(B14="","",VLOOKUP($B14,'6-2_算定表④(旧・新制度)'!$B$8:$R$65536,13,FALSE))</f>
      </c>
      <c r="H14" s="542">
        <f>IF(B14="","",VLOOKUP($B14,'6-2_算定表④(旧・新制度)'!$B$8:$R$65536,14,FALSE))</f>
      </c>
      <c r="I14" s="493">
        <f>IF(B14="","",VLOOKUP($B14,'6-2_算定表④(旧・新制度)'!$B$8:$R$65536,16,FALSE))</f>
      </c>
      <c r="J14" s="506">
        <f>IF(B14="","",VLOOKUP($B14,'6-2_算定表④(旧・新制度)'!$B$8:$R$65536,17,FALSE))</f>
      </c>
      <c r="K14" s="543">
        <f>IF($B14="","",VLOOKUP($B14,'6-2_算定表④(旧・新制度)'!$B$8:$R$65536,11,FALSE))</f>
      </c>
      <c r="L14" s="544">
        <f>IF($B14="","",VLOOKUP($B14,'6-2_算定表④(旧・新制度)'!$B$8:$R$65536,11,FALSE))</f>
      </c>
      <c r="M14" s="545">
        <f>IF($B14="","",VLOOKUP($B14,'6-2_算定表④(旧・新制度)'!$B$8:$R$65536,11,FALSE))</f>
      </c>
      <c r="N14" s="543">
        <f>IF($B14="","",VLOOKUP($B14,'6-2_算定表④(旧・新制度)'!$B$8:$R$65536,14,FALSE))</f>
      </c>
      <c r="O14" s="544">
        <f>IF($B14="","",VLOOKUP($B14,'6-2_算定表④(旧・新制度)'!$B$8:$R$65536,14,FALSE))</f>
      </c>
      <c r="P14" s="544">
        <f>IF($B14="","",VLOOKUP($B14,'6-2_算定表④(旧・新制度)'!$B$8:$R$65536,14,FALSE))</f>
      </c>
      <c r="Q14" s="544">
        <f>IF($B14="","",VLOOKUP($B14,'6-2_算定表④(旧・新制度)'!$B$8:$R$65536,14,FALSE))</f>
      </c>
      <c r="R14" s="544">
        <f>IF($B14="","",VLOOKUP($B14,'6-2_算定表④(旧・新制度)'!$B$8:$R$65536,14,FALSE))</f>
      </c>
      <c r="S14" s="544">
        <f>IF($B14="","",VLOOKUP($B14,'6-2_算定表④(旧・新制度)'!$B$8:$R$65536,14,FALSE))</f>
      </c>
      <c r="T14" s="544">
        <f>IF($B14="","",VLOOKUP($B14,'6-2_算定表④(旧・新制度)'!$B$8:$R$65536,14,FALSE))</f>
      </c>
      <c r="U14" s="544">
        <f>IF($B14="","",VLOOKUP($B14,'6-2_算定表④(旧・新制度)'!$B$8:$R$65536,14,FALSE))</f>
      </c>
      <c r="V14" s="545">
        <f>IF($B14="","",VLOOKUP($B14,'6-2_算定表④(旧・新制度)'!$B$8:$R$65536,14,FALSE))</f>
      </c>
      <c r="W14" s="546">
        <f t="shared" si="1"/>
      </c>
      <c r="X14" s="547">
        <f t="shared" si="2"/>
      </c>
      <c r="Y14" s="546">
        <f t="shared" si="3"/>
      </c>
      <c r="Z14" s="548">
        <f t="shared" si="4"/>
      </c>
      <c r="AA14" s="567">
        <f t="shared" si="5"/>
      </c>
      <c r="AB14" s="538">
        <f t="shared" si="6"/>
      </c>
      <c r="AC14" s="537">
        <f t="shared" si="7"/>
      </c>
      <c r="AD14" s="538">
        <f t="shared" si="8"/>
      </c>
      <c r="AE14" s="537">
        <f t="shared" si="9"/>
      </c>
      <c r="AF14" s="539">
        <f t="shared" si="10"/>
      </c>
      <c r="AG14" s="506">
        <f t="shared" si="11"/>
      </c>
      <c r="AH14" s="503">
        <f t="shared" si="13"/>
      </c>
      <c r="AI14" s="851">
        <f>IF(B14="","",VLOOKUP($B14,'6-2_算定表④(旧・新制度)'!$B$8:$AB$65536,27,FALSE))</f>
      </c>
      <c r="AJ14" s="852" t="s">
        <v>205</v>
      </c>
      <c r="AK14" s="853" t="s">
        <v>205</v>
      </c>
      <c r="AM14" s="63">
        <f t="shared" si="14"/>
      </c>
      <c r="AN14" s="63">
        <f t="shared" si="12"/>
      </c>
    </row>
    <row r="15" spans="1:40" s="54" customFormat="1" ht="18.75" customHeight="1">
      <c r="A15" s="27">
        <f t="shared" si="0"/>
      </c>
      <c r="B15" s="280"/>
      <c r="C15" s="97">
        <f>IF(B15="","",VLOOKUP($B15,'6-2_算定表④(旧・新制度)'!$B$8:$R$65536,2,FALSE))</f>
      </c>
      <c r="D15" s="541">
        <f>IF(B15="","",VLOOKUP($B15,'6-2_算定表④(旧・新制度)'!$B$8:$R$65536,3,FALSE))</f>
      </c>
      <c r="E15" s="98">
        <f>IF(C15="","",VLOOKUP($B15,'6-2_算定表④(旧・新制度)'!$B$8:$R$65536,4,FALSE))</f>
      </c>
      <c r="F15" s="542">
        <f>IF(B15="","",VLOOKUP($B15,'6-2_算定表④(旧・新制度)'!$B$8:$R$65536,11,FALSE))</f>
      </c>
      <c r="G15" s="493">
        <f>IF(B15="","",VLOOKUP($B15,'6-2_算定表④(旧・新制度)'!$B$8:$R$65536,13,FALSE))</f>
      </c>
      <c r="H15" s="542">
        <f>IF(B15="","",VLOOKUP($B15,'6-2_算定表④(旧・新制度)'!$B$8:$R$65536,14,FALSE))</f>
      </c>
      <c r="I15" s="493">
        <f>IF(B15="","",VLOOKUP($B15,'6-2_算定表④(旧・新制度)'!$B$8:$R$65536,16,FALSE))</f>
      </c>
      <c r="J15" s="506">
        <f>IF(B15="","",VLOOKUP($B15,'6-2_算定表④(旧・新制度)'!$B$8:$R$65536,17,FALSE))</f>
      </c>
      <c r="K15" s="543">
        <f>IF($B15="","",VLOOKUP($B15,'6-2_算定表④(旧・新制度)'!$B$8:$R$65536,11,FALSE))</f>
      </c>
      <c r="L15" s="544">
        <f>IF($B15="","",VLOOKUP($B15,'6-2_算定表④(旧・新制度)'!$B$8:$R$65536,11,FALSE))</f>
      </c>
      <c r="M15" s="545">
        <f>IF($B15="","",VLOOKUP($B15,'6-2_算定表④(旧・新制度)'!$B$8:$R$65536,11,FALSE))</f>
      </c>
      <c r="N15" s="543">
        <f>IF($B15="","",VLOOKUP($B15,'6-2_算定表④(旧・新制度)'!$B$8:$R$65536,14,FALSE))</f>
      </c>
      <c r="O15" s="544">
        <f>IF($B15="","",VLOOKUP($B15,'6-2_算定表④(旧・新制度)'!$B$8:$R$65536,14,FALSE))</f>
      </c>
      <c r="P15" s="544">
        <f>IF($B15="","",VLOOKUP($B15,'6-2_算定表④(旧・新制度)'!$B$8:$R$65536,14,FALSE))</f>
      </c>
      <c r="Q15" s="544">
        <f>IF($B15="","",VLOOKUP($B15,'6-2_算定表④(旧・新制度)'!$B$8:$R$65536,14,FALSE))</f>
      </c>
      <c r="R15" s="544">
        <f>IF($B15="","",VLOOKUP($B15,'6-2_算定表④(旧・新制度)'!$B$8:$R$65536,14,FALSE))</f>
      </c>
      <c r="S15" s="544">
        <f>IF($B15="","",VLOOKUP($B15,'6-2_算定表④(旧・新制度)'!$B$8:$R$65536,14,FALSE))</f>
      </c>
      <c r="T15" s="544">
        <f>IF($B15="","",VLOOKUP($B15,'6-2_算定表④(旧・新制度)'!$B$8:$R$65536,14,FALSE))</f>
      </c>
      <c r="U15" s="544">
        <f>IF($B15="","",VLOOKUP($B15,'6-2_算定表④(旧・新制度)'!$B$8:$R$65536,14,FALSE))</f>
      </c>
      <c r="V15" s="545">
        <f>IF($B15="","",VLOOKUP($B15,'6-2_算定表④(旧・新制度)'!$B$8:$R$65536,14,FALSE))</f>
      </c>
      <c r="W15" s="546">
        <f t="shared" si="1"/>
      </c>
      <c r="X15" s="547">
        <f t="shared" si="2"/>
      </c>
      <c r="Y15" s="546">
        <f>IF($B15="","",COUNTIF($K15:$M15,Y$6))</f>
      </c>
      <c r="Z15" s="548">
        <f t="shared" si="4"/>
      </c>
      <c r="AA15" s="567">
        <f t="shared" si="5"/>
      </c>
      <c r="AB15" s="538">
        <f t="shared" si="6"/>
      </c>
      <c r="AC15" s="537">
        <f t="shared" si="7"/>
      </c>
      <c r="AD15" s="538">
        <f t="shared" si="8"/>
      </c>
      <c r="AE15" s="537">
        <f t="shared" si="9"/>
      </c>
      <c r="AF15" s="539">
        <f t="shared" si="10"/>
      </c>
      <c r="AG15" s="506">
        <f t="shared" si="11"/>
      </c>
      <c r="AH15" s="503">
        <f t="shared" si="13"/>
      </c>
      <c r="AI15" s="851">
        <f>IF(B15="","",VLOOKUP($B15,'6-2_算定表④(旧・新制度)'!$B$8:$AB$65536,27,FALSE))</f>
      </c>
      <c r="AJ15" s="852" t="s">
        <v>205</v>
      </c>
      <c r="AK15" s="853" t="s">
        <v>205</v>
      </c>
      <c r="AM15" s="63">
        <f t="shared" si="14"/>
      </c>
      <c r="AN15" s="63">
        <f t="shared" si="12"/>
      </c>
    </row>
    <row r="16" spans="1:40" s="54" customFormat="1" ht="18.75" customHeight="1">
      <c r="A16" s="27">
        <f t="shared" si="0"/>
      </c>
      <c r="B16" s="280"/>
      <c r="C16" s="97">
        <f>IF(B16="","",VLOOKUP($B16,'6-2_算定表④(旧・新制度)'!$B$8:$R$65536,2,FALSE))</f>
      </c>
      <c r="D16" s="541">
        <f>IF(B16="","",VLOOKUP($B16,'6-2_算定表④(旧・新制度)'!$B$8:$R$65536,3,FALSE))</f>
      </c>
      <c r="E16" s="98">
        <f>IF(C16="","",VLOOKUP($B16,'6-2_算定表④(旧・新制度)'!$B$8:$R$65536,4,FALSE))</f>
      </c>
      <c r="F16" s="542">
        <f>IF(B16="","",VLOOKUP($B16,'6-2_算定表④(旧・新制度)'!$B$8:$R$65536,11,FALSE))</f>
      </c>
      <c r="G16" s="493">
        <f>IF(B16="","",VLOOKUP($B16,'6-2_算定表④(旧・新制度)'!$B$8:$R$65536,13,FALSE))</f>
      </c>
      <c r="H16" s="542">
        <f>IF(B16="","",VLOOKUP($B16,'6-2_算定表④(旧・新制度)'!$B$8:$R$65536,14,FALSE))</f>
      </c>
      <c r="I16" s="493">
        <f>IF(B16="","",VLOOKUP($B16,'6-2_算定表④(旧・新制度)'!$B$8:$R$65536,16,FALSE))</f>
      </c>
      <c r="J16" s="506">
        <f>IF(B16="","",VLOOKUP($B16,'6-2_算定表④(旧・新制度)'!$B$8:$R$65536,17,FALSE))</f>
      </c>
      <c r="K16" s="543">
        <f>IF($B16="","",VLOOKUP($B16,'6-2_算定表④(旧・新制度)'!$B$8:$R$65536,11,FALSE))</f>
      </c>
      <c r="L16" s="544">
        <f>IF($B16="","",VLOOKUP($B16,'6-2_算定表④(旧・新制度)'!$B$8:$R$65536,11,FALSE))</f>
      </c>
      <c r="M16" s="545">
        <f>IF($B16="","",VLOOKUP($B16,'6-2_算定表④(旧・新制度)'!$B$8:$R$65536,11,FALSE))</f>
      </c>
      <c r="N16" s="543">
        <f>IF($B16="","",VLOOKUP($B16,'6-2_算定表④(旧・新制度)'!$B$8:$R$65536,14,FALSE))</f>
      </c>
      <c r="O16" s="544">
        <f>IF($B16="","",VLOOKUP($B16,'6-2_算定表④(旧・新制度)'!$B$8:$R$65536,14,FALSE))</f>
      </c>
      <c r="P16" s="544">
        <f>IF($B16="","",VLOOKUP($B16,'6-2_算定表④(旧・新制度)'!$B$8:$R$65536,14,FALSE))</f>
      </c>
      <c r="Q16" s="544">
        <f>IF($B16="","",VLOOKUP($B16,'6-2_算定表④(旧・新制度)'!$B$8:$R$65536,14,FALSE))</f>
      </c>
      <c r="R16" s="544">
        <f>IF($B16="","",VLOOKUP($B16,'6-2_算定表④(旧・新制度)'!$B$8:$R$65536,14,FALSE))</f>
      </c>
      <c r="S16" s="544">
        <f>IF($B16="","",VLOOKUP($B16,'6-2_算定表④(旧・新制度)'!$B$8:$R$65536,14,FALSE))</f>
      </c>
      <c r="T16" s="544">
        <f>IF($B16="","",VLOOKUP($B16,'6-2_算定表④(旧・新制度)'!$B$8:$R$65536,14,FALSE))</f>
      </c>
      <c r="U16" s="544">
        <f>IF($B16="","",VLOOKUP($B16,'6-2_算定表④(旧・新制度)'!$B$8:$R$65536,14,FALSE))</f>
      </c>
      <c r="V16" s="545">
        <f>IF($B16="","",VLOOKUP($B16,'6-2_算定表④(旧・新制度)'!$B$8:$R$65536,14,FALSE))</f>
      </c>
      <c r="W16" s="546">
        <f t="shared" si="1"/>
      </c>
      <c r="X16" s="547">
        <f t="shared" si="2"/>
      </c>
      <c r="Y16" s="546">
        <f t="shared" si="3"/>
      </c>
      <c r="Z16" s="548">
        <f t="shared" si="4"/>
      </c>
      <c r="AA16" s="567">
        <f t="shared" si="5"/>
      </c>
      <c r="AB16" s="538">
        <f t="shared" si="6"/>
      </c>
      <c r="AC16" s="537">
        <f t="shared" si="7"/>
      </c>
      <c r="AD16" s="538">
        <f t="shared" si="8"/>
      </c>
      <c r="AE16" s="537">
        <f t="shared" si="9"/>
      </c>
      <c r="AF16" s="539">
        <f t="shared" si="10"/>
      </c>
      <c r="AG16" s="506">
        <f t="shared" si="11"/>
      </c>
      <c r="AH16" s="503">
        <f t="shared" si="13"/>
      </c>
      <c r="AI16" s="851">
        <f>IF(B16="","",VLOOKUP($B16,'6-2_算定表④(旧・新制度)'!$B$8:$AB$65536,27,FALSE))</f>
      </c>
      <c r="AJ16" s="852" t="s">
        <v>205</v>
      </c>
      <c r="AK16" s="853" t="s">
        <v>205</v>
      </c>
      <c r="AM16" s="63">
        <f t="shared" si="14"/>
      </c>
      <c r="AN16" s="63">
        <f t="shared" si="12"/>
      </c>
    </row>
    <row r="17" spans="1:40" s="54" customFormat="1" ht="18.75" customHeight="1">
      <c r="A17" s="27">
        <f t="shared" si="0"/>
      </c>
      <c r="B17" s="280"/>
      <c r="C17" s="97">
        <f>IF(B17="","",VLOOKUP($B17,'6-2_算定表④(旧・新制度)'!$B$8:$R$65536,2,FALSE))</f>
      </c>
      <c r="D17" s="541">
        <f>IF(B17="","",VLOOKUP($B17,'6-2_算定表④(旧・新制度)'!$B$8:$R$65536,3,FALSE))</f>
      </c>
      <c r="E17" s="98">
        <f>IF(C17="","",VLOOKUP($B17,'6-2_算定表④(旧・新制度)'!$B$8:$R$65536,4,FALSE))</f>
      </c>
      <c r="F17" s="542">
        <f>IF(B17="","",VLOOKUP($B17,'6-2_算定表④(旧・新制度)'!$B$8:$R$65536,11,FALSE))</f>
      </c>
      <c r="G17" s="493">
        <f>IF(B17="","",VLOOKUP($B17,'6-2_算定表④(旧・新制度)'!$B$8:$R$65536,13,FALSE))</f>
      </c>
      <c r="H17" s="542">
        <f>IF(B17="","",VLOOKUP($B17,'6-2_算定表④(旧・新制度)'!$B$8:$R$65536,14,FALSE))</f>
      </c>
      <c r="I17" s="493">
        <f>IF(B17="","",VLOOKUP($B17,'6-2_算定表④(旧・新制度)'!$B$8:$R$65536,16,FALSE))</f>
      </c>
      <c r="J17" s="506">
        <f>IF(B17="","",VLOOKUP($B17,'6-2_算定表④(旧・新制度)'!$B$8:$R$65536,17,FALSE))</f>
      </c>
      <c r="K17" s="543">
        <f>IF($B17="","",VLOOKUP($B17,'6-2_算定表④(旧・新制度)'!$B$8:$R$65536,11,FALSE))</f>
      </c>
      <c r="L17" s="544">
        <f>IF($B17="","",VLOOKUP($B17,'6-2_算定表④(旧・新制度)'!$B$8:$R$65536,11,FALSE))</f>
      </c>
      <c r="M17" s="545">
        <f>IF($B17="","",VLOOKUP($B17,'6-2_算定表④(旧・新制度)'!$B$8:$R$65536,11,FALSE))</f>
      </c>
      <c r="N17" s="543">
        <f>IF($B17="","",VLOOKUP($B17,'6-2_算定表④(旧・新制度)'!$B$8:$R$65536,14,FALSE))</f>
      </c>
      <c r="O17" s="544">
        <f>IF($B17="","",VLOOKUP($B17,'6-2_算定表④(旧・新制度)'!$B$8:$R$65536,14,FALSE))</f>
      </c>
      <c r="P17" s="544">
        <f>IF($B17="","",VLOOKUP($B17,'6-2_算定表④(旧・新制度)'!$B$8:$R$65536,14,FALSE))</f>
      </c>
      <c r="Q17" s="544">
        <f>IF($B17="","",VLOOKUP($B17,'6-2_算定表④(旧・新制度)'!$B$8:$R$65536,14,FALSE))</f>
      </c>
      <c r="R17" s="544">
        <f>IF($B17="","",VLOOKUP($B17,'6-2_算定表④(旧・新制度)'!$B$8:$R$65536,14,FALSE))</f>
      </c>
      <c r="S17" s="544">
        <f>IF($B17="","",VLOOKUP($B17,'6-2_算定表④(旧・新制度)'!$B$8:$R$65536,14,FALSE))</f>
      </c>
      <c r="T17" s="544">
        <f>IF($B17="","",VLOOKUP($B17,'6-2_算定表④(旧・新制度)'!$B$8:$R$65536,14,FALSE))</f>
      </c>
      <c r="U17" s="544">
        <f>IF($B17="","",VLOOKUP($B17,'6-2_算定表④(旧・新制度)'!$B$8:$R$65536,14,FALSE))</f>
      </c>
      <c r="V17" s="545">
        <f>IF($B17="","",VLOOKUP($B17,'6-2_算定表④(旧・新制度)'!$B$8:$R$65536,14,FALSE))</f>
      </c>
      <c r="W17" s="546">
        <f t="shared" si="1"/>
      </c>
      <c r="X17" s="547">
        <f t="shared" si="2"/>
      </c>
      <c r="Y17" s="546">
        <f t="shared" si="3"/>
      </c>
      <c r="Z17" s="548">
        <f t="shared" si="4"/>
      </c>
      <c r="AA17" s="567">
        <f t="shared" si="5"/>
      </c>
      <c r="AB17" s="538">
        <f t="shared" si="6"/>
      </c>
      <c r="AC17" s="537">
        <f t="shared" si="7"/>
      </c>
      <c r="AD17" s="538">
        <f t="shared" si="8"/>
      </c>
      <c r="AE17" s="537">
        <f t="shared" si="9"/>
      </c>
      <c r="AF17" s="539">
        <f t="shared" si="10"/>
      </c>
      <c r="AG17" s="506">
        <f t="shared" si="11"/>
      </c>
      <c r="AH17" s="503">
        <f t="shared" si="13"/>
      </c>
      <c r="AI17" s="851">
        <f>IF(B17="","",VLOOKUP($B17,'6-2_算定表④(旧・新制度)'!$B$8:$AB$65536,27,FALSE))</f>
      </c>
      <c r="AJ17" s="852" t="s">
        <v>205</v>
      </c>
      <c r="AK17" s="853" t="s">
        <v>205</v>
      </c>
      <c r="AM17" s="63">
        <f t="shared" si="14"/>
      </c>
      <c r="AN17" s="63">
        <f t="shared" si="12"/>
      </c>
    </row>
    <row r="18" spans="1:40" s="54" customFormat="1" ht="18.75" customHeight="1">
      <c r="A18" s="27">
        <f t="shared" si="0"/>
      </c>
      <c r="B18" s="280"/>
      <c r="C18" s="97">
        <f>IF(B18="","",VLOOKUP($B18,'6-2_算定表④(旧・新制度)'!$B$8:$R$65536,2,FALSE))</f>
      </c>
      <c r="D18" s="541">
        <f>IF(B18="","",VLOOKUP($B18,'6-2_算定表④(旧・新制度)'!$B$8:$R$65536,3,FALSE))</f>
      </c>
      <c r="E18" s="98">
        <f>IF(C18="","",VLOOKUP($B18,'6-2_算定表④(旧・新制度)'!$B$8:$R$65536,4,FALSE))</f>
      </c>
      <c r="F18" s="542">
        <f>IF(B18="","",VLOOKUP($B18,'6-2_算定表④(旧・新制度)'!$B$8:$R$65536,11,FALSE))</f>
      </c>
      <c r="G18" s="493">
        <f>IF(B18="","",VLOOKUP($B18,'6-2_算定表④(旧・新制度)'!$B$8:$R$65536,13,FALSE))</f>
      </c>
      <c r="H18" s="542">
        <f>IF(B18="","",VLOOKUP($B18,'6-2_算定表④(旧・新制度)'!$B$8:$R$65536,14,FALSE))</f>
      </c>
      <c r="I18" s="493">
        <f>IF(B18="","",VLOOKUP($B18,'6-2_算定表④(旧・新制度)'!$B$8:$R$65536,16,FALSE))</f>
      </c>
      <c r="J18" s="506">
        <f>IF(B18="","",VLOOKUP($B18,'6-2_算定表④(旧・新制度)'!$B$8:$R$65536,17,FALSE))</f>
      </c>
      <c r="K18" s="543">
        <f>IF($B18="","",VLOOKUP($B18,'6-2_算定表④(旧・新制度)'!$B$8:$R$65536,11,FALSE))</f>
      </c>
      <c r="L18" s="544">
        <f>IF($B18="","",VLOOKUP($B18,'6-2_算定表④(旧・新制度)'!$B$8:$R$65536,11,FALSE))</f>
      </c>
      <c r="M18" s="545">
        <f>IF($B18="","",VLOOKUP($B18,'6-2_算定表④(旧・新制度)'!$B$8:$R$65536,11,FALSE))</f>
      </c>
      <c r="N18" s="543">
        <f>IF($B18="","",VLOOKUP($B18,'6-2_算定表④(旧・新制度)'!$B$8:$R$65536,14,FALSE))</f>
      </c>
      <c r="O18" s="544">
        <f>IF($B18="","",VLOOKUP($B18,'6-2_算定表④(旧・新制度)'!$B$8:$R$65536,14,FALSE))</f>
      </c>
      <c r="P18" s="544">
        <f>IF($B18="","",VLOOKUP($B18,'6-2_算定表④(旧・新制度)'!$B$8:$R$65536,14,FALSE))</f>
      </c>
      <c r="Q18" s="544">
        <f>IF($B18="","",VLOOKUP($B18,'6-2_算定表④(旧・新制度)'!$B$8:$R$65536,14,FALSE))</f>
      </c>
      <c r="R18" s="544">
        <f>IF($B18="","",VLOOKUP($B18,'6-2_算定表④(旧・新制度)'!$B$8:$R$65536,14,FALSE))</f>
      </c>
      <c r="S18" s="544">
        <f>IF($B18="","",VLOOKUP($B18,'6-2_算定表④(旧・新制度)'!$B$8:$R$65536,14,FALSE))</f>
      </c>
      <c r="T18" s="544">
        <f>IF($B18="","",VLOOKUP($B18,'6-2_算定表④(旧・新制度)'!$B$8:$R$65536,14,FALSE))</f>
      </c>
      <c r="U18" s="544">
        <f>IF($B18="","",VLOOKUP($B18,'6-2_算定表④(旧・新制度)'!$B$8:$R$65536,14,FALSE))</f>
      </c>
      <c r="V18" s="545">
        <f>IF($B18="","",VLOOKUP($B18,'6-2_算定表④(旧・新制度)'!$B$8:$R$65536,14,FALSE))</f>
      </c>
      <c r="W18" s="546">
        <f t="shared" si="1"/>
      </c>
      <c r="X18" s="547">
        <f t="shared" si="2"/>
      </c>
      <c r="Y18" s="546">
        <f t="shared" si="3"/>
      </c>
      <c r="Z18" s="548">
        <f t="shared" si="4"/>
      </c>
      <c r="AA18" s="567">
        <f t="shared" si="5"/>
      </c>
      <c r="AB18" s="538">
        <f t="shared" si="6"/>
      </c>
      <c r="AC18" s="537">
        <f t="shared" si="7"/>
      </c>
      <c r="AD18" s="538">
        <f t="shared" si="8"/>
      </c>
      <c r="AE18" s="537">
        <f t="shared" si="9"/>
      </c>
      <c r="AF18" s="539">
        <f t="shared" si="10"/>
      </c>
      <c r="AG18" s="506">
        <f t="shared" si="11"/>
      </c>
      <c r="AH18" s="503">
        <f t="shared" si="13"/>
      </c>
      <c r="AI18" s="851">
        <f>IF(B18="","",VLOOKUP($B18,'6-2_算定表④(旧・新制度)'!$B$8:$AB$65536,27,FALSE))</f>
      </c>
      <c r="AJ18" s="852" t="s">
        <v>205</v>
      </c>
      <c r="AK18" s="853" t="s">
        <v>205</v>
      </c>
      <c r="AM18" s="63">
        <f t="shared" si="14"/>
      </c>
      <c r="AN18" s="63">
        <f t="shared" si="12"/>
      </c>
    </row>
    <row r="19" spans="1:40" s="54" customFormat="1" ht="18.75" customHeight="1">
      <c r="A19" s="27">
        <f t="shared" si="0"/>
      </c>
      <c r="B19" s="280"/>
      <c r="C19" s="97">
        <f>IF(B19="","",VLOOKUP($B19,'6-2_算定表④(旧・新制度)'!$B$8:$R$65536,2,FALSE))</f>
      </c>
      <c r="D19" s="541">
        <f>IF(B19="","",VLOOKUP($B19,'6-2_算定表④(旧・新制度)'!$B$8:$R$65536,3,FALSE))</f>
      </c>
      <c r="E19" s="98">
        <f>IF(C19="","",VLOOKUP($B19,'6-2_算定表④(旧・新制度)'!$B$8:$R$65536,4,FALSE))</f>
      </c>
      <c r="F19" s="542">
        <f>IF(B19="","",VLOOKUP($B19,'6-2_算定表④(旧・新制度)'!$B$8:$R$65536,11,FALSE))</f>
      </c>
      <c r="G19" s="493">
        <f>IF(B19="","",VLOOKUP($B19,'6-2_算定表④(旧・新制度)'!$B$8:$R$65536,13,FALSE))</f>
      </c>
      <c r="H19" s="542">
        <f>IF(B19="","",VLOOKUP($B19,'6-2_算定表④(旧・新制度)'!$B$8:$R$65536,14,FALSE))</f>
      </c>
      <c r="I19" s="493">
        <f>IF(B19="","",VLOOKUP($B19,'6-2_算定表④(旧・新制度)'!$B$8:$R$65536,16,FALSE))</f>
      </c>
      <c r="J19" s="506">
        <f>IF(B19="","",VLOOKUP($B19,'6-2_算定表④(旧・新制度)'!$B$8:$R$65536,17,FALSE))</f>
      </c>
      <c r="K19" s="543">
        <f>IF($B19="","",VLOOKUP($B19,'6-2_算定表④(旧・新制度)'!$B$8:$R$65536,11,FALSE))</f>
      </c>
      <c r="L19" s="544">
        <f>IF($B19="","",VLOOKUP($B19,'6-2_算定表④(旧・新制度)'!$B$8:$R$65536,11,FALSE))</f>
      </c>
      <c r="M19" s="545">
        <f>IF($B19="","",VLOOKUP($B19,'6-2_算定表④(旧・新制度)'!$B$8:$R$65536,11,FALSE))</f>
      </c>
      <c r="N19" s="543">
        <f>IF($B19="","",VLOOKUP($B19,'6-2_算定表④(旧・新制度)'!$B$8:$R$65536,14,FALSE))</f>
      </c>
      <c r="O19" s="544">
        <f>IF($B19="","",VLOOKUP($B19,'6-2_算定表④(旧・新制度)'!$B$8:$R$65536,14,FALSE))</f>
      </c>
      <c r="P19" s="544">
        <f>IF($B19="","",VLOOKUP($B19,'6-2_算定表④(旧・新制度)'!$B$8:$R$65536,14,FALSE))</f>
      </c>
      <c r="Q19" s="544">
        <f>IF($B19="","",VLOOKUP($B19,'6-2_算定表④(旧・新制度)'!$B$8:$R$65536,14,FALSE))</f>
      </c>
      <c r="R19" s="544">
        <f>IF($B19="","",VLOOKUP($B19,'6-2_算定表④(旧・新制度)'!$B$8:$R$65536,14,FALSE))</f>
      </c>
      <c r="S19" s="544">
        <f>IF($B19="","",VLOOKUP($B19,'6-2_算定表④(旧・新制度)'!$B$8:$R$65536,14,FALSE))</f>
      </c>
      <c r="T19" s="544">
        <f>IF($B19="","",VLOOKUP($B19,'6-2_算定表④(旧・新制度)'!$B$8:$R$65536,14,FALSE))</f>
      </c>
      <c r="U19" s="544">
        <f>IF($B19="","",VLOOKUP($B19,'6-2_算定表④(旧・新制度)'!$B$8:$R$65536,14,FALSE))</f>
      </c>
      <c r="V19" s="545">
        <f>IF($B19="","",VLOOKUP($B19,'6-2_算定表④(旧・新制度)'!$B$8:$R$65536,14,FALSE))</f>
      </c>
      <c r="W19" s="546">
        <f t="shared" si="1"/>
      </c>
      <c r="X19" s="547">
        <f t="shared" si="2"/>
      </c>
      <c r="Y19" s="546">
        <f t="shared" si="3"/>
      </c>
      <c r="Z19" s="548">
        <f t="shared" si="4"/>
      </c>
      <c r="AA19" s="567">
        <f t="shared" si="5"/>
      </c>
      <c r="AB19" s="538">
        <f t="shared" si="6"/>
      </c>
      <c r="AC19" s="537">
        <f t="shared" si="7"/>
      </c>
      <c r="AD19" s="538">
        <f t="shared" si="8"/>
      </c>
      <c r="AE19" s="537">
        <f t="shared" si="9"/>
      </c>
      <c r="AF19" s="539">
        <f t="shared" si="10"/>
      </c>
      <c r="AG19" s="506">
        <f t="shared" si="11"/>
      </c>
      <c r="AH19" s="503">
        <f t="shared" si="13"/>
      </c>
      <c r="AI19" s="851">
        <f>IF(B19="","",VLOOKUP($B19,'6-2_算定表④(旧・新制度)'!$B$8:$AB$65536,27,FALSE))</f>
      </c>
      <c r="AJ19" s="852" t="s">
        <v>205</v>
      </c>
      <c r="AK19" s="853" t="s">
        <v>205</v>
      </c>
      <c r="AM19" s="63">
        <f t="shared" si="14"/>
      </c>
      <c r="AN19" s="63">
        <f t="shared" si="12"/>
      </c>
    </row>
    <row r="20" spans="1:40" s="54" customFormat="1" ht="18.75" customHeight="1">
      <c r="A20" s="27">
        <f t="shared" si="0"/>
      </c>
      <c r="B20" s="280"/>
      <c r="C20" s="97">
        <f>IF(B20="","",VLOOKUP($B20,'6-2_算定表④(旧・新制度)'!$B$8:$R$65536,2,FALSE))</f>
      </c>
      <c r="D20" s="541">
        <f>IF(B20="","",VLOOKUP($B20,'6-2_算定表④(旧・新制度)'!$B$8:$R$65536,3,FALSE))</f>
      </c>
      <c r="E20" s="98">
        <f>IF(C20="","",VLOOKUP($B20,'6-2_算定表④(旧・新制度)'!$B$8:$R$65536,4,FALSE))</f>
      </c>
      <c r="F20" s="542">
        <f>IF(B20="","",VLOOKUP($B20,'6-2_算定表④(旧・新制度)'!$B$8:$R$65536,11,FALSE))</f>
      </c>
      <c r="G20" s="493">
        <f>IF(B20="","",VLOOKUP($B20,'6-2_算定表④(旧・新制度)'!$B$8:$R$65536,13,FALSE))</f>
      </c>
      <c r="H20" s="542">
        <f>IF(B20="","",VLOOKUP($B20,'6-2_算定表④(旧・新制度)'!$B$8:$R$65536,14,FALSE))</f>
      </c>
      <c r="I20" s="493">
        <f>IF(B20="","",VLOOKUP($B20,'6-2_算定表④(旧・新制度)'!$B$8:$R$65536,16,FALSE))</f>
      </c>
      <c r="J20" s="506">
        <f>IF(B20="","",VLOOKUP($B20,'6-2_算定表④(旧・新制度)'!$B$8:$R$65536,17,FALSE))</f>
      </c>
      <c r="K20" s="543">
        <f>IF($B20="","",VLOOKUP($B20,'6-2_算定表④(旧・新制度)'!$B$8:$R$65536,11,FALSE))</f>
      </c>
      <c r="L20" s="544">
        <f>IF($B20="","",VLOOKUP($B20,'6-2_算定表④(旧・新制度)'!$B$8:$R$65536,11,FALSE))</f>
      </c>
      <c r="M20" s="545">
        <f>IF($B20="","",VLOOKUP($B20,'6-2_算定表④(旧・新制度)'!$B$8:$R$65536,11,FALSE))</f>
      </c>
      <c r="N20" s="543">
        <f>IF($B20="","",VLOOKUP($B20,'6-2_算定表④(旧・新制度)'!$B$8:$R$65536,14,FALSE))</f>
      </c>
      <c r="O20" s="544">
        <f>IF($B20="","",VLOOKUP($B20,'6-2_算定表④(旧・新制度)'!$B$8:$R$65536,14,FALSE))</f>
      </c>
      <c r="P20" s="544">
        <f>IF($B20="","",VLOOKUP($B20,'6-2_算定表④(旧・新制度)'!$B$8:$R$65536,14,FALSE))</f>
      </c>
      <c r="Q20" s="544">
        <f>IF($B20="","",VLOOKUP($B20,'6-2_算定表④(旧・新制度)'!$B$8:$R$65536,14,FALSE))</f>
      </c>
      <c r="R20" s="544">
        <f>IF($B20="","",VLOOKUP($B20,'6-2_算定表④(旧・新制度)'!$B$8:$R$65536,14,FALSE))</f>
      </c>
      <c r="S20" s="544">
        <f>IF($B20="","",VLOOKUP($B20,'6-2_算定表④(旧・新制度)'!$B$8:$R$65536,14,FALSE))</f>
      </c>
      <c r="T20" s="544">
        <f>IF($B20="","",VLOOKUP($B20,'6-2_算定表④(旧・新制度)'!$B$8:$R$65536,14,FALSE))</f>
      </c>
      <c r="U20" s="544">
        <f>IF($B20="","",VLOOKUP($B20,'6-2_算定表④(旧・新制度)'!$B$8:$R$65536,14,FALSE))</f>
      </c>
      <c r="V20" s="545">
        <f>IF($B20="","",VLOOKUP($B20,'6-2_算定表④(旧・新制度)'!$B$8:$R$65536,14,FALSE))</f>
      </c>
      <c r="W20" s="546">
        <f t="shared" si="1"/>
      </c>
      <c r="X20" s="547">
        <f t="shared" si="2"/>
      </c>
      <c r="Y20" s="546">
        <f t="shared" si="3"/>
      </c>
      <c r="Z20" s="548">
        <f t="shared" si="4"/>
      </c>
      <c r="AA20" s="567">
        <f t="shared" si="5"/>
      </c>
      <c r="AB20" s="538">
        <f t="shared" si="6"/>
      </c>
      <c r="AC20" s="537">
        <f t="shared" si="7"/>
      </c>
      <c r="AD20" s="538">
        <f t="shared" si="8"/>
      </c>
      <c r="AE20" s="537">
        <f t="shared" si="9"/>
      </c>
      <c r="AF20" s="539">
        <f t="shared" si="10"/>
      </c>
      <c r="AG20" s="506">
        <f t="shared" si="11"/>
      </c>
      <c r="AH20" s="503">
        <f t="shared" si="13"/>
      </c>
      <c r="AI20" s="851">
        <f>IF(B20="","",VLOOKUP($B20,'6-2_算定表④(旧・新制度)'!$B$8:$AB$65536,27,FALSE))</f>
      </c>
      <c r="AJ20" s="852" t="s">
        <v>205</v>
      </c>
      <c r="AK20" s="853" t="s">
        <v>205</v>
      </c>
      <c r="AM20" s="63">
        <f t="shared" si="14"/>
      </c>
      <c r="AN20" s="63">
        <f t="shared" si="12"/>
      </c>
    </row>
    <row r="21" spans="1:40" s="54" customFormat="1" ht="18.75" customHeight="1">
      <c r="A21" s="27">
        <f t="shared" si="0"/>
      </c>
      <c r="B21" s="280"/>
      <c r="C21" s="97">
        <f>IF(B21="","",VLOOKUP($B21,'6-2_算定表④(旧・新制度)'!$B$8:$R$65536,2,FALSE))</f>
      </c>
      <c r="D21" s="541">
        <f>IF(B21="","",VLOOKUP($B21,'6-2_算定表④(旧・新制度)'!$B$8:$R$65536,3,FALSE))</f>
      </c>
      <c r="E21" s="98">
        <f>IF(C21="","",VLOOKUP($B21,'6-2_算定表④(旧・新制度)'!$B$8:$R$65536,4,FALSE))</f>
      </c>
      <c r="F21" s="542">
        <f>IF(B21="","",VLOOKUP($B21,'6-2_算定表④(旧・新制度)'!$B$8:$R$65536,11,FALSE))</f>
      </c>
      <c r="G21" s="493">
        <f>IF(B21="","",VLOOKUP($B21,'6-2_算定表④(旧・新制度)'!$B$8:$R$65536,13,FALSE))</f>
      </c>
      <c r="H21" s="542">
        <f>IF(B21="","",VLOOKUP($B21,'6-2_算定表④(旧・新制度)'!$B$8:$R$65536,14,FALSE))</f>
      </c>
      <c r="I21" s="493">
        <f>IF(B21="","",VLOOKUP($B21,'6-2_算定表④(旧・新制度)'!$B$8:$R$65536,16,FALSE))</f>
      </c>
      <c r="J21" s="506">
        <f>IF(B21="","",VLOOKUP($B21,'6-2_算定表④(旧・新制度)'!$B$8:$R$65536,17,FALSE))</f>
      </c>
      <c r="K21" s="543">
        <f>IF($B21="","",VLOOKUP($B21,'6-2_算定表④(旧・新制度)'!$B$8:$R$65536,11,FALSE))</f>
      </c>
      <c r="L21" s="544">
        <f>IF($B21="","",VLOOKUP($B21,'6-2_算定表④(旧・新制度)'!$B$8:$R$65536,11,FALSE))</f>
      </c>
      <c r="M21" s="545">
        <f>IF($B21="","",VLOOKUP($B21,'6-2_算定表④(旧・新制度)'!$B$8:$R$65536,11,FALSE))</f>
      </c>
      <c r="N21" s="543">
        <f>IF($B21="","",VLOOKUP($B21,'6-2_算定表④(旧・新制度)'!$B$8:$R$65536,14,FALSE))</f>
      </c>
      <c r="O21" s="544">
        <f>IF($B21="","",VLOOKUP($B21,'6-2_算定表④(旧・新制度)'!$B$8:$R$65536,14,FALSE))</f>
      </c>
      <c r="P21" s="544">
        <f>IF($B21="","",VLOOKUP($B21,'6-2_算定表④(旧・新制度)'!$B$8:$R$65536,14,FALSE))</f>
      </c>
      <c r="Q21" s="544">
        <f>IF($B21="","",VLOOKUP($B21,'6-2_算定表④(旧・新制度)'!$B$8:$R$65536,14,FALSE))</f>
      </c>
      <c r="R21" s="544">
        <f>IF($B21="","",VLOOKUP($B21,'6-2_算定表④(旧・新制度)'!$B$8:$R$65536,14,FALSE))</f>
      </c>
      <c r="S21" s="544">
        <f>IF($B21="","",VLOOKUP($B21,'6-2_算定表④(旧・新制度)'!$B$8:$R$65536,14,FALSE))</f>
      </c>
      <c r="T21" s="544">
        <f>IF($B21="","",VLOOKUP($B21,'6-2_算定表④(旧・新制度)'!$B$8:$R$65536,14,FALSE))</f>
      </c>
      <c r="U21" s="544">
        <f>IF($B21="","",VLOOKUP($B21,'6-2_算定表④(旧・新制度)'!$B$8:$R$65536,14,FALSE))</f>
      </c>
      <c r="V21" s="545">
        <f>IF($B21="","",VLOOKUP($B21,'6-2_算定表④(旧・新制度)'!$B$8:$R$65536,14,FALSE))</f>
      </c>
      <c r="W21" s="546">
        <f t="shared" si="1"/>
      </c>
      <c r="X21" s="547">
        <f t="shared" si="2"/>
      </c>
      <c r="Y21" s="546">
        <f t="shared" si="3"/>
      </c>
      <c r="Z21" s="548">
        <f t="shared" si="4"/>
      </c>
      <c r="AA21" s="567">
        <f t="shared" si="5"/>
      </c>
      <c r="AB21" s="538">
        <f t="shared" si="6"/>
      </c>
      <c r="AC21" s="537">
        <f t="shared" si="7"/>
      </c>
      <c r="AD21" s="538">
        <f t="shared" si="8"/>
      </c>
      <c r="AE21" s="537">
        <f t="shared" si="9"/>
      </c>
      <c r="AF21" s="539">
        <f t="shared" si="10"/>
      </c>
      <c r="AG21" s="506">
        <f t="shared" si="11"/>
      </c>
      <c r="AH21" s="503">
        <f t="shared" si="13"/>
      </c>
      <c r="AI21" s="851">
        <f>IF(B21="","",VLOOKUP($B21,'6-2_算定表④(旧・新制度)'!$B$8:$AB$65536,27,FALSE))</f>
      </c>
      <c r="AJ21" s="852" t="s">
        <v>205</v>
      </c>
      <c r="AK21" s="853" t="s">
        <v>205</v>
      </c>
      <c r="AM21" s="63">
        <f t="shared" si="14"/>
      </c>
      <c r="AN21" s="63">
        <f t="shared" si="12"/>
      </c>
    </row>
    <row r="22" spans="1:40" s="54" customFormat="1" ht="18.75" customHeight="1">
      <c r="A22" s="27">
        <f t="shared" si="0"/>
      </c>
      <c r="B22" s="280"/>
      <c r="C22" s="97">
        <f>IF(B22="","",VLOOKUP($B22,'6-2_算定表④(旧・新制度)'!$B$8:$R$65536,2,FALSE))</f>
      </c>
      <c r="D22" s="541">
        <f>IF(B22="","",VLOOKUP($B22,'6-2_算定表④(旧・新制度)'!$B$8:$R$65536,3,FALSE))</f>
      </c>
      <c r="E22" s="98">
        <f>IF(C22="","",VLOOKUP($B22,'6-2_算定表④(旧・新制度)'!$B$8:$R$65536,4,FALSE))</f>
      </c>
      <c r="F22" s="542">
        <f>IF(B22="","",VLOOKUP($B22,'6-2_算定表④(旧・新制度)'!$B$8:$R$65536,11,FALSE))</f>
      </c>
      <c r="G22" s="493">
        <f>IF(B22="","",VLOOKUP($B22,'6-2_算定表④(旧・新制度)'!$B$8:$R$65536,13,FALSE))</f>
      </c>
      <c r="H22" s="542">
        <f>IF(B22="","",VLOOKUP($B22,'6-2_算定表④(旧・新制度)'!$B$8:$R$65536,14,FALSE))</f>
      </c>
      <c r="I22" s="493">
        <f>IF(B22="","",VLOOKUP($B22,'6-2_算定表④(旧・新制度)'!$B$8:$R$65536,16,FALSE))</f>
      </c>
      <c r="J22" s="506">
        <f>IF(B22="","",VLOOKUP($B22,'6-2_算定表④(旧・新制度)'!$B$8:$R$65536,17,FALSE))</f>
      </c>
      <c r="K22" s="543">
        <f>IF($B22="","",VLOOKUP($B22,'6-2_算定表④(旧・新制度)'!$B$8:$R$65536,11,FALSE))</f>
      </c>
      <c r="L22" s="544">
        <f>IF($B22="","",VLOOKUP($B22,'6-2_算定表④(旧・新制度)'!$B$8:$R$65536,11,FALSE))</f>
      </c>
      <c r="M22" s="545">
        <f>IF($B22="","",VLOOKUP($B22,'6-2_算定表④(旧・新制度)'!$B$8:$R$65536,11,FALSE))</f>
      </c>
      <c r="N22" s="543">
        <f>IF($B22="","",VLOOKUP($B22,'6-2_算定表④(旧・新制度)'!$B$8:$R$65536,14,FALSE))</f>
      </c>
      <c r="O22" s="544">
        <f>IF($B22="","",VLOOKUP($B22,'6-2_算定表④(旧・新制度)'!$B$8:$R$65536,14,FALSE))</f>
      </c>
      <c r="P22" s="544">
        <f>IF($B22="","",VLOOKUP($B22,'6-2_算定表④(旧・新制度)'!$B$8:$R$65536,14,FALSE))</f>
      </c>
      <c r="Q22" s="544">
        <f>IF($B22="","",VLOOKUP($B22,'6-2_算定表④(旧・新制度)'!$B$8:$R$65536,14,FALSE))</f>
      </c>
      <c r="R22" s="544">
        <f>IF($B22="","",VLOOKUP($B22,'6-2_算定表④(旧・新制度)'!$B$8:$R$65536,14,FALSE))</f>
      </c>
      <c r="S22" s="544">
        <f>IF($B22="","",VLOOKUP($B22,'6-2_算定表④(旧・新制度)'!$B$8:$R$65536,14,FALSE))</f>
      </c>
      <c r="T22" s="544">
        <f>IF($B22="","",VLOOKUP($B22,'6-2_算定表④(旧・新制度)'!$B$8:$R$65536,14,FALSE))</f>
      </c>
      <c r="U22" s="544">
        <f>IF($B22="","",VLOOKUP($B22,'6-2_算定表④(旧・新制度)'!$B$8:$R$65536,14,FALSE))</f>
      </c>
      <c r="V22" s="545">
        <f>IF($B22="","",VLOOKUP($B22,'6-2_算定表④(旧・新制度)'!$B$8:$R$65536,14,FALSE))</f>
      </c>
      <c r="W22" s="546">
        <f t="shared" si="1"/>
      </c>
      <c r="X22" s="547">
        <f t="shared" si="2"/>
      </c>
      <c r="Y22" s="546">
        <f t="shared" si="3"/>
      </c>
      <c r="Z22" s="548">
        <f t="shared" si="4"/>
      </c>
      <c r="AA22" s="567">
        <f t="shared" si="5"/>
      </c>
      <c r="AB22" s="538">
        <f t="shared" si="6"/>
      </c>
      <c r="AC22" s="537">
        <f t="shared" si="7"/>
      </c>
      <c r="AD22" s="538">
        <f t="shared" si="8"/>
      </c>
      <c r="AE22" s="537">
        <f t="shared" si="9"/>
      </c>
      <c r="AF22" s="539">
        <f t="shared" si="10"/>
      </c>
      <c r="AG22" s="506">
        <f t="shared" si="11"/>
      </c>
      <c r="AH22" s="503">
        <f t="shared" si="13"/>
      </c>
      <c r="AI22" s="851">
        <f>IF(B22="","",VLOOKUP($B22,'6-2_算定表④(旧・新制度)'!$B$8:$AB$65536,27,FALSE))</f>
      </c>
      <c r="AJ22" s="852" t="s">
        <v>205</v>
      </c>
      <c r="AK22" s="853" t="s">
        <v>205</v>
      </c>
      <c r="AM22" s="63">
        <f t="shared" si="14"/>
      </c>
      <c r="AN22" s="63">
        <f t="shared" si="12"/>
      </c>
    </row>
    <row r="23" spans="1:40" s="54" customFormat="1" ht="18.75" customHeight="1">
      <c r="A23" s="27">
        <f t="shared" si="0"/>
      </c>
      <c r="B23" s="280"/>
      <c r="C23" s="97">
        <f>IF(B23="","",VLOOKUP($B23,'6-2_算定表④(旧・新制度)'!$B$8:$R$65536,2,FALSE))</f>
      </c>
      <c r="D23" s="541">
        <f>IF(B23="","",VLOOKUP($B23,'6-2_算定表④(旧・新制度)'!$B$8:$R$65536,3,FALSE))</f>
      </c>
      <c r="E23" s="98">
        <f>IF(C23="","",VLOOKUP($B23,'6-2_算定表④(旧・新制度)'!$B$8:$R$65536,4,FALSE))</f>
      </c>
      <c r="F23" s="542">
        <f>IF(B23="","",VLOOKUP($B23,'6-2_算定表④(旧・新制度)'!$B$8:$R$65536,11,FALSE))</f>
      </c>
      <c r="G23" s="493">
        <f>IF(B23="","",VLOOKUP($B23,'6-2_算定表④(旧・新制度)'!$B$8:$R$65536,13,FALSE))</f>
      </c>
      <c r="H23" s="542">
        <f>IF(B23="","",VLOOKUP($B23,'6-2_算定表④(旧・新制度)'!$B$8:$R$65536,14,FALSE))</f>
      </c>
      <c r="I23" s="493">
        <f>IF(B23="","",VLOOKUP($B23,'6-2_算定表④(旧・新制度)'!$B$8:$R$65536,16,FALSE))</f>
      </c>
      <c r="J23" s="506">
        <f>IF(B23="","",VLOOKUP($B23,'6-2_算定表④(旧・新制度)'!$B$8:$R$65536,17,FALSE))</f>
      </c>
      <c r="K23" s="543">
        <f>IF($B23="","",VLOOKUP($B23,'6-2_算定表④(旧・新制度)'!$B$8:$R$65536,11,FALSE))</f>
      </c>
      <c r="L23" s="544">
        <f>IF($B23="","",VLOOKUP($B23,'6-2_算定表④(旧・新制度)'!$B$8:$R$65536,11,FALSE))</f>
      </c>
      <c r="M23" s="545">
        <f>IF($B23="","",VLOOKUP($B23,'6-2_算定表④(旧・新制度)'!$B$8:$R$65536,11,FALSE))</f>
      </c>
      <c r="N23" s="543">
        <f>IF($B23="","",VLOOKUP($B23,'6-2_算定表④(旧・新制度)'!$B$8:$R$65536,14,FALSE))</f>
      </c>
      <c r="O23" s="544">
        <f>IF($B23="","",VLOOKUP($B23,'6-2_算定表④(旧・新制度)'!$B$8:$R$65536,14,FALSE))</f>
      </c>
      <c r="P23" s="544">
        <f>IF($B23="","",VLOOKUP($B23,'6-2_算定表④(旧・新制度)'!$B$8:$R$65536,14,FALSE))</f>
      </c>
      <c r="Q23" s="544">
        <f>IF($B23="","",VLOOKUP($B23,'6-2_算定表④(旧・新制度)'!$B$8:$R$65536,14,FALSE))</f>
      </c>
      <c r="R23" s="544">
        <f>IF($B23="","",VLOOKUP($B23,'6-2_算定表④(旧・新制度)'!$B$8:$R$65536,14,FALSE))</f>
      </c>
      <c r="S23" s="544">
        <f>IF($B23="","",VLOOKUP($B23,'6-2_算定表④(旧・新制度)'!$B$8:$R$65536,14,FALSE))</f>
      </c>
      <c r="T23" s="544">
        <f>IF($B23="","",VLOOKUP($B23,'6-2_算定表④(旧・新制度)'!$B$8:$R$65536,14,FALSE))</f>
      </c>
      <c r="U23" s="544">
        <f>IF($B23="","",VLOOKUP($B23,'6-2_算定表④(旧・新制度)'!$B$8:$R$65536,14,FALSE))</f>
      </c>
      <c r="V23" s="545">
        <f>IF($B23="","",VLOOKUP($B23,'6-2_算定表④(旧・新制度)'!$B$8:$R$65536,14,FALSE))</f>
      </c>
      <c r="W23" s="546">
        <f t="shared" si="1"/>
      </c>
      <c r="X23" s="547">
        <f t="shared" si="2"/>
      </c>
      <c r="Y23" s="546">
        <f t="shared" si="3"/>
      </c>
      <c r="Z23" s="548">
        <f t="shared" si="4"/>
      </c>
      <c r="AA23" s="567">
        <f t="shared" si="5"/>
      </c>
      <c r="AB23" s="538">
        <f t="shared" si="6"/>
      </c>
      <c r="AC23" s="537">
        <f t="shared" si="7"/>
      </c>
      <c r="AD23" s="538">
        <f t="shared" si="8"/>
      </c>
      <c r="AE23" s="537">
        <f t="shared" si="9"/>
      </c>
      <c r="AF23" s="539">
        <f t="shared" si="10"/>
      </c>
      <c r="AG23" s="506">
        <f t="shared" si="11"/>
      </c>
      <c r="AH23" s="503">
        <f t="shared" si="13"/>
      </c>
      <c r="AI23" s="851">
        <f>IF(B23="","",VLOOKUP($B23,'6-2_算定表④(旧・新制度)'!$B$8:$AB$65536,27,FALSE))</f>
      </c>
      <c r="AJ23" s="852" t="s">
        <v>205</v>
      </c>
      <c r="AK23" s="853" t="s">
        <v>205</v>
      </c>
      <c r="AM23" s="63">
        <f t="shared" si="14"/>
      </c>
      <c r="AN23" s="63">
        <f t="shared" si="12"/>
      </c>
    </row>
    <row r="24" spans="1:40" s="54" customFormat="1" ht="18.75" customHeight="1">
      <c r="A24" s="27">
        <f t="shared" si="0"/>
      </c>
      <c r="B24" s="280"/>
      <c r="C24" s="97">
        <f>IF(B24="","",VLOOKUP($B24,'6-2_算定表④(旧・新制度)'!$B$8:$R$65536,2,FALSE))</f>
      </c>
      <c r="D24" s="541">
        <f>IF(B24="","",VLOOKUP($B24,'6-2_算定表④(旧・新制度)'!$B$8:$R$65536,3,FALSE))</f>
      </c>
      <c r="E24" s="98">
        <f>IF(C24="","",VLOOKUP($B24,'6-2_算定表④(旧・新制度)'!$B$8:$R$65536,4,FALSE))</f>
      </c>
      <c r="F24" s="542">
        <f>IF(B24="","",VLOOKUP($B24,'6-2_算定表④(旧・新制度)'!$B$8:$R$65536,11,FALSE))</f>
      </c>
      <c r="G24" s="493">
        <f>IF(B24="","",VLOOKUP($B24,'6-2_算定表④(旧・新制度)'!$B$8:$R$65536,13,FALSE))</f>
      </c>
      <c r="H24" s="542">
        <f>IF(B24="","",VLOOKUP($B24,'6-2_算定表④(旧・新制度)'!$B$8:$R$65536,14,FALSE))</f>
      </c>
      <c r="I24" s="493">
        <f>IF(B24="","",VLOOKUP($B24,'6-2_算定表④(旧・新制度)'!$B$8:$R$65536,16,FALSE))</f>
      </c>
      <c r="J24" s="506">
        <f>IF(B24="","",VLOOKUP($B24,'6-2_算定表④(旧・新制度)'!$B$8:$R$65536,17,FALSE))</f>
      </c>
      <c r="K24" s="543">
        <f>IF($B24="","",VLOOKUP($B24,'6-2_算定表④(旧・新制度)'!$B$8:$R$65536,11,FALSE))</f>
      </c>
      <c r="L24" s="544">
        <f>IF($B24="","",VLOOKUP($B24,'6-2_算定表④(旧・新制度)'!$B$8:$R$65536,11,FALSE))</f>
      </c>
      <c r="M24" s="545">
        <f>IF($B24="","",VLOOKUP($B24,'6-2_算定表④(旧・新制度)'!$B$8:$R$65536,11,FALSE))</f>
      </c>
      <c r="N24" s="543">
        <f>IF($B24="","",VLOOKUP($B24,'6-2_算定表④(旧・新制度)'!$B$8:$R$65536,14,FALSE))</f>
      </c>
      <c r="O24" s="544">
        <f>IF($B24="","",VLOOKUP($B24,'6-2_算定表④(旧・新制度)'!$B$8:$R$65536,14,FALSE))</f>
      </c>
      <c r="P24" s="544">
        <f>IF($B24="","",VLOOKUP($B24,'6-2_算定表④(旧・新制度)'!$B$8:$R$65536,14,FALSE))</f>
      </c>
      <c r="Q24" s="544">
        <f>IF($B24="","",VLOOKUP($B24,'6-2_算定表④(旧・新制度)'!$B$8:$R$65536,14,FALSE))</f>
      </c>
      <c r="R24" s="544">
        <f>IF($B24="","",VLOOKUP($B24,'6-2_算定表④(旧・新制度)'!$B$8:$R$65536,14,FALSE))</f>
      </c>
      <c r="S24" s="544">
        <f>IF($B24="","",VLOOKUP($B24,'6-2_算定表④(旧・新制度)'!$B$8:$R$65536,14,FALSE))</f>
      </c>
      <c r="T24" s="544">
        <f>IF($B24="","",VLOOKUP($B24,'6-2_算定表④(旧・新制度)'!$B$8:$R$65536,14,FALSE))</f>
      </c>
      <c r="U24" s="544">
        <f>IF($B24="","",VLOOKUP($B24,'6-2_算定表④(旧・新制度)'!$B$8:$R$65536,14,FALSE))</f>
      </c>
      <c r="V24" s="545">
        <f>IF($B24="","",VLOOKUP($B24,'6-2_算定表④(旧・新制度)'!$B$8:$R$65536,14,FALSE))</f>
      </c>
      <c r="W24" s="546">
        <f t="shared" si="1"/>
      </c>
      <c r="X24" s="547">
        <f t="shared" si="2"/>
      </c>
      <c r="Y24" s="546">
        <f t="shared" si="3"/>
      </c>
      <c r="Z24" s="548">
        <f t="shared" si="4"/>
      </c>
      <c r="AA24" s="567">
        <f t="shared" si="5"/>
      </c>
      <c r="AB24" s="538">
        <f t="shared" si="6"/>
      </c>
      <c r="AC24" s="537">
        <f t="shared" si="7"/>
      </c>
      <c r="AD24" s="538">
        <f t="shared" si="8"/>
      </c>
      <c r="AE24" s="537">
        <f t="shared" si="9"/>
      </c>
      <c r="AF24" s="539">
        <f t="shared" si="10"/>
      </c>
      <c r="AG24" s="506">
        <f t="shared" si="11"/>
      </c>
      <c r="AH24" s="503">
        <f t="shared" si="13"/>
      </c>
      <c r="AI24" s="851">
        <f>IF(B24="","",VLOOKUP($B24,'6-2_算定表④(旧・新制度)'!$B$8:$AB$65536,27,FALSE))</f>
      </c>
      <c r="AJ24" s="852" t="s">
        <v>205</v>
      </c>
      <c r="AK24" s="853" t="s">
        <v>205</v>
      </c>
      <c r="AM24" s="63">
        <f t="shared" si="14"/>
      </c>
      <c r="AN24" s="63">
        <f t="shared" si="12"/>
      </c>
    </row>
    <row r="25" spans="1:40" s="54" customFormat="1" ht="18.75" customHeight="1">
      <c r="A25" s="27">
        <f t="shared" si="0"/>
      </c>
      <c r="B25" s="280"/>
      <c r="C25" s="97">
        <f>IF(B25="","",VLOOKUP($B25,'6-2_算定表④(旧・新制度)'!$B$8:$R$65536,2,FALSE))</f>
      </c>
      <c r="D25" s="541">
        <f>IF(B25="","",VLOOKUP($B25,'6-2_算定表④(旧・新制度)'!$B$8:$R$65536,3,FALSE))</f>
      </c>
      <c r="E25" s="98">
        <f>IF(C25="","",VLOOKUP($B25,'6-2_算定表④(旧・新制度)'!$B$8:$R$65536,4,FALSE))</f>
      </c>
      <c r="F25" s="542">
        <f>IF(B25="","",VLOOKUP($B25,'6-2_算定表④(旧・新制度)'!$B$8:$R$65536,11,FALSE))</f>
      </c>
      <c r="G25" s="493">
        <f>IF(B25="","",VLOOKUP($B25,'6-2_算定表④(旧・新制度)'!$B$8:$R$65536,13,FALSE))</f>
      </c>
      <c r="H25" s="542">
        <f>IF(B25="","",VLOOKUP($B25,'6-2_算定表④(旧・新制度)'!$B$8:$R$65536,14,FALSE))</f>
      </c>
      <c r="I25" s="493">
        <f>IF(B25="","",VLOOKUP($B25,'6-2_算定表④(旧・新制度)'!$B$8:$R$65536,16,FALSE))</f>
      </c>
      <c r="J25" s="506">
        <f>IF(B25="","",VLOOKUP($B25,'6-2_算定表④(旧・新制度)'!$B$8:$R$65536,17,FALSE))</f>
      </c>
      <c r="K25" s="543">
        <f>IF($B25="","",VLOOKUP($B25,'6-2_算定表④(旧・新制度)'!$B$8:$R$65536,11,FALSE))</f>
      </c>
      <c r="L25" s="544">
        <f>IF($B25="","",VLOOKUP($B25,'6-2_算定表④(旧・新制度)'!$B$8:$R$65536,11,FALSE))</f>
      </c>
      <c r="M25" s="545">
        <f>IF($B25="","",VLOOKUP($B25,'6-2_算定表④(旧・新制度)'!$B$8:$R$65536,11,FALSE))</f>
      </c>
      <c r="N25" s="543">
        <f>IF($B25="","",VLOOKUP($B25,'6-2_算定表④(旧・新制度)'!$B$8:$R$65536,14,FALSE))</f>
      </c>
      <c r="O25" s="544">
        <f>IF($B25="","",VLOOKUP($B25,'6-2_算定表④(旧・新制度)'!$B$8:$R$65536,14,FALSE))</f>
      </c>
      <c r="P25" s="544">
        <f>IF($B25="","",VLOOKUP($B25,'6-2_算定表④(旧・新制度)'!$B$8:$R$65536,14,FALSE))</f>
      </c>
      <c r="Q25" s="544">
        <f>IF($B25="","",VLOOKUP($B25,'6-2_算定表④(旧・新制度)'!$B$8:$R$65536,14,FALSE))</f>
      </c>
      <c r="R25" s="544">
        <f>IF($B25="","",VLOOKUP($B25,'6-2_算定表④(旧・新制度)'!$B$8:$R$65536,14,FALSE))</f>
      </c>
      <c r="S25" s="544">
        <f>IF($B25="","",VLOOKUP($B25,'6-2_算定表④(旧・新制度)'!$B$8:$R$65536,14,FALSE))</f>
      </c>
      <c r="T25" s="544">
        <f>IF($B25="","",VLOOKUP($B25,'6-2_算定表④(旧・新制度)'!$B$8:$R$65536,14,FALSE))</f>
      </c>
      <c r="U25" s="544">
        <f>IF($B25="","",VLOOKUP($B25,'6-2_算定表④(旧・新制度)'!$B$8:$R$65536,14,FALSE))</f>
      </c>
      <c r="V25" s="545">
        <f>IF($B25="","",VLOOKUP($B25,'6-2_算定表④(旧・新制度)'!$B$8:$R$65536,14,FALSE))</f>
      </c>
      <c r="W25" s="546">
        <f t="shared" si="1"/>
      </c>
      <c r="X25" s="547">
        <f t="shared" si="2"/>
      </c>
      <c r="Y25" s="546">
        <f t="shared" si="3"/>
      </c>
      <c r="Z25" s="548">
        <f t="shared" si="4"/>
      </c>
      <c r="AA25" s="567">
        <f t="shared" si="5"/>
      </c>
      <c r="AB25" s="538">
        <f t="shared" si="6"/>
      </c>
      <c r="AC25" s="537">
        <f t="shared" si="7"/>
      </c>
      <c r="AD25" s="538">
        <f t="shared" si="8"/>
      </c>
      <c r="AE25" s="537">
        <f t="shared" si="9"/>
      </c>
      <c r="AF25" s="539">
        <f t="shared" si="10"/>
      </c>
      <c r="AG25" s="506">
        <f t="shared" si="11"/>
      </c>
      <c r="AH25" s="503">
        <f t="shared" si="13"/>
      </c>
      <c r="AI25" s="851">
        <f>IF(B25="","",VLOOKUP($B25,'6-2_算定表④(旧・新制度)'!$B$8:$AB$65536,27,FALSE))</f>
      </c>
      <c r="AJ25" s="852" t="s">
        <v>205</v>
      </c>
      <c r="AK25" s="853" t="s">
        <v>205</v>
      </c>
      <c r="AM25" s="63">
        <f t="shared" si="14"/>
      </c>
      <c r="AN25" s="63">
        <f t="shared" si="12"/>
      </c>
    </row>
    <row r="26" spans="1:40" s="54" customFormat="1" ht="18.75" customHeight="1">
      <c r="A26" s="27">
        <f t="shared" si="0"/>
      </c>
      <c r="B26" s="280"/>
      <c r="C26" s="97">
        <f>IF(B26="","",VLOOKUP($B26,'6-2_算定表④(旧・新制度)'!$B$8:$R$65536,2,FALSE))</f>
      </c>
      <c r="D26" s="541">
        <f>IF(B26="","",VLOOKUP($B26,'6-2_算定表④(旧・新制度)'!$B$8:$R$65536,3,FALSE))</f>
      </c>
      <c r="E26" s="98">
        <f>IF(C26="","",VLOOKUP($B26,'6-2_算定表④(旧・新制度)'!$B$8:$R$65536,4,FALSE))</f>
      </c>
      <c r="F26" s="542">
        <f>IF(B26="","",VLOOKUP($B26,'6-2_算定表④(旧・新制度)'!$B$8:$R$65536,11,FALSE))</f>
      </c>
      <c r="G26" s="493">
        <f>IF(B26="","",VLOOKUP($B26,'6-2_算定表④(旧・新制度)'!$B$8:$R$65536,13,FALSE))</f>
      </c>
      <c r="H26" s="542">
        <f>IF(B26="","",VLOOKUP($B26,'6-2_算定表④(旧・新制度)'!$B$8:$R$65536,14,FALSE))</f>
      </c>
      <c r="I26" s="493">
        <f>IF(B26="","",VLOOKUP($B26,'6-2_算定表④(旧・新制度)'!$B$8:$R$65536,16,FALSE))</f>
      </c>
      <c r="J26" s="506">
        <f>IF(B26="","",VLOOKUP($B26,'6-2_算定表④(旧・新制度)'!$B$8:$R$65536,17,FALSE))</f>
      </c>
      <c r="K26" s="543">
        <f>IF($B26="","",VLOOKUP($B26,'6-2_算定表④(旧・新制度)'!$B$8:$R$65536,11,FALSE))</f>
      </c>
      <c r="L26" s="544">
        <f>IF($B26="","",VLOOKUP($B26,'6-2_算定表④(旧・新制度)'!$B$8:$R$65536,11,FALSE))</f>
      </c>
      <c r="M26" s="545">
        <f>IF($B26="","",VLOOKUP($B26,'6-2_算定表④(旧・新制度)'!$B$8:$R$65536,11,FALSE))</f>
      </c>
      <c r="N26" s="543">
        <f>IF($B26="","",VLOOKUP($B26,'6-2_算定表④(旧・新制度)'!$B$8:$R$65536,14,FALSE))</f>
      </c>
      <c r="O26" s="544">
        <f>IF($B26="","",VLOOKUP($B26,'6-2_算定表④(旧・新制度)'!$B$8:$R$65536,14,FALSE))</f>
      </c>
      <c r="P26" s="544">
        <f>IF($B26="","",VLOOKUP($B26,'6-2_算定表④(旧・新制度)'!$B$8:$R$65536,14,FALSE))</f>
      </c>
      <c r="Q26" s="544">
        <f>IF($B26="","",VLOOKUP($B26,'6-2_算定表④(旧・新制度)'!$B$8:$R$65536,14,FALSE))</f>
      </c>
      <c r="R26" s="544">
        <f>IF($B26="","",VLOOKUP($B26,'6-2_算定表④(旧・新制度)'!$B$8:$R$65536,14,FALSE))</f>
      </c>
      <c r="S26" s="544">
        <f>IF($B26="","",VLOOKUP($B26,'6-2_算定表④(旧・新制度)'!$B$8:$R$65536,14,FALSE))</f>
      </c>
      <c r="T26" s="544">
        <f>IF($B26="","",VLOOKUP($B26,'6-2_算定表④(旧・新制度)'!$B$8:$R$65536,14,FALSE))</f>
      </c>
      <c r="U26" s="544">
        <f>IF($B26="","",VLOOKUP($B26,'6-2_算定表④(旧・新制度)'!$B$8:$R$65536,14,FALSE))</f>
      </c>
      <c r="V26" s="545">
        <f>IF($B26="","",VLOOKUP($B26,'6-2_算定表④(旧・新制度)'!$B$8:$R$65536,14,FALSE))</f>
      </c>
      <c r="W26" s="546">
        <f t="shared" si="1"/>
      </c>
      <c r="X26" s="547">
        <f t="shared" si="2"/>
      </c>
      <c r="Y26" s="546">
        <f t="shared" si="3"/>
      </c>
      <c r="Z26" s="548">
        <f t="shared" si="4"/>
      </c>
      <c r="AA26" s="567">
        <f t="shared" si="5"/>
      </c>
      <c r="AB26" s="538">
        <f t="shared" si="6"/>
      </c>
      <c r="AC26" s="537">
        <f t="shared" si="7"/>
      </c>
      <c r="AD26" s="538">
        <f t="shared" si="8"/>
      </c>
      <c r="AE26" s="537">
        <f t="shared" si="9"/>
      </c>
      <c r="AF26" s="539">
        <f t="shared" si="10"/>
      </c>
      <c r="AG26" s="506">
        <f t="shared" si="11"/>
      </c>
      <c r="AH26" s="503">
        <f t="shared" si="13"/>
      </c>
      <c r="AI26" s="851">
        <f>IF(B26="","",VLOOKUP($B26,'6-2_算定表④(旧・新制度)'!$B$8:$AB$65536,27,FALSE))</f>
      </c>
      <c r="AJ26" s="852" t="s">
        <v>205</v>
      </c>
      <c r="AK26" s="853" t="s">
        <v>205</v>
      </c>
      <c r="AM26" s="63">
        <f t="shared" si="14"/>
      </c>
      <c r="AN26" s="63">
        <f t="shared" si="12"/>
      </c>
    </row>
    <row r="27" spans="1:40" s="54" customFormat="1" ht="18.75" customHeight="1">
      <c r="A27" s="27">
        <f t="shared" si="0"/>
      </c>
      <c r="B27" s="280"/>
      <c r="C27" s="97">
        <f>IF(B27="","",VLOOKUP($B27,'6-2_算定表④(旧・新制度)'!$B$8:$R$65536,2,FALSE))</f>
      </c>
      <c r="D27" s="541">
        <f>IF(B27="","",VLOOKUP($B27,'6-2_算定表④(旧・新制度)'!$B$8:$R$65536,3,FALSE))</f>
      </c>
      <c r="E27" s="98">
        <f>IF(C27="","",VLOOKUP($B27,'6-2_算定表④(旧・新制度)'!$B$8:$R$65536,4,FALSE))</f>
      </c>
      <c r="F27" s="542">
        <f>IF(B27="","",VLOOKUP($B27,'6-2_算定表④(旧・新制度)'!$B$8:$R$65536,11,FALSE))</f>
      </c>
      <c r="G27" s="493">
        <f>IF(B27="","",VLOOKUP($B27,'6-2_算定表④(旧・新制度)'!$B$8:$R$65536,13,FALSE))</f>
      </c>
      <c r="H27" s="542">
        <f>IF(B27="","",VLOOKUP($B27,'6-2_算定表④(旧・新制度)'!$B$8:$R$65536,14,FALSE))</f>
      </c>
      <c r="I27" s="493">
        <f>IF(B27="","",VLOOKUP($B27,'6-2_算定表④(旧・新制度)'!$B$8:$R$65536,16,FALSE))</f>
      </c>
      <c r="J27" s="506">
        <f>IF(B27="","",VLOOKUP($B27,'6-2_算定表④(旧・新制度)'!$B$8:$R$65536,17,FALSE))</f>
      </c>
      <c r="K27" s="543">
        <f>IF($B27="","",VLOOKUP($B27,'6-2_算定表④(旧・新制度)'!$B$8:$R$65536,11,FALSE))</f>
      </c>
      <c r="L27" s="544">
        <f>IF($B27="","",VLOOKUP($B27,'6-2_算定表④(旧・新制度)'!$B$8:$R$65536,11,FALSE))</f>
      </c>
      <c r="M27" s="545">
        <f>IF($B27="","",VLOOKUP($B27,'6-2_算定表④(旧・新制度)'!$B$8:$R$65536,11,FALSE))</f>
      </c>
      <c r="N27" s="543">
        <f>IF($B27="","",VLOOKUP($B27,'6-2_算定表④(旧・新制度)'!$B$8:$R$65536,14,FALSE))</f>
      </c>
      <c r="O27" s="544">
        <f>IF($B27="","",VLOOKUP($B27,'6-2_算定表④(旧・新制度)'!$B$8:$R$65536,14,FALSE))</f>
      </c>
      <c r="P27" s="544">
        <f>IF($B27="","",VLOOKUP($B27,'6-2_算定表④(旧・新制度)'!$B$8:$R$65536,14,FALSE))</f>
      </c>
      <c r="Q27" s="544">
        <f>IF($B27="","",VLOOKUP($B27,'6-2_算定表④(旧・新制度)'!$B$8:$R$65536,14,FALSE))</f>
      </c>
      <c r="R27" s="544">
        <f>IF($B27="","",VLOOKUP($B27,'6-2_算定表④(旧・新制度)'!$B$8:$R$65536,14,FALSE))</f>
      </c>
      <c r="S27" s="544">
        <f>IF($B27="","",VLOOKUP($B27,'6-2_算定表④(旧・新制度)'!$B$8:$R$65536,14,FALSE))</f>
      </c>
      <c r="T27" s="544">
        <f>IF($B27="","",VLOOKUP($B27,'6-2_算定表④(旧・新制度)'!$B$8:$R$65536,14,FALSE))</f>
      </c>
      <c r="U27" s="544">
        <f>IF($B27="","",VLOOKUP($B27,'6-2_算定表④(旧・新制度)'!$B$8:$R$65536,14,FALSE))</f>
      </c>
      <c r="V27" s="545">
        <f>IF($B27="","",VLOOKUP($B27,'6-2_算定表④(旧・新制度)'!$B$8:$R$65536,14,FALSE))</f>
      </c>
      <c r="W27" s="546">
        <f t="shared" si="1"/>
      </c>
      <c r="X27" s="547">
        <f t="shared" si="2"/>
      </c>
      <c r="Y27" s="546">
        <f t="shared" si="3"/>
      </c>
      <c r="Z27" s="548">
        <f t="shared" si="4"/>
      </c>
      <c r="AA27" s="567">
        <f t="shared" si="5"/>
      </c>
      <c r="AB27" s="538">
        <f t="shared" si="6"/>
      </c>
      <c r="AC27" s="537">
        <f t="shared" si="7"/>
      </c>
      <c r="AD27" s="538">
        <f t="shared" si="8"/>
      </c>
      <c r="AE27" s="537">
        <f t="shared" si="9"/>
      </c>
      <c r="AF27" s="539">
        <f t="shared" si="10"/>
      </c>
      <c r="AG27" s="506">
        <f t="shared" si="11"/>
      </c>
      <c r="AH27" s="503">
        <f t="shared" si="13"/>
      </c>
      <c r="AI27" s="851">
        <f>IF(B27="","",VLOOKUP($B27,'6-2_算定表④(旧・新制度)'!$B$8:$AB$65536,27,FALSE))</f>
      </c>
      <c r="AJ27" s="852" t="s">
        <v>205</v>
      </c>
      <c r="AK27" s="853" t="s">
        <v>205</v>
      </c>
      <c r="AM27" s="63">
        <f t="shared" si="14"/>
      </c>
      <c r="AN27" s="63">
        <f t="shared" si="12"/>
      </c>
    </row>
    <row r="28" spans="1:40" s="54" customFormat="1" ht="18.75" customHeight="1">
      <c r="A28" s="27">
        <f t="shared" si="0"/>
      </c>
      <c r="B28" s="280"/>
      <c r="C28" s="97">
        <f>IF(B28="","",VLOOKUP($B28,'6-2_算定表④(旧・新制度)'!$B$8:$R$65536,2,FALSE))</f>
      </c>
      <c r="D28" s="541">
        <f>IF(B28="","",VLOOKUP($B28,'6-2_算定表④(旧・新制度)'!$B$8:$R$65536,3,FALSE))</f>
      </c>
      <c r="E28" s="98">
        <f>IF(C28="","",VLOOKUP($B28,'6-2_算定表④(旧・新制度)'!$B$8:$R$65536,4,FALSE))</f>
      </c>
      <c r="F28" s="542">
        <f>IF(B28="","",VLOOKUP($B28,'6-2_算定表④(旧・新制度)'!$B$8:$R$65536,11,FALSE))</f>
      </c>
      <c r="G28" s="493">
        <f>IF(B28="","",VLOOKUP($B28,'6-2_算定表④(旧・新制度)'!$B$8:$R$65536,13,FALSE))</f>
      </c>
      <c r="H28" s="542">
        <f>IF(B28="","",VLOOKUP($B28,'6-2_算定表④(旧・新制度)'!$B$8:$R$65536,14,FALSE))</f>
      </c>
      <c r="I28" s="493">
        <f>IF(B28="","",VLOOKUP($B28,'6-2_算定表④(旧・新制度)'!$B$8:$R$65536,16,FALSE))</f>
      </c>
      <c r="J28" s="506">
        <f>IF(B28="","",VLOOKUP($B28,'6-2_算定表④(旧・新制度)'!$B$8:$R$65536,17,FALSE))</f>
      </c>
      <c r="K28" s="543">
        <f>IF($B28="","",VLOOKUP($B28,'6-2_算定表④(旧・新制度)'!$B$8:$R$65536,11,FALSE))</f>
      </c>
      <c r="L28" s="544">
        <f>IF($B28="","",VLOOKUP($B28,'6-2_算定表④(旧・新制度)'!$B$8:$R$65536,11,FALSE))</f>
      </c>
      <c r="M28" s="545">
        <f>IF($B28="","",VLOOKUP($B28,'6-2_算定表④(旧・新制度)'!$B$8:$R$65536,11,FALSE))</f>
      </c>
      <c r="N28" s="543">
        <f>IF($B28="","",VLOOKUP($B28,'6-2_算定表④(旧・新制度)'!$B$8:$R$65536,14,FALSE))</f>
      </c>
      <c r="O28" s="544">
        <f>IF($B28="","",VLOOKUP($B28,'6-2_算定表④(旧・新制度)'!$B$8:$R$65536,14,FALSE))</f>
      </c>
      <c r="P28" s="544">
        <f>IF($B28="","",VLOOKUP($B28,'6-2_算定表④(旧・新制度)'!$B$8:$R$65536,14,FALSE))</f>
      </c>
      <c r="Q28" s="544">
        <f>IF($B28="","",VLOOKUP($B28,'6-2_算定表④(旧・新制度)'!$B$8:$R$65536,14,FALSE))</f>
      </c>
      <c r="R28" s="544">
        <f>IF($B28="","",VLOOKUP($B28,'6-2_算定表④(旧・新制度)'!$B$8:$R$65536,14,FALSE))</f>
      </c>
      <c r="S28" s="544">
        <f>IF($B28="","",VLOOKUP($B28,'6-2_算定表④(旧・新制度)'!$B$8:$R$65536,14,FALSE))</f>
      </c>
      <c r="T28" s="544">
        <f>IF($B28="","",VLOOKUP($B28,'6-2_算定表④(旧・新制度)'!$B$8:$R$65536,14,FALSE))</f>
      </c>
      <c r="U28" s="544">
        <f>IF($B28="","",VLOOKUP($B28,'6-2_算定表④(旧・新制度)'!$B$8:$R$65536,14,FALSE))</f>
      </c>
      <c r="V28" s="545">
        <f>IF($B28="","",VLOOKUP($B28,'6-2_算定表④(旧・新制度)'!$B$8:$R$65536,14,FALSE))</f>
      </c>
      <c r="W28" s="546">
        <f t="shared" si="1"/>
      </c>
      <c r="X28" s="547">
        <f t="shared" si="2"/>
      </c>
      <c r="Y28" s="546">
        <f t="shared" si="3"/>
      </c>
      <c r="Z28" s="548">
        <f t="shared" si="4"/>
      </c>
      <c r="AA28" s="567">
        <f t="shared" si="5"/>
      </c>
      <c r="AB28" s="538">
        <f t="shared" si="6"/>
      </c>
      <c r="AC28" s="537">
        <f t="shared" si="7"/>
      </c>
      <c r="AD28" s="538">
        <f t="shared" si="8"/>
      </c>
      <c r="AE28" s="537">
        <f t="shared" si="9"/>
      </c>
      <c r="AF28" s="539">
        <f t="shared" si="10"/>
      </c>
      <c r="AG28" s="506">
        <f t="shared" si="11"/>
      </c>
      <c r="AH28" s="503">
        <f t="shared" si="13"/>
      </c>
      <c r="AI28" s="851">
        <f>IF(B28="","",VLOOKUP($B28,'6-2_算定表④(旧・新制度)'!$B$8:$AB$65536,27,FALSE))</f>
      </c>
      <c r="AJ28" s="852" t="s">
        <v>205</v>
      </c>
      <c r="AK28" s="853" t="s">
        <v>205</v>
      </c>
      <c r="AM28" s="63">
        <f t="shared" si="14"/>
      </c>
      <c r="AN28" s="63">
        <f t="shared" si="12"/>
      </c>
    </row>
    <row r="29" spans="1:40" s="54" customFormat="1" ht="18.75" customHeight="1">
      <c r="A29" s="27">
        <f t="shared" si="0"/>
      </c>
      <c r="B29" s="280"/>
      <c r="C29" s="97">
        <f>IF(B29="","",VLOOKUP($B29,'6-2_算定表④(旧・新制度)'!$B$8:$R$65536,2,FALSE))</f>
      </c>
      <c r="D29" s="541">
        <f>IF(B29="","",VLOOKUP($B29,'6-2_算定表④(旧・新制度)'!$B$8:$R$65536,3,FALSE))</f>
      </c>
      <c r="E29" s="98">
        <f>IF(C29="","",VLOOKUP($B29,'6-2_算定表④(旧・新制度)'!$B$8:$R$65536,4,FALSE))</f>
      </c>
      <c r="F29" s="542">
        <f>IF(B29="","",VLOOKUP($B29,'6-2_算定表④(旧・新制度)'!$B$8:$R$65536,11,FALSE))</f>
      </c>
      <c r="G29" s="493">
        <f>IF(B29="","",VLOOKUP($B29,'6-2_算定表④(旧・新制度)'!$B$8:$R$65536,13,FALSE))</f>
      </c>
      <c r="H29" s="542">
        <f>IF(B29="","",VLOOKUP($B29,'6-2_算定表④(旧・新制度)'!$B$8:$R$65536,14,FALSE))</f>
      </c>
      <c r="I29" s="493">
        <f>IF(B29="","",VLOOKUP($B29,'6-2_算定表④(旧・新制度)'!$B$8:$R$65536,16,FALSE))</f>
      </c>
      <c r="J29" s="506">
        <f>IF(B29="","",VLOOKUP($B29,'6-2_算定表④(旧・新制度)'!$B$8:$R$65536,17,FALSE))</f>
      </c>
      <c r="K29" s="543">
        <f>IF($B29="","",VLOOKUP($B29,'6-2_算定表④(旧・新制度)'!$B$8:$R$65536,11,FALSE))</f>
      </c>
      <c r="L29" s="544">
        <f>IF($B29="","",VLOOKUP($B29,'6-2_算定表④(旧・新制度)'!$B$8:$R$65536,11,FALSE))</f>
      </c>
      <c r="M29" s="545">
        <f>IF($B29="","",VLOOKUP($B29,'6-2_算定表④(旧・新制度)'!$B$8:$R$65536,11,FALSE))</f>
      </c>
      <c r="N29" s="543">
        <f>IF($B29="","",VLOOKUP($B29,'6-2_算定表④(旧・新制度)'!$B$8:$R$65536,14,FALSE))</f>
      </c>
      <c r="O29" s="544">
        <f>IF($B29="","",VLOOKUP($B29,'6-2_算定表④(旧・新制度)'!$B$8:$R$65536,14,FALSE))</f>
      </c>
      <c r="P29" s="544">
        <f>IF($B29="","",VLOOKUP($B29,'6-2_算定表④(旧・新制度)'!$B$8:$R$65536,14,FALSE))</f>
      </c>
      <c r="Q29" s="544">
        <f>IF($B29="","",VLOOKUP($B29,'6-2_算定表④(旧・新制度)'!$B$8:$R$65536,14,FALSE))</f>
      </c>
      <c r="R29" s="544">
        <f>IF($B29="","",VLOOKUP($B29,'6-2_算定表④(旧・新制度)'!$B$8:$R$65536,14,FALSE))</f>
      </c>
      <c r="S29" s="544">
        <f>IF($B29="","",VLOOKUP($B29,'6-2_算定表④(旧・新制度)'!$B$8:$R$65536,14,FALSE))</f>
      </c>
      <c r="T29" s="544">
        <f>IF($B29="","",VLOOKUP($B29,'6-2_算定表④(旧・新制度)'!$B$8:$R$65536,14,FALSE))</f>
      </c>
      <c r="U29" s="544">
        <f>IF($B29="","",VLOOKUP($B29,'6-2_算定表④(旧・新制度)'!$B$8:$R$65536,14,FALSE))</f>
      </c>
      <c r="V29" s="545">
        <f>IF($B29="","",VLOOKUP($B29,'6-2_算定表④(旧・新制度)'!$B$8:$R$65536,14,FALSE))</f>
      </c>
      <c r="W29" s="546">
        <f t="shared" si="1"/>
      </c>
      <c r="X29" s="547">
        <f t="shared" si="2"/>
      </c>
      <c r="Y29" s="546">
        <f t="shared" si="3"/>
      </c>
      <c r="Z29" s="548">
        <f t="shared" si="4"/>
      </c>
      <c r="AA29" s="567">
        <f t="shared" si="5"/>
      </c>
      <c r="AB29" s="538">
        <f t="shared" si="6"/>
      </c>
      <c r="AC29" s="537">
        <f t="shared" si="7"/>
      </c>
      <c r="AD29" s="538">
        <f t="shared" si="8"/>
      </c>
      <c r="AE29" s="537">
        <f t="shared" si="9"/>
      </c>
      <c r="AF29" s="539">
        <f t="shared" si="10"/>
      </c>
      <c r="AG29" s="506">
        <f t="shared" si="11"/>
      </c>
      <c r="AH29" s="503">
        <f t="shared" si="13"/>
      </c>
      <c r="AI29" s="851">
        <f>IF(B29="","",VLOOKUP($B29,'6-2_算定表④(旧・新制度)'!$B$8:$AB$65536,27,FALSE))</f>
      </c>
      <c r="AJ29" s="852" t="s">
        <v>205</v>
      </c>
      <c r="AK29" s="853" t="s">
        <v>205</v>
      </c>
      <c r="AM29" s="63">
        <f t="shared" si="14"/>
      </c>
      <c r="AN29" s="63">
        <f t="shared" si="12"/>
      </c>
    </row>
    <row r="30" spans="1:40" s="54" customFormat="1" ht="18.75" customHeight="1">
      <c r="A30" s="27">
        <f t="shared" si="0"/>
      </c>
      <c r="B30" s="280"/>
      <c r="C30" s="97">
        <f>IF(B30="","",VLOOKUP($B30,'6-2_算定表④(旧・新制度)'!$B$8:$R$65536,2,FALSE))</f>
      </c>
      <c r="D30" s="541">
        <f>IF(B30="","",VLOOKUP($B30,'6-2_算定表④(旧・新制度)'!$B$8:$R$65536,3,FALSE))</f>
      </c>
      <c r="E30" s="98">
        <f>IF(C30="","",VLOOKUP($B30,'6-2_算定表④(旧・新制度)'!$B$8:$R$65536,4,FALSE))</f>
      </c>
      <c r="F30" s="542">
        <f>IF(B30="","",VLOOKUP($B30,'6-2_算定表④(旧・新制度)'!$B$8:$R$65536,11,FALSE))</f>
      </c>
      <c r="G30" s="493">
        <f>IF(B30="","",VLOOKUP($B30,'6-2_算定表④(旧・新制度)'!$B$8:$R$65536,13,FALSE))</f>
      </c>
      <c r="H30" s="542">
        <f>IF(B30="","",VLOOKUP($B30,'6-2_算定表④(旧・新制度)'!$B$8:$R$65536,14,FALSE))</f>
      </c>
      <c r="I30" s="493">
        <f>IF(B30="","",VLOOKUP($B30,'6-2_算定表④(旧・新制度)'!$B$8:$R$65536,16,FALSE))</f>
      </c>
      <c r="J30" s="506">
        <f>IF(B30="","",VLOOKUP($B30,'6-2_算定表④(旧・新制度)'!$B$8:$R$65536,17,FALSE))</f>
      </c>
      <c r="K30" s="543">
        <f>IF($B30="","",VLOOKUP($B30,'6-2_算定表④(旧・新制度)'!$B$8:$R$65536,11,FALSE))</f>
      </c>
      <c r="L30" s="544">
        <f>IF($B30="","",VLOOKUP($B30,'6-2_算定表④(旧・新制度)'!$B$8:$R$65536,11,FALSE))</f>
      </c>
      <c r="M30" s="545">
        <f>IF($B30="","",VLOOKUP($B30,'6-2_算定表④(旧・新制度)'!$B$8:$R$65536,11,FALSE))</f>
      </c>
      <c r="N30" s="543">
        <f>IF($B30="","",VLOOKUP($B30,'6-2_算定表④(旧・新制度)'!$B$8:$R$65536,14,FALSE))</f>
      </c>
      <c r="O30" s="544">
        <f>IF($B30="","",VLOOKUP($B30,'6-2_算定表④(旧・新制度)'!$B$8:$R$65536,14,FALSE))</f>
      </c>
      <c r="P30" s="544">
        <f>IF($B30="","",VLOOKUP($B30,'6-2_算定表④(旧・新制度)'!$B$8:$R$65536,14,FALSE))</f>
      </c>
      <c r="Q30" s="544">
        <f>IF($B30="","",VLOOKUP($B30,'6-2_算定表④(旧・新制度)'!$B$8:$R$65536,14,FALSE))</f>
      </c>
      <c r="R30" s="544">
        <f>IF($B30="","",VLOOKUP($B30,'6-2_算定表④(旧・新制度)'!$B$8:$R$65536,14,FALSE))</f>
      </c>
      <c r="S30" s="544">
        <f>IF($B30="","",VLOOKUP($B30,'6-2_算定表④(旧・新制度)'!$B$8:$R$65536,14,FALSE))</f>
      </c>
      <c r="T30" s="544">
        <f>IF($B30="","",VLOOKUP($B30,'6-2_算定表④(旧・新制度)'!$B$8:$R$65536,14,FALSE))</f>
      </c>
      <c r="U30" s="544">
        <f>IF($B30="","",VLOOKUP($B30,'6-2_算定表④(旧・新制度)'!$B$8:$R$65536,14,FALSE))</f>
      </c>
      <c r="V30" s="545">
        <f>IF($B30="","",VLOOKUP($B30,'6-2_算定表④(旧・新制度)'!$B$8:$R$65536,14,FALSE))</f>
      </c>
      <c r="W30" s="546">
        <f t="shared" si="1"/>
      </c>
      <c r="X30" s="547">
        <f t="shared" si="2"/>
      </c>
      <c r="Y30" s="546">
        <f t="shared" si="3"/>
      </c>
      <c r="Z30" s="548">
        <f t="shared" si="4"/>
      </c>
      <c r="AA30" s="567">
        <f t="shared" si="5"/>
      </c>
      <c r="AB30" s="538">
        <f t="shared" si="6"/>
      </c>
      <c r="AC30" s="537">
        <f t="shared" si="7"/>
      </c>
      <c r="AD30" s="538">
        <f t="shared" si="8"/>
      </c>
      <c r="AE30" s="537">
        <f t="shared" si="9"/>
      </c>
      <c r="AF30" s="539">
        <f t="shared" si="10"/>
      </c>
      <c r="AG30" s="506">
        <f t="shared" si="11"/>
      </c>
      <c r="AH30" s="503">
        <f t="shared" si="13"/>
      </c>
      <c r="AI30" s="851">
        <f>IF(B30="","",VLOOKUP($B30,'6-2_算定表④(旧・新制度)'!$B$8:$AB$65536,27,FALSE))</f>
      </c>
      <c r="AJ30" s="852" t="s">
        <v>205</v>
      </c>
      <c r="AK30" s="853" t="s">
        <v>205</v>
      </c>
      <c r="AM30" s="63">
        <f>IF(A30&gt;0,ASC(C30&amp;H30),"")</f>
      </c>
      <c r="AN30" s="63">
        <f t="shared" si="12"/>
      </c>
    </row>
    <row r="31" spans="1:40" s="54" customFormat="1" ht="18.75" customHeight="1">
      <c r="A31" s="27">
        <f t="shared" si="0"/>
      </c>
      <c r="B31" s="280"/>
      <c r="C31" s="97">
        <f>IF(B31="","",VLOOKUP($B31,'6-2_算定表④(旧・新制度)'!$B$8:$R$65536,2,FALSE))</f>
      </c>
      <c r="D31" s="541">
        <f>IF(B31="","",VLOOKUP($B31,'6-2_算定表④(旧・新制度)'!$B$8:$R$65536,3,FALSE))</f>
      </c>
      <c r="E31" s="98">
        <f>IF(C31="","",VLOOKUP($B31,'6-2_算定表④(旧・新制度)'!$B$8:$R$65536,4,FALSE))</f>
      </c>
      <c r="F31" s="542">
        <f>IF(B31="","",VLOOKUP($B31,'6-2_算定表④(旧・新制度)'!$B$8:$R$65536,11,FALSE))</f>
      </c>
      <c r="G31" s="493">
        <f>IF(B31="","",VLOOKUP($B31,'6-2_算定表④(旧・新制度)'!$B$8:$R$65536,13,FALSE))</f>
      </c>
      <c r="H31" s="542">
        <f>IF(B31="","",VLOOKUP($B31,'6-2_算定表④(旧・新制度)'!$B$8:$R$65536,14,FALSE))</f>
      </c>
      <c r="I31" s="493">
        <f>IF(B31="","",VLOOKUP($B31,'6-2_算定表④(旧・新制度)'!$B$8:$R$65536,16,FALSE))</f>
      </c>
      <c r="J31" s="506">
        <f>IF(B31="","",VLOOKUP($B31,'6-2_算定表④(旧・新制度)'!$B$8:$R$65536,17,FALSE))</f>
      </c>
      <c r="K31" s="543">
        <f>IF($B31="","",VLOOKUP($B31,'6-2_算定表④(旧・新制度)'!$B$8:$R$65536,11,FALSE))</f>
      </c>
      <c r="L31" s="544">
        <f>IF($B31="","",VLOOKUP($B31,'6-2_算定表④(旧・新制度)'!$B$8:$R$65536,11,FALSE))</f>
      </c>
      <c r="M31" s="545">
        <f>IF($B31="","",VLOOKUP($B31,'6-2_算定表④(旧・新制度)'!$B$8:$R$65536,11,FALSE))</f>
      </c>
      <c r="N31" s="543">
        <f>IF($B31="","",VLOOKUP($B31,'6-2_算定表④(旧・新制度)'!$B$8:$R$65536,14,FALSE))</f>
      </c>
      <c r="O31" s="544">
        <f>IF($B31="","",VLOOKUP($B31,'6-2_算定表④(旧・新制度)'!$B$8:$R$65536,14,FALSE))</f>
      </c>
      <c r="P31" s="544">
        <f>IF($B31="","",VLOOKUP($B31,'6-2_算定表④(旧・新制度)'!$B$8:$R$65536,14,FALSE))</f>
      </c>
      <c r="Q31" s="544">
        <f>IF($B31="","",VLOOKUP($B31,'6-2_算定表④(旧・新制度)'!$B$8:$R$65536,14,FALSE))</f>
      </c>
      <c r="R31" s="544">
        <f>IF($B31="","",VLOOKUP($B31,'6-2_算定表④(旧・新制度)'!$B$8:$R$65536,14,FALSE))</f>
      </c>
      <c r="S31" s="544">
        <f>IF($B31="","",VLOOKUP($B31,'6-2_算定表④(旧・新制度)'!$B$8:$R$65536,14,FALSE))</f>
      </c>
      <c r="T31" s="544">
        <f>IF($B31="","",VLOOKUP($B31,'6-2_算定表④(旧・新制度)'!$B$8:$R$65536,14,FALSE))</f>
      </c>
      <c r="U31" s="544">
        <f>IF($B31="","",VLOOKUP($B31,'6-2_算定表④(旧・新制度)'!$B$8:$R$65536,14,FALSE))</f>
      </c>
      <c r="V31" s="545">
        <f>IF($B31="","",VLOOKUP($B31,'6-2_算定表④(旧・新制度)'!$B$8:$R$65536,14,FALSE))</f>
      </c>
      <c r="W31" s="546">
        <f t="shared" si="1"/>
      </c>
      <c r="X31" s="547">
        <f t="shared" si="2"/>
      </c>
      <c r="Y31" s="546">
        <f t="shared" si="3"/>
      </c>
      <c r="Z31" s="548">
        <f t="shared" si="4"/>
      </c>
      <c r="AA31" s="567">
        <f t="shared" si="5"/>
      </c>
      <c r="AB31" s="538">
        <f t="shared" si="6"/>
      </c>
      <c r="AC31" s="537">
        <f t="shared" si="7"/>
      </c>
      <c r="AD31" s="538">
        <f t="shared" si="8"/>
      </c>
      <c r="AE31" s="537">
        <f t="shared" si="9"/>
      </c>
      <c r="AF31" s="539">
        <f t="shared" si="10"/>
      </c>
      <c r="AG31" s="506">
        <f t="shared" si="11"/>
      </c>
      <c r="AH31" s="503">
        <f t="shared" si="13"/>
      </c>
      <c r="AI31" s="851">
        <f>IF(B31="","",VLOOKUP($B31,'6-2_算定表④(旧・新制度)'!$B$8:$AB$65536,27,FALSE))</f>
      </c>
      <c r="AJ31" s="852" t="s">
        <v>205</v>
      </c>
      <c r="AK31" s="853" t="s">
        <v>205</v>
      </c>
      <c r="AM31" s="63">
        <f>IF(A31&gt;0,ASC(C31&amp;H31),"")</f>
      </c>
      <c r="AN31" s="63">
        <f t="shared" si="12"/>
      </c>
    </row>
    <row r="32" spans="1:40" s="54" customFormat="1" ht="18.75" customHeight="1">
      <c r="A32" s="27">
        <f t="shared" si="0"/>
      </c>
      <c r="B32" s="280"/>
      <c r="C32" s="97">
        <f>IF(B32="","",VLOOKUP($B32,'6-2_算定表④(旧・新制度)'!$B$8:$R$65536,2,FALSE))</f>
      </c>
      <c r="D32" s="541">
        <f>IF(B32="","",VLOOKUP($B32,'6-2_算定表④(旧・新制度)'!$B$8:$R$65536,3,FALSE))</f>
      </c>
      <c r="E32" s="98">
        <f>IF(C32="","",VLOOKUP($B32,'6-2_算定表④(旧・新制度)'!$B$8:$R$65536,4,FALSE))</f>
      </c>
      <c r="F32" s="542">
        <f>IF(B32="","",VLOOKUP($B32,'6-2_算定表④(旧・新制度)'!$B$8:$R$65536,11,FALSE))</f>
      </c>
      <c r="G32" s="493">
        <f>IF(B32="","",VLOOKUP($B32,'6-2_算定表④(旧・新制度)'!$B$8:$R$65536,13,FALSE))</f>
      </c>
      <c r="H32" s="542">
        <f>IF(B32="","",VLOOKUP($B32,'6-2_算定表④(旧・新制度)'!$B$8:$R$65536,14,FALSE))</f>
      </c>
      <c r="I32" s="493">
        <f>IF(B32="","",VLOOKUP($B32,'6-2_算定表④(旧・新制度)'!$B$8:$R$65536,16,FALSE))</f>
      </c>
      <c r="J32" s="506">
        <f>IF(B32="","",VLOOKUP($B32,'6-2_算定表④(旧・新制度)'!$B$8:$R$65536,17,FALSE))</f>
      </c>
      <c r="K32" s="543">
        <f>IF($B32="","",VLOOKUP($B32,'6-2_算定表④(旧・新制度)'!$B$8:$R$65536,11,FALSE))</f>
      </c>
      <c r="L32" s="544">
        <f>IF($B32="","",VLOOKUP($B32,'6-2_算定表④(旧・新制度)'!$B$8:$R$65536,11,FALSE))</f>
      </c>
      <c r="M32" s="545">
        <f>IF($B32="","",VLOOKUP($B32,'6-2_算定表④(旧・新制度)'!$B$8:$R$65536,11,FALSE))</f>
      </c>
      <c r="N32" s="543">
        <f>IF($B32="","",VLOOKUP($B32,'6-2_算定表④(旧・新制度)'!$B$8:$R$65536,14,FALSE))</f>
      </c>
      <c r="O32" s="544">
        <f>IF($B32="","",VLOOKUP($B32,'6-2_算定表④(旧・新制度)'!$B$8:$R$65536,14,FALSE))</f>
      </c>
      <c r="P32" s="544">
        <f>IF($B32="","",VLOOKUP($B32,'6-2_算定表④(旧・新制度)'!$B$8:$R$65536,14,FALSE))</f>
      </c>
      <c r="Q32" s="544">
        <f>IF($B32="","",VLOOKUP($B32,'6-2_算定表④(旧・新制度)'!$B$8:$R$65536,14,FALSE))</f>
      </c>
      <c r="R32" s="544">
        <f>IF($B32="","",VLOOKUP($B32,'6-2_算定表④(旧・新制度)'!$B$8:$R$65536,14,FALSE))</f>
      </c>
      <c r="S32" s="544">
        <f>IF($B32="","",VLOOKUP($B32,'6-2_算定表④(旧・新制度)'!$B$8:$R$65536,14,FALSE))</f>
      </c>
      <c r="T32" s="544">
        <f>IF($B32="","",VLOOKUP($B32,'6-2_算定表④(旧・新制度)'!$B$8:$R$65536,14,FALSE))</f>
      </c>
      <c r="U32" s="544">
        <f>IF($B32="","",VLOOKUP($B32,'6-2_算定表④(旧・新制度)'!$B$8:$R$65536,14,FALSE))</f>
      </c>
      <c r="V32" s="545">
        <f>IF($B32="","",VLOOKUP($B32,'6-2_算定表④(旧・新制度)'!$B$8:$R$65536,14,FALSE))</f>
      </c>
      <c r="W32" s="546">
        <f t="shared" si="1"/>
      </c>
      <c r="X32" s="547">
        <f t="shared" si="2"/>
      </c>
      <c r="Y32" s="546">
        <f t="shared" si="3"/>
      </c>
      <c r="Z32" s="548">
        <f t="shared" si="4"/>
      </c>
      <c r="AA32" s="567">
        <f t="shared" si="5"/>
      </c>
      <c r="AB32" s="538">
        <f t="shared" si="6"/>
      </c>
      <c r="AC32" s="537">
        <f t="shared" si="7"/>
      </c>
      <c r="AD32" s="538">
        <f t="shared" si="8"/>
      </c>
      <c r="AE32" s="537">
        <f t="shared" si="9"/>
      </c>
      <c r="AF32" s="539">
        <f t="shared" si="10"/>
      </c>
      <c r="AG32" s="506">
        <f t="shared" si="11"/>
      </c>
      <c r="AH32" s="503">
        <f t="shared" si="13"/>
      </c>
      <c r="AI32" s="851">
        <f>IF(B32="","",VLOOKUP($B32,'6-2_算定表④(旧・新制度)'!$B$8:$AB$65536,27,FALSE))</f>
      </c>
      <c r="AJ32" s="852" t="s">
        <v>205</v>
      </c>
      <c r="AK32" s="853" t="s">
        <v>205</v>
      </c>
      <c r="AM32" s="63">
        <f>IF(A32&gt;0,ASC(C32&amp;H32),"")</f>
      </c>
      <c r="AN32" s="63">
        <f t="shared" si="12"/>
      </c>
    </row>
    <row r="33" spans="1:40" s="54" customFormat="1" ht="18.75" customHeight="1">
      <c r="A33" s="27">
        <f t="shared" si="0"/>
      </c>
      <c r="B33" s="280"/>
      <c r="C33" s="97">
        <f>IF(B33="","",VLOOKUP($B33,'6-2_算定表④(旧・新制度)'!$B$8:$R$65536,2,FALSE))</f>
      </c>
      <c r="D33" s="541">
        <f>IF(B33="","",VLOOKUP($B33,'6-2_算定表④(旧・新制度)'!$B$8:$R$65536,3,FALSE))</f>
      </c>
      <c r="E33" s="98">
        <f>IF(C33="","",VLOOKUP($B33,'6-2_算定表④(旧・新制度)'!$B$8:$R$65536,4,FALSE))</f>
      </c>
      <c r="F33" s="542">
        <f>IF(B33="","",VLOOKUP($B33,'6-2_算定表④(旧・新制度)'!$B$8:$R$65536,11,FALSE))</f>
      </c>
      <c r="G33" s="493">
        <f>IF(B33="","",VLOOKUP($B33,'6-2_算定表④(旧・新制度)'!$B$8:$R$65536,13,FALSE))</f>
      </c>
      <c r="H33" s="542">
        <f>IF(B33="","",VLOOKUP($B33,'6-2_算定表④(旧・新制度)'!$B$8:$R$65536,14,FALSE))</f>
      </c>
      <c r="I33" s="493">
        <f>IF(B33="","",VLOOKUP($B33,'6-2_算定表④(旧・新制度)'!$B$8:$R$65536,16,FALSE))</f>
      </c>
      <c r="J33" s="506">
        <f>IF(B33="","",VLOOKUP($B33,'6-2_算定表④(旧・新制度)'!$B$8:$R$65536,17,FALSE))</f>
      </c>
      <c r="K33" s="543">
        <f>IF($B33="","",VLOOKUP($B33,'6-2_算定表④(旧・新制度)'!$B$8:$R$65536,11,FALSE))</f>
      </c>
      <c r="L33" s="544">
        <f>IF($B33="","",VLOOKUP($B33,'6-2_算定表④(旧・新制度)'!$B$8:$R$65536,11,FALSE))</f>
      </c>
      <c r="M33" s="545">
        <f>IF($B33="","",VLOOKUP($B33,'6-2_算定表④(旧・新制度)'!$B$8:$R$65536,11,FALSE))</f>
      </c>
      <c r="N33" s="543">
        <f>IF($B33="","",VLOOKUP($B33,'6-2_算定表④(旧・新制度)'!$B$8:$R$65536,14,FALSE))</f>
      </c>
      <c r="O33" s="544">
        <f>IF($B33="","",VLOOKUP($B33,'6-2_算定表④(旧・新制度)'!$B$8:$R$65536,14,FALSE))</f>
      </c>
      <c r="P33" s="544">
        <f>IF($B33="","",VLOOKUP($B33,'6-2_算定表④(旧・新制度)'!$B$8:$R$65536,14,FALSE))</f>
      </c>
      <c r="Q33" s="544">
        <f>IF($B33="","",VLOOKUP($B33,'6-2_算定表④(旧・新制度)'!$B$8:$R$65536,14,FALSE))</f>
      </c>
      <c r="R33" s="544">
        <f>IF($B33="","",VLOOKUP($B33,'6-2_算定表④(旧・新制度)'!$B$8:$R$65536,14,FALSE))</f>
      </c>
      <c r="S33" s="544">
        <f>IF($B33="","",VLOOKUP($B33,'6-2_算定表④(旧・新制度)'!$B$8:$R$65536,14,FALSE))</f>
      </c>
      <c r="T33" s="544">
        <f>IF($B33="","",VLOOKUP($B33,'6-2_算定表④(旧・新制度)'!$B$8:$R$65536,14,FALSE))</f>
      </c>
      <c r="U33" s="544">
        <f>IF($B33="","",VLOOKUP($B33,'6-2_算定表④(旧・新制度)'!$B$8:$R$65536,14,FALSE))</f>
      </c>
      <c r="V33" s="545">
        <f>IF($B33="","",VLOOKUP($B33,'6-2_算定表④(旧・新制度)'!$B$8:$R$65536,14,FALSE))</f>
      </c>
      <c r="W33" s="546">
        <f t="shared" si="1"/>
      </c>
      <c r="X33" s="547">
        <f t="shared" si="2"/>
      </c>
      <c r="Y33" s="546">
        <f t="shared" si="3"/>
      </c>
      <c r="Z33" s="548">
        <f t="shared" si="4"/>
      </c>
      <c r="AA33" s="567">
        <f t="shared" si="5"/>
      </c>
      <c r="AB33" s="538">
        <f t="shared" si="6"/>
      </c>
      <c r="AC33" s="537">
        <f t="shared" si="7"/>
      </c>
      <c r="AD33" s="538">
        <f t="shared" si="8"/>
      </c>
      <c r="AE33" s="537">
        <f t="shared" si="9"/>
      </c>
      <c r="AF33" s="539">
        <f t="shared" si="10"/>
      </c>
      <c r="AG33" s="506">
        <f t="shared" si="11"/>
      </c>
      <c r="AH33" s="503">
        <f t="shared" si="13"/>
      </c>
      <c r="AI33" s="851">
        <f>IF(B33="","",VLOOKUP($B33,'6-2_算定表④(旧・新制度)'!$B$8:$AB$65536,27,FALSE))</f>
      </c>
      <c r="AJ33" s="852" t="s">
        <v>205</v>
      </c>
      <c r="AK33" s="853" t="s">
        <v>205</v>
      </c>
      <c r="AM33" s="63">
        <f t="shared" si="14"/>
      </c>
      <c r="AN33" s="63">
        <f t="shared" si="12"/>
      </c>
    </row>
    <row r="34" spans="1:40" s="54" customFormat="1" ht="18.75" customHeight="1">
      <c r="A34" s="27">
        <f t="shared" si="0"/>
      </c>
      <c r="B34" s="280"/>
      <c r="C34" s="97">
        <f>IF(B34="","",VLOOKUP($B34,'6-2_算定表④(旧・新制度)'!$B$8:$R$65536,2,FALSE))</f>
      </c>
      <c r="D34" s="541">
        <f>IF(B34="","",VLOOKUP($B34,'6-2_算定表④(旧・新制度)'!$B$8:$R$65536,3,FALSE))</f>
      </c>
      <c r="E34" s="98">
        <f>IF(C34="","",VLOOKUP($B34,'6-2_算定表④(旧・新制度)'!$B$8:$R$65536,4,FALSE))</f>
      </c>
      <c r="F34" s="542">
        <f>IF(B34="","",VLOOKUP($B34,'6-2_算定表④(旧・新制度)'!$B$8:$R$65536,11,FALSE))</f>
      </c>
      <c r="G34" s="493">
        <f>IF(B34="","",VLOOKUP($B34,'6-2_算定表④(旧・新制度)'!$B$8:$R$65536,13,FALSE))</f>
      </c>
      <c r="H34" s="542">
        <f>IF(B34="","",VLOOKUP($B34,'6-2_算定表④(旧・新制度)'!$B$8:$R$65536,14,FALSE))</f>
      </c>
      <c r="I34" s="493">
        <f>IF(B34="","",VLOOKUP($B34,'6-2_算定表④(旧・新制度)'!$B$8:$R$65536,16,FALSE))</f>
      </c>
      <c r="J34" s="506">
        <f>IF(B34="","",VLOOKUP($B34,'6-2_算定表④(旧・新制度)'!$B$8:$R$65536,17,FALSE))</f>
      </c>
      <c r="K34" s="543">
        <f>IF($B34="","",VLOOKUP($B34,'6-2_算定表④(旧・新制度)'!$B$8:$R$65536,11,FALSE))</f>
      </c>
      <c r="L34" s="544">
        <f>IF($B34="","",VLOOKUP($B34,'6-2_算定表④(旧・新制度)'!$B$8:$R$65536,11,FALSE))</f>
      </c>
      <c r="M34" s="545">
        <f>IF($B34="","",VLOOKUP($B34,'6-2_算定表④(旧・新制度)'!$B$8:$R$65536,11,FALSE))</f>
      </c>
      <c r="N34" s="543">
        <f>IF($B34="","",VLOOKUP($B34,'6-2_算定表④(旧・新制度)'!$B$8:$R$65536,14,FALSE))</f>
      </c>
      <c r="O34" s="544">
        <f>IF($B34="","",VLOOKUP($B34,'6-2_算定表④(旧・新制度)'!$B$8:$R$65536,14,FALSE))</f>
      </c>
      <c r="P34" s="544">
        <f>IF($B34="","",VLOOKUP($B34,'6-2_算定表④(旧・新制度)'!$B$8:$R$65536,14,FALSE))</f>
      </c>
      <c r="Q34" s="544">
        <f>IF($B34="","",VLOOKUP($B34,'6-2_算定表④(旧・新制度)'!$B$8:$R$65536,14,FALSE))</f>
      </c>
      <c r="R34" s="544">
        <f>IF($B34="","",VLOOKUP($B34,'6-2_算定表④(旧・新制度)'!$B$8:$R$65536,14,FALSE))</f>
      </c>
      <c r="S34" s="544">
        <f>IF($B34="","",VLOOKUP($B34,'6-2_算定表④(旧・新制度)'!$B$8:$R$65536,14,FALSE))</f>
      </c>
      <c r="T34" s="544">
        <f>IF($B34="","",VLOOKUP($B34,'6-2_算定表④(旧・新制度)'!$B$8:$R$65536,14,FALSE))</f>
      </c>
      <c r="U34" s="544">
        <f>IF($B34="","",VLOOKUP($B34,'6-2_算定表④(旧・新制度)'!$B$8:$R$65536,14,FALSE))</f>
      </c>
      <c r="V34" s="545">
        <f>IF($B34="","",VLOOKUP($B34,'6-2_算定表④(旧・新制度)'!$B$8:$R$65536,14,FALSE))</f>
      </c>
      <c r="W34" s="546">
        <f t="shared" si="1"/>
      </c>
      <c r="X34" s="547">
        <f t="shared" si="2"/>
      </c>
      <c r="Y34" s="546">
        <f t="shared" si="3"/>
      </c>
      <c r="Z34" s="548">
        <f t="shared" si="4"/>
      </c>
      <c r="AA34" s="567">
        <f t="shared" si="5"/>
      </c>
      <c r="AB34" s="538">
        <f t="shared" si="6"/>
      </c>
      <c r="AC34" s="537">
        <f t="shared" si="7"/>
      </c>
      <c r="AD34" s="538">
        <f t="shared" si="8"/>
      </c>
      <c r="AE34" s="537">
        <f t="shared" si="9"/>
      </c>
      <c r="AF34" s="539">
        <f t="shared" si="10"/>
      </c>
      <c r="AG34" s="506">
        <f t="shared" si="11"/>
      </c>
      <c r="AH34" s="503">
        <f t="shared" si="13"/>
      </c>
      <c r="AI34" s="851">
        <f>IF(B34="","",VLOOKUP($B34,'6-2_算定表④(旧・新制度)'!$B$8:$AB$65536,27,FALSE))</f>
      </c>
      <c r="AJ34" s="852" t="s">
        <v>205</v>
      </c>
      <c r="AK34" s="853" t="s">
        <v>205</v>
      </c>
      <c r="AM34" s="63">
        <f t="shared" si="14"/>
      </c>
      <c r="AN34" s="63">
        <f t="shared" si="12"/>
      </c>
    </row>
    <row r="35" spans="1:40" s="54" customFormat="1" ht="18.75" customHeight="1">
      <c r="A35" s="27">
        <f t="shared" si="0"/>
      </c>
      <c r="B35" s="280"/>
      <c r="C35" s="97">
        <f>IF(B35="","",VLOOKUP($B35,'6-2_算定表④(旧・新制度)'!$B$8:$R$65536,2,FALSE))</f>
      </c>
      <c r="D35" s="541">
        <f>IF(B35="","",VLOOKUP($B35,'6-2_算定表④(旧・新制度)'!$B$8:$R$65536,3,FALSE))</f>
      </c>
      <c r="E35" s="348">
        <f>IF(C35="","",VLOOKUP($B35,'6-2_算定表④(旧・新制度)'!$B$8:$R$65536,4,FALSE))</f>
      </c>
      <c r="F35" s="542">
        <f>IF(B35="","",VLOOKUP($B35,'6-2_算定表④(旧・新制度)'!$B$8:$R$65536,11,FALSE))</f>
      </c>
      <c r="G35" s="493">
        <f>IF(B35="","",VLOOKUP($B35,'6-2_算定表④(旧・新制度)'!$B$8:$R$65536,13,FALSE))</f>
      </c>
      <c r="H35" s="542">
        <f>IF(B35="","",VLOOKUP($B35,'6-2_算定表④(旧・新制度)'!$B$8:$R$65536,14,FALSE))</f>
      </c>
      <c r="I35" s="493">
        <f>IF(B35="","",VLOOKUP($B35,'6-2_算定表④(旧・新制度)'!$B$8:$R$65536,16,FALSE))</f>
      </c>
      <c r="J35" s="506">
        <f>IF(B35="","",VLOOKUP($B35,'6-2_算定表④(旧・新制度)'!$B$8:$R$65536,17,FALSE))</f>
      </c>
      <c r="K35" s="543">
        <f>IF($B35="","",VLOOKUP($B35,'6-2_算定表④(旧・新制度)'!$B$8:$R$65536,11,FALSE))</f>
      </c>
      <c r="L35" s="544">
        <f>IF($B35="","",VLOOKUP($B35,'6-2_算定表④(旧・新制度)'!$B$8:$R$65536,11,FALSE))</f>
      </c>
      <c r="M35" s="545">
        <f>IF($B35="","",VLOOKUP($B35,'6-2_算定表④(旧・新制度)'!$B$8:$R$65536,11,FALSE))</f>
      </c>
      <c r="N35" s="543">
        <f>IF($B35="","",VLOOKUP($B35,'6-2_算定表④(旧・新制度)'!$B$8:$R$65536,14,FALSE))</f>
      </c>
      <c r="O35" s="544">
        <f>IF($B35="","",VLOOKUP($B35,'6-2_算定表④(旧・新制度)'!$B$8:$R$65536,14,FALSE))</f>
      </c>
      <c r="P35" s="544">
        <f>IF($B35="","",VLOOKUP($B35,'6-2_算定表④(旧・新制度)'!$B$8:$R$65536,14,FALSE))</f>
      </c>
      <c r="Q35" s="544">
        <f>IF($B35="","",VLOOKUP($B35,'6-2_算定表④(旧・新制度)'!$B$8:$R$65536,14,FALSE))</f>
      </c>
      <c r="R35" s="544">
        <f>IF($B35="","",VLOOKUP($B35,'6-2_算定表④(旧・新制度)'!$B$8:$R$65536,14,FALSE))</f>
      </c>
      <c r="S35" s="544">
        <f>IF($B35="","",VLOOKUP($B35,'6-2_算定表④(旧・新制度)'!$B$8:$R$65536,14,FALSE))</f>
      </c>
      <c r="T35" s="544">
        <f>IF($B35="","",VLOOKUP($B35,'6-2_算定表④(旧・新制度)'!$B$8:$R$65536,14,FALSE))</f>
      </c>
      <c r="U35" s="544">
        <f>IF($B35="","",VLOOKUP($B35,'6-2_算定表④(旧・新制度)'!$B$8:$R$65536,14,FALSE))</f>
      </c>
      <c r="V35" s="545">
        <f>IF($B35="","",VLOOKUP($B35,'6-2_算定表④(旧・新制度)'!$B$8:$R$65536,14,FALSE))</f>
      </c>
      <c r="W35" s="546">
        <f t="shared" si="1"/>
      </c>
      <c r="X35" s="547">
        <f t="shared" si="2"/>
      </c>
      <c r="Y35" s="546">
        <f t="shared" si="3"/>
      </c>
      <c r="Z35" s="548">
        <f t="shared" si="4"/>
      </c>
      <c r="AA35" s="567">
        <f t="shared" si="5"/>
      </c>
      <c r="AB35" s="538">
        <f t="shared" si="6"/>
      </c>
      <c r="AC35" s="537">
        <f t="shared" si="7"/>
      </c>
      <c r="AD35" s="538">
        <f t="shared" si="8"/>
      </c>
      <c r="AE35" s="537">
        <f t="shared" si="9"/>
      </c>
      <c r="AF35" s="539">
        <f t="shared" si="10"/>
      </c>
      <c r="AG35" s="506">
        <f t="shared" si="11"/>
      </c>
      <c r="AH35" s="503">
        <f t="shared" si="13"/>
      </c>
      <c r="AI35" s="851">
        <f>IF(B35="","",VLOOKUP($B35,'6-2_算定表④(旧・新制度)'!$B$8:$AB$65536,27,FALSE))</f>
      </c>
      <c r="AJ35" s="852" t="s">
        <v>205</v>
      </c>
      <c r="AK35" s="853" t="s">
        <v>205</v>
      </c>
      <c r="AM35" s="63">
        <f t="shared" si="14"/>
      </c>
      <c r="AN35" s="63">
        <f t="shared" si="12"/>
      </c>
    </row>
    <row r="36" spans="1:40" s="54" customFormat="1" ht="18.75" customHeight="1">
      <c r="A36" s="27">
        <f t="shared" si="0"/>
      </c>
      <c r="B36" s="280"/>
      <c r="C36" s="97">
        <f>IF(B36="","",VLOOKUP($B36,'6-2_算定表④(旧・新制度)'!$B$8:$R$65536,2,FALSE))</f>
      </c>
      <c r="D36" s="541">
        <f>IF(B36="","",VLOOKUP($B36,'6-2_算定表④(旧・新制度)'!$B$8:$R$65536,3,FALSE))</f>
      </c>
      <c r="E36" s="98">
        <f>IF(C36="","",VLOOKUP($B36,'6-2_算定表④(旧・新制度)'!$B$8:$R$65536,4,FALSE))</f>
      </c>
      <c r="F36" s="542">
        <f>IF(B36="","",VLOOKUP($B36,'6-2_算定表④(旧・新制度)'!$B$8:$R$65536,11,FALSE))</f>
      </c>
      <c r="G36" s="493">
        <f>IF(B36="","",VLOOKUP($B36,'6-2_算定表④(旧・新制度)'!$B$8:$R$65536,13,FALSE))</f>
      </c>
      <c r="H36" s="542">
        <f>IF(B36="","",VLOOKUP($B36,'6-2_算定表④(旧・新制度)'!$B$8:$R$65536,14,FALSE))</f>
      </c>
      <c r="I36" s="493">
        <f>IF(B36="","",VLOOKUP($B36,'6-2_算定表④(旧・新制度)'!$B$8:$R$65536,16,FALSE))</f>
      </c>
      <c r="J36" s="506">
        <f>IF(B36="","",VLOOKUP($B36,'6-2_算定表④(旧・新制度)'!$B$8:$R$65536,17,FALSE))</f>
      </c>
      <c r="K36" s="543">
        <f>IF($B36="","",VLOOKUP($B36,'6-2_算定表④(旧・新制度)'!$B$8:$R$65536,11,FALSE))</f>
      </c>
      <c r="L36" s="544">
        <f>IF($B36="","",VLOOKUP($B36,'6-2_算定表④(旧・新制度)'!$B$8:$R$65536,11,FALSE))</f>
      </c>
      <c r="M36" s="545">
        <f>IF($B36="","",VLOOKUP($B36,'6-2_算定表④(旧・新制度)'!$B$8:$R$65536,11,FALSE))</f>
      </c>
      <c r="N36" s="543">
        <f>IF($B36="","",VLOOKUP($B36,'6-2_算定表④(旧・新制度)'!$B$8:$R$65536,14,FALSE))</f>
      </c>
      <c r="O36" s="544">
        <f>IF($B36="","",VLOOKUP($B36,'6-2_算定表④(旧・新制度)'!$B$8:$R$65536,14,FALSE))</f>
      </c>
      <c r="P36" s="544">
        <f>IF($B36="","",VLOOKUP($B36,'6-2_算定表④(旧・新制度)'!$B$8:$R$65536,14,FALSE))</f>
      </c>
      <c r="Q36" s="544">
        <f>IF($B36="","",VLOOKUP($B36,'6-2_算定表④(旧・新制度)'!$B$8:$R$65536,14,FALSE))</f>
      </c>
      <c r="R36" s="544">
        <f>IF($B36="","",VLOOKUP($B36,'6-2_算定表④(旧・新制度)'!$B$8:$R$65536,14,FALSE))</f>
      </c>
      <c r="S36" s="544">
        <f>IF($B36="","",VLOOKUP($B36,'6-2_算定表④(旧・新制度)'!$B$8:$R$65536,14,FALSE))</f>
      </c>
      <c r="T36" s="544">
        <f>IF($B36="","",VLOOKUP($B36,'6-2_算定表④(旧・新制度)'!$B$8:$R$65536,14,FALSE))</f>
      </c>
      <c r="U36" s="544">
        <f>IF($B36="","",VLOOKUP($B36,'6-2_算定表④(旧・新制度)'!$B$8:$R$65536,14,FALSE))</f>
      </c>
      <c r="V36" s="545">
        <f>IF($B36="","",VLOOKUP($B36,'6-2_算定表④(旧・新制度)'!$B$8:$R$65536,14,FALSE))</f>
      </c>
      <c r="W36" s="546">
        <f t="shared" si="1"/>
      </c>
      <c r="X36" s="547">
        <f t="shared" si="2"/>
      </c>
      <c r="Y36" s="546">
        <f t="shared" si="3"/>
      </c>
      <c r="Z36" s="548">
        <f t="shared" si="4"/>
      </c>
      <c r="AA36" s="567">
        <f t="shared" si="5"/>
      </c>
      <c r="AB36" s="538">
        <f t="shared" si="6"/>
      </c>
      <c r="AC36" s="537">
        <f t="shared" si="7"/>
      </c>
      <c r="AD36" s="538">
        <f t="shared" si="8"/>
      </c>
      <c r="AE36" s="537">
        <f t="shared" si="9"/>
      </c>
      <c r="AF36" s="539">
        <f t="shared" si="10"/>
      </c>
      <c r="AG36" s="506">
        <f t="shared" si="11"/>
      </c>
      <c r="AH36" s="503">
        <f t="shared" si="13"/>
      </c>
      <c r="AI36" s="851">
        <f>IF(B36="","",VLOOKUP($B36,'6-2_算定表④(旧・新制度)'!$B$8:$AB$65536,27,FALSE))</f>
      </c>
      <c r="AJ36" s="852" t="s">
        <v>205</v>
      </c>
      <c r="AK36" s="853" t="s">
        <v>205</v>
      </c>
      <c r="AM36" s="63">
        <f t="shared" si="14"/>
      </c>
      <c r="AN36" s="63">
        <f t="shared" si="12"/>
      </c>
    </row>
    <row r="37" spans="1:40" s="54" customFormat="1" ht="18.75" customHeight="1">
      <c r="A37" s="27">
        <f t="shared" si="0"/>
      </c>
      <c r="B37" s="280"/>
      <c r="C37" s="97">
        <f>IF(B37="","",VLOOKUP($B37,'6-2_算定表④(旧・新制度)'!$B$8:$R$65536,2,FALSE))</f>
      </c>
      <c r="D37" s="541">
        <f>IF(B37="","",VLOOKUP($B37,'6-2_算定表④(旧・新制度)'!$B$8:$R$65536,3,FALSE))</f>
      </c>
      <c r="E37" s="98">
        <f>IF(C37="","",VLOOKUP($B37,'6-2_算定表④(旧・新制度)'!$B$8:$R$65536,4,FALSE))</f>
      </c>
      <c r="F37" s="542">
        <f>IF(B37="","",VLOOKUP($B37,'6-2_算定表④(旧・新制度)'!$B$8:$R$65536,11,FALSE))</f>
      </c>
      <c r="G37" s="493">
        <f>IF(B37="","",VLOOKUP($B37,'6-2_算定表④(旧・新制度)'!$B$8:$R$65536,13,FALSE))</f>
      </c>
      <c r="H37" s="542">
        <f>IF(B37="","",VLOOKUP($B37,'6-2_算定表④(旧・新制度)'!$B$8:$R$65536,14,FALSE))</f>
      </c>
      <c r="I37" s="493">
        <f>IF(B37="","",VLOOKUP($B37,'6-2_算定表④(旧・新制度)'!$B$8:$R$65536,16,FALSE))</f>
      </c>
      <c r="J37" s="506">
        <f>IF(B37="","",VLOOKUP($B37,'6-2_算定表④(旧・新制度)'!$B$8:$R$65536,17,FALSE))</f>
      </c>
      <c r="K37" s="543">
        <f>IF($B37="","",VLOOKUP($B37,'6-2_算定表④(旧・新制度)'!$B$8:$R$65536,11,FALSE))</f>
      </c>
      <c r="L37" s="544">
        <f>IF($B37="","",VLOOKUP($B37,'6-2_算定表④(旧・新制度)'!$B$8:$R$65536,11,FALSE))</f>
      </c>
      <c r="M37" s="545">
        <f>IF($B37="","",VLOOKUP($B37,'6-2_算定表④(旧・新制度)'!$B$8:$R$65536,11,FALSE))</f>
      </c>
      <c r="N37" s="543">
        <f>IF($B37="","",VLOOKUP($B37,'6-2_算定表④(旧・新制度)'!$B$8:$R$65536,14,FALSE))</f>
      </c>
      <c r="O37" s="544">
        <f>IF($B37="","",VLOOKUP($B37,'6-2_算定表④(旧・新制度)'!$B$8:$R$65536,14,FALSE))</f>
      </c>
      <c r="P37" s="544">
        <f>IF($B37="","",VLOOKUP($B37,'6-2_算定表④(旧・新制度)'!$B$8:$R$65536,14,FALSE))</f>
      </c>
      <c r="Q37" s="544">
        <f>IF($B37="","",VLOOKUP($B37,'6-2_算定表④(旧・新制度)'!$B$8:$R$65536,14,FALSE))</f>
      </c>
      <c r="R37" s="544">
        <f>IF($B37="","",VLOOKUP($B37,'6-2_算定表④(旧・新制度)'!$B$8:$R$65536,14,FALSE))</f>
      </c>
      <c r="S37" s="544">
        <f>IF($B37="","",VLOOKUP($B37,'6-2_算定表④(旧・新制度)'!$B$8:$R$65536,14,FALSE))</f>
      </c>
      <c r="T37" s="544">
        <f>IF($B37="","",VLOOKUP($B37,'6-2_算定表④(旧・新制度)'!$B$8:$R$65536,14,FALSE))</f>
      </c>
      <c r="U37" s="544">
        <f>IF($B37="","",VLOOKUP($B37,'6-2_算定表④(旧・新制度)'!$B$8:$R$65536,14,FALSE))</f>
      </c>
      <c r="V37" s="545">
        <f>IF($B37="","",VLOOKUP($B37,'6-2_算定表④(旧・新制度)'!$B$8:$R$65536,14,FALSE))</f>
      </c>
      <c r="W37" s="546">
        <f t="shared" si="1"/>
      </c>
      <c r="X37" s="547">
        <f t="shared" si="2"/>
      </c>
      <c r="Y37" s="546">
        <f t="shared" si="3"/>
      </c>
      <c r="Z37" s="548">
        <f t="shared" si="4"/>
      </c>
      <c r="AA37" s="567">
        <f t="shared" si="5"/>
      </c>
      <c r="AB37" s="538">
        <f t="shared" si="6"/>
      </c>
      <c r="AC37" s="537">
        <f t="shared" si="7"/>
      </c>
      <c r="AD37" s="538">
        <f t="shared" si="8"/>
      </c>
      <c r="AE37" s="537">
        <f t="shared" si="9"/>
      </c>
      <c r="AF37" s="539">
        <f t="shared" si="10"/>
      </c>
      <c r="AG37" s="506">
        <f t="shared" si="11"/>
      </c>
      <c r="AH37" s="503">
        <f t="shared" si="13"/>
      </c>
      <c r="AI37" s="851">
        <f>IF(B37="","",VLOOKUP($B37,'6-2_算定表④(旧・新制度)'!$B$8:$AB$65536,27,FALSE))</f>
      </c>
      <c r="AJ37" s="852" t="s">
        <v>205</v>
      </c>
      <c r="AK37" s="853" t="s">
        <v>205</v>
      </c>
      <c r="AM37" s="63">
        <f t="shared" si="14"/>
      </c>
      <c r="AN37" s="63">
        <f t="shared" si="12"/>
      </c>
    </row>
    <row r="38" spans="1:40" s="54" customFormat="1" ht="18.75" customHeight="1" thickBot="1">
      <c r="A38" s="27">
        <f t="shared" si="0"/>
      </c>
      <c r="B38" s="280"/>
      <c r="C38" s="97">
        <f>IF(B38="","",VLOOKUP($B38,'6-2_算定表④(旧・新制度)'!$B$8:$R$65536,2,FALSE))</f>
      </c>
      <c r="D38" s="541">
        <f>IF(B38="","",VLOOKUP($B38,'6-2_算定表④(旧・新制度)'!$B$8:$R$65536,3,FALSE))</f>
      </c>
      <c r="E38" s="98">
        <f>IF(C38="","",VLOOKUP($B38,'6-2_算定表④(旧・新制度)'!$B$8:$R$65536,4,FALSE))</f>
      </c>
      <c r="F38" s="542">
        <f>IF(B38="","",VLOOKUP($B38,'6-2_算定表④(旧・新制度)'!$B$8:$R$65536,11,FALSE))</f>
      </c>
      <c r="G38" s="493">
        <f>IF(B38="","",VLOOKUP($B38,'6-2_算定表④(旧・新制度)'!$B$8:$R$65536,13,FALSE))</f>
      </c>
      <c r="H38" s="542">
        <f>IF(B38="","",VLOOKUP($B38,'6-2_算定表④(旧・新制度)'!$B$8:$R$65536,14,FALSE))</f>
      </c>
      <c r="I38" s="493">
        <f>IF(B38="","",VLOOKUP($B38,'6-2_算定表④(旧・新制度)'!$B$8:$R$65536,16,FALSE))</f>
      </c>
      <c r="J38" s="506">
        <f>IF(B38="","",VLOOKUP($B38,'6-2_算定表④(旧・新制度)'!$B$8:$R$65536,17,FALSE))</f>
      </c>
      <c r="K38" s="543">
        <f>IF($B38="","",VLOOKUP($B38,'6-2_算定表④(旧・新制度)'!$B$8:$R$65536,11,FALSE))</f>
      </c>
      <c r="L38" s="544">
        <f>IF($B38="","",VLOOKUP($B38,'6-2_算定表④(旧・新制度)'!$B$8:$R$65536,11,FALSE))</f>
      </c>
      <c r="M38" s="545">
        <f>IF($B38="","",VLOOKUP($B38,'6-2_算定表④(旧・新制度)'!$B$8:$R$65536,11,FALSE))</f>
      </c>
      <c r="N38" s="543">
        <f>IF($B38="","",VLOOKUP($B38,'6-2_算定表④(旧・新制度)'!$B$8:$R$65536,14,FALSE))</f>
      </c>
      <c r="O38" s="544">
        <f>IF($B38="","",VLOOKUP($B38,'6-2_算定表④(旧・新制度)'!$B$8:$R$65536,14,FALSE))</f>
      </c>
      <c r="P38" s="544">
        <f>IF($B38="","",VLOOKUP($B38,'6-2_算定表④(旧・新制度)'!$B$8:$R$65536,14,FALSE))</f>
      </c>
      <c r="Q38" s="544">
        <f>IF($B38="","",VLOOKUP($B38,'6-2_算定表④(旧・新制度)'!$B$8:$R$65536,14,FALSE))</f>
      </c>
      <c r="R38" s="544">
        <f>IF($B38="","",VLOOKUP($B38,'6-2_算定表④(旧・新制度)'!$B$8:$R$65536,14,FALSE))</f>
      </c>
      <c r="S38" s="544">
        <f>IF($B38="","",VLOOKUP($B38,'6-2_算定表④(旧・新制度)'!$B$8:$R$65536,14,FALSE))</f>
      </c>
      <c r="T38" s="544">
        <f>IF($B38="","",VLOOKUP($B38,'6-2_算定表④(旧・新制度)'!$B$8:$R$65536,14,FALSE))</f>
      </c>
      <c r="U38" s="544">
        <f>IF($B38="","",VLOOKUP($B38,'6-2_算定表④(旧・新制度)'!$B$8:$R$65536,14,FALSE))</f>
      </c>
      <c r="V38" s="545">
        <f>IF($B38="","",VLOOKUP($B38,'6-2_算定表④(旧・新制度)'!$B$8:$R$65536,14,FALSE))</f>
      </c>
      <c r="W38" s="546">
        <f t="shared" si="1"/>
      </c>
      <c r="X38" s="547">
        <f t="shared" si="2"/>
      </c>
      <c r="Y38" s="546">
        <f t="shared" si="3"/>
      </c>
      <c r="Z38" s="548">
        <f t="shared" si="4"/>
      </c>
      <c r="AA38" s="567">
        <f t="shared" si="5"/>
      </c>
      <c r="AB38" s="538">
        <f t="shared" si="6"/>
      </c>
      <c r="AC38" s="537">
        <f t="shared" si="7"/>
      </c>
      <c r="AD38" s="538">
        <f t="shared" si="8"/>
      </c>
      <c r="AE38" s="537">
        <f t="shared" si="9"/>
      </c>
      <c r="AF38" s="539">
        <f t="shared" si="10"/>
      </c>
      <c r="AG38" s="506">
        <f t="shared" si="11"/>
      </c>
      <c r="AH38" s="503">
        <f t="shared" si="13"/>
      </c>
      <c r="AI38" s="950">
        <f>IF(B38="","",VLOOKUP($B38,'6-2_算定表④(旧・新制度)'!$B$8:$AB$65536,27,FALSE))</f>
      </c>
      <c r="AJ38" s="951" t="s">
        <v>205</v>
      </c>
      <c r="AK38" s="952" t="s">
        <v>205</v>
      </c>
      <c r="AM38" s="63">
        <f t="shared" si="14"/>
      </c>
      <c r="AN38" s="63">
        <f t="shared" si="12"/>
      </c>
    </row>
    <row r="39" spans="1:40" s="69" customFormat="1" ht="18.75" customHeight="1" thickBot="1">
      <c r="A39" s="715" t="s">
        <v>27</v>
      </c>
      <c r="B39" s="850"/>
      <c r="C39" s="850"/>
      <c r="D39" s="850"/>
      <c r="E39" s="850"/>
      <c r="F39" s="850"/>
      <c r="G39" s="850"/>
      <c r="H39" s="850"/>
      <c r="I39" s="850"/>
      <c r="J39" s="513">
        <f>SUM(J9:J38)</f>
        <v>0</v>
      </c>
      <c r="K39" s="568" t="s">
        <v>155</v>
      </c>
      <c r="L39" s="569" t="s">
        <v>155</v>
      </c>
      <c r="M39" s="570" t="s">
        <v>155</v>
      </c>
      <c r="N39" s="568" t="s">
        <v>155</v>
      </c>
      <c r="O39" s="569" t="s">
        <v>155</v>
      </c>
      <c r="P39" s="569" t="s">
        <v>155</v>
      </c>
      <c r="Q39" s="569" t="s">
        <v>155</v>
      </c>
      <c r="R39" s="569" t="s">
        <v>155</v>
      </c>
      <c r="S39" s="569" t="s">
        <v>155</v>
      </c>
      <c r="T39" s="569" t="s">
        <v>155</v>
      </c>
      <c r="U39" s="569" t="s">
        <v>155</v>
      </c>
      <c r="V39" s="570" t="s">
        <v>155</v>
      </c>
      <c r="W39" s="568" t="s">
        <v>155</v>
      </c>
      <c r="X39" s="571" t="s">
        <v>155</v>
      </c>
      <c r="Y39" s="568" t="s">
        <v>155</v>
      </c>
      <c r="Z39" s="572" t="s">
        <v>155</v>
      </c>
      <c r="AA39" s="573" t="s">
        <v>155</v>
      </c>
      <c r="AB39" s="574" t="s">
        <v>155</v>
      </c>
      <c r="AC39" s="575" t="s">
        <v>155</v>
      </c>
      <c r="AD39" s="574" t="s">
        <v>155</v>
      </c>
      <c r="AE39" s="575" t="s">
        <v>155</v>
      </c>
      <c r="AF39" s="570" t="s">
        <v>155</v>
      </c>
      <c r="AG39" s="513">
        <f>SUM(AG9:AG38)</f>
        <v>0</v>
      </c>
      <c r="AH39" s="513">
        <f>SUM(AH9:AH38)</f>
        <v>0</v>
      </c>
      <c r="AI39" s="718"/>
      <c r="AJ39" s="719"/>
      <c r="AK39" s="720"/>
      <c r="AM39" s="70"/>
      <c r="AN39" s="70"/>
    </row>
    <row r="40" spans="1:40" s="71" customFormat="1" ht="16.5" customHeight="1">
      <c r="A40" s="71" t="s">
        <v>29</v>
      </c>
      <c r="B40" s="268"/>
      <c r="C40" s="290"/>
      <c r="AM40" s="72"/>
      <c r="AN40" s="72"/>
    </row>
    <row r="41" spans="1:31" s="190" customFormat="1" ht="14.25" customHeight="1">
      <c r="A41" s="283" t="s">
        <v>254</v>
      </c>
      <c r="B41" s="269"/>
      <c r="C41" s="291"/>
      <c r="Z41" s="191"/>
      <c r="AA41" s="191"/>
      <c r="AC41" s="191"/>
      <c r="AE41" s="191"/>
    </row>
    <row r="42" spans="1:40" s="190" customFormat="1" ht="11.25">
      <c r="A42" s="283" t="s">
        <v>71</v>
      </c>
      <c r="C42" s="291"/>
      <c r="AM42" s="191"/>
      <c r="AN42" s="191"/>
    </row>
    <row r="43" spans="1:40" s="190" customFormat="1" ht="10.5" customHeight="1">
      <c r="A43" s="283" t="s">
        <v>179</v>
      </c>
      <c r="B43" s="269"/>
      <c r="C43" s="291"/>
      <c r="AM43" s="191"/>
      <c r="AN43" s="191"/>
    </row>
    <row r="44" spans="2:40" s="71" customFormat="1" ht="10.5" customHeight="1">
      <c r="B44" s="268"/>
      <c r="C44" s="290"/>
      <c r="AM44" s="72"/>
      <c r="AN44" s="72"/>
    </row>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sheetData>
  <sheetProtection/>
  <mergeCells count="82">
    <mergeCell ref="K4:AF4"/>
    <mergeCell ref="AG4:AG7"/>
    <mergeCell ref="W1:Y1"/>
    <mergeCell ref="Z1:AH1"/>
    <mergeCell ref="AJ1:AK1"/>
    <mergeCell ref="W2:Y2"/>
    <mergeCell ref="Z2:AH2"/>
    <mergeCell ref="AJ2:AK2"/>
    <mergeCell ref="K5:V5"/>
    <mergeCell ref="W5:AF5"/>
    <mergeCell ref="A4:A8"/>
    <mergeCell ref="B4:B8"/>
    <mergeCell ref="C4:C8"/>
    <mergeCell ref="D4:D8"/>
    <mergeCell ref="E4:E8"/>
    <mergeCell ref="F4:J4"/>
    <mergeCell ref="I6:I7"/>
    <mergeCell ref="J6:J7"/>
    <mergeCell ref="F5:J5"/>
    <mergeCell ref="F6:F8"/>
    <mergeCell ref="G6:G7"/>
    <mergeCell ref="H6:H8"/>
    <mergeCell ref="K6:M6"/>
    <mergeCell ref="N6:V6"/>
    <mergeCell ref="AC6:AC8"/>
    <mergeCell ref="AD6:AD8"/>
    <mergeCell ref="W6:W8"/>
    <mergeCell ref="X6:X8"/>
    <mergeCell ref="Y6:Y8"/>
    <mergeCell ref="Z6:Z8"/>
    <mergeCell ref="Q7:Q8"/>
    <mergeCell ref="R7:R8"/>
    <mergeCell ref="S7:S8"/>
    <mergeCell ref="T7:T8"/>
    <mergeCell ref="U7:U8"/>
    <mergeCell ref="V7:V8"/>
    <mergeCell ref="K7:K8"/>
    <mergeCell ref="L7:L8"/>
    <mergeCell ref="M7:M8"/>
    <mergeCell ref="N7:N8"/>
    <mergeCell ref="O7:O8"/>
    <mergeCell ref="P7:P8"/>
    <mergeCell ref="AM7:AM8"/>
    <mergeCell ref="AN7:AN8"/>
    <mergeCell ref="AI9:AK9"/>
    <mergeCell ref="AI10:AK10"/>
    <mergeCell ref="AA6:AA8"/>
    <mergeCell ref="AB6:AB8"/>
    <mergeCell ref="AE6:AE8"/>
    <mergeCell ref="AF6:AF8"/>
    <mergeCell ref="AH4:AH7"/>
    <mergeCell ref="AI4:AK8"/>
    <mergeCell ref="AI11:AK11"/>
    <mergeCell ref="AI12:AK12"/>
    <mergeCell ref="AI13:AK13"/>
    <mergeCell ref="AI14:AK14"/>
    <mergeCell ref="AI15:AK15"/>
    <mergeCell ref="AI16:AK16"/>
    <mergeCell ref="AI17:AK17"/>
    <mergeCell ref="AI18:AK18"/>
    <mergeCell ref="AI19:AK19"/>
    <mergeCell ref="AI20:AK20"/>
    <mergeCell ref="AI21:AK21"/>
    <mergeCell ref="AI22:AK22"/>
    <mergeCell ref="AI23:AK23"/>
    <mergeCell ref="AI24:AK24"/>
    <mergeCell ref="AI25:AK25"/>
    <mergeCell ref="AI26:AK26"/>
    <mergeCell ref="AI27:AK27"/>
    <mergeCell ref="AI28:AK28"/>
    <mergeCell ref="AI29:AK29"/>
    <mergeCell ref="AI30:AK30"/>
    <mergeCell ref="AI31:AK31"/>
    <mergeCell ref="AI32:AK32"/>
    <mergeCell ref="AI33:AK33"/>
    <mergeCell ref="AI34:AK34"/>
    <mergeCell ref="AI35:AK35"/>
    <mergeCell ref="AI36:AK36"/>
    <mergeCell ref="AI37:AK37"/>
    <mergeCell ref="AI38:AK38"/>
    <mergeCell ref="A39:I39"/>
    <mergeCell ref="AI39:AK39"/>
  </mergeCells>
  <dataValidations count="2">
    <dataValidation type="list" allowBlank="1" showInputMessage="1" showErrorMessage="1" sqref="K9:V38">
      <formula1>"Ａ,Ｂ,Ｃ１,Ｃ２,Ｄ"</formula1>
    </dataValidation>
    <dataValidation type="whole" allowBlank="1" showInputMessage="1" showErrorMessage="1" sqref="B14:B38">
      <formula1>1</formula1>
      <formula2>999999</formula2>
    </dataValidation>
  </dataValidations>
  <printOptions/>
  <pageMargins left="0.7480314960629921" right="0.7480314960629921" top="0.984251968503937" bottom="0.984251968503937" header="0.5118110236220472" footer="0.5118110236220472"/>
  <pageSetup cellComments="asDisplayed" fitToWidth="0" horizontalDpi="600" verticalDpi="600" orientation="landscape" paperSize="9" scale="51" r:id="rId1"/>
</worksheet>
</file>

<file path=xl/worksheets/sheet15.xml><?xml version="1.0" encoding="utf-8"?>
<worksheet xmlns="http://schemas.openxmlformats.org/spreadsheetml/2006/main" xmlns:r="http://schemas.openxmlformats.org/officeDocument/2006/relationships">
  <sheetPr>
    <tabColor rgb="FF7030A0"/>
  </sheetPr>
  <dimension ref="A1:W37"/>
  <sheetViews>
    <sheetView view="pageBreakPreview" zoomScale="85" zoomScaleNormal="75" zoomScaleSheetLayoutView="85" zoomScalePageLayoutView="0" workbookViewId="0" topLeftCell="A1">
      <pane xSplit="1" ySplit="8" topLeftCell="B9" activePane="bottomRight" state="frozen"/>
      <selection pane="topLeft" activeCell="M24" sqref="M24"/>
      <selection pane="topRight" activeCell="M24" sqref="M24"/>
      <selection pane="bottomLeft" activeCell="M24" sqref="M24"/>
      <selection pane="bottomRight" activeCell="M24" sqref="M24"/>
    </sheetView>
  </sheetViews>
  <sheetFormatPr defaultColWidth="9.625" defaultRowHeight="13.5"/>
  <cols>
    <col min="1" max="1" width="6.875" style="40" customWidth="1"/>
    <col min="2" max="4" width="12.50390625" style="40" customWidth="1"/>
    <col min="5" max="5" width="10.25390625" style="40" bestFit="1" customWidth="1"/>
    <col min="6" max="6" width="13.625" style="40" customWidth="1"/>
    <col min="7" max="7" width="13.00390625" style="40" customWidth="1"/>
    <col min="8" max="8" width="11.25390625" style="40" bestFit="1" customWidth="1"/>
    <col min="9" max="10" width="12.25390625" style="40" bestFit="1" customWidth="1"/>
    <col min="11" max="11" width="5.125" style="40" customWidth="1"/>
    <col min="12" max="12" width="10.00390625" style="40" customWidth="1"/>
    <col min="13" max="13" width="8.25390625" style="40" customWidth="1"/>
    <col min="14" max="14" width="14.875" style="40" customWidth="1"/>
    <col min="15" max="15" width="8.25390625" style="40" customWidth="1"/>
    <col min="16" max="16" width="14.875" style="40" customWidth="1"/>
    <col min="17" max="17" width="8.25390625" style="344" customWidth="1"/>
    <col min="18" max="18" width="14.875" style="344" customWidth="1"/>
    <col min="19" max="19" width="3.125" style="40" customWidth="1"/>
    <col min="20" max="21" width="5.625" style="40" customWidth="1"/>
    <col min="22" max="22" width="8.25390625" style="40" customWidth="1"/>
    <col min="23" max="16384" width="9.625" style="40" customWidth="1"/>
  </cols>
  <sheetData>
    <row r="1" ht="18.75" customHeight="1" thickBot="1">
      <c r="A1" s="38" t="s">
        <v>244</v>
      </c>
    </row>
    <row r="2" spans="8:18" ht="24.75" customHeight="1" thickBot="1">
      <c r="H2" s="416"/>
      <c r="I2" s="417"/>
      <c r="J2" s="413"/>
      <c r="K2" s="413"/>
      <c r="L2" s="703" t="s">
        <v>25</v>
      </c>
      <c r="M2" s="704"/>
      <c r="N2" s="707">
        <f>'5_総括表'!E3</f>
        <v>0</v>
      </c>
      <c r="O2" s="708"/>
      <c r="P2" s="703" t="s">
        <v>26</v>
      </c>
      <c r="Q2" s="704"/>
      <c r="R2" s="180">
        <f>'5_総括表'!Z3</f>
        <v>0</v>
      </c>
    </row>
    <row r="3" spans="1:18" ht="24.75" customHeight="1" thickBot="1">
      <c r="A3" s="38"/>
      <c r="F3" s="130"/>
      <c r="G3" s="130"/>
      <c r="H3" s="416"/>
      <c r="I3" s="417"/>
      <c r="J3" s="413"/>
      <c r="K3" s="413"/>
      <c r="L3" s="705" t="s">
        <v>23</v>
      </c>
      <c r="M3" s="706"/>
      <c r="N3" s="707">
        <f>'5_総括表'!E4</f>
        <v>0</v>
      </c>
      <c r="O3" s="708"/>
      <c r="P3" s="705" t="s">
        <v>24</v>
      </c>
      <c r="Q3" s="706"/>
      <c r="R3" s="414">
        <f>'5_総括表'!Z4</f>
        <v>0</v>
      </c>
    </row>
    <row r="4" spans="1:9" ht="18.75" customHeight="1" thickBot="1">
      <c r="A4" s="330" t="s">
        <v>231</v>
      </c>
      <c r="F4" s="131"/>
      <c r="G4" s="131"/>
      <c r="H4" s="131"/>
      <c r="I4" s="131"/>
    </row>
    <row r="5" spans="1:18" s="44" customFormat="1" ht="19.5" customHeight="1" thickBot="1">
      <c r="A5" s="132" t="s">
        <v>17</v>
      </c>
      <c r="B5" s="669" t="s">
        <v>125</v>
      </c>
      <c r="C5" s="334"/>
      <c r="D5" s="335"/>
      <c r="E5" s="670" t="s">
        <v>160</v>
      </c>
      <c r="F5" s="174"/>
      <c r="G5" s="175"/>
      <c r="H5" s="672" t="s">
        <v>147</v>
      </c>
      <c r="I5" s="674" t="s">
        <v>148</v>
      </c>
      <c r="J5" s="674" t="s">
        <v>149</v>
      </c>
      <c r="K5" s="664" t="s">
        <v>245</v>
      </c>
      <c r="L5" s="665"/>
      <c r="M5" s="665"/>
      <c r="N5" s="666"/>
      <c r="O5" s="667" t="s">
        <v>246</v>
      </c>
      <c r="P5" s="668"/>
      <c r="Q5" s="667" t="s">
        <v>247</v>
      </c>
      <c r="R5" s="668"/>
    </row>
    <row r="6" spans="1:20" s="44" customFormat="1" ht="38.25" customHeight="1" thickBot="1">
      <c r="A6" s="676" t="s">
        <v>119</v>
      </c>
      <c r="B6" s="670"/>
      <c r="C6" s="336" t="s">
        <v>211</v>
      </c>
      <c r="D6" s="336" t="s">
        <v>67</v>
      </c>
      <c r="E6" s="671"/>
      <c r="F6" s="133" t="s">
        <v>141</v>
      </c>
      <c r="G6" s="135" t="s">
        <v>124</v>
      </c>
      <c r="H6" s="673"/>
      <c r="I6" s="670"/>
      <c r="J6" s="675"/>
      <c r="K6" s="133" t="s">
        <v>21</v>
      </c>
      <c r="L6" s="134" t="s">
        <v>50</v>
      </c>
      <c r="M6" s="407" t="s">
        <v>49</v>
      </c>
      <c r="N6" s="408" t="s">
        <v>68</v>
      </c>
      <c r="O6" s="407" t="s">
        <v>49</v>
      </c>
      <c r="P6" s="408" t="s">
        <v>68</v>
      </c>
      <c r="Q6" s="401" t="s">
        <v>49</v>
      </c>
      <c r="R6" s="402" t="s">
        <v>68</v>
      </c>
      <c r="T6" s="137" t="s">
        <v>70</v>
      </c>
    </row>
    <row r="7" spans="1:20" s="44" customFormat="1" ht="20.25" customHeight="1" thickBot="1">
      <c r="A7" s="677"/>
      <c r="B7" s="48" t="s">
        <v>126</v>
      </c>
      <c r="C7" s="48" t="s">
        <v>127</v>
      </c>
      <c r="D7" s="48" t="s">
        <v>128</v>
      </c>
      <c r="E7" s="48" t="s">
        <v>144</v>
      </c>
      <c r="F7" s="138" t="s">
        <v>129</v>
      </c>
      <c r="G7" s="140" t="s">
        <v>130</v>
      </c>
      <c r="H7" s="170" t="s">
        <v>131</v>
      </c>
      <c r="I7" s="48" t="s">
        <v>132</v>
      </c>
      <c r="J7" s="47" t="s">
        <v>133</v>
      </c>
      <c r="K7" s="138"/>
      <c r="L7" s="139"/>
      <c r="M7" s="140"/>
      <c r="N7" s="393" t="s">
        <v>102</v>
      </c>
      <c r="O7" s="140"/>
      <c r="P7" s="393" t="s">
        <v>102</v>
      </c>
      <c r="Q7" s="403"/>
      <c r="R7" s="404"/>
      <c r="T7" s="142"/>
    </row>
    <row r="8" spans="1:18" s="149" customFormat="1" ht="20.25" customHeight="1" thickBot="1">
      <c r="A8" s="143"/>
      <c r="B8" s="144" t="s">
        <v>19</v>
      </c>
      <c r="C8" s="144" t="s">
        <v>19</v>
      </c>
      <c r="D8" s="144" t="s">
        <v>19</v>
      </c>
      <c r="E8" s="144" t="s">
        <v>145</v>
      </c>
      <c r="F8" s="145" t="s">
        <v>142</v>
      </c>
      <c r="G8" s="147" t="s">
        <v>143</v>
      </c>
      <c r="H8" s="171" t="s">
        <v>22</v>
      </c>
      <c r="I8" s="144" t="s">
        <v>22</v>
      </c>
      <c r="J8" s="144" t="s">
        <v>22</v>
      </c>
      <c r="K8" s="145"/>
      <c r="L8" s="146" t="s">
        <v>20</v>
      </c>
      <c r="M8" s="147" t="s">
        <v>19</v>
      </c>
      <c r="N8" s="395" t="s">
        <v>20</v>
      </c>
      <c r="O8" s="147" t="s">
        <v>19</v>
      </c>
      <c r="P8" s="148" t="s">
        <v>20</v>
      </c>
      <c r="Q8" s="405" t="s">
        <v>19</v>
      </c>
      <c r="R8" s="406" t="s">
        <v>20</v>
      </c>
    </row>
    <row r="9" spans="1:20" s="44" customFormat="1" ht="18" customHeight="1" thickBot="1">
      <c r="A9" s="678">
        <v>1</v>
      </c>
      <c r="B9" s="908"/>
      <c r="C9" s="908"/>
      <c r="D9" s="908"/>
      <c r="E9" s="904"/>
      <c r="F9" s="469"/>
      <c r="G9" s="470"/>
      <c r="H9" s="593">
        <f>IF(F9="","",IF(ISERROR(F9+ROUNDDOWN(G9*3/74,0)),"",F9+ROUNDDOWN(G9*3/74,0)))</f>
      </c>
      <c r="I9" s="594">
        <f>IF(H9="","",IF(H9&gt;10032,10032,H9))</f>
      </c>
      <c r="J9" s="595">
        <f>IF(H9="","",MIN(H9,I9))</f>
      </c>
      <c r="K9" s="152" t="s">
        <v>84</v>
      </c>
      <c r="L9" s="74">
        <v>1532</v>
      </c>
      <c r="M9" s="444"/>
      <c r="N9" s="445"/>
      <c r="O9" s="425">
        <f>SUMIF('6-2_算定表⑤(新・新制度)'!$AF:$AF,$T9,'6-2_算定表⑤(新・新制度)'!$AG:$AG)</f>
        <v>0</v>
      </c>
      <c r="P9" s="153">
        <f>SUMIF('6-2_算定表⑤(新・新制度)'!$AF:$AF,$T9,'6-2_算定表⑤(新・新制度)'!$AA:$AA)</f>
        <v>0</v>
      </c>
      <c r="Q9" s="427">
        <f>O9-M9</f>
        <v>0</v>
      </c>
      <c r="R9" s="428">
        <f>P9-N9</f>
        <v>0</v>
      </c>
      <c r="T9" s="154" t="str">
        <f>ASC($A$9&amp;$K9)</f>
        <v>1A</v>
      </c>
    </row>
    <row r="10" spans="1:22" s="44" customFormat="1" ht="18" customHeight="1" thickBot="1">
      <c r="A10" s="678"/>
      <c r="B10" s="909"/>
      <c r="C10" s="909"/>
      <c r="D10" s="909"/>
      <c r="E10" s="905"/>
      <c r="F10" s="469"/>
      <c r="G10" s="470"/>
      <c r="H10" s="593">
        <f>IF(F10="","",IF(ISERROR(F10+ROUNDDOWN(G10*3/74,0)),"",F10+ROUNDDOWN(G10*3/74,0)))</f>
      </c>
      <c r="I10" s="594">
        <f aca="true" t="shared" si="0" ref="I10:I18">IF(H10="","",IF(H10&gt;10032,10032,H10))</f>
      </c>
      <c r="J10" s="595">
        <f>IF(H10="","",MIN(H10,I10))</f>
      </c>
      <c r="K10" s="155" t="s">
        <v>90</v>
      </c>
      <c r="L10" s="273">
        <v>1532</v>
      </c>
      <c r="M10" s="446"/>
      <c r="N10" s="447"/>
      <c r="O10" s="429">
        <f>SUMIF('6-2_算定表⑤(新・新制度)'!$AF:$AF,$T10,'6-2_算定表⑤(新・新制度)'!$AG:$AG)</f>
        <v>0</v>
      </c>
      <c r="P10" s="157">
        <f>SUMIF('6-2_算定表⑤(新・新制度)'!$AF:$AF,$T10,'6-2_算定表⑤(新・新制度)'!$AA:$AA)</f>
        <v>0</v>
      </c>
      <c r="Q10" s="427">
        <f aca="true" t="shared" si="1" ref="Q10:R22">O10-M10</f>
        <v>0</v>
      </c>
      <c r="R10" s="428">
        <f t="shared" si="1"/>
        <v>0</v>
      </c>
      <c r="T10" s="158" t="str">
        <f>ASC($A$9&amp;$K10)</f>
        <v>1B</v>
      </c>
      <c r="V10" s="56" t="s">
        <v>8</v>
      </c>
    </row>
    <row r="11" spans="1:21" s="44" customFormat="1" ht="18" customHeight="1" thickBot="1">
      <c r="A11" s="678"/>
      <c r="B11" s="909"/>
      <c r="C11" s="909"/>
      <c r="D11" s="909"/>
      <c r="E11" s="905"/>
      <c r="F11" s="469"/>
      <c r="G11" s="470"/>
      <c r="H11" s="593">
        <f aca="true" t="shared" si="2" ref="H11:H18">IF(F11="","",IF(ISERROR(F11+ROUNDDOWN(G11*3/74,0)),"",F11+ROUNDDOWN(G11*3/74,0)))</f>
      </c>
      <c r="I11" s="594">
        <f t="shared" si="0"/>
      </c>
      <c r="J11" s="595">
        <f>IF(H11="","",MIN(H11,I11))</f>
      </c>
      <c r="K11" s="155" t="s">
        <v>91</v>
      </c>
      <c r="L11" s="274">
        <v>2814</v>
      </c>
      <c r="M11" s="446"/>
      <c r="N11" s="447"/>
      <c r="O11" s="429">
        <f>SUMIF('6-2_算定表⑤(新・新制度)'!$AF:$AF,T11,'6-2_算定表⑤(新・新制度)'!$AG:$AG)+SUMIF('6-2_算定表⑤(新・新制度)'!$AF:$AF,U11,'6-2_算定表⑤(新・新制度)'!$AG:$AG)</f>
        <v>0</v>
      </c>
      <c r="P11" s="157">
        <f>SUMIF('6-2_算定表⑤(新・新制度)'!$AF:$AF,$T11,'6-2_算定表⑤(新・新制度)'!$AA:$AA)+SUMIF('6-2_算定表⑤(新・新制度)'!$AF:$AF,U11,'6-2_算定表⑤(新・新制度)'!$AA:$AA)</f>
        <v>0</v>
      </c>
      <c r="Q11" s="431">
        <f t="shared" si="1"/>
        <v>0</v>
      </c>
      <c r="R11" s="432">
        <f t="shared" si="1"/>
        <v>0</v>
      </c>
      <c r="T11" s="158" t="str">
        <f>ASC($A$9&amp;$K11)</f>
        <v>1C</v>
      </c>
      <c r="U11" s="306"/>
    </row>
    <row r="12" spans="1:20" s="44" customFormat="1" ht="18" customHeight="1" thickBot="1">
      <c r="A12" s="678"/>
      <c r="B12" s="909"/>
      <c r="C12" s="909"/>
      <c r="D12" s="909"/>
      <c r="E12" s="905"/>
      <c r="F12" s="469"/>
      <c r="G12" s="470"/>
      <c r="H12" s="593"/>
      <c r="I12" s="594"/>
      <c r="J12" s="595"/>
      <c r="K12" s="123" t="s">
        <v>174</v>
      </c>
      <c r="L12" s="275" t="s">
        <v>155</v>
      </c>
      <c r="M12" s="446"/>
      <c r="N12" s="447"/>
      <c r="O12" s="429">
        <f>SUMIF('6-2_算定表⑤(新・新制度)'!$AF:$AF,$T12,'6-2_算定表⑤(新・新制度)'!$AG:$AG)</f>
        <v>0</v>
      </c>
      <c r="P12" s="157">
        <f>SUMIF('6-2_算定表⑤(新・新制度)'!$AF:$AF,$T12,'6-2_算定表⑤(新・新制度)'!$AA:$AA)</f>
        <v>0</v>
      </c>
      <c r="Q12" s="431">
        <f t="shared" si="1"/>
        <v>0</v>
      </c>
      <c r="R12" s="432">
        <f t="shared" si="1"/>
        <v>0</v>
      </c>
      <c r="T12" s="158" t="str">
        <f>ASC($A$9&amp;$K12)</f>
        <v>1D</v>
      </c>
    </row>
    <row r="13" spans="1:18" s="44" customFormat="1" ht="18" customHeight="1" thickBot="1">
      <c r="A13" s="678"/>
      <c r="B13" s="909"/>
      <c r="C13" s="909"/>
      <c r="D13" s="909"/>
      <c r="E13" s="906"/>
      <c r="F13" s="471"/>
      <c r="G13" s="472"/>
      <c r="H13" s="596">
        <f t="shared" si="2"/>
      </c>
      <c r="I13" s="597">
        <f t="shared" si="0"/>
      </c>
      <c r="J13" s="598">
        <f>IF(H13="","",MIN(H13,I13))</f>
      </c>
      <c r="K13" s="684" t="s">
        <v>120</v>
      </c>
      <c r="L13" s="685"/>
      <c r="M13" s="433">
        <f aca="true" t="shared" si="3" ref="M13:R13">SUM(M9:M12)</f>
        <v>0</v>
      </c>
      <c r="N13" s="434">
        <f t="shared" si="3"/>
        <v>0</v>
      </c>
      <c r="O13" s="433">
        <f t="shared" si="3"/>
        <v>0</v>
      </c>
      <c r="P13" s="161">
        <f t="shared" si="3"/>
        <v>0</v>
      </c>
      <c r="Q13" s="436">
        <f t="shared" si="3"/>
        <v>0</v>
      </c>
      <c r="R13" s="437">
        <f t="shared" si="3"/>
        <v>0</v>
      </c>
    </row>
    <row r="14" spans="1:23" s="44" customFormat="1" ht="18" customHeight="1" thickBot="1" thickTop="1">
      <c r="A14" s="686">
        <v>2</v>
      </c>
      <c r="B14" s="909"/>
      <c r="C14" s="909"/>
      <c r="D14" s="909"/>
      <c r="E14" s="910"/>
      <c r="F14" s="599"/>
      <c r="G14" s="600"/>
      <c r="H14" s="593">
        <f t="shared" si="2"/>
      </c>
      <c r="I14" s="594">
        <f t="shared" si="0"/>
      </c>
      <c r="J14" s="595">
        <f>IF(H14="","",MIN(H14,I14))</f>
      </c>
      <c r="K14" s="152" t="s">
        <v>84</v>
      </c>
      <c r="L14" s="74">
        <v>1532</v>
      </c>
      <c r="M14" s="444"/>
      <c r="N14" s="445"/>
      <c r="O14" s="425">
        <f>SUMIF('6-2_算定表⑤(新・新制度)'!$AF:$AF,$T14,'6-2_算定表⑤(新・新制度)'!$AG:$AG)</f>
        <v>0</v>
      </c>
      <c r="P14" s="153">
        <f>SUMIF('6-2_算定表⑤(新・新制度)'!$AF:$AF,$T14,'6-2_算定表⑤(新・新制度)'!$AA:$AA)</f>
        <v>0</v>
      </c>
      <c r="Q14" s="438">
        <f t="shared" si="1"/>
        <v>0</v>
      </c>
      <c r="R14" s="439">
        <f t="shared" si="1"/>
        <v>0</v>
      </c>
      <c r="T14" s="154" t="str">
        <f>ASC($A$14&amp;$K14)</f>
        <v>2A</v>
      </c>
      <c r="V14" s="162" t="s">
        <v>9</v>
      </c>
      <c r="W14" s="64" t="str">
        <f>IF(D9&gt;=O13,"OK","ERR")</f>
        <v>OK</v>
      </c>
    </row>
    <row r="15" spans="1:23" s="44" customFormat="1" ht="18" customHeight="1" thickBot="1" thickTop="1">
      <c r="A15" s="678"/>
      <c r="B15" s="909"/>
      <c r="C15" s="909"/>
      <c r="D15" s="909"/>
      <c r="E15" s="911"/>
      <c r="F15" s="599"/>
      <c r="G15" s="600"/>
      <c r="H15" s="593">
        <f t="shared" si="2"/>
      </c>
      <c r="I15" s="594">
        <f t="shared" si="0"/>
      </c>
      <c r="J15" s="595">
        <f>IF(H15="","",MIN(H15,I15))</f>
      </c>
      <c r="K15" s="155" t="s">
        <v>90</v>
      </c>
      <c r="L15" s="273">
        <v>1532</v>
      </c>
      <c r="M15" s="446"/>
      <c r="N15" s="447"/>
      <c r="O15" s="429">
        <f>SUMIF('6-2_算定表⑤(新・新制度)'!$AF:$AF,$T15,'6-2_算定表⑤(新・新制度)'!$AG:$AG)</f>
        <v>0</v>
      </c>
      <c r="P15" s="157">
        <f>SUMIF('6-2_算定表⑤(新・新制度)'!$AF:$AF,$T15,'6-2_算定表⑤(新・新制度)'!$AA:$AA)</f>
        <v>0</v>
      </c>
      <c r="Q15" s="431">
        <f t="shared" si="1"/>
        <v>0</v>
      </c>
      <c r="R15" s="432">
        <f t="shared" si="1"/>
        <v>0</v>
      </c>
      <c r="T15" s="158" t="str">
        <f>ASC($A$14&amp;$K15)</f>
        <v>2B</v>
      </c>
      <c r="V15" s="162" t="s">
        <v>10</v>
      </c>
      <c r="W15" s="64" t="str">
        <f>IF(D14&gt;=O18,"OK","ERR")</f>
        <v>OK</v>
      </c>
    </row>
    <row r="16" spans="1:23" s="44" customFormat="1" ht="18" customHeight="1" thickBot="1" thickTop="1">
      <c r="A16" s="678"/>
      <c r="B16" s="909"/>
      <c r="C16" s="909"/>
      <c r="D16" s="909"/>
      <c r="E16" s="911"/>
      <c r="F16" s="599"/>
      <c r="G16" s="600"/>
      <c r="H16" s="593">
        <f t="shared" si="2"/>
      </c>
      <c r="I16" s="594">
        <f t="shared" si="0"/>
      </c>
      <c r="J16" s="595">
        <f>IF(H16="","",MIN(H16,I16))</f>
      </c>
      <c r="K16" s="155" t="s">
        <v>91</v>
      </c>
      <c r="L16" s="274">
        <v>2814</v>
      </c>
      <c r="M16" s="446"/>
      <c r="N16" s="447"/>
      <c r="O16" s="429">
        <f>SUMIF('6-2_算定表⑤(新・新制度)'!$AF:$AF,T16,'6-2_算定表⑤(新・新制度)'!$AG:$AG)+SUMIF('6-2_算定表⑤(新・新制度)'!$AF:$AF,U16,'6-2_算定表⑤(新・新制度)'!$AG:$AG)</f>
        <v>0</v>
      </c>
      <c r="P16" s="157">
        <f>SUMIF('6-2_算定表⑤(新・新制度)'!$AF:$AF,$T16,'6-2_算定表⑤(新・新制度)'!$AA:$AA)+SUMIF('6-2_算定表⑤(新・新制度)'!$AF:$AF,U16,'6-2_算定表⑤(新・新制度)'!$AA:$AA)</f>
        <v>0</v>
      </c>
      <c r="Q16" s="431">
        <f t="shared" si="1"/>
        <v>0</v>
      </c>
      <c r="R16" s="432">
        <f t="shared" si="1"/>
        <v>0</v>
      </c>
      <c r="T16" s="158" t="str">
        <f>ASC($A$14&amp;$K16)</f>
        <v>2C</v>
      </c>
      <c r="U16" s="306"/>
      <c r="V16" s="162" t="s">
        <v>11</v>
      </c>
      <c r="W16" s="64" t="str">
        <f>IF(D19&gt;=O23,"OK","ERR")</f>
        <v>OK</v>
      </c>
    </row>
    <row r="17" spans="1:20" s="44" customFormat="1" ht="18" customHeight="1" thickBot="1">
      <c r="A17" s="678"/>
      <c r="B17" s="909"/>
      <c r="C17" s="909"/>
      <c r="D17" s="909"/>
      <c r="E17" s="911"/>
      <c r="F17" s="599"/>
      <c r="G17" s="600"/>
      <c r="H17" s="593"/>
      <c r="I17" s="594"/>
      <c r="J17" s="595"/>
      <c r="K17" s="123" t="s">
        <v>174</v>
      </c>
      <c r="L17" s="275" t="s">
        <v>155</v>
      </c>
      <c r="M17" s="444"/>
      <c r="N17" s="457"/>
      <c r="O17" s="425">
        <f>SUMIF('6-2_算定表⑤(新・新制度)'!$AF:$AF,$T17,'6-2_算定表⑤(新・新制度)'!$AG:$AG)</f>
        <v>0</v>
      </c>
      <c r="P17" s="284">
        <f>SUMIF('6-2_算定表⑤(新・新制度)'!$AF:$AF,$T17,'6-2_算定表⑤(新・新制度)'!$AA:$AA)</f>
        <v>0</v>
      </c>
      <c r="Q17" s="431">
        <f t="shared" si="1"/>
        <v>0</v>
      </c>
      <c r="R17" s="432">
        <f t="shared" si="1"/>
        <v>0</v>
      </c>
      <c r="T17" s="158" t="str">
        <f>ASC($A$14&amp;$K17)</f>
        <v>2D</v>
      </c>
    </row>
    <row r="18" spans="1:22" s="44" customFormat="1" ht="18" customHeight="1" thickBot="1">
      <c r="A18" s="687"/>
      <c r="B18" s="909"/>
      <c r="C18" s="909"/>
      <c r="D18" s="909"/>
      <c r="E18" s="912"/>
      <c r="F18" s="601"/>
      <c r="G18" s="602"/>
      <c r="H18" s="596">
        <f t="shared" si="2"/>
      </c>
      <c r="I18" s="597">
        <f t="shared" si="0"/>
      </c>
      <c r="J18" s="598">
        <f>IF(H18="","",MIN(H18,I18))</f>
      </c>
      <c r="K18" s="684" t="s">
        <v>121</v>
      </c>
      <c r="L18" s="685"/>
      <c r="M18" s="433">
        <f aca="true" t="shared" si="4" ref="M18:R18">SUM(M14:M17)</f>
        <v>0</v>
      </c>
      <c r="N18" s="434">
        <f t="shared" si="4"/>
        <v>0</v>
      </c>
      <c r="O18" s="433">
        <f t="shared" si="4"/>
        <v>0</v>
      </c>
      <c r="P18" s="161">
        <f t="shared" si="4"/>
        <v>0</v>
      </c>
      <c r="Q18" s="436">
        <f t="shared" si="4"/>
        <v>0</v>
      </c>
      <c r="R18" s="437">
        <f t="shared" si="4"/>
        <v>0</v>
      </c>
      <c r="V18" s="56"/>
    </row>
    <row r="19" spans="1:22" s="44" customFormat="1" ht="18" customHeight="1" thickBot="1">
      <c r="A19" s="686">
        <v>3</v>
      </c>
      <c r="B19" s="909"/>
      <c r="C19" s="909"/>
      <c r="D19" s="909"/>
      <c r="E19" s="910"/>
      <c r="F19" s="599"/>
      <c r="G19" s="600"/>
      <c r="H19" s="593">
        <f>IF(F19="","",IF(ISERROR(F19+ROUNDDOWN(G19*3/74,0)),"",F19+ROUNDDOWN(G19*3/74,0)))</f>
      </c>
      <c r="I19" s="594">
        <f>IF(H19="","",IF(H19&gt;10032,10032,H19))</f>
      </c>
      <c r="J19" s="595">
        <f>IF(H19="","",MIN(H19,I19))</f>
      </c>
      <c r="K19" s="152" t="s">
        <v>84</v>
      </c>
      <c r="L19" s="74">
        <v>1532</v>
      </c>
      <c r="M19" s="444"/>
      <c r="N19" s="445"/>
      <c r="O19" s="425">
        <f>SUMIF('6-2_算定表⑤(新・新制度)'!$AF:$AF,$T19,'6-2_算定表⑤(新・新制度)'!$AG:$AG)</f>
        <v>0</v>
      </c>
      <c r="P19" s="153">
        <f>SUMIF('6-2_算定表⑤(新・新制度)'!$AF:$AF,$T19,'6-2_算定表⑤(新・新制度)'!$AA:$AA)</f>
        <v>0</v>
      </c>
      <c r="Q19" s="458">
        <f t="shared" si="1"/>
        <v>0</v>
      </c>
      <c r="R19" s="459">
        <f t="shared" si="1"/>
        <v>0</v>
      </c>
      <c r="T19" s="154" t="str">
        <f>ASC($A$19&amp;$K19)</f>
        <v>3A</v>
      </c>
      <c r="V19" s="56" t="s">
        <v>13</v>
      </c>
    </row>
    <row r="20" spans="1:23" s="44" customFormat="1" ht="18" customHeight="1" thickBot="1" thickTop="1">
      <c r="A20" s="678"/>
      <c r="B20" s="909"/>
      <c r="C20" s="909"/>
      <c r="D20" s="909"/>
      <c r="E20" s="911"/>
      <c r="F20" s="599"/>
      <c r="G20" s="600"/>
      <c r="H20" s="593">
        <f>IF(F20="","",IF(ISERROR(F20+ROUNDDOWN(G20*3/74,0)),"",F20+ROUNDDOWN(G20*3/74,0)))</f>
      </c>
      <c r="I20" s="594">
        <f>IF(H20="","",IF(H20&gt;10032,10032,H20))</f>
      </c>
      <c r="J20" s="595">
        <f>IF(H20="","",MIN(H20,I20))</f>
      </c>
      <c r="K20" s="155" t="s">
        <v>90</v>
      </c>
      <c r="L20" s="273">
        <v>1532</v>
      </c>
      <c r="M20" s="446"/>
      <c r="N20" s="447"/>
      <c r="O20" s="429">
        <f>SUMIF('6-2_算定表⑤(新・新制度)'!$AF:$AF,$T20,'6-2_算定表⑤(新・新制度)'!$AG:$AG)</f>
        <v>0</v>
      </c>
      <c r="P20" s="157">
        <f>SUMIF('6-2_算定表⑤(新・新制度)'!$AF:$AF,$T20,'6-2_算定表⑤(新・新制度)'!$AA:$AA)</f>
        <v>0</v>
      </c>
      <c r="Q20" s="431">
        <f t="shared" si="1"/>
        <v>0</v>
      </c>
      <c r="R20" s="432">
        <f t="shared" si="1"/>
        <v>0</v>
      </c>
      <c r="T20" s="158" t="str">
        <f>ASC($A$19&amp;$K20)</f>
        <v>3B</v>
      </c>
      <c r="V20" s="56" t="s">
        <v>49</v>
      </c>
      <c r="W20" s="64" t="str">
        <f>IF(O28=SUM('6-2_算定表⑤(新・新制度)'!AG8:AG44),"OK","ERR")</f>
        <v>OK</v>
      </c>
    </row>
    <row r="21" spans="1:23" s="44" customFormat="1" ht="18" customHeight="1" thickBot="1" thickTop="1">
      <c r="A21" s="678"/>
      <c r="B21" s="909"/>
      <c r="C21" s="909"/>
      <c r="D21" s="909"/>
      <c r="E21" s="911"/>
      <c r="F21" s="599"/>
      <c r="G21" s="600"/>
      <c r="H21" s="593">
        <f>IF(F21="","",IF(ISERROR(F21+ROUNDDOWN(G21*3/74,0)),"",F21+ROUNDDOWN(G21*3/74,0)))</f>
      </c>
      <c r="I21" s="594">
        <f>IF(H21="","",IF(H21&gt;10032,10032,H21))</f>
      </c>
      <c r="J21" s="595">
        <f>IF(H21="","",MIN(H21,I21))</f>
      </c>
      <c r="K21" s="155" t="s">
        <v>91</v>
      </c>
      <c r="L21" s="274">
        <v>2814</v>
      </c>
      <c r="M21" s="446"/>
      <c r="N21" s="447"/>
      <c r="O21" s="429">
        <f>SUMIF('6-2_算定表⑤(新・新制度)'!$AF:$AF,T21,'6-2_算定表⑤(新・新制度)'!$AG:$AG)+SUMIF('6-2_算定表⑤(新・新制度)'!$AF:$AF,U21,'6-2_算定表⑤(新・新制度)'!$AG:$AG)</f>
        <v>0</v>
      </c>
      <c r="P21" s="157">
        <f>SUMIF('6-2_算定表⑤(新・新制度)'!$AF:$AF,$T21,'6-2_算定表⑤(新・新制度)'!$AA:$AA)+SUMIF('6-2_算定表⑤(新・新制度)'!$AF:$AF,U21,'6-2_算定表⑤(新・新制度)'!$AA:$AA)</f>
        <v>0</v>
      </c>
      <c r="Q21" s="431">
        <f t="shared" si="1"/>
        <v>0</v>
      </c>
      <c r="R21" s="432">
        <f t="shared" si="1"/>
        <v>0</v>
      </c>
      <c r="T21" s="158" t="str">
        <f>ASC($A$19&amp;$K21)</f>
        <v>3C</v>
      </c>
      <c r="U21" s="306"/>
      <c r="V21" s="56" t="s">
        <v>12</v>
      </c>
      <c r="W21" s="64" t="str">
        <f>IF(P28='6-2_算定表⑤(新・新制度)'!AA45,"OK","ERR")</f>
        <v>OK</v>
      </c>
    </row>
    <row r="22" spans="1:20" s="44" customFormat="1" ht="18" customHeight="1" thickBot="1">
      <c r="A22" s="678"/>
      <c r="B22" s="909"/>
      <c r="C22" s="909"/>
      <c r="D22" s="909"/>
      <c r="E22" s="911"/>
      <c r="F22" s="599"/>
      <c r="G22" s="600"/>
      <c r="H22" s="593"/>
      <c r="I22" s="594"/>
      <c r="J22" s="595"/>
      <c r="K22" s="123" t="s">
        <v>174</v>
      </c>
      <c r="L22" s="275" t="s">
        <v>155</v>
      </c>
      <c r="M22" s="444"/>
      <c r="N22" s="457"/>
      <c r="O22" s="425">
        <f>SUMIF('6-2_算定表⑤(新・新制度)'!$AF:$AF,$T22,'6-2_算定表⑤(新・新制度)'!$AG:$AG)</f>
        <v>0</v>
      </c>
      <c r="P22" s="284">
        <f>SUMIF('6-2_算定表⑤(新・新制度)'!$AF:$AF,$T22,'6-2_算定表⑤(新・新制度)'!$AA:$AA)</f>
        <v>0</v>
      </c>
      <c r="Q22" s="431">
        <f t="shared" si="1"/>
        <v>0</v>
      </c>
      <c r="R22" s="432">
        <f t="shared" si="1"/>
        <v>0</v>
      </c>
      <c r="T22" s="158" t="str">
        <f>ASC($A$19&amp;$K22)</f>
        <v>3D</v>
      </c>
    </row>
    <row r="23" spans="1:22" s="44" customFormat="1" ht="18" customHeight="1" thickBot="1">
      <c r="A23" s="687"/>
      <c r="B23" s="909"/>
      <c r="C23" s="909"/>
      <c r="D23" s="909"/>
      <c r="E23" s="912"/>
      <c r="F23" s="601"/>
      <c r="G23" s="602"/>
      <c r="H23" s="596">
        <f>IF(F23="","",IF(ISERROR(F23+ROUNDDOWN(G23*3/74,0)),"",F23+ROUNDDOWN(G23*3/74,0)))</f>
      </c>
      <c r="I23" s="597">
        <f>IF(H23="","",IF(H23&gt;10032,10032,H23))</f>
      </c>
      <c r="J23" s="598">
        <f>IF(H23="","",MIN(H23,I23))</f>
      </c>
      <c r="K23" s="684" t="s">
        <v>122</v>
      </c>
      <c r="L23" s="685"/>
      <c r="M23" s="433">
        <f aca="true" t="shared" si="5" ref="M23:R23">SUM(M19:M22)</f>
        <v>0</v>
      </c>
      <c r="N23" s="434">
        <f t="shared" si="5"/>
        <v>0</v>
      </c>
      <c r="O23" s="433">
        <f t="shared" si="5"/>
        <v>0</v>
      </c>
      <c r="P23" s="161">
        <f t="shared" si="5"/>
        <v>0</v>
      </c>
      <c r="Q23" s="436">
        <f t="shared" si="5"/>
        <v>0</v>
      </c>
      <c r="R23" s="437">
        <f t="shared" si="5"/>
        <v>0</v>
      </c>
      <c r="V23" s="56"/>
    </row>
    <row r="24" spans="1:18" s="44" customFormat="1" ht="18" customHeight="1" thickBot="1">
      <c r="A24" s="696" t="s">
        <v>27</v>
      </c>
      <c r="B24" s="699">
        <f>SUM(B9:B23)</f>
        <v>0</v>
      </c>
      <c r="C24" s="699">
        <f>SUM(C9:C23)</f>
        <v>0</v>
      </c>
      <c r="D24" s="700">
        <f>SUM(D9:D23)</f>
        <v>0</v>
      </c>
      <c r="E24" s="700">
        <f>SUM(E9:E23)</f>
        <v>0</v>
      </c>
      <c r="F24" s="689"/>
      <c r="G24" s="693"/>
      <c r="H24" s="694"/>
      <c r="I24" s="695"/>
      <c r="J24" s="695"/>
      <c r="K24" s="302" t="s">
        <v>84</v>
      </c>
      <c r="L24" s="74">
        <v>1532</v>
      </c>
      <c r="M24" s="441">
        <f aca="true" t="shared" si="6" ref="M24:N27">SUM(M9,M14,M19)</f>
        <v>0</v>
      </c>
      <c r="N24" s="426">
        <f t="shared" si="6"/>
        <v>0</v>
      </c>
      <c r="O24" s="441">
        <f aca="true" t="shared" si="7" ref="O24:R27">SUM(O9,O14,O19)</f>
        <v>0</v>
      </c>
      <c r="P24" s="153">
        <f t="shared" si="7"/>
        <v>0</v>
      </c>
      <c r="Q24" s="460">
        <f t="shared" si="7"/>
        <v>0</v>
      </c>
      <c r="R24" s="461">
        <f t="shared" si="7"/>
        <v>0</v>
      </c>
    </row>
    <row r="25" spans="1:22" s="44" customFormat="1" ht="18" customHeight="1" thickBot="1">
      <c r="A25" s="697"/>
      <c r="B25" s="699"/>
      <c r="C25" s="699"/>
      <c r="D25" s="701"/>
      <c r="E25" s="701"/>
      <c r="F25" s="689"/>
      <c r="G25" s="693"/>
      <c r="H25" s="694"/>
      <c r="I25" s="695"/>
      <c r="J25" s="695"/>
      <c r="K25" s="155" t="s">
        <v>90</v>
      </c>
      <c r="L25" s="156">
        <v>1532</v>
      </c>
      <c r="M25" s="442">
        <f t="shared" si="6"/>
        <v>0</v>
      </c>
      <c r="N25" s="430">
        <f t="shared" si="6"/>
        <v>0</v>
      </c>
      <c r="O25" s="442">
        <f t="shared" si="7"/>
        <v>0</v>
      </c>
      <c r="P25" s="157">
        <f t="shared" si="7"/>
        <v>0</v>
      </c>
      <c r="Q25" s="427">
        <f t="shared" si="7"/>
        <v>0</v>
      </c>
      <c r="R25" s="428">
        <f t="shared" si="7"/>
        <v>0</v>
      </c>
      <c r="V25" s="56"/>
    </row>
    <row r="26" spans="1:18" s="44" customFormat="1" ht="18" customHeight="1" thickBot="1">
      <c r="A26" s="697"/>
      <c r="B26" s="699"/>
      <c r="C26" s="699"/>
      <c r="D26" s="701"/>
      <c r="E26" s="701"/>
      <c r="F26" s="689"/>
      <c r="G26" s="693"/>
      <c r="H26" s="694"/>
      <c r="I26" s="695"/>
      <c r="J26" s="695"/>
      <c r="K26" s="155" t="s">
        <v>91</v>
      </c>
      <c r="L26" s="272">
        <v>2814</v>
      </c>
      <c r="M26" s="442">
        <f t="shared" si="6"/>
        <v>0</v>
      </c>
      <c r="N26" s="430">
        <f t="shared" si="6"/>
        <v>0</v>
      </c>
      <c r="O26" s="442">
        <f t="shared" si="7"/>
        <v>0</v>
      </c>
      <c r="P26" s="157">
        <f t="shared" si="7"/>
        <v>0</v>
      </c>
      <c r="Q26" s="427">
        <f t="shared" si="7"/>
        <v>0</v>
      </c>
      <c r="R26" s="428">
        <f t="shared" si="7"/>
        <v>0</v>
      </c>
    </row>
    <row r="27" spans="1:18" s="44" customFormat="1" ht="18" customHeight="1" thickBot="1">
      <c r="A27" s="697"/>
      <c r="B27" s="699"/>
      <c r="C27" s="699"/>
      <c r="D27" s="701"/>
      <c r="E27" s="701"/>
      <c r="F27" s="689"/>
      <c r="G27" s="693"/>
      <c r="H27" s="694"/>
      <c r="I27" s="695"/>
      <c r="J27" s="695"/>
      <c r="K27" s="123" t="s">
        <v>174</v>
      </c>
      <c r="L27" s="275" t="s">
        <v>155</v>
      </c>
      <c r="M27" s="441">
        <f t="shared" si="6"/>
        <v>0</v>
      </c>
      <c r="N27" s="462">
        <f t="shared" si="6"/>
        <v>0</v>
      </c>
      <c r="O27" s="441">
        <f t="shared" si="7"/>
        <v>0</v>
      </c>
      <c r="P27" s="284">
        <f t="shared" si="7"/>
        <v>0</v>
      </c>
      <c r="Q27" s="431">
        <f t="shared" si="7"/>
        <v>0</v>
      </c>
      <c r="R27" s="432">
        <f t="shared" si="7"/>
        <v>0</v>
      </c>
    </row>
    <row r="28" spans="1:19" s="44" customFormat="1" ht="18" customHeight="1" thickBot="1">
      <c r="A28" s="698"/>
      <c r="B28" s="699"/>
      <c r="C28" s="699"/>
      <c r="D28" s="702"/>
      <c r="E28" s="702"/>
      <c r="F28" s="689"/>
      <c r="G28" s="693"/>
      <c r="H28" s="694"/>
      <c r="I28" s="695"/>
      <c r="J28" s="695"/>
      <c r="K28" s="684" t="s">
        <v>156</v>
      </c>
      <c r="L28" s="685"/>
      <c r="M28" s="433">
        <f aca="true" t="shared" si="8" ref="M28:R28">SUM(M24:M27)</f>
        <v>0</v>
      </c>
      <c r="N28" s="434">
        <f t="shared" si="8"/>
        <v>0</v>
      </c>
      <c r="O28" s="433">
        <f t="shared" si="8"/>
        <v>0</v>
      </c>
      <c r="P28" s="161">
        <f t="shared" si="8"/>
        <v>0</v>
      </c>
      <c r="Q28" s="436">
        <f t="shared" si="8"/>
        <v>0</v>
      </c>
      <c r="R28" s="437">
        <f t="shared" si="8"/>
        <v>0</v>
      </c>
      <c r="S28" s="169"/>
    </row>
    <row r="29" spans="1:18" s="342" customFormat="1" ht="11.25" customHeight="1">
      <c r="A29" s="337" t="s">
        <v>29</v>
      </c>
      <c r="B29" s="338"/>
      <c r="C29" s="338"/>
      <c r="D29" s="338"/>
      <c r="E29" s="338"/>
      <c r="F29" s="339"/>
      <c r="G29" s="339"/>
      <c r="H29" s="339"/>
      <c r="I29" s="339"/>
      <c r="J29" s="339"/>
      <c r="K29" s="340"/>
      <c r="L29" s="340"/>
      <c r="M29" s="338"/>
      <c r="N29" s="341"/>
      <c r="O29" s="338"/>
      <c r="P29" s="341"/>
      <c r="Q29" s="341"/>
      <c r="R29" s="341"/>
    </row>
    <row r="30" s="342" customFormat="1" ht="11.25" customHeight="1">
      <c r="A30" s="343" t="s">
        <v>150</v>
      </c>
    </row>
    <row r="31" s="344" customFormat="1" ht="11.25" customHeight="1">
      <c r="A31" s="343" t="s">
        <v>227</v>
      </c>
    </row>
    <row r="32" s="342" customFormat="1" ht="11.25" customHeight="1">
      <c r="A32" s="343" t="s">
        <v>228</v>
      </c>
    </row>
    <row r="33" s="344" customFormat="1" ht="11.25" customHeight="1">
      <c r="A33" s="343" t="s">
        <v>5</v>
      </c>
    </row>
    <row r="34" s="344" customFormat="1" ht="11.25" customHeight="1">
      <c r="A34" s="337" t="s">
        <v>151</v>
      </c>
    </row>
    <row r="35" spans="1:9" s="344" customFormat="1" ht="11.25" customHeight="1">
      <c r="A35" s="337" t="s">
        <v>152</v>
      </c>
      <c r="E35" s="353"/>
      <c r="F35" s="353"/>
      <c r="G35" s="353"/>
      <c r="H35" s="353"/>
      <c r="I35" s="353"/>
    </row>
    <row r="36" s="344" customFormat="1" ht="11.25" customHeight="1">
      <c r="A36" s="343" t="s">
        <v>6</v>
      </c>
    </row>
    <row r="37" s="344" customFormat="1" ht="11.25" customHeight="1">
      <c r="A37" s="337" t="s">
        <v>210</v>
      </c>
    </row>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sheetData>
  <sheetProtection/>
  <mergeCells count="44">
    <mergeCell ref="Q5:R5"/>
    <mergeCell ref="K5:N5"/>
    <mergeCell ref="O5:P5"/>
    <mergeCell ref="L2:M2"/>
    <mergeCell ref="N2:O2"/>
    <mergeCell ref="P2:Q2"/>
    <mergeCell ref="L3:M3"/>
    <mergeCell ref="N3:O3"/>
    <mergeCell ref="P3:Q3"/>
    <mergeCell ref="I24:I28"/>
    <mergeCell ref="J24:J28"/>
    <mergeCell ref="K28:L28"/>
    <mergeCell ref="A24:A28"/>
    <mergeCell ref="B24:B28"/>
    <mergeCell ref="C24:C28"/>
    <mergeCell ref="D24:D28"/>
    <mergeCell ref="E24:E28"/>
    <mergeCell ref="H5:H6"/>
    <mergeCell ref="F24:F28"/>
    <mergeCell ref="A19:A23"/>
    <mergeCell ref="B19:B23"/>
    <mergeCell ref="C19:C23"/>
    <mergeCell ref="D19:D23"/>
    <mergeCell ref="E19:E23"/>
    <mergeCell ref="G24:G28"/>
    <mergeCell ref="H24:H28"/>
    <mergeCell ref="K23:L23"/>
    <mergeCell ref="K13:L13"/>
    <mergeCell ref="A14:A18"/>
    <mergeCell ref="B14:B18"/>
    <mergeCell ref="C14:C18"/>
    <mergeCell ref="D14:D18"/>
    <mergeCell ref="E14:E18"/>
    <mergeCell ref="K18:L18"/>
    <mergeCell ref="I5:I6"/>
    <mergeCell ref="J5:J6"/>
    <mergeCell ref="A6:A7"/>
    <mergeCell ref="A9:A13"/>
    <mergeCell ref="B9:B13"/>
    <mergeCell ref="C9:C13"/>
    <mergeCell ref="D9:D13"/>
    <mergeCell ref="E9:E13"/>
    <mergeCell ref="B5:B6"/>
    <mergeCell ref="E5:E6"/>
  </mergeCells>
  <dataValidations count="1">
    <dataValidation type="whole" allowBlank="1" showInputMessage="1" showErrorMessage="1" sqref="E9 E14 E19 B9:D23">
      <formula1>0</formula1>
      <formula2>999999</formula2>
    </dataValidation>
  </dataValidations>
  <printOptions/>
  <pageMargins left="0.7480314960629921" right="0.7480314960629921" top="0.984251968503937" bottom="0.984251968503937" header="0.5118110236220472" footer="0.5118110236220472"/>
  <pageSetup cellComments="asDisplayed" fitToWidth="0"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rgb="FF7030A0"/>
  </sheetPr>
  <dimension ref="A1:AJ59"/>
  <sheetViews>
    <sheetView view="pageBreakPreview" zoomScale="55" zoomScaleNormal="75" zoomScaleSheetLayoutView="55" zoomScalePageLayoutView="0" workbookViewId="0" topLeftCell="A1">
      <selection activeCell="A52" sqref="A52"/>
    </sheetView>
  </sheetViews>
  <sheetFormatPr defaultColWidth="9.625" defaultRowHeight="13.5"/>
  <cols>
    <col min="1" max="1" width="6.25390625" style="40" customWidth="1"/>
    <col min="2" max="2" width="19.125" style="40" bestFit="1" customWidth="1"/>
    <col min="3" max="3" width="3.75390625" style="40" customWidth="1"/>
    <col min="4" max="4" width="10.125" style="40" customWidth="1"/>
    <col min="5" max="5" width="10.375" style="40" customWidth="1"/>
    <col min="6" max="6" width="12.25390625" style="40" customWidth="1"/>
    <col min="7" max="7" width="12.375" style="40" customWidth="1"/>
    <col min="8" max="8" width="12.25390625" style="40" bestFit="1" customWidth="1"/>
    <col min="9" max="9" width="7.125" style="40" bestFit="1" customWidth="1"/>
    <col min="10" max="10" width="14.125" style="40" bestFit="1" customWidth="1"/>
    <col min="11" max="11" width="13.125" style="40" bestFit="1" customWidth="1"/>
    <col min="12" max="12" width="6.125" style="40" customWidth="1"/>
    <col min="13" max="13" width="9.50390625" style="40" hidden="1" customWidth="1"/>
    <col min="14" max="14" width="10.00390625" style="40" customWidth="1"/>
    <col min="15" max="15" width="5.25390625" style="40" customWidth="1"/>
    <col min="16" max="16" width="10.00390625" style="40" hidden="1" customWidth="1"/>
    <col min="17" max="17" width="10.00390625" style="40" customWidth="1"/>
    <col min="18" max="18" width="10.75390625" style="40" customWidth="1"/>
    <col min="19" max="19" width="10.625" style="40" customWidth="1"/>
    <col min="20" max="20" width="10.875" style="40" customWidth="1"/>
    <col min="21" max="21" width="12.50390625" style="40" customWidth="1"/>
    <col min="22" max="22" width="13.25390625" style="40" customWidth="1"/>
    <col min="23" max="23" width="11.25390625" style="40" customWidth="1"/>
    <col min="24" max="24" width="11.625" style="40" customWidth="1"/>
    <col min="25" max="26" width="11.25390625" style="40" customWidth="1"/>
    <col min="27" max="27" width="13.00390625" style="40" customWidth="1"/>
    <col min="28" max="28" width="1.37890625" style="40" customWidth="1"/>
    <col min="29" max="29" width="9.125" style="40" customWidth="1"/>
    <col min="30" max="30" width="16.375" style="40" customWidth="1"/>
    <col min="31" max="31" width="3.125" style="40" customWidth="1"/>
    <col min="32" max="32" width="5.625" style="41" customWidth="1"/>
    <col min="33" max="33" width="3.125" style="41" customWidth="1"/>
    <col min="34" max="34" width="3.125" style="40" customWidth="1"/>
    <col min="35" max="35" width="8.25390625" style="40" customWidth="1"/>
    <col min="36" max="16384" width="9.625" style="40" customWidth="1"/>
  </cols>
  <sheetData>
    <row r="1" spans="1:30" ht="24.75" customHeight="1">
      <c r="A1" s="213" t="s">
        <v>248</v>
      </c>
      <c r="B1" s="39"/>
      <c r="X1" s="186" t="s">
        <v>25</v>
      </c>
      <c r="Y1" s="761">
        <f>'5_総括表'!E3</f>
        <v>0</v>
      </c>
      <c r="Z1" s="762"/>
      <c r="AA1" s="762"/>
      <c r="AB1" s="763"/>
      <c r="AC1" s="186" t="s">
        <v>26</v>
      </c>
      <c r="AD1" s="188">
        <f>'5_総括表'!Z3</f>
        <v>0</v>
      </c>
    </row>
    <row r="2" spans="1:30" ht="24.75" customHeight="1" thickBot="1">
      <c r="A2" s="42"/>
      <c r="X2" s="187" t="s">
        <v>23</v>
      </c>
      <c r="Y2" s="764">
        <f>'5_総括表'!E4</f>
        <v>0</v>
      </c>
      <c r="Z2" s="765"/>
      <c r="AA2" s="765"/>
      <c r="AB2" s="766"/>
      <c r="AC2" s="187" t="s">
        <v>24</v>
      </c>
      <c r="AD2" s="189">
        <f>'5_総括表'!Z4</f>
        <v>0</v>
      </c>
    </row>
    <row r="3" spans="1:30" ht="31.5" customHeight="1" thickBot="1">
      <c r="A3" s="333" t="s">
        <v>226</v>
      </c>
      <c r="B3" s="332"/>
      <c r="AC3" s="43"/>
      <c r="AD3" s="43" t="s">
        <v>28</v>
      </c>
    </row>
    <row r="4" spans="1:33" s="44" customFormat="1" ht="22.5" customHeight="1" thickBot="1">
      <c r="A4" s="675" t="s">
        <v>32</v>
      </c>
      <c r="B4" s="670" t="s">
        <v>167</v>
      </c>
      <c r="C4" s="770" t="s">
        <v>119</v>
      </c>
      <c r="D4" s="777" t="s">
        <v>117</v>
      </c>
      <c r="E4" s="773" t="s">
        <v>100</v>
      </c>
      <c r="F4" s="774"/>
      <c r="G4" s="775" t="s">
        <v>109</v>
      </c>
      <c r="H4" s="776"/>
      <c r="I4" s="776"/>
      <c r="J4" s="776"/>
      <c r="K4" s="774"/>
      <c r="L4" s="684" t="s">
        <v>113</v>
      </c>
      <c r="M4" s="685"/>
      <c r="N4" s="685"/>
      <c r="O4" s="755"/>
      <c r="P4" s="755"/>
      <c r="Q4" s="755"/>
      <c r="R4" s="755"/>
      <c r="S4" s="755"/>
      <c r="T4" s="756"/>
      <c r="U4" s="670" t="s">
        <v>4</v>
      </c>
      <c r="V4" s="670" t="s">
        <v>115</v>
      </c>
      <c r="W4" s="670" t="s">
        <v>116</v>
      </c>
      <c r="X4" s="670" t="s">
        <v>69</v>
      </c>
      <c r="Y4" s="670" t="s">
        <v>31</v>
      </c>
      <c r="Z4" s="670" t="s">
        <v>99</v>
      </c>
      <c r="AA4" s="757" t="s">
        <v>187</v>
      </c>
      <c r="AB4" s="721" t="s">
        <v>7</v>
      </c>
      <c r="AC4" s="722"/>
      <c r="AD4" s="723"/>
      <c r="AF4" s="730" t="s">
        <v>30</v>
      </c>
      <c r="AG4" s="730" t="s">
        <v>78</v>
      </c>
    </row>
    <row r="5" spans="1:33" s="44" customFormat="1" ht="22.5" customHeight="1" thickBot="1">
      <c r="A5" s="767"/>
      <c r="B5" s="737"/>
      <c r="C5" s="771"/>
      <c r="D5" s="778"/>
      <c r="E5" s="45"/>
      <c r="F5" s="925" t="s">
        <v>76</v>
      </c>
      <c r="G5" s="927" t="s">
        <v>3</v>
      </c>
      <c r="H5" s="759" t="s">
        <v>77</v>
      </c>
      <c r="I5" s="935" t="s">
        <v>158</v>
      </c>
      <c r="J5" s="753" t="s">
        <v>157</v>
      </c>
      <c r="K5" s="925" t="s">
        <v>2</v>
      </c>
      <c r="L5" s="684" t="s">
        <v>186</v>
      </c>
      <c r="M5" s="685"/>
      <c r="N5" s="685"/>
      <c r="O5" s="684" t="s">
        <v>180</v>
      </c>
      <c r="P5" s="685"/>
      <c r="Q5" s="921"/>
      <c r="R5" s="922" t="s">
        <v>110</v>
      </c>
      <c r="S5" s="744" t="s">
        <v>112</v>
      </c>
      <c r="T5" s="933" t="s">
        <v>111</v>
      </c>
      <c r="U5" s="737"/>
      <c r="V5" s="737"/>
      <c r="W5" s="737"/>
      <c r="X5" s="737"/>
      <c r="Y5" s="737"/>
      <c r="Z5" s="737"/>
      <c r="AA5" s="758"/>
      <c r="AB5" s="930"/>
      <c r="AC5" s="931"/>
      <c r="AD5" s="726"/>
      <c r="AF5" s="929"/>
      <c r="AG5" s="929"/>
    </row>
    <row r="6" spans="1:33" s="44" customFormat="1" ht="50.25" customHeight="1">
      <c r="A6" s="767"/>
      <c r="B6" s="737"/>
      <c r="C6" s="771"/>
      <c r="D6" s="924"/>
      <c r="E6" s="300" t="s">
        <v>146</v>
      </c>
      <c r="F6" s="926"/>
      <c r="G6" s="928"/>
      <c r="H6" s="760"/>
      <c r="I6" s="936"/>
      <c r="J6" s="754"/>
      <c r="K6" s="926"/>
      <c r="L6" s="962" t="s">
        <v>18</v>
      </c>
      <c r="M6" s="964" t="s">
        <v>166</v>
      </c>
      <c r="N6" s="367" t="s">
        <v>169</v>
      </c>
      <c r="O6" s="962" t="s">
        <v>18</v>
      </c>
      <c r="P6" s="964" t="s">
        <v>172</v>
      </c>
      <c r="Q6" s="367" t="s">
        <v>169</v>
      </c>
      <c r="R6" s="923"/>
      <c r="S6" s="745"/>
      <c r="T6" s="934"/>
      <c r="U6" s="794"/>
      <c r="V6" s="767"/>
      <c r="W6" s="737"/>
      <c r="X6" s="767"/>
      <c r="Y6" s="767"/>
      <c r="Z6" s="767"/>
      <c r="AA6" s="932"/>
      <c r="AB6" s="724"/>
      <c r="AC6" s="725"/>
      <c r="AD6" s="726"/>
      <c r="AF6" s="731"/>
      <c r="AG6" s="731"/>
    </row>
    <row r="7" spans="1:33" s="44" customFormat="1" ht="17.25" customHeight="1" thickBot="1">
      <c r="A7" s="768"/>
      <c r="B7" s="769"/>
      <c r="C7" s="772"/>
      <c r="D7" s="125" t="s">
        <v>104</v>
      </c>
      <c r="E7" s="301" t="s">
        <v>0</v>
      </c>
      <c r="F7" s="299" t="s">
        <v>1</v>
      </c>
      <c r="G7" s="126" t="s">
        <v>88</v>
      </c>
      <c r="H7" s="49" t="s">
        <v>79</v>
      </c>
      <c r="I7" s="122" t="s">
        <v>89</v>
      </c>
      <c r="J7" s="287" t="s">
        <v>102</v>
      </c>
      <c r="K7" s="124" t="s">
        <v>103</v>
      </c>
      <c r="L7" s="963"/>
      <c r="M7" s="965"/>
      <c r="N7" s="409" t="s">
        <v>80</v>
      </c>
      <c r="O7" s="963"/>
      <c r="P7" s="965"/>
      <c r="Q7" s="409" t="s">
        <v>81</v>
      </c>
      <c r="R7" s="285" t="s">
        <v>82</v>
      </c>
      <c r="S7" s="119" t="s">
        <v>83</v>
      </c>
      <c r="T7" s="50" t="s">
        <v>92</v>
      </c>
      <c r="U7" s="47" t="s">
        <v>93</v>
      </c>
      <c r="V7" s="47" t="s">
        <v>94</v>
      </c>
      <c r="W7" s="47" t="s">
        <v>95</v>
      </c>
      <c r="X7" s="47" t="s">
        <v>96</v>
      </c>
      <c r="Y7" s="47" t="s">
        <v>97</v>
      </c>
      <c r="Z7" s="47" t="s">
        <v>98</v>
      </c>
      <c r="AA7" s="51" t="s">
        <v>114</v>
      </c>
      <c r="AB7" s="727"/>
      <c r="AC7" s="728"/>
      <c r="AD7" s="729"/>
      <c r="AF7" s="733"/>
      <c r="AG7" s="733"/>
    </row>
    <row r="8" spans="1:36" s="54" customFormat="1" ht="18.75" customHeight="1" thickBot="1">
      <c r="A8" s="26">
        <f>IF(B8="","",ROW($A8)-ROW($A$7))</f>
      </c>
      <c r="B8" s="271"/>
      <c r="C8" s="276"/>
      <c r="D8" s="473"/>
      <c r="E8" s="53"/>
      <c r="F8" s="215">
        <f>IF(A8="","",IF(E8&gt;30,30,E8))</f>
      </c>
      <c r="G8" s="476">
        <f>IF(A8="","",(D8*F8))</f>
      </c>
      <c r="H8" s="477"/>
      <c r="I8" s="127"/>
      <c r="J8" s="483">
        <f>IF(A8="","",ROUNDDOWN((H8*I8/12+G8),0))</f>
      </c>
      <c r="K8" s="484">
        <f>IF(A8="","",ROUNDDOWN(10032*F8,0))</f>
      </c>
      <c r="L8" s="576"/>
      <c r="M8" s="577"/>
      <c r="N8" s="492">
        <f>IF($G8="","",IF($L8="Ａ",LOOKUP($D8,{8000,8500,9000,10000,10032,12000},{0,1532,1032,32,0,0}),IF($L8="Ｂ",LOOKUP($D8,{8000,8500,9000,10000,10032,12000},{0,1532,1032,408,408,408}),IF($L8="Ｃ",LOOKUP($D8,{8000,8500,9000,10000,10032,12000},{782,2814,2814,2814,2814,2814}),0))))</f>
      </c>
      <c r="O8" s="578"/>
      <c r="P8" s="579"/>
      <c r="Q8" s="492">
        <f>IF($G8="","",IF($O8="Ａ",LOOKUP($D8,{8000,8500,9000,10000,10032,12000},{0,1532,1032,32,0,0}),IF($O8="Ｂ",LOOKUP($D8,{8000,8500,9000,10000,10032,12000},{0,1532,1032,408,408,408}),IF($O8="Ｃ",LOOKUP($D8,{8000,8500,9000,10000,10032,12000},{782,2814,2814,2814,2814,2814}),0))))</f>
      </c>
      <c r="R8" s="495">
        <f>IF(ISERROR(ROUNDUP(N8*3/12+Q8*9/12,0)),"",ROUNDUP(N8*3/12+Q8*9/12,0))</f>
      </c>
      <c r="S8" s="496">
        <f>IF(B8="","",SUMIF('6-3_調整額内訳⑤(新・新制度)'!B:B,$B8,'6-3_調整額内訳⑤(新・新制度)'!AF:AF))</f>
      </c>
      <c r="T8" s="497">
        <f>IF(B8="","",SUM(R8:S8))</f>
      </c>
      <c r="U8" s="498">
        <f>IF(B8="","",ROUNDDOWN(T8*F8,0))</f>
      </c>
      <c r="V8" s="499">
        <f>IF(J8&gt;=K8,K8,J8)</f>
      </c>
      <c r="W8" s="500"/>
      <c r="X8" s="499">
        <f>IF(A8="","",IF((J8-V8)&lt;W8,V8-(J8-W8),0))</f>
      </c>
      <c r="Y8" s="501"/>
      <c r="Z8" s="495">
        <f>IF(B8="","",MAX(0,V8-X8-Y8))</f>
      </c>
      <c r="AA8" s="502">
        <f>IF(B8="","",MIN(U8,Z8))</f>
      </c>
      <c r="AB8" s="734"/>
      <c r="AC8" s="735"/>
      <c r="AD8" s="736"/>
      <c r="AF8" s="55">
        <f>IF(A8&gt;0,ASC(C8&amp;O8),"")</f>
      </c>
      <c r="AG8" s="55">
        <f aca="true" t="shared" si="0" ref="AG8:AG44">IF(B8="","",IF(AA8&gt;0,1,0))</f>
      </c>
      <c r="AI8" s="56" t="s">
        <v>15</v>
      </c>
      <c r="AJ8" s="44"/>
    </row>
    <row r="9" spans="1:36" s="54" customFormat="1" ht="18.75" customHeight="1" thickBot="1" thickTop="1">
      <c r="A9" s="37">
        <f aca="true" t="shared" si="1" ref="A9:A44">IF(B9="","",ROW($A9)-ROW($A$7))</f>
      </c>
      <c r="B9" s="277"/>
      <c r="C9" s="57"/>
      <c r="D9" s="474"/>
      <c r="E9" s="278"/>
      <c r="F9" s="216">
        <f aca="true" t="shared" si="2" ref="F9:F44">IF(A9="","",IF(E9&gt;30,30,E9))</f>
      </c>
      <c r="G9" s="478">
        <f aca="true" t="shared" si="3" ref="G9:G44">IF(A9="","",(D9*F9))</f>
      </c>
      <c r="H9" s="479"/>
      <c r="I9" s="128"/>
      <c r="J9" s="485">
        <f aca="true" t="shared" si="4" ref="J9:J44">IF(A9="","",ROUNDDOWN((H9*I9/12+G9),0))</f>
      </c>
      <c r="K9" s="486">
        <f aca="true" t="shared" si="5" ref="K9:K44">IF(A9="","",ROUNDDOWN(10032*F9,0))</f>
      </c>
      <c r="L9" s="580"/>
      <c r="M9" s="581"/>
      <c r="N9" s="493">
        <f>IF($G9="","",IF($L9="Ａ",LOOKUP($D9,{8000,8500,9000,10000,10032,12000},{0,1532,1032,32,0,0}),IF($L9="Ｂ",LOOKUP($D9,{8000,8500,9000,10000,10032,12000},{0,1532,1032,408,408,408}),IF($L9="Ｃ",LOOKUP($D9,{8000,8500,9000,10000,10032,12000},{782,2814,2814,2814,2814,2814}),0))))</f>
      </c>
      <c r="O9" s="580"/>
      <c r="P9" s="582"/>
      <c r="Q9" s="493">
        <f>IF($G9="","",IF($O9="Ａ",LOOKUP($D9,{8000,8500,9000,10000,10032,12000},{0,1532,1032,32,0,0}),IF($O9="Ｂ",LOOKUP($D9,{8000,8500,9000,10000,10032,12000},{0,1532,1032,408,408,408}),IF($O9="Ｃ",LOOKUP($D9,{8000,8500,9000,10000,10032,12000},{782,2814,2814,2814,2814,2814}),0))))</f>
      </c>
      <c r="R9" s="503">
        <f aca="true" t="shared" si="6" ref="R9:R44">IF(ISERROR(ROUNDUP(N9*3/12+Q9*9/12,0)),"",ROUNDUP(N9*3/12+Q9*9/12,0))</f>
      </c>
      <c r="S9" s="504">
        <f>IF(B9="","",SUMIF('6-3_調整額内訳⑤(新・新制度)'!B:B,$B9,'6-3_調整額内訳⑤(新・新制度)'!AF:AF))</f>
      </c>
      <c r="T9" s="505">
        <f aca="true" t="shared" si="7" ref="T9:T44">IF(B9="","",SUM(R9:S9))</f>
      </c>
      <c r="U9" s="506">
        <f aca="true" t="shared" si="8" ref="U9:U44">IF(B9="","",ROUNDDOWN(T9*F9,0))</f>
      </c>
      <c r="V9" s="506">
        <f aca="true" t="shared" si="9" ref="V9:V44">IF(J9&gt;=K9,K9,J9)</f>
      </c>
      <c r="W9" s="507"/>
      <c r="X9" s="506">
        <f aca="true" t="shared" si="10" ref="X9:X44">IF(A9="","",IF((J9-V9)&lt;W9,V9-(J9-W9),0))</f>
      </c>
      <c r="Y9" s="501"/>
      <c r="Z9" s="503">
        <f aca="true" t="shared" si="11" ref="Z9:Z44">IF(B9="","",MAX(0,V9-X9-Y9))</f>
      </c>
      <c r="AA9" s="508">
        <f aca="true" t="shared" si="12" ref="AA9:AA44">IF(B9="","",MIN(U9,Z9))</f>
      </c>
      <c r="AB9" s="712"/>
      <c r="AC9" s="713"/>
      <c r="AD9" s="714"/>
      <c r="AF9" s="63">
        <f aca="true" t="shared" si="13" ref="AF9:AF44">IF(A9&gt;0,ASC(C9&amp;O9),"")</f>
      </c>
      <c r="AG9" s="63">
        <f t="shared" si="0"/>
      </c>
      <c r="AI9" s="56" t="s">
        <v>14</v>
      </c>
      <c r="AJ9" s="64" t="str">
        <f>IF(S45='6-3_調整額内訳⑤(新・新制度)'!AF39,"OK","ERR")</f>
        <v>OK</v>
      </c>
    </row>
    <row r="10" spans="1:36" s="54" customFormat="1" ht="18.75" customHeight="1" thickTop="1">
      <c r="A10" s="204">
        <f t="shared" si="1"/>
      </c>
      <c r="B10" s="277"/>
      <c r="C10" s="57"/>
      <c r="D10" s="474"/>
      <c r="E10" s="59"/>
      <c r="F10" s="216">
        <f t="shared" si="2"/>
      </c>
      <c r="G10" s="478">
        <f t="shared" si="3"/>
      </c>
      <c r="H10" s="479"/>
      <c r="I10" s="128"/>
      <c r="J10" s="478">
        <f t="shared" si="4"/>
      </c>
      <c r="K10" s="486">
        <f t="shared" si="5"/>
      </c>
      <c r="L10" s="580"/>
      <c r="M10" s="581"/>
      <c r="N10" s="493">
        <f>IF($G10="","",IF($L10="Ａ",LOOKUP($D10,{8000,8500,9000,10000,10032,12000},{0,1532,1032,32,0,0}),IF($L10="Ｂ",LOOKUP($D10,{8000,8500,9000,10000,10032,12000},{0,1532,1032,408,408,408}),IF($L10="Ｃ",LOOKUP($D10,{8000,8500,9000,10000,10032,12000},{782,2814,2814,2814,2814,2814}),0))))</f>
      </c>
      <c r="O10" s="580"/>
      <c r="P10" s="582"/>
      <c r="Q10" s="493">
        <f>IF($G10="","",IF($O10="Ａ",LOOKUP($D10,{8000,8500,9000,10000,10032,12000},{0,1532,1032,32,0,0}),IF($O10="Ｂ",LOOKUP($D10,{8000,8500,9000,10000,10032,12000},{0,1532,1032,408,408,408}),IF($O10="Ｃ",LOOKUP($D10,{8000,8500,9000,10000,10032,12000},{782,2814,2814,2814,2814,2814}),0))))</f>
      </c>
      <c r="R10" s="503">
        <f t="shared" si="6"/>
      </c>
      <c r="S10" s="504">
        <f>IF(B10="","",SUMIF('6-3_調整額内訳⑤(新・新制度)'!B:B,$B10,'6-3_調整額内訳⑤(新・新制度)'!AF:AF))</f>
      </c>
      <c r="T10" s="505">
        <f t="shared" si="7"/>
      </c>
      <c r="U10" s="506">
        <f t="shared" si="8"/>
      </c>
      <c r="V10" s="506">
        <f t="shared" si="9"/>
      </c>
      <c r="W10" s="507"/>
      <c r="X10" s="506">
        <f t="shared" si="10"/>
      </c>
      <c r="Y10" s="501"/>
      <c r="Z10" s="503">
        <f t="shared" si="11"/>
      </c>
      <c r="AA10" s="508">
        <f t="shared" si="12"/>
      </c>
      <c r="AB10" s="712"/>
      <c r="AC10" s="713"/>
      <c r="AD10" s="714"/>
      <c r="AF10" s="63">
        <f t="shared" si="13"/>
      </c>
      <c r="AG10" s="63">
        <f t="shared" si="0"/>
      </c>
      <c r="AI10" s="56"/>
      <c r="AJ10" s="65"/>
    </row>
    <row r="11" spans="1:33" s="54" customFormat="1" ht="18.75" customHeight="1">
      <c r="A11" s="204">
        <f t="shared" si="1"/>
      </c>
      <c r="B11" s="277"/>
      <c r="C11" s="57"/>
      <c r="D11" s="474"/>
      <c r="E11" s="59"/>
      <c r="F11" s="216">
        <f t="shared" si="2"/>
      </c>
      <c r="G11" s="478">
        <f t="shared" si="3"/>
      </c>
      <c r="H11" s="479"/>
      <c r="I11" s="128"/>
      <c r="J11" s="478">
        <f t="shared" si="4"/>
      </c>
      <c r="K11" s="486">
        <f t="shared" si="5"/>
      </c>
      <c r="L11" s="580"/>
      <c r="M11" s="581"/>
      <c r="N11" s="493">
        <f>IF($G11="","",IF($L11="Ａ",LOOKUP($D11,{8000,8500,9000,10000,10032,12000},{0,1532,1032,32,0,0}),IF($L11="Ｂ",LOOKUP($D11,{8000,8500,9000,10000,10032,12000},{0,1532,1032,408,408,408}),IF($L11="Ｃ",LOOKUP($D11,{8000,8500,9000,10000,10032,12000},{782,2814,2814,2814,2814,2814}),0))))</f>
      </c>
      <c r="O11" s="580"/>
      <c r="P11" s="582"/>
      <c r="Q11" s="493">
        <f>IF($G11="","",IF($O11="Ａ",LOOKUP($D11,{8000,8500,9000,10000,10032,12000},{0,1532,1032,32,0,0}),IF($O11="Ｂ",LOOKUP($D11,{8000,8500,9000,10000,10032,12000},{0,1532,1032,408,408,408}),IF($O11="Ｃ",LOOKUP($D11,{8000,8500,9000,10000,10032,12000},{782,2814,2814,2814,2814,2814}),0))))</f>
      </c>
      <c r="R11" s="503">
        <f t="shared" si="6"/>
      </c>
      <c r="S11" s="504">
        <f>IF(B11="","",SUMIF('6-3_調整額内訳⑤(新・新制度)'!B:B,$B11,'6-3_調整額内訳⑤(新・新制度)'!AF:AF))</f>
      </c>
      <c r="T11" s="505">
        <f t="shared" si="7"/>
      </c>
      <c r="U11" s="506">
        <f t="shared" si="8"/>
      </c>
      <c r="V11" s="506">
        <f t="shared" si="9"/>
      </c>
      <c r="W11" s="507"/>
      <c r="X11" s="506">
        <f t="shared" si="10"/>
      </c>
      <c r="Y11" s="501"/>
      <c r="Z11" s="503">
        <f t="shared" si="11"/>
      </c>
      <c r="AA11" s="508">
        <f t="shared" si="12"/>
      </c>
      <c r="AB11" s="712"/>
      <c r="AC11" s="713"/>
      <c r="AD11" s="714"/>
      <c r="AF11" s="63">
        <f t="shared" si="13"/>
      </c>
      <c r="AG11" s="63">
        <f t="shared" si="0"/>
      </c>
    </row>
    <row r="12" spans="1:33" s="54" customFormat="1" ht="18.75" customHeight="1">
      <c r="A12" s="204">
        <f t="shared" si="1"/>
      </c>
      <c r="B12" s="277"/>
      <c r="C12" s="57"/>
      <c r="D12" s="474"/>
      <c r="E12" s="59"/>
      <c r="F12" s="216">
        <f t="shared" si="2"/>
      </c>
      <c r="G12" s="478">
        <f t="shared" si="3"/>
      </c>
      <c r="H12" s="479"/>
      <c r="I12" s="128"/>
      <c r="J12" s="478">
        <f t="shared" si="4"/>
      </c>
      <c r="K12" s="486">
        <f t="shared" si="5"/>
      </c>
      <c r="L12" s="580"/>
      <c r="M12" s="581"/>
      <c r="N12" s="493">
        <f>IF($G12="","",IF($L12="Ａ",LOOKUP($D12,{8000,8500,9000,10000,10032,12000},{0,1532,1032,32,0,0}),IF($L12="Ｂ",LOOKUP($D12,{8000,8500,9000,10000,10032,12000},{0,1532,1032,408,408,408}),IF($L12="Ｃ",LOOKUP($D12,{8000,8500,9000,10000,10032,12000},{782,2814,2814,2814,2814,2814}),0))))</f>
      </c>
      <c r="O12" s="580"/>
      <c r="P12" s="582"/>
      <c r="Q12" s="493">
        <f>IF($G12="","",IF($O12="Ａ",LOOKUP($D12,{8000,8500,9000,10000,10032,12000},{0,1532,1032,32,0,0}),IF($O12="Ｂ",LOOKUP($D12,{8000,8500,9000,10000,10032,12000},{0,1532,1032,408,408,408}),IF($O12="Ｃ",LOOKUP($D12,{8000,8500,9000,10000,10032,12000},{782,2814,2814,2814,2814,2814}),0))))</f>
      </c>
      <c r="R12" s="503">
        <f t="shared" si="6"/>
      </c>
      <c r="S12" s="504">
        <f>IF(B12="","",SUMIF('6-3_調整額内訳⑤(新・新制度)'!B:B,$B12,'6-3_調整額内訳⑤(新・新制度)'!AF:AF))</f>
      </c>
      <c r="T12" s="505">
        <f t="shared" si="7"/>
      </c>
      <c r="U12" s="506">
        <f t="shared" si="8"/>
      </c>
      <c r="V12" s="506">
        <f t="shared" si="9"/>
      </c>
      <c r="W12" s="507"/>
      <c r="X12" s="506">
        <f t="shared" si="10"/>
      </c>
      <c r="Y12" s="501"/>
      <c r="Z12" s="503">
        <f t="shared" si="11"/>
      </c>
      <c r="AA12" s="508">
        <f t="shared" si="12"/>
      </c>
      <c r="AB12" s="712"/>
      <c r="AC12" s="713"/>
      <c r="AD12" s="714"/>
      <c r="AF12" s="63">
        <f t="shared" si="13"/>
      </c>
      <c r="AG12" s="63">
        <f t="shared" si="0"/>
      </c>
    </row>
    <row r="13" spans="1:33" s="54" customFormat="1" ht="18.75" customHeight="1">
      <c r="A13" s="204">
        <f t="shared" si="1"/>
      </c>
      <c r="B13" s="277"/>
      <c r="C13" s="57"/>
      <c r="D13" s="474"/>
      <c r="E13" s="59"/>
      <c r="F13" s="216">
        <f t="shared" si="2"/>
      </c>
      <c r="G13" s="478">
        <f t="shared" si="3"/>
      </c>
      <c r="H13" s="479"/>
      <c r="I13" s="128"/>
      <c r="J13" s="478">
        <f t="shared" si="4"/>
      </c>
      <c r="K13" s="486">
        <f t="shared" si="5"/>
      </c>
      <c r="L13" s="580"/>
      <c r="M13" s="581"/>
      <c r="N13" s="493">
        <f>IF($G13="","",IF($L13="Ａ",LOOKUP($D13,{8000,8500,9000,10000,10032,12000},{0,1532,1032,32,0,0}),IF($L13="Ｂ",LOOKUP($D13,{8000,8500,9000,10000,10032,12000},{0,1532,1032,408,408,408}),IF($L13="Ｃ",LOOKUP($D13,{8000,8500,9000,10000,10032,12000},{782,2814,2814,2814,2814,2814}),0))))</f>
      </c>
      <c r="O13" s="580"/>
      <c r="P13" s="582"/>
      <c r="Q13" s="493">
        <f>IF($G13="","",IF($O13="Ａ",LOOKUP($D13,{8000,8500,9000,10000,10032,12000},{0,1532,1032,32,0,0}),IF($O13="Ｂ",LOOKUP($D13,{8000,8500,9000,10000,10032,12000},{0,1532,1032,408,408,408}),IF($O13="Ｃ",LOOKUP($D13,{8000,8500,9000,10000,10032,12000},{782,2814,2814,2814,2814,2814}),0))))</f>
      </c>
      <c r="R13" s="503">
        <f t="shared" si="6"/>
      </c>
      <c r="S13" s="504">
        <f>IF(B13="","",SUMIF('6-3_調整額内訳⑤(新・新制度)'!B:B,$B13,'6-3_調整額内訳⑤(新・新制度)'!AF:AF))</f>
      </c>
      <c r="T13" s="505">
        <f t="shared" si="7"/>
      </c>
      <c r="U13" s="506">
        <f t="shared" si="8"/>
      </c>
      <c r="V13" s="506">
        <f t="shared" si="9"/>
      </c>
      <c r="W13" s="507"/>
      <c r="X13" s="506">
        <f t="shared" si="10"/>
      </c>
      <c r="Y13" s="501"/>
      <c r="Z13" s="503">
        <f t="shared" si="11"/>
      </c>
      <c r="AA13" s="508">
        <f t="shared" si="12"/>
      </c>
      <c r="AB13" s="712"/>
      <c r="AC13" s="713"/>
      <c r="AD13" s="714"/>
      <c r="AF13" s="63">
        <f t="shared" si="13"/>
      </c>
      <c r="AG13" s="63">
        <f t="shared" si="0"/>
      </c>
    </row>
    <row r="14" spans="1:33" s="54" customFormat="1" ht="18.75" customHeight="1">
      <c r="A14" s="204">
        <f t="shared" si="1"/>
      </c>
      <c r="B14" s="277"/>
      <c r="C14" s="57"/>
      <c r="D14" s="474"/>
      <c r="E14" s="59"/>
      <c r="F14" s="216">
        <f t="shared" si="2"/>
      </c>
      <c r="G14" s="478">
        <f t="shared" si="3"/>
      </c>
      <c r="H14" s="479"/>
      <c r="I14" s="128"/>
      <c r="J14" s="478">
        <f t="shared" si="4"/>
      </c>
      <c r="K14" s="486">
        <f t="shared" si="5"/>
      </c>
      <c r="L14" s="580"/>
      <c r="M14" s="581"/>
      <c r="N14" s="493">
        <f>IF($G14="","",IF($L14="Ａ",LOOKUP($D14,{8000,8500,9000,10000,10032,12000},{0,1532,1032,32,0,0}),IF($L14="Ｂ",LOOKUP($D14,{8000,8500,9000,10000,10032,12000},{0,1532,1032,408,408,408}),IF($L14="Ｃ",LOOKUP($D14,{8000,8500,9000,10000,10032,12000},{782,2814,2814,2814,2814,2814}),0))))</f>
      </c>
      <c r="O14" s="580"/>
      <c r="P14" s="582"/>
      <c r="Q14" s="493">
        <f>IF($G14="","",IF($O14="Ａ",LOOKUP($D14,{8000,8500,9000,10000,10032,12000},{0,1532,1032,32,0,0}),IF($O14="Ｂ",LOOKUP($D14,{8000,8500,9000,10000,10032,12000},{0,1532,1032,408,408,408}),IF($O14="Ｃ",LOOKUP($D14,{8000,8500,9000,10000,10032,12000},{782,2814,2814,2814,2814,2814}),0))))</f>
      </c>
      <c r="R14" s="503">
        <f t="shared" si="6"/>
      </c>
      <c r="S14" s="504">
        <f>IF(B14="","",SUMIF('6-3_調整額内訳⑤(新・新制度)'!B:B,$B14,'6-3_調整額内訳⑤(新・新制度)'!AF:AF))</f>
      </c>
      <c r="T14" s="505">
        <f t="shared" si="7"/>
      </c>
      <c r="U14" s="506">
        <f t="shared" si="8"/>
      </c>
      <c r="V14" s="506">
        <f t="shared" si="9"/>
      </c>
      <c r="W14" s="507"/>
      <c r="X14" s="506">
        <f t="shared" si="10"/>
      </c>
      <c r="Y14" s="501"/>
      <c r="Z14" s="503">
        <f t="shared" si="11"/>
      </c>
      <c r="AA14" s="508">
        <f t="shared" si="12"/>
      </c>
      <c r="AB14" s="712"/>
      <c r="AC14" s="713"/>
      <c r="AD14" s="714"/>
      <c r="AF14" s="63">
        <f t="shared" si="13"/>
      </c>
      <c r="AG14" s="63">
        <f t="shared" si="0"/>
      </c>
    </row>
    <row r="15" spans="1:33" s="54" customFormat="1" ht="18.75" customHeight="1">
      <c r="A15" s="204">
        <f t="shared" si="1"/>
      </c>
      <c r="B15" s="277"/>
      <c r="C15" s="57"/>
      <c r="D15" s="474"/>
      <c r="E15" s="59"/>
      <c r="F15" s="216">
        <f t="shared" si="2"/>
      </c>
      <c r="G15" s="478">
        <f t="shared" si="3"/>
      </c>
      <c r="H15" s="479"/>
      <c r="I15" s="128"/>
      <c r="J15" s="478">
        <f t="shared" si="4"/>
      </c>
      <c r="K15" s="486">
        <f t="shared" si="5"/>
      </c>
      <c r="L15" s="580"/>
      <c r="M15" s="581"/>
      <c r="N15" s="493">
        <f>IF($G15="","",IF($L15="Ａ",LOOKUP($D15,{8000,8500,9000,10000,10032,12000},{0,1532,1032,32,0,0}),IF($L15="Ｂ",LOOKUP($D15,{8000,8500,9000,10000,10032,12000},{0,1532,1032,408,408,408}),IF($L15="Ｃ",LOOKUP($D15,{8000,8500,9000,10000,10032,12000},{782,2814,2814,2814,2814,2814}),0))))</f>
      </c>
      <c r="O15" s="580"/>
      <c r="P15" s="582"/>
      <c r="Q15" s="493">
        <f>IF($G15="","",IF($O15="Ａ",LOOKUP($D15,{8000,8500,9000,10000,10032,12000},{0,1532,1032,32,0,0}),IF($O15="Ｂ",LOOKUP($D15,{8000,8500,9000,10000,10032,12000},{0,1532,1032,408,408,408}),IF($O15="Ｃ",LOOKUP($D15,{8000,8500,9000,10000,10032,12000},{782,2814,2814,2814,2814,2814}),0))))</f>
      </c>
      <c r="R15" s="503">
        <f t="shared" si="6"/>
      </c>
      <c r="S15" s="504">
        <f>IF(B15="","",SUMIF('6-3_調整額内訳⑤(新・新制度)'!B:B,$B15,'6-3_調整額内訳⑤(新・新制度)'!AF:AF))</f>
      </c>
      <c r="T15" s="505">
        <f t="shared" si="7"/>
      </c>
      <c r="U15" s="506">
        <f t="shared" si="8"/>
      </c>
      <c r="V15" s="506">
        <f t="shared" si="9"/>
      </c>
      <c r="W15" s="507"/>
      <c r="X15" s="506">
        <f t="shared" si="10"/>
      </c>
      <c r="Y15" s="501"/>
      <c r="Z15" s="503">
        <f t="shared" si="11"/>
      </c>
      <c r="AA15" s="508">
        <f t="shared" si="12"/>
      </c>
      <c r="AB15" s="712"/>
      <c r="AC15" s="713"/>
      <c r="AD15" s="714"/>
      <c r="AF15" s="63">
        <f t="shared" si="13"/>
      </c>
      <c r="AG15" s="63">
        <f t="shared" si="0"/>
      </c>
    </row>
    <row r="16" spans="1:33" s="54" customFormat="1" ht="18.75" customHeight="1">
      <c r="A16" s="204">
        <f t="shared" si="1"/>
      </c>
      <c r="B16" s="277"/>
      <c r="C16" s="57"/>
      <c r="D16" s="474"/>
      <c r="E16" s="59"/>
      <c r="F16" s="216">
        <f t="shared" si="2"/>
      </c>
      <c r="G16" s="478">
        <f t="shared" si="3"/>
      </c>
      <c r="H16" s="479"/>
      <c r="I16" s="128"/>
      <c r="J16" s="478">
        <f t="shared" si="4"/>
      </c>
      <c r="K16" s="486">
        <f t="shared" si="5"/>
      </c>
      <c r="L16" s="580"/>
      <c r="M16" s="581"/>
      <c r="N16" s="493">
        <f>IF($G16="","",IF($L16="Ａ",LOOKUP($D16,{8000,8500,9000,10000,10032,12000},{0,1532,1032,32,0,0}),IF($L16="Ｂ",LOOKUP($D16,{8000,8500,9000,10000,10032,12000},{0,1532,1032,408,408,408}),IF($L16="Ｃ",LOOKUP($D16,{8000,8500,9000,10000,10032,12000},{782,2814,2814,2814,2814,2814}),0))))</f>
      </c>
      <c r="O16" s="580"/>
      <c r="P16" s="582"/>
      <c r="Q16" s="493">
        <f>IF($G16="","",IF($O16="Ａ",LOOKUP($D16,{8000,8500,9000,10000,10032,12000},{0,1532,1032,32,0,0}),IF($O16="Ｂ",LOOKUP($D16,{8000,8500,9000,10000,10032,12000},{0,1532,1032,408,408,408}),IF($O16="Ｃ",LOOKUP($D16,{8000,8500,9000,10000,10032,12000},{782,2814,2814,2814,2814,2814}),0))))</f>
      </c>
      <c r="R16" s="503">
        <f t="shared" si="6"/>
      </c>
      <c r="S16" s="504">
        <f>IF(B16="","",SUMIF('6-3_調整額内訳⑤(新・新制度)'!B:B,$B16,'6-3_調整額内訳⑤(新・新制度)'!AF:AF))</f>
      </c>
      <c r="T16" s="505">
        <f t="shared" si="7"/>
      </c>
      <c r="U16" s="506">
        <f t="shared" si="8"/>
      </c>
      <c r="V16" s="506">
        <f t="shared" si="9"/>
      </c>
      <c r="W16" s="507"/>
      <c r="X16" s="506">
        <f t="shared" si="10"/>
      </c>
      <c r="Y16" s="501"/>
      <c r="Z16" s="503">
        <f t="shared" si="11"/>
      </c>
      <c r="AA16" s="508">
        <f t="shared" si="12"/>
      </c>
      <c r="AB16" s="712"/>
      <c r="AC16" s="713"/>
      <c r="AD16" s="714"/>
      <c r="AF16" s="63">
        <f t="shared" si="13"/>
      </c>
      <c r="AG16" s="63">
        <f t="shared" si="0"/>
      </c>
    </row>
    <row r="17" spans="1:33" s="54" customFormat="1" ht="18.75" customHeight="1">
      <c r="A17" s="204">
        <f t="shared" si="1"/>
      </c>
      <c r="B17" s="277"/>
      <c r="C17" s="57"/>
      <c r="D17" s="474"/>
      <c r="E17" s="59"/>
      <c r="F17" s="216">
        <f t="shared" si="2"/>
      </c>
      <c r="G17" s="478">
        <f t="shared" si="3"/>
      </c>
      <c r="H17" s="479"/>
      <c r="I17" s="128"/>
      <c r="J17" s="478">
        <f t="shared" si="4"/>
      </c>
      <c r="K17" s="486">
        <f t="shared" si="5"/>
      </c>
      <c r="L17" s="580"/>
      <c r="M17" s="581"/>
      <c r="N17" s="493">
        <f>IF($G17="","",IF($L17="Ａ",LOOKUP($D17,{8000,8500,9000,10000,10032,12000},{0,1532,1032,32,0,0}),IF($L17="Ｂ",LOOKUP($D17,{8000,8500,9000,10000,10032,12000},{0,1532,1032,408,408,408}),IF($L17="Ｃ",LOOKUP($D17,{8000,8500,9000,10000,10032,12000},{782,2814,2814,2814,2814,2814}),0))))</f>
      </c>
      <c r="O17" s="580"/>
      <c r="P17" s="582"/>
      <c r="Q17" s="493">
        <f>IF($G17="","",IF($O17="Ａ",LOOKUP($D17,{8000,8500,9000,10000,10032,12000},{0,1532,1032,32,0,0}),IF($O17="Ｂ",LOOKUP($D17,{8000,8500,9000,10000,10032,12000},{0,1532,1032,408,408,408}),IF($O17="Ｃ",LOOKUP($D17,{8000,8500,9000,10000,10032,12000},{782,2814,2814,2814,2814,2814}),0))))</f>
      </c>
      <c r="R17" s="503">
        <f t="shared" si="6"/>
      </c>
      <c r="S17" s="504">
        <f>IF(B17="","",SUMIF('6-3_調整額内訳⑤(新・新制度)'!B:B,$B17,'6-3_調整額内訳⑤(新・新制度)'!AF:AF))</f>
      </c>
      <c r="T17" s="505">
        <f t="shared" si="7"/>
      </c>
      <c r="U17" s="506">
        <f t="shared" si="8"/>
      </c>
      <c r="V17" s="506">
        <f t="shared" si="9"/>
      </c>
      <c r="W17" s="507"/>
      <c r="X17" s="506">
        <f t="shared" si="10"/>
      </c>
      <c r="Y17" s="501"/>
      <c r="Z17" s="503">
        <f t="shared" si="11"/>
      </c>
      <c r="AA17" s="508">
        <f t="shared" si="12"/>
      </c>
      <c r="AB17" s="712"/>
      <c r="AC17" s="713"/>
      <c r="AD17" s="714"/>
      <c r="AF17" s="63">
        <f t="shared" si="13"/>
      </c>
      <c r="AG17" s="63">
        <f t="shared" si="0"/>
      </c>
    </row>
    <row r="18" spans="1:33" s="54" customFormat="1" ht="18.75" customHeight="1">
      <c r="A18" s="204">
        <f t="shared" si="1"/>
      </c>
      <c r="B18" s="277"/>
      <c r="C18" s="57"/>
      <c r="D18" s="474"/>
      <c r="E18" s="59"/>
      <c r="F18" s="216">
        <f t="shared" si="2"/>
      </c>
      <c r="G18" s="478">
        <f t="shared" si="3"/>
      </c>
      <c r="H18" s="479"/>
      <c r="I18" s="128"/>
      <c r="J18" s="478">
        <f t="shared" si="4"/>
      </c>
      <c r="K18" s="486">
        <f t="shared" si="5"/>
      </c>
      <c r="L18" s="580"/>
      <c r="M18" s="581"/>
      <c r="N18" s="493">
        <f>IF($G18="","",IF($L18="Ａ",LOOKUP($D18,{8000,8500,9000,10000,10032,12000},{0,1532,1032,32,0,0}),IF($L18="Ｂ",LOOKUP($D18,{8000,8500,9000,10000,10032,12000},{0,1532,1032,408,408,408}),IF($L18="Ｃ",LOOKUP($D18,{8000,8500,9000,10000,10032,12000},{782,2814,2814,2814,2814,2814}),0))))</f>
      </c>
      <c r="O18" s="580"/>
      <c r="P18" s="582"/>
      <c r="Q18" s="493">
        <f>IF($G18="","",IF($O18="Ａ",LOOKUP($D18,{8000,8500,9000,10000,10032,12000},{0,1532,1032,32,0,0}),IF($O18="Ｂ",LOOKUP($D18,{8000,8500,9000,10000,10032,12000},{0,1532,1032,408,408,408}),IF($O18="Ｃ",LOOKUP($D18,{8000,8500,9000,10000,10032,12000},{782,2814,2814,2814,2814,2814}),0))))</f>
      </c>
      <c r="R18" s="503">
        <f t="shared" si="6"/>
      </c>
      <c r="S18" s="504">
        <f>IF(B18="","",SUMIF('6-3_調整額内訳⑤(新・新制度)'!B:B,$B18,'6-3_調整額内訳⑤(新・新制度)'!AF:AF))</f>
      </c>
      <c r="T18" s="505">
        <f t="shared" si="7"/>
      </c>
      <c r="U18" s="506">
        <f t="shared" si="8"/>
      </c>
      <c r="V18" s="506">
        <f t="shared" si="9"/>
      </c>
      <c r="W18" s="507"/>
      <c r="X18" s="506">
        <f t="shared" si="10"/>
      </c>
      <c r="Y18" s="501"/>
      <c r="Z18" s="503">
        <f t="shared" si="11"/>
      </c>
      <c r="AA18" s="508">
        <f t="shared" si="12"/>
      </c>
      <c r="AB18" s="712"/>
      <c r="AC18" s="713"/>
      <c r="AD18" s="714"/>
      <c r="AF18" s="63">
        <f t="shared" si="13"/>
      </c>
      <c r="AG18" s="63">
        <f t="shared" si="0"/>
      </c>
    </row>
    <row r="19" spans="1:33" s="54" customFormat="1" ht="18.75" customHeight="1">
      <c r="A19" s="204">
        <f t="shared" si="1"/>
      </c>
      <c r="B19" s="277"/>
      <c r="C19" s="57"/>
      <c r="D19" s="474"/>
      <c r="E19" s="59"/>
      <c r="F19" s="216">
        <f t="shared" si="2"/>
      </c>
      <c r="G19" s="478">
        <f t="shared" si="3"/>
      </c>
      <c r="H19" s="479"/>
      <c r="I19" s="128"/>
      <c r="J19" s="478">
        <f t="shared" si="4"/>
      </c>
      <c r="K19" s="486">
        <f t="shared" si="5"/>
      </c>
      <c r="L19" s="580"/>
      <c r="M19" s="581"/>
      <c r="N19" s="493">
        <f>IF($G19="","",IF($L19="Ａ",LOOKUP($D19,{8000,8500,9000,10000,10032,12000},{0,1532,1032,32,0,0}),IF($L19="Ｂ",LOOKUP($D19,{8000,8500,9000,10000,10032,12000},{0,1532,1032,408,408,408}),IF($L19="Ｃ",LOOKUP($D19,{8000,8500,9000,10000,10032,12000},{782,2814,2814,2814,2814,2814}),0))))</f>
      </c>
      <c r="O19" s="580"/>
      <c r="P19" s="582"/>
      <c r="Q19" s="493">
        <f>IF($G19="","",IF($O19="Ａ",LOOKUP($D19,{8000,8500,9000,10000,10032,12000},{0,1532,1032,32,0,0}),IF($O19="Ｂ",LOOKUP($D19,{8000,8500,9000,10000,10032,12000},{0,1532,1032,408,408,408}),IF($O19="Ｃ",LOOKUP($D19,{8000,8500,9000,10000,10032,12000},{782,2814,2814,2814,2814,2814}),0))))</f>
      </c>
      <c r="R19" s="503">
        <f t="shared" si="6"/>
      </c>
      <c r="S19" s="504">
        <f>IF(B19="","",SUMIF('6-3_調整額内訳⑤(新・新制度)'!B:B,$B19,'6-3_調整額内訳⑤(新・新制度)'!AF:AF))</f>
      </c>
      <c r="T19" s="505">
        <f t="shared" si="7"/>
      </c>
      <c r="U19" s="506">
        <f t="shared" si="8"/>
      </c>
      <c r="V19" s="506">
        <f t="shared" si="9"/>
      </c>
      <c r="W19" s="507"/>
      <c r="X19" s="506">
        <f t="shared" si="10"/>
      </c>
      <c r="Y19" s="501"/>
      <c r="Z19" s="503">
        <f t="shared" si="11"/>
      </c>
      <c r="AA19" s="508">
        <f t="shared" si="12"/>
      </c>
      <c r="AB19" s="712"/>
      <c r="AC19" s="713"/>
      <c r="AD19" s="714"/>
      <c r="AF19" s="63">
        <f t="shared" si="13"/>
      </c>
      <c r="AG19" s="63">
        <f t="shared" si="0"/>
      </c>
    </row>
    <row r="20" spans="1:33" s="54" customFormat="1" ht="18.75" customHeight="1">
      <c r="A20" s="204">
        <f t="shared" si="1"/>
      </c>
      <c r="B20" s="277"/>
      <c r="C20" s="57"/>
      <c r="D20" s="474"/>
      <c r="E20" s="59"/>
      <c r="F20" s="216">
        <f t="shared" si="2"/>
      </c>
      <c r="G20" s="478">
        <f t="shared" si="3"/>
      </c>
      <c r="H20" s="479"/>
      <c r="I20" s="128"/>
      <c r="J20" s="478">
        <f t="shared" si="4"/>
      </c>
      <c r="K20" s="486">
        <f t="shared" si="5"/>
      </c>
      <c r="L20" s="580"/>
      <c r="M20" s="581"/>
      <c r="N20" s="493">
        <f>IF($G20="","",IF($L20="Ａ",LOOKUP($D20,{8000,8500,9000,10000,10032,12000},{0,1532,1032,32,0,0}),IF($L20="Ｂ",LOOKUP($D20,{8000,8500,9000,10000,10032,12000},{0,1532,1032,408,408,408}),IF($L20="Ｃ",LOOKUP($D20,{8000,8500,9000,10000,10032,12000},{782,2814,2814,2814,2814,2814}),0))))</f>
      </c>
      <c r="O20" s="580"/>
      <c r="P20" s="582"/>
      <c r="Q20" s="493">
        <f>IF($G20="","",IF($O20="Ａ",LOOKUP($D20,{8000,8500,9000,10000,10032,12000},{0,1532,1032,32,0,0}),IF($O20="Ｂ",LOOKUP($D20,{8000,8500,9000,10000,10032,12000},{0,1532,1032,408,408,408}),IF($O20="Ｃ",LOOKUP($D20,{8000,8500,9000,10000,10032,12000},{782,2814,2814,2814,2814,2814}),0))))</f>
      </c>
      <c r="R20" s="503">
        <f t="shared" si="6"/>
      </c>
      <c r="S20" s="504">
        <f>IF(B20="","",SUMIF('6-3_調整額内訳⑤(新・新制度)'!B:B,$B20,'6-3_調整額内訳⑤(新・新制度)'!AF:AF))</f>
      </c>
      <c r="T20" s="505">
        <f t="shared" si="7"/>
      </c>
      <c r="U20" s="506">
        <f t="shared" si="8"/>
      </c>
      <c r="V20" s="506">
        <f t="shared" si="9"/>
      </c>
      <c r="W20" s="507"/>
      <c r="X20" s="506">
        <f t="shared" si="10"/>
      </c>
      <c r="Y20" s="501"/>
      <c r="Z20" s="503">
        <f t="shared" si="11"/>
      </c>
      <c r="AA20" s="508">
        <f t="shared" si="12"/>
      </c>
      <c r="AB20" s="712"/>
      <c r="AC20" s="713"/>
      <c r="AD20" s="714"/>
      <c r="AF20" s="63">
        <f t="shared" si="13"/>
      </c>
      <c r="AG20" s="63">
        <f t="shared" si="0"/>
      </c>
    </row>
    <row r="21" spans="1:33" s="54" customFormat="1" ht="18.75" customHeight="1">
      <c r="A21" s="204">
        <f t="shared" si="1"/>
      </c>
      <c r="B21" s="277"/>
      <c r="C21" s="57"/>
      <c r="D21" s="474"/>
      <c r="E21" s="59"/>
      <c r="F21" s="216">
        <f t="shared" si="2"/>
      </c>
      <c r="G21" s="478">
        <f t="shared" si="3"/>
      </c>
      <c r="H21" s="479"/>
      <c r="I21" s="128"/>
      <c r="J21" s="478">
        <f t="shared" si="4"/>
      </c>
      <c r="K21" s="486">
        <f t="shared" si="5"/>
      </c>
      <c r="L21" s="580"/>
      <c r="M21" s="581"/>
      <c r="N21" s="493">
        <f>IF($G21="","",IF($L21="Ａ",LOOKUP($D21,{8000,8500,9000,10000,10032,12000},{0,1532,1032,32,0,0}),IF($L21="Ｂ",LOOKUP($D21,{8000,8500,9000,10000,10032,12000},{0,1532,1032,408,408,408}),IF($L21="Ｃ",LOOKUP($D21,{8000,8500,9000,10000,10032,12000},{782,2814,2814,2814,2814,2814}),0))))</f>
      </c>
      <c r="O21" s="580"/>
      <c r="P21" s="582"/>
      <c r="Q21" s="493">
        <f>IF($G21="","",IF($O21="Ａ",LOOKUP($D21,{8000,8500,9000,10000,10032,12000},{0,1532,1032,32,0,0}),IF($O21="Ｂ",LOOKUP($D21,{8000,8500,9000,10000,10032,12000},{0,1532,1032,408,408,408}),IF($O21="Ｃ",LOOKUP($D21,{8000,8500,9000,10000,10032,12000},{782,2814,2814,2814,2814,2814}),0))))</f>
      </c>
      <c r="R21" s="503">
        <f t="shared" si="6"/>
      </c>
      <c r="S21" s="504">
        <f>IF(B21="","",SUMIF('6-3_調整額内訳⑤(新・新制度)'!B:B,$B21,'6-3_調整額内訳⑤(新・新制度)'!AF:AF))</f>
      </c>
      <c r="T21" s="505">
        <f t="shared" si="7"/>
      </c>
      <c r="U21" s="506">
        <f t="shared" si="8"/>
      </c>
      <c r="V21" s="506">
        <f t="shared" si="9"/>
      </c>
      <c r="W21" s="507"/>
      <c r="X21" s="506">
        <f t="shared" si="10"/>
      </c>
      <c r="Y21" s="501"/>
      <c r="Z21" s="503">
        <f t="shared" si="11"/>
      </c>
      <c r="AA21" s="508">
        <f t="shared" si="12"/>
      </c>
      <c r="AB21" s="712"/>
      <c r="AC21" s="713"/>
      <c r="AD21" s="714"/>
      <c r="AF21" s="63">
        <f t="shared" si="13"/>
      </c>
      <c r="AG21" s="63">
        <f t="shared" si="0"/>
      </c>
    </row>
    <row r="22" spans="1:33" s="54" customFormat="1" ht="18.75" customHeight="1">
      <c r="A22" s="204">
        <f t="shared" si="1"/>
      </c>
      <c r="B22" s="277"/>
      <c r="C22" s="57"/>
      <c r="D22" s="474"/>
      <c r="E22" s="59"/>
      <c r="F22" s="216">
        <f t="shared" si="2"/>
      </c>
      <c r="G22" s="478">
        <f t="shared" si="3"/>
      </c>
      <c r="H22" s="479"/>
      <c r="I22" s="128"/>
      <c r="J22" s="478">
        <f t="shared" si="4"/>
      </c>
      <c r="K22" s="486">
        <f t="shared" si="5"/>
      </c>
      <c r="L22" s="580"/>
      <c r="M22" s="581"/>
      <c r="N22" s="493">
        <f>IF($G22="","",IF($L22="Ａ",LOOKUP($D22,{8000,8500,9000,10000,10032,12000},{0,1532,1032,32,0,0}),IF($L22="Ｂ",LOOKUP($D22,{8000,8500,9000,10000,10032,12000},{0,1532,1032,408,408,408}),IF($L22="Ｃ",LOOKUP($D22,{8000,8500,9000,10000,10032,12000},{782,2814,2814,2814,2814,2814}),0))))</f>
      </c>
      <c r="O22" s="580"/>
      <c r="P22" s="582"/>
      <c r="Q22" s="493">
        <f>IF($G22="","",IF($O22="Ａ",LOOKUP($D22,{8000,8500,9000,10000,10032,12000},{0,1532,1032,32,0,0}),IF($O22="Ｂ",LOOKUP($D22,{8000,8500,9000,10000,10032,12000},{0,1532,1032,408,408,408}),IF($O22="Ｃ",LOOKUP($D22,{8000,8500,9000,10000,10032,12000},{782,2814,2814,2814,2814,2814}),0))))</f>
      </c>
      <c r="R22" s="503">
        <f t="shared" si="6"/>
      </c>
      <c r="S22" s="504">
        <f>IF(B22="","",SUMIF('6-3_調整額内訳⑤(新・新制度)'!B:B,$B22,'6-3_調整額内訳⑤(新・新制度)'!AF:AF))</f>
      </c>
      <c r="T22" s="505">
        <f t="shared" si="7"/>
      </c>
      <c r="U22" s="506">
        <f t="shared" si="8"/>
      </c>
      <c r="V22" s="506">
        <f t="shared" si="9"/>
      </c>
      <c r="W22" s="507"/>
      <c r="X22" s="506">
        <f t="shared" si="10"/>
      </c>
      <c r="Y22" s="501"/>
      <c r="Z22" s="503">
        <f t="shared" si="11"/>
      </c>
      <c r="AA22" s="508">
        <f t="shared" si="12"/>
      </c>
      <c r="AB22" s="712"/>
      <c r="AC22" s="713"/>
      <c r="AD22" s="714"/>
      <c r="AF22" s="63">
        <f t="shared" si="13"/>
      </c>
      <c r="AG22" s="63">
        <f t="shared" si="0"/>
      </c>
    </row>
    <row r="23" spans="1:33" s="54" customFormat="1" ht="18.75" customHeight="1">
      <c r="A23" s="204">
        <f t="shared" si="1"/>
      </c>
      <c r="B23" s="277"/>
      <c r="C23" s="57"/>
      <c r="D23" s="474"/>
      <c r="E23" s="59"/>
      <c r="F23" s="216">
        <f t="shared" si="2"/>
      </c>
      <c r="G23" s="478">
        <f t="shared" si="3"/>
      </c>
      <c r="H23" s="479"/>
      <c r="I23" s="128"/>
      <c r="J23" s="478">
        <f t="shared" si="4"/>
      </c>
      <c r="K23" s="486">
        <f t="shared" si="5"/>
      </c>
      <c r="L23" s="580"/>
      <c r="M23" s="581"/>
      <c r="N23" s="493">
        <f>IF($G23="","",IF($L23="Ａ",LOOKUP($D23,{8000,8500,9000,10000,10032,12000},{0,1532,1032,32,0,0}),IF($L23="Ｂ",LOOKUP($D23,{8000,8500,9000,10000,10032,12000},{0,1532,1032,408,408,408}),IF($L23="Ｃ",LOOKUP($D23,{8000,8500,9000,10000,10032,12000},{782,2814,2814,2814,2814,2814}),0))))</f>
      </c>
      <c r="O23" s="580"/>
      <c r="P23" s="582"/>
      <c r="Q23" s="493">
        <f>IF($G23="","",IF($O23="Ａ",LOOKUP($D23,{8000,8500,9000,10000,10032,12000},{0,1532,1032,32,0,0}),IF($O23="Ｂ",LOOKUP($D23,{8000,8500,9000,10000,10032,12000},{0,1532,1032,408,408,408}),IF($O23="Ｃ",LOOKUP($D23,{8000,8500,9000,10000,10032,12000},{782,2814,2814,2814,2814,2814}),0))))</f>
      </c>
      <c r="R23" s="503">
        <f t="shared" si="6"/>
      </c>
      <c r="S23" s="504">
        <f>IF(B23="","",SUMIF('6-3_調整額内訳⑤(新・新制度)'!B:B,$B23,'6-3_調整額内訳⑤(新・新制度)'!AF:AF))</f>
      </c>
      <c r="T23" s="505">
        <f t="shared" si="7"/>
      </c>
      <c r="U23" s="506">
        <f t="shared" si="8"/>
      </c>
      <c r="V23" s="506">
        <f t="shared" si="9"/>
      </c>
      <c r="W23" s="507"/>
      <c r="X23" s="506">
        <f t="shared" si="10"/>
      </c>
      <c r="Y23" s="501"/>
      <c r="Z23" s="503">
        <f t="shared" si="11"/>
      </c>
      <c r="AA23" s="508">
        <f t="shared" si="12"/>
      </c>
      <c r="AB23" s="712"/>
      <c r="AC23" s="713"/>
      <c r="AD23" s="714"/>
      <c r="AF23" s="63">
        <f t="shared" si="13"/>
      </c>
      <c r="AG23" s="63">
        <f t="shared" si="0"/>
      </c>
    </row>
    <row r="24" spans="1:33" s="54" customFormat="1" ht="18.75" customHeight="1">
      <c r="A24" s="204">
        <f t="shared" si="1"/>
      </c>
      <c r="B24" s="277"/>
      <c r="C24" s="57"/>
      <c r="D24" s="474"/>
      <c r="E24" s="59"/>
      <c r="F24" s="216">
        <f t="shared" si="2"/>
      </c>
      <c r="G24" s="478">
        <f t="shared" si="3"/>
      </c>
      <c r="H24" s="479"/>
      <c r="I24" s="128"/>
      <c r="J24" s="478">
        <f t="shared" si="4"/>
      </c>
      <c r="K24" s="486">
        <f t="shared" si="5"/>
      </c>
      <c r="L24" s="580"/>
      <c r="M24" s="581"/>
      <c r="N24" s="493">
        <f>IF($G24="","",IF($L24="Ａ",LOOKUP($D24,{8000,8500,9000,10000,10032,12000},{0,1532,1032,32,0,0}),IF($L24="Ｂ",LOOKUP($D24,{8000,8500,9000,10000,10032,12000},{0,1532,1032,408,408,408}),IF($L24="Ｃ",LOOKUP($D24,{8000,8500,9000,10000,10032,12000},{782,2814,2814,2814,2814,2814}),0))))</f>
      </c>
      <c r="O24" s="580"/>
      <c r="P24" s="582"/>
      <c r="Q24" s="493">
        <f>IF($G24="","",IF($O24="Ａ",LOOKUP($D24,{8000,8500,9000,10000,10032,12000},{0,1532,1032,32,0,0}),IF($O24="Ｂ",LOOKUP($D24,{8000,8500,9000,10000,10032,12000},{0,1532,1032,408,408,408}),IF($O24="Ｃ",LOOKUP($D24,{8000,8500,9000,10000,10032,12000},{782,2814,2814,2814,2814,2814}),0))))</f>
      </c>
      <c r="R24" s="503">
        <f t="shared" si="6"/>
      </c>
      <c r="S24" s="504">
        <f>IF(B24="","",SUMIF('6-3_調整額内訳⑤(新・新制度)'!B:B,$B24,'6-3_調整額内訳⑤(新・新制度)'!AF:AF))</f>
      </c>
      <c r="T24" s="505">
        <f t="shared" si="7"/>
      </c>
      <c r="U24" s="506">
        <f t="shared" si="8"/>
      </c>
      <c r="V24" s="506">
        <f t="shared" si="9"/>
      </c>
      <c r="W24" s="507"/>
      <c r="X24" s="506">
        <f t="shared" si="10"/>
      </c>
      <c r="Y24" s="501"/>
      <c r="Z24" s="503">
        <f t="shared" si="11"/>
      </c>
      <c r="AA24" s="508">
        <f t="shared" si="12"/>
      </c>
      <c r="AB24" s="712"/>
      <c r="AC24" s="713"/>
      <c r="AD24" s="714"/>
      <c r="AF24" s="63">
        <f t="shared" si="13"/>
      </c>
      <c r="AG24" s="63">
        <f t="shared" si="0"/>
      </c>
    </row>
    <row r="25" spans="1:33" s="54" customFormat="1" ht="18.75" customHeight="1">
      <c r="A25" s="204">
        <f t="shared" si="1"/>
      </c>
      <c r="B25" s="277"/>
      <c r="C25" s="57"/>
      <c r="D25" s="474"/>
      <c r="E25" s="59"/>
      <c r="F25" s="216">
        <f t="shared" si="2"/>
      </c>
      <c r="G25" s="478">
        <f t="shared" si="3"/>
      </c>
      <c r="H25" s="479"/>
      <c r="I25" s="128"/>
      <c r="J25" s="478">
        <f t="shared" si="4"/>
      </c>
      <c r="K25" s="486">
        <f t="shared" si="5"/>
      </c>
      <c r="L25" s="580"/>
      <c r="M25" s="581"/>
      <c r="N25" s="493">
        <f>IF($G25="","",IF($L25="Ａ",LOOKUP($D25,{8000,8500,9000,10000,10032,12000},{0,1532,1032,32,0,0}),IF($L25="Ｂ",LOOKUP($D25,{8000,8500,9000,10000,10032,12000},{0,1532,1032,408,408,408}),IF($L25="Ｃ",LOOKUP($D25,{8000,8500,9000,10000,10032,12000},{782,2814,2814,2814,2814,2814}),0))))</f>
      </c>
      <c r="O25" s="580"/>
      <c r="P25" s="582"/>
      <c r="Q25" s="493">
        <f>IF($G25="","",IF($O25="Ａ",LOOKUP($D25,{8000,8500,9000,10000,10032,12000},{0,1532,1032,32,0,0}),IF($O25="Ｂ",LOOKUP($D25,{8000,8500,9000,10000,10032,12000},{0,1532,1032,408,408,408}),IF($O25="Ｃ",LOOKUP($D25,{8000,8500,9000,10000,10032,12000},{782,2814,2814,2814,2814,2814}),0))))</f>
      </c>
      <c r="R25" s="503">
        <f t="shared" si="6"/>
      </c>
      <c r="S25" s="504">
        <f>IF(B25="","",SUMIF('6-3_調整額内訳⑤(新・新制度)'!B:B,$B25,'6-3_調整額内訳⑤(新・新制度)'!AF:AF))</f>
      </c>
      <c r="T25" s="505">
        <f t="shared" si="7"/>
      </c>
      <c r="U25" s="506">
        <f t="shared" si="8"/>
      </c>
      <c r="V25" s="506">
        <f t="shared" si="9"/>
      </c>
      <c r="W25" s="507"/>
      <c r="X25" s="506">
        <f t="shared" si="10"/>
      </c>
      <c r="Y25" s="501"/>
      <c r="Z25" s="503">
        <f t="shared" si="11"/>
      </c>
      <c r="AA25" s="508">
        <f t="shared" si="12"/>
      </c>
      <c r="AB25" s="712"/>
      <c r="AC25" s="713"/>
      <c r="AD25" s="714"/>
      <c r="AF25" s="63">
        <f t="shared" si="13"/>
      </c>
      <c r="AG25" s="63">
        <f t="shared" si="0"/>
      </c>
    </row>
    <row r="26" spans="1:33" s="54" customFormat="1" ht="18.75" customHeight="1">
      <c r="A26" s="204">
        <f t="shared" si="1"/>
      </c>
      <c r="B26" s="277"/>
      <c r="C26" s="57"/>
      <c r="D26" s="474"/>
      <c r="E26" s="59"/>
      <c r="F26" s="216">
        <f t="shared" si="2"/>
      </c>
      <c r="G26" s="478">
        <f t="shared" si="3"/>
      </c>
      <c r="H26" s="479"/>
      <c r="I26" s="128"/>
      <c r="J26" s="478">
        <f t="shared" si="4"/>
      </c>
      <c r="K26" s="486">
        <f t="shared" si="5"/>
      </c>
      <c r="L26" s="580"/>
      <c r="M26" s="581"/>
      <c r="N26" s="493">
        <f>IF($G26="","",IF($L26="Ａ",LOOKUP($D26,{8000,8500,9000,10000,10032,12000},{0,1532,1032,32,0,0}),IF($L26="Ｂ",LOOKUP($D26,{8000,8500,9000,10000,10032,12000},{0,1532,1032,408,408,408}),IF($L26="Ｃ",LOOKUP($D26,{8000,8500,9000,10000,10032,12000},{782,2814,2814,2814,2814,2814}),0))))</f>
      </c>
      <c r="O26" s="580"/>
      <c r="P26" s="582"/>
      <c r="Q26" s="493">
        <f>IF($G26="","",IF($O26="Ａ",LOOKUP($D26,{8000,8500,9000,10000,10032,12000},{0,1532,1032,32,0,0}),IF($O26="Ｂ",LOOKUP($D26,{8000,8500,9000,10000,10032,12000},{0,1532,1032,408,408,408}),IF($O26="Ｃ",LOOKUP($D26,{8000,8500,9000,10000,10032,12000},{782,2814,2814,2814,2814,2814}),0))))</f>
      </c>
      <c r="R26" s="503">
        <f t="shared" si="6"/>
      </c>
      <c r="S26" s="504">
        <f>IF(B26="","",SUMIF('6-3_調整額内訳⑤(新・新制度)'!B:B,$B26,'6-3_調整額内訳⑤(新・新制度)'!AF:AF))</f>
      </c>
      <c r="T26" s="505">
        <f t="shared" si="7"/>
      </c>
      <c r="U26" s="506">
        <f t="shared" si="8"/>
      </c>
      <c r="V26" s="506">
        <f t="shared" si="9"/>
      </c>
      <c r="W26" s="507"/>
      <c r="X26" s="506">
        <f t="shared" si="10"/>
      </c>
      <c r="Y26" s="501"/>
      <c r="Z26" s="503">
        <f t="shared" si="11"/>
      </c>
      <c r="AA26" s="508">
        <f t="shared" si="12"/>
      </c>
      <c r="AB26" s="712"/>
      <c r="AC26" s="713"/>
      <c r="AD26" s="714"/>
      <c r="AF26" s="63">
        <f t="shared" si="13"/>
      </c>
      <c r="AG26" s="63">
        <f t="shared" si="0"/>
      </c>
    </row>
    <row r="27" spans="1:33" s="54" customFormat="1" ht="18.75" customHeight="1">
      <c r="A27" s="204">
        <f t="shared" si="1"/>
      </c>
      <c r="B27" s="277"/>
      <c r="C27" s="57"/>
      <c r="D27" s="474"/>
      <c r="E27" s="59"/>
      <c r="F27" s="216">
        <f t="shared" si="2"/>
      </c>
      <c r="G27" s="478">
        <f t="shared" si="3"/>
      </c>
      <c r="H27" s="479"/>
      <c r="I27" s="128"/>
      <c r="J27" s="478">
        <f t="shared" si="4"/>
      </c>
      <c r="K27" s="486">
        <f t="shared" si="5"/>
      </c>
      <c r="L27" s="580"/>
      <c r="M27" s="581"/>
      <c r="N27" s="493">
        <f>IF($G27="","",IF($L27="Ａ",LOOKUP($D27,{8000,8500,9000,10000,10032,12000},{0,1532,1032,32,0,0}),IF($L27="Ｂ",LOOKUP($D27,{8000,8500,9000,10000,10032,12000},{0,1532,1032,408,408,408}),IF($L27="Ｃ",LOOKUP($D27,{8000,8500,9000,10000,10032,12000},{782,2814,2814,2814,2814,2814}),0))))</f>
      </c>
      <c r="O27" s="580"/>
      <c r="P27" s="582"/>
      <c r="Q27" s="493">
        <f>IF($G27="","",IF($O27="Ａ",LOOKUP($D27,{8000,8500,9000,10000,10032,12000},{0,1532,1032,32,0,0}),IF($O27="Ｂ",LOOKUP($D27,{8000,8500,9000,10000,10032,12000},{0,1532,1032,408,408,408}),IF($O27="Ｃ",LOOKUP($D27,{8000,8500,9000,10000,10032,12000},{782,2814,2814,2814,2814,2814}),0))))</f>
      </c>
      <c r="R27" s="503">
        <f t="shared" si="6"/>
      </c>
      <c r="S27" s="504">
        <f>IF(B27="","",SUMIF('6-3_調整額内訳⑤(新・新制度)'!B:B,$B27,'6-3_調整額内訳⑤(新・新制度)'!AF:AF))</f>
      </c>
      <c r="T27" s="505">
        <f t="shared" si="7"/>
      </c>
      <c r="U27" s="506">
        <f t="shared" si="8"/>
      </c>
      <c r="V27" s="506">
        <f t="shared" si="9"/>
      </c>
      <c r="W27" s="507"/>
      <c r="X27" s="506">
        <f t="shared" si="10"/>
      </c>
      <c r="Y27" s="501"/>
      <c r="Z27" s="503">
        <f t="shared" si="11"/>
      </c>
      <c r="AA27" s="508">
        <f t="shared" si="12"/>
      </c>
      <c r="AB27" s="712"/>
      <c r="AC27" s="713"/>
      <c r="AD27" s="714"/>
      <c r="AF27" s="63">
        <f t="shared" si="13"/>
      </c>
      <c r="AG27" s="63">
        <f t="shared" si="0"/>
      </c>
    </row>
    <row r="28" spans="1:33" s="54" customFormat="1" ht="18.75" customHeight="1">
      <c r="A28" s="204">
        <f t="shared" si="1"/>
      </c>
      <c r="B28" s="277"/>
      <c r="C28" s="57"/>
      <c r="D28" s="474"/>
      <c r="E28" s="59"/>
      <c r="F28" s="216">
        <f t="shared" si="2"/>
      </c>
      <c r="G28" s="478">
        <f t="shared" si="3"/>
      </c>
      <c r="H28" s="479"/>
      <c r="I28" s="128"/>
      <c r="J28" s="478">
        <f t="shared" si="4"/>
      </c>
      <c r="K28" s="486">
        <f t="shared" si="5"/>
      </c>
      <c r="L28" s="580"/>
      <c r="M28" s="581"/>
      <c r="N28" s="493">
        <f>IF($G28="","",IF($L28="Ａ",LOOKUP($D28,{8000,8500,9000,10000,10032,12000},{0,1532,1032,32,0,0}),IF($L28="Ｂ",LOOKUP($D28,{8000,8500,9000,10000,10032,12000},{0,1532,1032,408,408,408}),IF($L28="Ｃ",LOOKUP($D28,{8000,8500,9000,10000,10032,12000},{782,2814,2814,2814,2814,2814}),0))))</f>
      </c>
      <c r="O28" s="580"/>
      <c r="P28" s="582"/>
      <c r="Q28" s="493">
        <f>IF($G28="","",IF($O28="Ａ",LOOKUP($D28,{8000,8500,9000,10000,10032,12000},{0,1532,1032,32,0,0}),IF($O28="Ｂ",LOOKUP($D28,{8000,8500,9000,10000,10032,12000},{0,1532,1032,408,408,408}),IF($O28="Ｃ",LOOKUP($D28,{8000,8500,9000,10000,10032,12000},{782,2814,2814,2814,2814,2814}),0))))</f>
      </c>
      <c r="R28" s="503">
        <f t="shared" si="6"/>
      </c>
      <c r="S28" s="504">
        <f>IF(B28="","",SUMIF('6-3_調整額内訳⑤(新・新制度)'!B:B,$B28,'6-3_調整額内訳⑤(新・新制度)'!AF:AF))</f>
      </c>
      <c r="T28" s="505">
        <f t="shared" si="7"/>
      </c>
      <c r="U28" s="506">
        <f t="shared" si="8"/>
      </c>
      <c r="V28" s="506">
        <f t="shared" si="9"/>
      </c>
      <c r="W28" s="507"/>
      <c r="X28" s="506">
        <f t="shared" si="10"/>
      </c>
      <c r="Y28" s="501"/>
      <c r="Z28" s="503">
        <f t="shared" si="11"/>
      </c>
      <c r="AA28" s="508">
        <f t="shared" si="12"/>
      </c>
      <c r="AB28" s="712"/>
      <c r="AC28" s="713"/>
      <c r="AD28" s="714"/>
      <c r="AF28" s="63">
        <f t="shared" si="13"/>
      </c>
      <c r="AG28" s="63">
        <f t="shared" si="0"/>
      </c>
    </row>
    <row r="29" spans="1:33" s="54" customFormat="1" ht="18.75" customHeight="1">
      <c r="A29" s="204">
        <f t="shared" si="1"/>
      </c>
      <c r="B29" s="277"/>
      <c r="C29" s="57"/>
      <c r="D29" s="474"/>
      <c r="E29" s="59"/>
      <c r="F29" s="216">
        <f t="shared" si="2"/>
      </c>
      <c r="G29" s="478">
        <f t="shared" si="3"/>
      </c>
      <c r="H29" s="479"/>
      <c r="I29" s="128"/>
      <c r="J29" s="478">
        <f t="shared" si="4"/>
      </c>
      <c r="K29" s="486">
        <f t="shared" si="5"/>
      </c>
      <c r="L29" s="580"/>
      <c r="M29" s="581"/>
      <c r="N29" s="493">
        <f>IF($G29="","",IF($L29="Ａ",LOOKUP($D29,{8000,8500,9000,10000,10032,12000},{0,1532,1032,32,0,0}),IF($L29="Ｂ",LOOKUP($D29,{8000,8500,9000,10000,10032,12000},{0,1532,1032,408,408,408}),IF($L29="Ｃ",LOOKUP($D29,{8000,8500,9000,10000,10032,12000},{782,2814,2814,2814,2814,2814}),0))))</f>
      </c>
      <c r="O29" s="580"/>
      <c r="P29" s="582"/>
      <c r="Q29" s="493">
        <f>IF($G29="","",IF($O29="Ａ",LOOKUP($D29,{8000,8500,9000,10000,10032,12000},{0,1532,1032,32,0,0}),IF($O29="Ｂ",LOOKUP($D29,{8000,8500,9000,10000,10032,12000},{0,1532,1032,408,408,408}),IF($O29="Ｃ",LOOKUP($D29,{8000,8500,9000,10000,10032,12000},{782,2814,2814,2814,2814,2814}),0))))</f>
      </c>
      <c r="R29" s="503">
        <f t="shared" si="6"/>
      </c>
      <c r="S29" s="504">
        <f>IF(B29="","",SUMIF('6-3_調整額内訳⑤(新・新制度)'!B:B,$B29,'6-3_調整額内訳⑤(新・新制度)'!AF:AF))</f>
      </c>
      <c r="T29" s="505">
        <f t="shared" si="7"/>
      </c>
      <c r="U29" s="506">
        <f t="shared" si="8"/>
      </c>
      <c r="V29" s="506">
        <f t="shared" si="9"/>
      </c>
      <c r="W29" s="507"/>
      <c r="X29" s="506">
        <f t="shared" si="10"/>
      </c>
      <c r="Y29" s="501"/>
      <c r="Z29" s="503">
        <f t="shared" si="11"/>
      </c>
      <c r="AA29" s="508">
        <f t="shared" si="12"/>
      </c>
      <c r="AB29" s="712"/>
      <c r="AC29" s="713"/>
      <c r="AD29" s="714"/>
      <c r="AF29" s="63">
        <f t="shared" si="13"/>
      </c>
      <c r="AG29" s="63">
        <f t="shared" si="0"/>
      </c>
    </row>
    <row r="30" spans="1:33" s="54" customFormat="1" ht="18.75" customHeight="1">
      <c r="A30" s="204">
        <f t="shared" si="1"/>
      </c>
      <c r="B30" s="277"/>
      <c r="C30" s="57"/>
      <c r="D30" s="474"/>
      <c r="E30" s="59"/>
      <c r="F30" s="216">
        <f t="shared" si="2"/>
      </c>
      <c r="G30" s="478">
        <f t="shared" si="3"/>
      </c>
      <c r="H30" s="479"/>
      <c r="I30" s="128"/>
      <c r="J30" s="478">
        <f t="shared" si="4"/>
      </c>
      <c r="K30" s="486">
        <f t="shared" si="5"/>
      </c>
      <c r="L30" s="580"/>
      <c r="M30" s="581"/>
      <c r="N30" s="493">
        <f>IF($G30="","",IF($L30="Ａ",LOOKUP($D30,{8000,8500,9000,10000,10032,12000},{0,1532,1032,32,0,0}),IF($L30="Ｂ",LOOKUP($D30,{8000,8500,9000,10000,10032,12000},{0,1532,1032,408,408,408}),IF($L30="Ｃ",LOOKUP($D30,{8000,8500,9000,10000,10032,12000},{782,2814,2814,2814,2814,2814}),0))))</f>
      </c>
      <c r="O30" s="580"/>
      <c r="P30" s="582"/>
      <c r="Q30" s="493">
        <f>IF($G30="","",IF($O30="Ａ",LOOKUP($D30,{8000,8500,9000,10000,10032,12000},{0,1532,1032,32,0,0}),IF($O30="Ｂ",LOOKUP($D30,{8000,8500,9000,10000,10032,12000},{0,1532,1032,408,408,408}),IF($O30="Ｃ",LOOKUP($D30,{8000,8500,9000,10000,10032,12000},{782,2814,2814,2814,2814,2814}),0))))</f>
      </c>
      <c r="R30" s="503">
        <f t="shared" si="6"/>
      </c>
      <c r="S30" s="504">
        <f>IF(B30="","",SUMIF('6-3_調整額内訳⑤(新・新制度)'!B:B,$B30,'6-3_調整額内訳⑤(新・新制度)'!AF:AF))</f>
      </c>
      <c r="T30" s="505">
        <f t="shared" si="7"/>
      </c>
      <c r="U30" s="506">
        <f t="shared" si="8"/>
      </c>
      <c r="V30" s="506">
        <f t="shared" si="9"/>
      </c>
      <c r="W30" s="507"/>
      <c r="X30" s="506">
        <f t="shared" si="10"/>
      </c>
      <c r="Y30" s="501"/>
      <c r="Z30" s="503">
        <f t="shared" si="11"/>
      </c>
      <c r="AA30" s="508">
        <f t="shared" si="12"/>
      </c>
      <c r="AB30" s="712"/>
      <c r="AC30" s="713"/>
      <c r="AD30" s="714"/>
      <c r="AF30" s="63">
        <f t="shared" si="13"/>
      </c>
      <c r="AG30" s="63">
        <f t="shared" si="0"/>
      </c>
    </row>
    <row r="31" spans="1:33" s="54" customFormat="1" ht="18.75" customHeight="1">
      <c r="A31" s="204">
        <f t="shared" si="1"/>
      </c>
      <c r="B31" s="277"/>
      <c r="C31" s="57"/>
      <c r="D31" s="474"/>
      <c r="E31" s="59"/>
      <c r="F31" s="216">
        <f t="shared" si="2"/>
      </c>
      <c r="G31" s="478">
        <f t="shared" si="3"/>
      </c>
      <c r="H31" s="479"/>
      <c r="I31" s="128"/>
      <c r="J31" s="478">
        <f t="shared" si="4"/>
      </c>
      <c r="K31" s="486">
        <f t="shared" si="5"/>
      </c>
      <c r="L31" s="580"/>
      <c r="M31" s="581"/>
      <c r="N31" s="493">
        <f>IF($G31="","",IF($L31="Ａ",LOOKUP($D31,{8000,8500,9000,10000,10032,12000},{0,1532,1032,32,0,0}),IF($L31="Ｂ",LOOKUP($D31,{8000,8500,9000,10000,10032,12000},{0,1532,1032,408,408,408}),IF($L31="Ｃ",LOOKUP($D31,{8000,8500,9000,10000,10032,12000},{782,2814,2814,2814,2814,2814}),0))))</f>
      </c>
      <c r="O31" s="580"/>
      <c r="P31" s="582"/>
      <c r="Q31" s="493">
        <f>IF($G31="","",IF($O31="Ａ",LOOKUP($D31,{8000,8500,9000,10000,10032,12000},{0,1532,1032,32,0,0}),IF($O31="Ｂ",LOOKUP($D31,{8000,8500,9000,10000,10032,12000},{0,1532,1032,408,408,408}),IF($O31="Ｃ",LOOKUP($D31,{8000,8500,9000,10000,10032,12000},{782,2814,2814,2814,2814,2814}),0))))</f>
      </c>
      <c r="R31" s="503">
        <f t="shared" si="6"/>
      </c>
      <c r="S31" s="504">
        <f>IF(B31="","",SUMIF('6-3_調整額内訳⑤(新・新制度)'!B:B,$B31,'6-3_調整額内訳⑤(新・新制度)'!AF:AF))</f>
      </c>
      <c r="T31" s="505">
        <f t="shared" si="7"/>
      </c>
      <c r="U31" s="506">
        <f t="shared" si="8"/>
      </c>
      <c r="V31" s="506">
        <f t="shared" si="9"/>
      </c>
      <c r="W31" s="507"/>
      <c r="X31" s="506">
        <f t="shared" si="10"/>
      </c>
      <c r="Y31" s="501"/>
      <c r="Z31" s="503">
        <f t="shared" si="11"/>
      </c>
      <c r="AA31" s="508">
        <f t="shared" si="12"/>
      </c>
      <c r="AB31" s="712"/>
      <c r="AC31" s="713"/>
      <c r="AD31" s="714"/>
      <c r="AF31" s="63">
        <f t="shared" si="13"/>
      </c>
      <c r="AG31" s="63">
        <f t="shared" si="0"/>
      </c>
    </row>
    <row r="32" spans="1:33" s="54" customFormat="1" ht="18.75" customHeight="1">
      <c r="A32" s="204">
        <f t="shared" si="1"/>
      </c>
      <c r="B32" s="277"/>
      <c r="C32" s="57"/>
      <c r="D32" s="474"/>
      <c r="E32" s="59"/>
      <c r="F32" s="216">
        <f t="shared" si="2"/>
      </c>
      <c r="G32" s="478">
        <f t="shared" si="3"/>
      </c>
      <c r="H32" s="479"/>
      <c r="I32" s="128"/>
      <c r="J32" s="478">
        <f t="shared" si="4"/>
      </c>
      <c r="K32" s="486">
        <f t="shared" si="5"/>
      </c>
      <c r="L32" s="580"/>
      <c r="M32" s="581"/>
      <c r="N32" s="493">
        <f>IF($G32="","",IF($L32="Ａ",LOOKUP($D32,{8000,8500,9000,10000,10032,12000},{0,1532,1032,32,0,0}),IF($L32="Ｂ",LOOKUP($D32,{8000,8500,9000,10000,10032,12000},{0,1532,1032,408,408,408}),IF($L32="Ｃ",LOOKUP($D32,{8000,8500,9000,10000,10032,12000},{782,2814,2814,2814,2814,2814}),0))))</f>
      </c>
      <c r="O32" s="580"/>
      <c r="P32" s="582"/>
      <c r="Q32" s="493">
        <f>IF($G32="","",IF($O32="Ａ",LOOKUP($D32,{8000,8500,9000,10000,10032,12000},{0,1532,1032,32,0,0}),IF($O32="Ｂ",LOOKUP($D32,{8000,8500,9000,10000,10032,12000},{0,1532,1032,408,408,408}),IF($O32="Ｃ",LOOKUP($D32,{8000,8500,9000,10000,10032,12000},{782,2814,2814,2814,2814,2814}),0))))</f>
      </c>
      <c r="R32" s="503">
        <f t="shared" si="6"/>
      </c>
      <c r="S32" s="504">
        <f>IF(B32="","",SUMIF('6-3_調整額内訳⑤(新・新制度)'!B:B,$B32,'6-3_調整額内訳⑤(新・新制度)'!AF:AF))</f>
      </c>
      <c r="T32" s="505">
        <f t="shared" si="7"/>
      </c>
      <c r="U32" s="506">
        <f t="shared" si="8"/>
      </c>
      <c r="V32" s="506">
        <f t="shared" si="9"/>
      </c>
      <c r="W32" s="507"/>
      <c r="X32" s="506">
        <f t="shared" si="10"/>
      </c>
      <c r="Y32" s="501"/>
      <c r="Z32" s="503">
        <f t="shared" si="11"/>
      </c>
      <c r="AA32" s="508">
        <f t="shared" si="12"/>
      </c>
      <c r="AB32" s="712"/>
      <c r="AC32" s="713"/>
      <c r="AD32" s="714"/>
      <c r="AF32" s="63">
        <f t="shared" si="13"/>
      </c>
      <c r="AG32" s="63">
        <f t="shared" si="0"/>
      </c>
    </row>
    <row r="33" spans="1:33" s="54" customFormat="1" ht="18.75" customHeight="1">
      <c r="A33" s="27">
        <f t="shared" si="1"/>
      </c>
      <c r="B33" s="277"/>
      <c r="C33" s="57"/>
      <c r="D33" s="474"/>
      <c r="E33" s="59"/>
      <c r="F33" s="216">
        <f t="shared" si="2"/>
      </c>
      <c r="G33" s="478">
        <f t="shared" si="3"/>
      </c>
      <c r="H33" s="479"/>
      <c r="I33" s="128"/>
      <c r="J33" s="478">
        <f t="shared" si="4"/>
      </c>
      <c r="K33" s="486">
        <f t="shared" si="5"/>
      </c>
      <c r="L33" s="580"/>
      <c r="M33" s="581"/>
      <c r="N33" s="493">
        <f>IF($G33="","",IF($L33="Ａ",LOOKUP($D33,{8000,8500,9000,10000,10032,12000},{0,1532,1032,32,0,0}),IF($L33="Ｂ",LOOKUP($D33,{8000,8500,9000,10000,10032,12000},{0,1532,1032,408,408,408}),IF($L33="Ｃ",LOOKUP($D33,{8000,8500,9000,10000,10032,12000},{782,2814,2814,2814,2814,2814}),0))))</f>
      </c>
      <c r="O33" s="580"/>
      <c r="P33" s="582"/>
      <c r="Q33" s="493">
        <f>IF($G33="","",IF($O33="Ａ",LOOKUP($D33,{8000,8500,9000,10000,10032,12000},{0,1532,1032,32,0,0}),IF($O33="Ｂ",LOOKUP($D33,{8000,8500,9000,10000,10032,12000},{0,1532,1032,408,408,408}),IF($O33="Ｃ",LOOKUP($D33,{8000,8500,9000,10000,10032,12000},{782,2814,2814,2814,2814,2814}),0))))</f>
      </c>
      <c r="R33" s="503">
        <f t="shared" si="6"/>
      </c>
      <c r="S33" s="504">
        <f>IF(B33="","",SUMIF('6-3_調整額内訳⑤(新・新制度)'!B:B,$B33,'6-3_調整額内訳⑤(新・新制度)'!AF:AF))</f>
      </c>
      <c r="T33" s="505">
        <f t="shared" si="7"/>
      </c>
      <c r="U33" s="506">
        <f t="shared" si="8"/>
      </c>
      <c r="V33" s="506">
        <f t="shared" si="9"/>
      </c>
      <c r="W33" s="507"/>
      <c r="X33" s="506">
        <f t="shared" si="10"/>
      </c>
      <c r="Y33" s="501"/>
      <c r="Z33" s="503">
        <f t="shared" si="11"/>
      </c>
      <c r="AA33" s="508">
        <f t="shared" si="12"/>
      </c>
      <c r="AB33" s="712"/>
      <c r="AC33" s="713"/>
      <c r="AD33" s="714"/>
      <c r="AF33" s="63">
        <f t="shared" si="13"/>
      </c>
      <c r="AG33" s="63">
        <f t="shared" si="0"/>
      </c>
    </row>
    <row r="34" spans="1:33" s="54" customFormat="1" ht="18.75" customHeight="1">
      <c r="A34" s="27">
        <f t="shared" si="1"/>
      </c>
      <c r="B34" s="277"/>
      <c r="C34" s="57"/>
      <c r="D34" s="474"/>
      <c r="E34" s="59"/>
      <c r="F34" s="216">
        <f t="shared" si="2"/>
      </c>
      <c r="G34" s="478">
        <f t="shared" si="3"/>
      </c>
      <c r="H34" s="479"/>
      <c r="I34" s="128"/>
      <c r="J34" s="478">
        <f t="shared" si="4"/>
      </c>
      <c r="K34" s="486">
        <f t="shared" si="5"/>
      </c>
      <c r="L34" s="580"/>
      <c r="M34" s="581"/>
      <c r="N34" s="493">
        <f>IF($G34="","",IF($L34="Ａ",LOOKUP($D34,{8000,8500,9000,10000,10032,12000},{0,1532,1032,32,0,0}),IF($L34="Ｂ",LOOKUP($D34,{8000,8500,9000,10000,10032,12000},{0,1532,1032,408,408,408}),IF($L34="Ｃ",LOOKUP($D34,{8000,8500,9000,10000,10032,12000},{782,2814,2814,2814,2814,2814}),0))))</f>
      </c>
      <c r="O34" s="580"/>
      <c r="P34" s="582"/>
      <c r="Q34" s="493">
        <f>IF($G34="","",IF($O34="Ａ",LOOKUP($D34,{8000,8500,9000,10000,10032,12000},{0,1532,1032,32,0,0}),IF($O34="Ｂ",LOOKUP($D34,{8000,8500,9000,10000,10032,12000},{0,1532,1032,408,408,408}),IF($O34="Ｃ",LOOKUP($D34,{8000,8500,9000,10000,10032,12000},{782,2814,2814,2814,2814,2814}),0))))</f>
      </c>
      <c r="R34" s="503">
        <f t="shared" si="6"/>
      </c>
      <c r="S34" s="504">
        <f>IF(B34="","",SUMIF('6-3_調整額内訳⑤(新・新制度)'!B:B,$B34,'6-3_調整額内訳⑤(新・新制度)'!AF:AF))</f>
      </c>
      <c r="T34" s="505">
        <f t="shared" si="7"/>
      </c>
      <c r="U34" s="506">
        <f t="shared" si="8"/>
      </c>
      <c r="V34" s="506">
        <f t="shared" si="9"/>
      </c>
      <c r="W34" s="507"/>
      <c r="X34" s="506">
        <f t="shared" si="10"/>
      </c>
      <c r="Y34" s="501"/>
      <c r="Z34" s="503">
        <f t="shared" si="11"/>
      </c>
      <c r="AA34" s="508">
        <f t="shared" si="12"/>
      </c>
      <c r="AB34" s="712"/>
      <c r="AC34" s="713"/>
      <c r="AD34" s="714"/>
      <c r="AF34" s="63">
        <f t="shared" si="13"/>
      </c>
      <c r="AG34" s="63">
        <f t="shared" si="0"/>
      </c>
    </row>
    <row r="35" spans="1:33" s="54" customFormat="1" ht="18.75" customHeight="1">
      <c r="A35" s="37">
        <f t="shared" si="1"/>
      </c>
      <c r="B35" s="277"/>
      <c r="C35" s="183"/>
      <c r="D35" s="475"/>
      <c r="E35" s="350"/>
      <c r="F35" s="351">
        <f t="shared" si="2"/>
      </c>
      <c r="G35" s="480">
        <f t="shared" si="3"/>
      </c>
      <c r="H35" s="481"/>
      <c r="I35" s="352"/>
      <c r="J35" s="480">
        <f t="shared" si="4"/>
      </c>
      <c r="K35" s="487">
        <f t="shared" si="5"/>
      </c>
      <c r="L35" s="580"/>
      <c r="M35" s="581"/>
      <c r="N35" s="493">
        <f>IF($G35="","",IF($L35="Ａ",LOOKUP($D35,{8000,8500,9000,10000,10032,12000},{0,1532,1032,32,0,0}),IF($L35="Ｂ",LOOKUP($D35,{8000,8500,9000,10000,10032,12000},{0,1532,1032,408,408,408}),IF($L35="Ｃ",LOOKUP($D35,{8000,8500,9000,10000,10032,12000},{782,2814,2814,2814,2814,2814}),0))))</f>
      </c>
      <c r="O35" s="580"/>
      <c r="P35" s="582"/>
      <c r="Q35" s="493">
        <f>IF($G35="","",IF($O35="Ａ",LOOKUP($D35,{8000,8500,9000,10000,10032,12000},{0,1532,1032,32,0,0}),IF($O35="Ｂ",LOOKUP($D35,{8000,8500,9000,10000,10032,12000},{0,1532,1032,408,408,408}),IF($O35="Ｃ",LOOKUP($D35,{8000,8500,9000,10000,10032,12000},{782,2814,2814,2814,2814,2814}),0))))</f>
      </c>
      <c r="R35" s="503">
        <f t="shared" si="6"/>
      </c>
      <c r="S35" s="504">
        <f>IF(B35="","",SUMIF('6-3_調整額内訳⑤(新・新制度)'!B:B,$B35,'6-3_調整額内訳⑤(新・新制度)'!AF:AF))</f>
      </c>
      <c r="T35" s="505">
        <f t="shared" si="7"/>
      </c>
      <c r="U35" s="506">
        <f t="shared" si="8"/>
      </c>
      <c r="V35" s="506">
        <f t="shared" si="9"/>
      </c>
      <c r="W35" s="507"/>
      <c r="X35" s="506">
        <f t="shared" si="10"/>
      </c>
      <c r="Y35" s="501"/>
      <c r="Z35" s="503">
        <f t="shared" si="11"/>
      </c>
      <c r="AA35" s="508">
        <f t="shared" si="12"/>
      </c>
      <c r="AB35" s="712"/>
      <c r="AC35" s="713"/>
      <c r="AD35" s="714"/>
      <c r="AF35" s="63">
        <f t="shared" si="13"/>
      </c>
      <c r="AG35" s="63">
        <f t="shared" si="0"/>
      </c>
    </row>
    <row r="36" spans="1:33" s="54" customFormat="1" ht="18.75" customHeight="1">
      <c r="A36" s="204">
        <f t="shared" si="1"/>
      </c>
      <c r="B36" s="277"/>
      <c r="C36" s="57"/>
      <c r="D36" s="474"/>
      <c r="E36" s="59"/>
      <c r="F36" s="216">
        <f t="shared" si="2"/>
      </c>
      <c r="G36" s="478">
        <f t="shared" si="3"/>
      </c>
      <c r="H36" s="479"/>
      <c r="I36" s="128"/>
      <c r="J36" s="478">
        <f t="shared" si="4"/>
      </c>
      <c r="K36" s="486">
        <f t="shared" si="5"/>
      </c>
      <c r="L36" s="580"/>
      <c r="M36" s="581"/>
      <c r="N36" s="493">
        <f>IF($G36="","",IF($L36="Ａ",LOOKUP($D36,{8000,8500,9000,10000,10032,12000},{0,1532,1032,32,0,0}),IF($L36="Ｂ",LOOKUP($D36,{8000,8500,9000,10000,10032,12000},{0,1532,1032,408,408,408}),IF($L36="Ｃ",LOOKUP($D36,{8000,8500,9000,10000,10032,12000},{782,2814,2814,2814,2814,2814}),0))))</f>
      </c>
      <c r="O36" s="580"/>
      <c r="P36" s="582"/>
      <c r="Q36" s="493">
        <f>IF($G36="","",IF($O36="Ａ",LOOKUP($D36,{8000,8500,9000,10000,10032,12000},{0,1532,1032,32,0,0}),IF($O36="Ｂ",LOOKUP($D36,{8000,8500,9000,10000,10032,12000},{0,1532,1032,408,408,408}),IF($O36="Ｃ",LOOKUP($D36,{8000,8500,9000,10000,10032,12000},{782,2814,2814,2814,2814,2814}),0))))</f>
      </c>
      <c r="R36" s="503">
        <f t="shared" si="6"/>
      </c>
      <c r="S36" s="504">
        <f>IF(B36="","",SUMIF('6-3_調整額内訳⑤(新・新制度)'!B:B,$B36,'6-3_調整額内訳⑤(新・新制度)'!AF:AF))</f>
      </c>
      <c r="T36" s="505">
        <f t="shared" si="7"/>
      </c>
      <c r="U36" s="506">
        <f t="shared" si="8"/>
      </c>
      <c r="V36" s="506">
        <f t="shared" si="9"/>
      </c>
      <c r="W36" s="507"/>
      <c r="X36" s="506">
        <f t="shared" si="10"/>
      </c>
      <c r="Y36" s="501"/>
      <c r="Z36" s="503">
        <f t="shared" si="11"/>
      </c>
      <c r="AA36" s="508">
        <f t="shared" si="12"/>
      </c>
      <c r="AB36" s="712"/>
      <c r="AC36" s="713"/>
      <c r="AD36" s="714"/>
      <c r="AF36" s="63">
        <f t="shared" si="13"/>
      </c>
      <c r="AG36" s="63">
        <f t="shared" si="0"/>
      </c>
    </row>
    <row r="37" spans="1:33" s="54" customFormat="1" ht="18.75" customHeight="1">
      <c r="A37" s="27">
        <f t="shared" si="1"/>
      </c>
      <c r="B37" s="277"/>
      <c r="C37" s="57"/>
      <c r="D37" s="474"/>
      <c r="E37" s="59"/>
      <c r="F37" s="216">
        <f t="shared" si="2"/>
      </c>
      <c r="G37" s="478">
        <f t="shared" si="3"/>
      </c>
      <c r="H37" s="479"/>
      <c r="I37" s="128"/>
      <c r="J37" s="478">
        <f t="shared" si="4"/>
      </c>
      <c r="K37" s="486">
        <f t="shared" si="5"/>
      </c>
      <c r="L37" s="580"/>
      <c r="M37" s="581"/>
      <c r="N37" s="493">
        <f>IF($G37="","",IF($L37="Ａ",LOOKUP($D37,{8000,8500,9000,10000,10032,12000},{0,1532,1032,32,0,0}),IF($L37="Ｂ",LOOKUP($D37,{8000,8500,9000,10000,10032,12000},{0,1532,1032,408,408,408}),IF($L37="Ｃ",LOOKUP($D37,{8000,8500,9000,10000,10032,12000},{782,2814,2814,2814,2814,2814}),0))))</f>
      </c>
      <c r="O37" s="580"/>
      <c r="P37" s="582"/>
      <c r="Q37" s="493">
        <f>IF($G37="","",IF($O37="Ａ",LOOKUP($D37,{8000,8500,9000,10000,10032,12000},{0,1532,1032,32,0,0}),IF($O37="Ｂ",LOOKUP($D37,{8000,8500,9000,10000,10032,12000},{0,1532,1032,408,408,408}),IF($O37="Ｃ",LOOKUP($D37,{8000,8500,9000,10000,10032,12000},{782,2814,2814,2814,2814,2814}),0))))</f>
      </c>
      <c r="R37" s="503">
        <f t="shared" si="6"/>
      </c>
      <c r="S37" s="504">
        <f>IF(B37="","",SUMIF('6-3_調整額内訳⑤(新・新制度)'!B:B,$B37,'6-3_調整額内訳⑤(新・新制度)'!AF:AF))</f>
      </c>
      <c r="T37" s="505">
        <f t="shared" si="7"/>
      </c>
      <c r="U37" s="506">
        <f t="shared" si="8"/>
      </c>
      <c r="V37" s="506">
        <f t="shared" si="9"/>
      </c>
      <c r="W37" s="507"/>
      <c r="X37" s="506">
        <f t="shared" si="10"/>
      </c>
      <c r="Y37" s="501"/>
      <c r="Z37" s="503">
        <f t="shared" si="11"/>
      </c>
      <c r="AA37" s="508">
        <f t="shared" si="12"/>
      </c>
      <c r="AB37" s="712"/>
      <c r="AC37" s="713"/>
      <c r="AD37" s="714"/>
      <c r="AF37" s="63">
        <f t="shared" si="13"/>
      </c>
      <c r="AG37" s="63">
        <f t="shared" si="0"/>
      </c>
    </row>
    <row r="38" spans="1:33" s="54" customFormat="1" ht="18.75" customHeight="1">
      <c r="A38" s="27">
        <f t="shared" si="1"/>
      </c>
      <c r="B38" s="277"/>
      <c r="C38" s="57"/>
      <c r="D38" s="474"/>
      <c r="E38" s="59"/>
      <c r="F38" s="216">
        <f t="shared" si="2"/>
      </c>
      <c r="G38" s="478">
        <f t="shared" si="3"/>
      </c>
      <c r="H38" s="479"/>
      <c r="I38" s="128"/>
      <c r="J38" s="478">
        <f t="shared" si="4"/>
      </c>
      <c r="K38" s="486">
        <f t="shared" si="5"/>
      </c>
      <c r="L38" s="580"/>
      <c r="M38" s="581"/>
      <c r="N38" s="493">
        <f>IF($G38="","",IF($L38="Ａ",LOOKUP($D38,{8000,8500,9000,10000,10032,12000},{0,1532,1032,32,0,0}),IF($L38="Ｂ",LOOKUP($D38,{8000,8500,9000,10000,10032,12000},{0,1532,1032,408,408,408}),IF($L38="Ｃ",LOOKUP($D38,{8000,8500,9000,10000,10032,12000},{782,2814,2814,2814,2814,2814}),0))))</f>
      </c>
      <c r="O38" s="580"/>
      <c r="P38" s="582"/>
      <c r="Q38" s="493">
        <f>IF($G38="","",IF($O38="Ａ",LOOKUP($D38,{8000,8500,9000,10000,10032,12000},{0,1532,1032,32,0,0}),IF($O38="Ｂ",LOOKUP($D38,{8000,8500,9000,10000,10032,12000},{0,1532,1032,408,408,408}),IF($O38="Ｃ",LOOKUP($D38,{8000,8500,9000,10000,10032,12000},{782,2814,2814,2814,2814,2814}),0))))</f>
      </c>
      <c r="R38" s="503">
        <f t="shared" si="6"/>
      </c>
      <c r="S38" s="504">
        <f>IF(B38="","",SUMIF('6-3_調整額内訳⑤(新・新制度)'!B:B,$B38,'6-3_調整額内訳⑤(新・新制度)'!AF:AF))</f>
      </c>
      <c r="T38" s="505">
        <f t="shared" si="7"/>
      </c>
      <c r="U38" s="506">
        <f t="shared" si="8"/>
      </c>
      <c r="V38" s="506">
        <f t="shared" si="9"/>
      </c>
      <c r="W38" s="507"/>
      <c r="X38" s="506">
        <f t="shared" si="10"/>
      </c>
      <c r="Y38" s="501"/>
      <c r="Z38" s="503">
        <f t="shared" si="11"/>
      </c>
      <c r="AA38" s="508">
        <f t="shared" si="12"/>
      </c>
      <c r="AB38" s="712"/>
      <c r="AC38" s="713"/>
      <c r="AD38" s="714"/>
      <c r="AF38" s="63">
        <f t="shared" si="13"/>
      </c>
      <c r="AG38" s="63">
        <f t="shared" si="0"/>
      </c>
    </row>
    <row r="39" spans="1:33" s="54" customFormat="1" ht="18.75" customHeight="1">
      <c r="A39" s="27">
        <f t="shared" si="1"/>
      </c>
      <c r="B39" s="277"/>
      <c r="C39" s="57"/>
      <c r="D39" s="474"/>
      <c r="E39" s="59"/>
      <c r="F39" s="216">
        <f t="shared" si="2"/>
      </c>
      <c r="G39" s="478">
        <f t="shared" si="3"/>
      </c>
      <c r="H39" s="479"/>
      <c r="I39" s="128"/>
      <c r="J39" s="478">
        <f t="shared" si="4"/>
      </c>
      <c r="K39" s="486">
        <f t="shared" si="5"/>
      </c>
      <c r="L39" s="580"/>
      <c r="M39" s="581"/>
      <c r="N39" s="493">
        <f>IF($G39="","",IF($L39="Ａ",LOOKUP($D39,{8000,8500,9000,10000,10032,12000},{0,1532,1032,32,0,0}),IF($L39="Ｂ",LOOKUP($D39,{8000,8500,9000,10000,10032,12000},{0,1532,1032,408,408,408}),IF($L39="Ｃ",LOOKUP($D39,{8000,8500,9000,10000,10032,12000},{782,2814,2814,2814,2814,2814}),0))))</f>
      </c>
      <c r="O39" s="580"/>
      <c r="P39" s="582"/>
      <c r="Q39" s="493">
        <f>IF($G39="","",IF($O39="Ａ",LOOKUP($D39,{8000,8500,9000,10000,10032,12000},{0,1532,1032,32,0,0}),IF($O39="Ｂ",LOOKUP($D39,{8000,8500,9000,10000,10032,12000},{0,1532,1032,408,408,408}),IF($O39="Ｃ",LOOKUP($D39,{8000,8500,9000,10000,10032,12000},{782,2814,2814,2814,2814,2814}),0))))</f>
      </c>
      <c r="R39" s="503">
        <f t="shared" si="6"/>
      </c>
      <c r="S39" s="504">
        <f>IF(B39="","",SUMIF('6-3_調整額内訳⑤(新・新制度)'!B:B,$B39,'6-3_調整額内訳⑤(新・新制度)'!AF:AF))</f>
      </c>
      <c r="T39" s="505">
        <f t="shared" si="7"/>
      </c>
      <c r="U39" s="506">
        <f t="shared" si="8"/>
      </c>
      <c r="V39" s="506">
        <f t="shared" si="9"/>
      </c>
      <c r="W39" s="507"/>
      <c r="X39" s="506">
        <f t="shared" si="10"/>
      </c>
      <c r="Y39" s="501"/>
      <c r="Z39" s="503">
        <f t="shared" si="11"/>
      </c>
      <c r="AA39" s="508">
        <f t="shared" si="12"/>
      </c>
      <c r="AB39" s="712"/>
      <c r="AC39" s="713"/>
      <c r="AD39" s="714"/>
      <c r="AF39" s="63">
        <f t="shared" si="13"/>
      </c>
      <c r="AG39" s="63">
        <f t="shared" si="0"/>
      </c>
    </row>
    <row r="40" spans="1:33" s="54" customFormat="1" ht="18.75" customHeight="1">
      <c r="A40" s="37">
        <f t="shared" si="1"/>
      </c>
      <c r="B40" s="277"/>
      <c r="C40" s="183"/>
      <c r="D40" s="475"/>
      <c r="E40" s="184"/>
      <c r="F40" s="217">
        <f t="shared" si="2"/>
      </c>
      <c r="G40" s="480">
        <f t="shared" si="3"/>
      </c>
      <c r="H40" s="481"/>
      <c r="I40" s="185"/>
      <c r="J40" s="480">
        <f t="shared" si="4"/>
      </c>
      <c r="K40" s="487">
        <f t="shared" si="5"/>
      </c>
      <c r="L40" s="580"/>
      <c r="M40" s="581"/>
      <c r="N40" s="493">
        <f>IF($G40="","",IF($L40="Ａ",LOOKUP($D40,{8000,8500,9000,10000,10032,12000},{0,1532,1032,32,0,0}),IF($L40="Ｂ",LOOKUP($D40,{8000,8500,9000,10000,10032,12000},{0,1532,1032,408,408,408}),IF($L40="Ｃ",LOOKUP($D40,{8000,8500,9000,10000,10032,12000},{782,2814,2814,2814,2814,2814}),0))))</f>
      </c>
      <c r="O40" s="580"/>
      <c r="P40" s="582"/>
      <c r="Q40" s="493">
        <f>IF($G40="","",IF($O40="Ａ",LOOKUP($D40,{8000,8500,9000,10000,10032,12000},{0,1532,1032,32,0,0}),IF($O40="Ｂ",LOOKUP($D40,{8000,8500,9000,10000,10032,12000},{0,1532,1032,408,408,408}),IF($O40="Ｃ",LOOKUP($D40,{8000,8500,9000,10000,10032,12000},{782,2814,2814,2814,2814,2814}),0))))</f>
      </c>
      <c r="R40" s="503">
        <f t="shared" si="6"/>
      </c>
      <c r="S40" s="504">
        <f>IF(B40="","",SUMIF('6-3_調整額内訳⑤(新・新制度)'!B:B,$B40,'6-3_調整額内訳⑤(新・新制度)'!AF:AF))</f>
      </c>
      <c r="T40" s="505">
        <f t="shared" si="7"/>
      </c>
      <c r="U40" s="506">
        <f t="shared" si="8"/>
      </c>
      <c r="V40" s="506">
        <f t="shared" si="9"/>
      </c>
      <c r="W40" s="507"/>
      <c r="X40" s="506">
        <f t="shared" si="10"/>
      </c>
      <c r="Y40" s="501"/>
      <c r="Z40" s="503">
        <f t="shared" si="11"/>
      </c>
      <c r="AA40" s="508">
        <f t="shared" si="12"/>
      </c>
      <c r="AB40" s="712"/>
      <c r="AC40" s="713"/>
      <c r="AD40" s="714"/>
      <c r="AF40" s="63">
        <f t="shared" si="13"/>
      </c>
      <c r="AG40" s="63">
        <f t="shared" si="0"/>
      </c>
    </row>
    <row r="41" spans="1:33" s="54" customFormat="1" ht="18.75" customHeight="1">
      <c r="A41" s="204">
        <f t="shared" si="1"/>
      </c>
      <c r="B41" s="277"/>
      <c r="C41" s="57"/>
      <c r="D41" s="474"/>
      <c r="E41" s="59"/>
      <c r="F41" s="216">
        <f t="shared" si="2"/>
      </c>
      <c r="G41" s="478">
        <f t="shared" si="3"/>
      </c>
      <c r="H41" s="479"/>
      <c r="I41" s="128"/>
      <c r="J41" s="478">
        <f t="shared" si="4"/>
      </c>
      <c r="K41" s="486">
        <f t="shared" si="5"/>
      </c>
      <c r="L41" s="580"/>
      <c r="M41" s="581"/>
      <c r="N41" s="493">
        <f>IF($G41="","",IF($L41="Ａ",LOOKUP($D41,{8000,8500,9000,10000,10032,12000},{0,1532,1032,32,0,0}),IF($L41="Ｂ",LOOKUP($D41,{8000,8500,9000,10000,10032,12000},{0,1532,1032,408,408,408}),IF($L41="Ｃ",LOOKUP($D41,{8000,8500,9000,10000,10032,12000},{782,2814,2814,2814,2814,2814}),0))))</f>
      </c>
      <c r="O41" s="580"/>
      <c r="P41" s="582"/>
      <c r="Q41" s="493">
        <f>IF($G41="","",IF($O41="Ａ",LOOKUP($D41,{8000,8500,9000,10000,10032,12000},{0,1532,1032,32,0,0}),IF($O41="Ｂ",LOOKUP($D41,{8000,8500,9000,10000,10032,12000},{0,1532,1032,408,408,408}),IF($O41="Ｃ",LOOKUP($D41,{8000,8500,9000,10000,10032,12000},{782,2814,2814,2814,2814,2814}),0))))</f>
      </c>
      <c r="R41" s="503">
        <f t="shared" si="6"/>
      </c>
      <c r="S41" s="504">
        <f>IF(B41="","",SUMIF('6-3_調整額内訳⑤(新・新制度)'!B:B,$B41,'6-3_調整額内訳⑤(新・新制度)'!AF:AF))</f>
      </c>
      <c r="T41" s="505">
        <f t="shared" si="7"/>
      </c>
      <c r="U41" s="506">
        <f t="shared" si="8"/>
      </c>
      <c r="V41" s="506">
        <f t="shared" si="9"/>
      </c>
      <c r="W41" s="507"/>
      <c r="X41" s="506">
        <f t="shared" si="10"/>
      </c>
      <c r="Y41" s="501"/>
      <c r="Z41" s="503">
        <f t="shared" si="11"/>
      </c>
      <c r="AA41" s="508">
        <f t="shared" si="12"/>
      </c>
      <c r="AB41" s="712"/>
      <c r="AC41" s="713"/>
      <c r="AD41" s="714"/>
      <c r="AF41" s="63">
        <f t="shared" si="13"/>
      </c>
      <c r="AG41" s="63">
        <f t="shared" si="0"/>
      </c>
    </row>
    <row r="42" spans="1:33" s="54" customFormat="1" ht="18.75" customHeight="1">
      <c r="A42" s="27">
        <f t="shared" si="1"/>
      </c>
      <c r="B42" s="277"/>
      <c r="C42" s="57"/>
      <c r="D42" s="474"/>
      <c r="E42" s="59"/>
      <c r="F42" s="216">
        <f t="shared" si="2"/>
      </c>
      <c r="G42" s="478">
        <f t="shared" si="3"/>
      </c>
      <c r="H42" s="479"/>
      <c r="I42" s="128"/>
      <c r="J42" s="478">
        <f t="shared" si="4"/>
      </c>
      <c r="K42" s="486">
        <f t="shared" si="5"/>
      </c>
      <c r="L42" s="580"/>
      <c r="M42" s="581"/>
      <c r="N42" s="493">
        <f>IF($G42="","",IF($L42="Ａ",LOOKUP($D42,{8000,8500,9000,10000,10032,12000},{0,1532,1032,32,0,0}),IF($L42="Ｂ",LOOKUP($D42,{8000,8500,9000,10000,10032,12000},{0,1532,1032,408,408,408}),IF($L42="Ｃ",LOOKUP($D42,{8000,8500,9000,10000,10032,12000},{782,2814,2814,2814,2814,2814}),0))))</f>
      </c>
      <c r="O42" s="580"/>
      <c r="P42" s="582"/>
      <c r="Q42" s="493">
        <f>IF($G42="","",IF($O42="Ａ",LOOKUP($D42,{8000,8500,9000,10000,10032,12000},{0,1532,1032,32,0,0}),IF($O42="Ｂ",LOOKUP($D42,{8000,8500,9000,10000,10032,12000},{0,1532,1032,408,408,408}),IF($O42="Ｃ",LOOKUP($D42,{8000,8500,9000,10000,10032,12000},{782,2814,2814,2814,2814,2814}),0))))</f>
      </c>
      <c r="R42" s="503">
        <f t="shared" si="6"/>
      </c>
      <c r="S42" s="504">
        <f>IF(B42="","",SUMIF('6-3_調整額内訳⑤(新・新制度)'!B:B,$B42,'6-3_調整額内訳⑤(新・新制度)'!AF:AF))</f>
      </c>
      <c r="T42" s="505">
        <f t="shared" si="7"/>
      </c>
      <c r="U42" s="506">
        <f t="shared" si="8"/>
      </c>
      <c r="V42" s="506">
        <f t="shared" si="9"/>
      </c>
      <c r="W42" s="507"/>
      <c r="X42" s="506">
        <f t="shared" si="10"/>
      </c>
      <c r="Y42" s="501"/>
      <c r="Z42" s="503">
        <f t="shared" si="11"/>
      </c>
      <c r="AA42" s="508">
        <f t="shared" si="12"/>
      </c>
      <c r="AB42" s="712"/>
      <c r="AC42" s="713"/>
      <c r="AD42" s="714"/>
      <c r="AF42" s="63">
        <f t="shared" si="13"/>
      </c>
      <c r="AG42" s="63">
        <f t="shared" si="0"/>
      </c>
    </row>
    <row r="43" spans="1:33" s="54" customFormat="1" ht="18.75" customHeight="1">
      <c r="A43" s="27">
        <f t="shared" si="1"/>
      </c>
      <c r="B43" s="277"/>
      <c r="C43" s="57"/>
      <c r="D43" s="474"/>
      <c r="E43" s="59"/>
      <c r="F43" s="216">
        <f t="shared" si="2"/>
      </c>
      <c r="G43" s="478">
        <f t="shared" si="3"/>
      </c>
      <c r="H43" s="479"/>
      <c r="I43" s="128"/>
      <c r="J43" s="478">
        <f t="shared" si="4"/>
      </c>
      <c r="K43" s="486">
        <f t="shared" si="5"/>
      </c>
      <c r="L43" s="580"/>
      <c r="M43" s="581"/>
      <c r="N43" s="493">
        <f>IF($G43="","",IF($L43="Ａ",LOOKUP($D43,{8000,8500,9000,10000,10032,12000},{0,1532,1032,32,0,0}),IF($L43="Ｂ",LOOKUP($D43,{8000,8500,9000,10000,10032,12000},{0,1532,1032,408,408,408}),IF($L43="Ｃ",LOOKUP($D43,{8000,8500,9000,10000,10032,12000},{782,2814,2814,2814,2814,2814}),0))))</f>
      </c>
      <c r="O43" s="580"/>
      <c r="P43" s="582"/>
      <c r="Q43" s="493">
        <f>IF($G43="","",IF($O43="Ａ",LOOKUP($D43,{8000,8500,9000,10000,10032,12000},{0,1532,1032,32,0,0}),IF($O43="Ｂ",LOOKUP($D43,{8000,8500,9000,10000,10032,12000},{0,1532,1032,408,408,408}),IF($O43="Ｃ",LOOKUP($D43,{8000,8500,9000,10000,10032,12000},{782,2814,2814,2814,2814,2814}),0))))</f>
      </c>
      <c r="R43" s="503">
        <f t="shared" si="6"/>
      </c>
      <c r="S43" s="504">
        <f>IF(B43="","",SUMIF('6-3_調整額内訳⑤(新・新制度)'!B:B,$B43,'6-3_調整額内訳⑤(新・新制度)'!AF:AF))</f>
      </c>
      <c r="T43" s="505">
        <f t="shared" si="7"/>
      </c>
      <c r="U43" s="506">
        <f t="shared" si="8"/>
      </c>
      <c r="V43" s="506">
        <f t="shared" si="9"/>
      </c>
      <c r="W43" s="507"/>
      <c r="X43" s="506">
        <f t="shared" si="10"/>
      </c>
      <c r="Y43" s="501"/>
      <c r="Z43" s="503">
        <f t="shared" si="11"/>
      </c>
      <c r="AA43" s="508">
        <f t="shared" si="12"/>
      </c>
      <c r="AB43" s="712"/>
      <c r="AC43" s="713"/>
      <c r="AD43" s="714"/>
      <c r="AF43" s="63">
        <f t="shared" si="13"/>
      </c>
      <c r="AG43" s="63">
        <f t="shared" si="0"/>
      </c>
    </row>
    <row r="44" spans="1:33" s="54" customFormat="1" ht="18.75" customHeight="1" thickBot="1">
      <c r="A44" s="27">
        <f t="shared" si="1"/>
      </c>
      <c r="B44" s="279"/>
      <c r="C44" s="57"/>
      <c r="D44" s="474"/>
      <c r="E44" s="59"/>
      <c r="F44" s="218">
        <f t="shared" si="2"/>
      </c>
      <c r="G44" s="482">
        <f t="shared" si="3"/>
      </c>
      <c r="H44" s="479"/>
      <c r="I44" s="129"/>
      <c r="J44" s="482">
        <f t="shared" si="4"/>
      </c>
      <c r="K44" s="486">
        <f t="shared" si="5"/>
      </c>
      <c r="L44" s="583"/>
      <c r="M44" s="584"/>
      <c r="N44" s="494">
        <f>IF($G44="","",IF($L44="Ａ",LOOKUP($D44,{8000,8500,9000,10000,10032,12000},{0,1532,1032,32,0,0}),IF($L44="Ｂ",LOOKUP($D44,{8000,8500,9000,10000,10032,12000},{0,1532,1032,408,408,408}),IF($L44="Ｃ",LOOKUP($D44,{8000,8500,9000,10000,10032,12000},{782,2814,2814,2814,2814,2814}),0))))</f>
      </c>
      <c r="O44" s="583"/>
      <c r="P44" s="585"/>
      <c r="Q44" s="494">
        <f>IF($G44="","",IF($O44="Ａ",LOOKUP($D44,{8000,8500,9000,10000,10032,12000},{0,1532,1032,32,0,0}),IF($O44="Ｂ",LOOKUP($D44,{8000,8500,9000,10000,10032,12000},{0,1532,1032,408,408,408}),IF($O44="Ｃ",LOOKUP($D44,{8000,8500,9000,10000,10032,12000},{782,2814,2814,2814,2814,2814}),0))))</f>
      </c>
      <c r="R44" s="503">
        <f t="shared" si="6"/>
      </c>
      <c r="S44" s="504">
        <f>IF(B44="","",SUMIF('6-3_調整額内訳⑤(新・新制度)'!B:B,$B44,'6-3_調整額内訳⑤(新・新制度)'!AF:AF))</f>
      </c>
      <c r="T44" s="505">
        <f t="shared" si="7"/>
      </c>
      <c r="U44" s="509">
        <f t="shared" si="8"/>
      </c>
      <c r="V44" s="506">
        <f t="shared" si="9"/>
      </c>
      <c r="W44" s="507"/>
      <c r="X44" s="506">
        <f t="shared" si="10"/>
      </c>
      <c r="Y44" s="501"/>
      <c r="Z44" s="503">
        <f t="shared" si="11"/>
      </c>
      <c r="AA44" s="508">
        <f t="shared" si="12"/>
      </c>
      <c r="AB44" s="709"/>
      <c r="AC44" s="710"/>
      <c r="AD44" s="711"/>
      <c r="AF44" s="63">
        <f t="shared" si="13"/>
      </c>
      <c r="AG44" s="63">
        <f t="shared" si="0"/>
      </c>
    </row>
    <row r="45" spans="1:33" s="69" customFormat="1" ht="25.5" customHeight="1" thickBot="1">
      <c r="A45" s="715" t="s">
        <v>161</v>
      </c>
      <c r="B45" s="716"/>
      <c r="C45" s="716"/>
      <c r="D45" s="717"/>
      <c r="E45" s="208">
        <f>SUM(E8:E44)</f>
        <v>0</v>
      </c>
      <c r="F45" s="207">
        <f>SUM(F8:F44)</f>
        <v>0</v>
      </c>
      <c r="G45" s="491" t="s">
        <v>155</v>
      </c>
      <c r="H45" s="552" t="s">
        <v>155</v>
      </c>
      <c r="I45" s="206" t="s">
        <v>155</v>
      </c>
      <c r="J45" s="488">
        <f>SUM(J8:J44)</f>
        <v>0</v>
      </c>
      <c r="K45" s="489" t="s">
        <v>155</v>
      </c>
      <c r="L45" s="586" t="s">
        <v>155</v>
      </c>
      <c r="M45" s="491"/>
      <c r="N45" s="489"/>
      <c r="O45" s="586" t="s">
        <v>155</v>
      </c>
      <c r="P45" s="491"/>
      <c r="Q45" s="489"/>
      <c r="R45" s="510">
        <f aca="true" t="shared" si="14" ref="R45:AA45">SUM(R8:R44)</f>
        <v>0</v>
      </c>
      <c r="S45" s="511">
        <f t="shared" si="14"/>
        <v>0</v>
      </c>
      <c r="T45" s="512">
        <f t="shared" si="14"/>
        <v>0</v>
      </c>
      <c r="U45" s="513">
        <f t="shared" si="14"/>
        <v>0</v>
      </c>
      <c r="V45" s="513">
        <f>SUM(V8:V44)</f>
        <v>0</v>
      </c>
      <c r="W45" s="513">
        <f t="shared" si="14"/>
        <v>0</v>
      </c>
      <c r="X45" s="513">
        <f t="shared" si="14"/>
        <v>0</v>
      </c>
      <c r="Y45" s="513">
        <f t="shared" si="14"/>
        <v>0</v>
      </c>
      <c r="Z45" s="513">
        <f t="shared" si="14"/>
        <v>0</v>
      </c>
      <c r="AA45" s="514">
        <f t="shared" si="14"/>
        <v>0</v>
      </c>
      <c r="AB45" s="718"/>
      <c r="AC45" s="719"/>
      <c r="AD45" s="720"/>
      <c r="AF45" s="70"/>
      <c r="AG45" s="70"/>
    </row>
    <row r="46" spans="1:33" s="345" customFormat="1" ht="15.75" customHeight="1">
      <c r="A46" s="345" t="s">
        <v>29</v>
      </c>
      <c r="L46" s="346"/>
      <c r="O46" s="346"/>
      <c r="AF46" s="347"/>
      <c r="AG46" s="347"/>
    </row>
    <row r="47" spans="1:33" s="345" customFormat="1" ht="15.75" customHeight="1">
      <c r="A47" s="345" t="s">
        <v>153</v>
      </c>
      <c r="L47" s="346"/>
      <c r="O47" s="346"/>
      <c r="AF47" s="347"/>
      <c r="AG47" s="347"/>
    </row>
    <row r="48" spans="1:33" s="345" customFormat="1" ht="15.75" customHeight="1">
      <c r="A48" s="345" t="s">
        <v>168</v>
      </c>
      <c r="L48" s="346"/>
      <c r="O48" s="346"/>
      <c r="AF48" s="347"/>
      <c r="AG48" s="347"/>
    </row>
    <row r="49" spans="1:33" s="345" customFormat="1" ht="15.75" customHeight="1">
      <c r="A49" s="345" t="s">
        <v>159</v>
      </c>
      <c r="L49" s="346"/>
      <c r="O49" s="346"/>
      <c r="AF49" s="347"/>
      <c r="AG49" s="347"/>
    </row>
    <row r="50" spans="1:33" s="345" customFormat="1" ht="15.75" customHeight="1">
      <c r="A50" s="345" t="s">
        <v>249</v>
      </c>
      <c r="L50" s="346"/>
      <c r="O50" s="346"/>
      <c r="AF50" s="347"/>
      <c r="AG50" s="347"/>
    </row>
    <row r="51" spans="1:33" s="345" customFormat="1" ht="15.75" customHeight="1">
      <c r="A51" s="345" t="s">
        <v>257</v>
      </c>
      <c r="L51" s="346"/>
      <c r="O51" s="346"/>
      <c r="AF51" s="347"/>
      <c r="AG51" s="347"/>
    </row>
    <row r="52" spans="1:33" s="345" customFormat="1" ht="15.75" customHeight="1">
      <c r="A52" s="345" t="s">
        <v>176</v>
      </c>
      <c r="L52" s="346"/>
      <c r="O52" s="346"/>
      <c r="AF52" s="347"/>
      <c r="AG52" s="347"/>
    </row>
    <row r="53" spans="1:33" s="345" customFormat="1" ht="15.75" customHeight="1">
      <c r="A53" s="345" t="s">
        <v>177</v>
      </c>
      <c r="L53" s="346"/>
      <c r="O53" s="346"/>
      <c r="AF53" s="347"/>
      <c r="AG53" s="347"/>
    </row>
    <row r="54" spans="1:33" s="345" customFormat="1" ht="15.75" customHeight="1">
      <c r="A54" s="345" t="s">
        <v>250</v>
      </c>
      <c r="L54" s="346"/>
      <c r="O54" s="346"/>
      <c r="AF54" s="347"/>
      <c r="AG54" s="347"/>
    </row>
    <row r="55" spans="1:33" s="345" customFormat="1" ht="15.75" customHeight="1">
      <c r="A55" s="345" t="s">
        <v>229</v>
      </c>
      <c r="L55" s="346"/>
      <c r="O55" s="346"/>
      <c r="AF55" s="347"/>
      <c r="AG55" s="347"/>
    </row>
    <row r="56" spans="1:32" s="345" customFormat="1" ht="15.75" customHeight="1">
      <c r="A56" s="345" t="s">
        <v>230</v>
      </c>
      <c r="L56" s="346"/>
      <c r="O56" s="346"/>
      <c r="AE56" s="347"/>
      <c r="AF56" s="347"/>
    </row>
    <row r="57" spans="1:33" s="345" customFormat="1" ht="15.75" customHeight="1">
      <c r="A57" s="345" t="s">
        <v>163</v>
      </c>
      <c r="L57" s="346"/>
      <c r="O57" s="346"/>
      <c r="AF57" s="347"/>
      <c r="AG57" s="347"/>
    </row>
    <row r="58" spans="1:33" s="345" customFormat="1" ht="15.75" customHeight="1">
      <c r="A58" s="345" t="s">
        <v>164</v>
      </c>
      <c r="L58" s="346"/>
      <c r="O58" s="346"/>
      <c r="AF58" s="347"/>
      <c r="AG58" s="347"/>
    </row>
    <row r="59" spans="1:33" s="345" customFormat="1" ht="15.75" customHeight="1">
      <c r="A59" s="345" t="s">
        <v>165</v>
      </c>
      <c r="L59" s="346"/>
      <c r="O59" s="346"/>
      <c r="AF59" s="347"/>
      <c r="AG59" s="347"/>
    </row>
    <row r="60" ht="12"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sheetData>
  <sheetProtection/>
  <mergeCells count="73">
    <mergeCell ref="AB44:AD44"/>
    <mergeCell ref="A45:D45"/>
    <mergeCell ref="AB45:AD45"/>
    <mergeCell ref="AB38:AD38"/>
    <mergeCell ref="AB39:AD39"/>
    <mergeCell ref="AB40:AD40"/>
    <mergeCell ref="AB41:AD41"/>
    <mergeCell ref="AB42:AD42"/>
    <mergeCell ref="AB43:AD43"/>
    <mergeCell ref="AB32:AD32"/>
    <mergeCell ref="AB33:AD33"/>
    <mergeCell ref="AB34:AD34"/>
    <mergeCell ref="AB35:AD35"/>
    <mergeCell ref="AB36:AD36"/>
    <mergeCell ref="AB37:AD37"/>
    <mergeCell ref="AB26:AD26"/>
    <mergeCell ref="AB27:AD27"/>
    <mergeCell ref="AB28:AD28"/>
    <mergeCell ref="AB29:AD29"/>
    <mergeCell ref="AB30:AD30"/>
    <mergeCell ref="AB31:AD31"/>
    <mergeCell ref="AB20:AD20"/>
    <mergeCell ref="AB21:AD21"/>
    <mergeCell ref="AB22:AD22"/>
    <mergeCell ref="AB23:AD23"/>
    <mergeCell ref="AB24:AD24"/>
    <mergeCell ref="AB25:AD25"/>
    <mergeCell ref="AB14:AD14"/>
    <mergeCell ref="AB15:AD15"/>
    <mergeCell ref="AB16:AD16"/>
    <mergeCell ref="AB17:AD17"/>
    <mergeCell ref="AB18:AD18"/>
    <mergeCell ref="AB19:AD19"/>
    <mergeCell ref="AB8:AD8"/>
    <mergeCell ref="AB9:AD9"/>
    <mergeCell ref="AB10:AD10"/>
    <mergeCell ref="AB11:AD11"/>
    <mergeCell ref="AB12:AD12"/>
    <mergeCell ref="AB13:AD13"/>
    <mergeCell ref="O5:Q5"/>
    <mergeCell ref="R5:R6"/>
    <mergeCell ref="S5:S6"/>
    <mergeCell ref="T5:T6"/>
    <mergeCell ref="L6:L7"/>
    <mergeCell ref="M6:M7"/>
    <mergeCell ref="O6:O7"/>
    <mergeCell ref="P6:P7"/>
    <mergeCell ref="AB4:AD7"/>
    <mergeCell ref="AF4:AF7"/>
    <mergeCell ref="AG4:AG7"/>
    <mergeCell ref="F5:F6"/>
    <mergeCell ref="G5:G6"/>
    <mergeCell ref="H5:H6"/>
    <mergeCell ref="I5:I6"/>
    <mergeCell ref="J5:J6"/>
    <mergeCell ref="K5:K6"/>
    <mergeCell ref="L5:N5"/>
    <mergeCell ref="V4:V6"/>
    <mergeCell ref="W4:W6"/>
    <mergeCell ref="X4:X6"/>
    <mergeCell ref="Y4:Y6"/>
    <mergeCell ref="Z4:Z6"/>
    <mergeCell ref="AA4:AA6"/>
    <mergeCell ref="Y1:AB1"/>
    <mergeCell ref="Y2:AB2"/>
    <mergeCell ref="A4:A7"/>
    <mergeCell ref="B4:B7"/>
    <mergeCell ref="C4:C7"/>
    <mergeCell ref="D4:D6"/>
    <mergeCell ref="E4:F4"/>
    <mergeCell ref="G4:K4"/>
    <mergeCell ref="L4:T4"/>
    <mergeCell ref="U4:U6"/>
  </mergeCells>
  <dataValidations count="3">
    <dataValidation type="list" allowBlank="1" showInputMessage="1" showErrorMessage="1" sqref="L8:L44 O8:O44">
      <formula1>"Ａ,Ｂ,Ｃ,Ｄ"</formula1>
    </dataValidation>
    <dataValidation type="whole" allowBlank="1" showInputMessage="1" showErrorMessage="1" sqref="C8:C44">
      <formula1>1</formula1>
      <formula2>4</formula2>
    </dataValidation>
    <dataValidation type="whole" allowBlank="1" showInputMessage="1" showErrorMessage="1" sqref="G8:H44 W8:W44 J8:K44">
      <formula1>0</formula1>
      <formula2>9999999</formula2>
    </dataValidation>
  </dataValidations>
  <printOptions/>
  <pageMargins left="0.7480314960629921" right="0.7480314960629921" top="0.984251968503937" bottom="0.984251968503937" header="0.5118110236220472" footer="0.5118110236220472"/>
  <pageSetup cellComments="asDisplayed" fitToWidth="0" horizontalDpi="600" verticalDpi="600" orientation="landscape" paperSize="9" scale="44" r:id="rId3"/>
  <legacyDrawing r:id="rId2"/>
</worksheet>
</file>

<file path=xl/worksheets/sheet17.xml><?xml version="1.0" encoding="utf-8"?>
<worksheet xmlns="http://schemas.openxmlformats.org/spreadsheetml/2006/main" xmlns:r="http://schemas.openxmlformats.org/officeDocument/2006/relationships">
  <sheetPr>
    <tabColor rgb="FF7030A0"/>
  </sheetPr>
  <dimension ref="A1:AO44"/>
  <sheetViews>
    <sheetView view="pageBreakPreview" zoomScale="70" zoomScaleNormal="75" zoomScaleSheetLayoutView="70" zoomScalePageLayoutView="0" workbookViewId="0" topLeftCell="A1">
      <selection activeCell="I18" sqref="I18"/>
    </sheetView>
  </sheetViews>
  <sheetFormatPr defaultColWidth="9.625" defaultRowHeight="13.5"/>
  <cols>
    <col min="1" max="1" width="6.25390625" style="40" customWidth="1"/>
    <col min="2" max="2" width="15.625" style="266" customWidth="1"/>
    <col min="3" max="3" width="6.00390625" style="288" bestFit="1" customWidth="1"/>
    <col min="4" max="5" width="11.25390625" style="40" customWidth="1"/>
    <col min="6" max="6" width="5.50390625" style="40" customWidth="1"/>
    <col min="7" max="7" width="10.25390625" style="40" bestFit="1" customWidth="1"/>
    <col min="8" max="8" width="3.50390625" style="40" bestFit="1" customWidth="1"/>
    <col min="9" max="9" width="10.75390625" style="40" customWidth="1"/>
    <col min="10" max="10" width="12.25390625" style="40" bestFit="1" customWidth="1"/>
    <col min="11" max="22" width="4.25390625" style="40" customWidth="1"/>
    <col min="23" max="30" width="4.375" style="40" customWidth="1"/>
    <col min="31" max="32" width="10.25390625" style="40" bestFit="1" customWidth="1"/>
    <col min="33" max="33" width="9.75390625" style="40" customWidth="1"/>
    <col min="34" max="34" width="6.50390625" style="40" customWidth="1"/>
    <col min="35" max="35" width="8.25390625" style="40" customWidth="1"/>
    <col min="36" max="36" width="3.125" style="40" customWidth="1"/>
    <col min="37" max="37" width="8.625" style="41" bestFit="1" customWidth="1"/>
    <col min="38" max="38" width="5.25390625" style="41" bestFit="1" customWidth="1"/>
    <col min="39" max="16384" width="9.625" style="40" customWidth="1"/>
  </cols>
  <sheetData>
    <row r="1" spans="1:38" ht="24.75" customHeight="1">
      <c r="A1" s="39" t="s">
        <v>251</v>
      </c>
      <c r="B1" s="265"/>
      <c r="W1" s="781" t="s">
        <v>25</v>
      </c>
      <c r="X1" s="781"/>
      <c r="Y1" s="781"/>
      <c r="Z1" s="761">
        <f>'5_総括表'!E3</f>
        <v>0</v>
      </c>
      <c r="AA1" s="782"/>
      <c r="AB1" s="782"/>
      <c r="AC1" s="782"/>
      <c r="AD1" s="782"/>
      <c r="AE1" s="782"/>
      <c r="AF1" s="783"/>
      <c r="AG1" s="186" t="s">
        <v>26</v>
      </c>
      <c r="AH1" s="784">
        <f>'5_総括表'!Z3</f>
        <v>0</v>
      </c>
      <c r="AI1" s="785"/>
      <c r="AK1" s="46"/>
      <c r="AL1" s="46"/>
    </row>
    <row r="2" spans="1:38" ht="24.75" customHeight="1" thickBot="1">
      <c r="A2" s="42"/>
      <c r="W2" s="786" t="s">
        <v>23</v>
      </c>
      <c r="X2" s="786"/>
      <c r="Y2" s="786"/>
      <c r="Z2" s="764">
        <f>'5_総括表'!E4</f>
        <v>0</v>
      </c>
      <c r="AA2" s="787"/>
      <c r="AB2" s="787"/>
      <c r="AC2" s="787"/>
      <c r="AD2" s="787"/>
      <c r="AE2" s="787"/>
      <c r="AF2" s="788"/>
      <c r="AG2" s="187" t="s">
        <v>24</v>
      </c>
      <c r="AH2" s="789">
        <f>'5_総括表'!Z4</f>
        <v>0</v>
      </c>
      <c r="AI2" s="790"/>
      <c r="AK2" s="73"/>
      <c r="AL2" s="74"/>
    </row>
    <row r="3" spans="1:38" ht="19.5" thickBot="1">
      <c r="A3" s="331" t="s">
        <v>231</v>
      </c>
      <c r="B3" s="267"/>
      <c r="AH3" s="43"/>
      <c r="AI3" s="43" t="s">
        <v>28</v>
      </c>
      <c r="AK3" s="73"/>
      <c r="AL3" s="74"/>
    </row>
    <row r="4" spans="1:38" s="44" customFormat="1" ht="18.75" customHeight="1" thickBot="1">
      <c r="A4" s="675" t="s">
        <v>32</v>
      </c>
      <c r="B4" s="945" t="s">
        <v>170</v>
      </c>
      <c r="C4" s="770" t="s">
        <v>16</v>
      </c>
      <c r="D4" s="670" t="s">
        <v>75</v>
      </c>
      <c r="E4" s="670" t="s">
        <v>106</v>
      </c>
      <c r="F4" s="664" t="s">
        <v>253</v>
      </c>
      <c r="G4" s="665"/>
      <c r="H4" s="665"/>
      <c r="I4" s="665"/>
      <c r="J4" s="666"/>
      <c r="K4" s="795" t="s">
        <v>65</v>
      </c>
      <c r="L4" s="796"/>
      <c r="M4" s="796"/>
      <c r="N4" s="796"/>
      <c r="O4" s="796"/>
      <c r="P4" s="796"/>
      <c r="Q4" s="796"/>
      <c r="R4" s="796"/>
      <c r="S4" s="796"/>
      <c r="T4" s="796"/>
      <c r="U4" s="796"/>
      <c r="V4" s="796"/>
      <c r="W4" s="796"/>
      <c r="X4" s="796"/>
      <c r="Y4" s="796"/>
      <c r="Z4" s="796"/>
      <c r="AA4" s="796"/>
      <c r="AB4" s="796"/>
      <c r="AC4" s="796"/>
      <c r="AD4" s="802"/>
      <c r="AE4" s="670" t="s">
        <v>63</v>
      </c>
      <c r="AF4" s="797" t="s">
        <v>64</v>
      </c>
      <c r="AG4" s="800" t="s">
        <v>66</v>
      </c>
      <c r="AH4" s="801"/>
      <c r="AI4" s="802"/>
      <c r="AK4" s="73"/>
      <c r="AL4" s="74"/>
    </row>
    <row r="5" spans="1:38" s="44" customFormat="1" ht="18.75" customHeight="1" thickBot="1">
      <c r="A5" s="767"/>
      <c r="B5" s="946"/>
      <c r="C5" s="771"/>
      <c r="D5" s="737"/>
      <c r="E5" s="737"/>
      <c r="F5" s="795" t="s">
        <v>107</v>
      </c>
      <c r="G5" s="811"/>
      <c r="H5" s="812"/>
      <c r="I5" s="812"/>
      <c r="J5" s="813"/>
      <c r="K5" s="814" t="s">
        <v>62</v>
      </c>
      <c r="L5" s="815"/>
      <c r="M5" s="815"/>
      <c r="N5" s="815"/>
      <c r="O5" s="815"/>
      <c r="P5" s="815"/>
      <c r="Q5" s="815"/>
      <c r="R5" s="815"/>
      <c r="S5" s="815"/>
      <c r="T5" s="815"/>
      <c r="U5" s="815"/>
      <c r="V5" s="816"/>
      <c r="W5" s="664" t="s">
        <v>118</v>
      </c>
      <c r="X5" s="665"/>
      <c r="Y5" s="665"/>
      <c r="Z5" s="665"/>
      <c r="AA5" s="665"/>
      <c r="AB5" s="665"/>
      <c r="AC5" s="665"/>
      <c r="AD5" s="666"/>
      <c r="AE5" s="737"/>
      <c r="AF5" s="798"/>
      <c r="AG5" s="803"/>
      <c r="AH5" s="804"/>
      <c r="AI5" s="805"/>
      <c r="AK5" s="73"/>
      <c r="AL5" s="74"/>
    </row>
    <row r="6" spans="1:38" s="44" customFormat="1" ht="21.75" customHeight="1" thickBot="1">
      <c r="A6" s="767"/>
      <c r="B6" s="946"/>
      <c r="C6" s="771"/>
      <c r="D6" s="737"/>
      <c r="E6" s="737"/>
      <c r="F6" s="817" t="s">
        <v>18</v>
      </c>
      <c r="G6" s="791" t="s">
        <v>50</v>
      </c>
      <c r="H6" s="817" t="s">
        <v>18</v>
      </c>
      <c r="I6" s="791" t="s">
        <v>50</v>
      </c>
      <c r="J6" s="793" t="s">
        <v>108</v>
      </c>
      <c r="K6" s="944" t="s">
        <v>60</v>
      </c>
      <c r="L6" s="944"/>
      <c r="M6" s="944"/>
      <c r="N6" s="820" t="s">
        <v>61</v>
      </c>
      <c r="O6" s="821"/>
      <c r="P6" s="821"/>
      <c r="Q6" s="821"/>
      <c r="R6" s="821"/>
      <c r="S6" s="821"/>
      <c r="T6" s="821"/>
      <c r="U6" s="821"/>
      <c r="V6" s="822"/>
      <c r="W6" s="795" t="s">
        <v>84</v>
      </c>
      <c r="X6" s="823" t="s">
        <v>84</v>
      </c>
      <c r="Y6" s="795" t="s">
        <v>90</v>
      </c>
      <c r="Z6" s="826" t="s">
        <v>90</v>
      </c>
      <c r="AA6" s="860" t="s">
        <v>91</v>
      </c>
      <c r="AB6" s="863" t="s">
        <v>91</v>
      </c>
      <c r="AC6" s="956" t="s">
        <v>174</v>
      </c>
      <c r="AD6" s="959" t="s">
        <v>174</v>
      </c>
      <c r="AE6" s="737"/>
      <c r="AF6" s="799"/>
      <c r="AG6" s="806"/>
      <c r="AH6" s="807"/>
      <c r="AI6" s="805"/>
      <c r="AK6" s="73"/>
      <c r="AL6" s="75"/>
    </row>
    <row r="7" spans="1:41" s="44" customFormat="1" ht="20.25" customHeight="1" thickBot="1">
      <c r="A7" s="767"/>
      <c r="B7" s="946"/>
      <c r="C7" s="771"/>
      <c r="D7" s="737"/>
      <c r="E7" s="737"/>
      <c r="F7" s="818"/>
      <c r="G7" s="792"/>
      <c r="H7" s="818"/>
      <c r="I7" s="792"/>
      <c r="J7" s="794"/>
      <c r="K7" s="664" t="s">
        <v>54</v>
      </c>
      <c r="L7" s="937" t="s">
        <v>55</v>
      </c>
      <c r="M7" s="666" t="s">
        <v>56</v>
      </c>
      <c r="N7" s="664" t="s">
        <v>51</v>
      </c>
      <c r="O7" s="937" t="s">
        <v>85</v>
      </c>
      <c r="P7" s="937" t="s">
        <v>86</v>
      </c>
      <c r="Q7" s="937" t="s">
        <v>87</v>
      </c>
      <c r="R7" s="937" t="s">
        <v>52</v>
      </c>
      <c r="S7" s="937" t="s">
        <v>53</v>
      </c>
      <c r="T7" s="937" t="s">
        <v>57</v>
      </c>
      <c r="U7" s="937" t="s">
        <v>58</v>
      </c>
      <c r="V7" s="666" t="s">
        <v>59</v>
      </c>
      <c r="W7" s="806"/>
      <c r="X7" s="824"/>
      <c r="Y7" s="806"/>
      <c r="Z7" s="827"/>
      <c r="AA7" s="861"/>
      <c r="AB7" s="864"/>
      <c r="AC7" s="957"/>
      <c r="AD7" s="960"/>
      <c r="AE7" s="737"/>
      <c r="AF7" s="799"/>
      <c r="AG7" s="806"/>
      <c r="AH7" s="807"/>
      <c r="AI7" s="805"/>
      <c r="AK7" s="833" t="s">
        <v>30</v>
      </c>
      <c r="AL7" s="833" t="s">
        <v>78</v>
      </c>
      <c r="AM7" s="76"/>
      <c r="AN7" s="76"/>
      <c r="AO7" s="76"/>
    </row>
    <row r="8" spans="1:38" s="44" customFormat="1" ht="18.75" customHeight="1" thickBot="1">
      <c r="A8" s="768"/>
      <c r="B8" s="947"/>
      <c r="C8" s="772"/>
      <c r="D8" s="769"/>
      <c r="E8" s="769"/>
      <c r="F8" s="819"/>
      <c r="G8" s="77" t="s">
        <v>80</v>
      </c>
      <c r="H8" s="819"/>
      <c r="I8" s="77" t="s">
        <v>81</v>
      </c>
      <c r="J8" s="47" t="s">
        <v>88</v>
      </c>
      <c r="K8" s="664"/>
      <c r="L8" s="937"/>
      <c r="M8" s="666"/>
      <c r="N8" s="664"/>
      <c r="O8" s="937"/>
      <c r="P8" s="937"/>
      <c r="Q8" s="937"/>
      <c r="R8" s="937"/>
      <c r="S8" s="937"/>
      <c r="T8" s="937"/>
      <c r="U8" s="937"/>
      <c r="V8" s="666"/>
      <c r="W8" s="808"/>
      <c r="X8" s="825"/>
      <c r="Y8" s="808"/>
      <c r="Z8" s="828"/>
      <c r="AA8" s="862"/>
      <c r="AB8" s="865"/>
      <c r="AC8" s="958"/>
      <c r="AD8" s="961"/>
      <c r="AE8" s="47" t="s">
        <v>89</v>
      </c>
      <c r="AF8" s="78" t="s">
        <v>79</v>
      </c>
      <c r="AG8" s="808"/>
      <c r="AH8" s="809"/>
      <c r="AI8" s="810"/>
      <c r="AK8" s="834"/>
      <c r="AL8" s="834"/>
    </row>
    <row r="9" spans="1:38" s="54" customFormat="1" ht="18.75" customHeight="1">
      <c r="A9" s="26">
        <f>IF(B9="","",ROW($A9)-ROW($A$8))</f>
      </c>
      <c r="B9" s="305"/>
      <c r="C9" s="289">
        <f>IF(B9="","",VLOOKUP($B9,'6-2_算定表⑤(新・新制度)'!$B$8:$R$65536,2,FALSE))</f>
      </c>
      <c r="D9" s="515">
        <f>IF(B9="","",VLOOKUP($B9,'6-2_算定表⑤(新・新制度)'!$B$8:$R$65536,3,FALSE))</f>
      </c>
      <c r="E9" s="79">
        <f>IF(B9="","",VLOOKUP($B9,'6-2_算定表⑤(新・新制度)'!$B$8:$R$65536,4,FALSE))</f>
      </c>
      <c r="F9" s="516">
        <f>IF(B9="","",VLOOKUP($B9,'6-2_算定表⑤(新・新制度)'!$B$8:$R$65536,11,FALSE))</f>
      </c>
      <c r="G9" s="492">
        <f>IF(B9="","",VLOOKUP($B9,'6-2_算定表⑤(新・新制度)'!$B$8:$R$65536,13,FALSE))</f>
      </c>
      <c r="H9" s="516">
        <f>IF(B9="","",VLOOKUP($B9,'6-2_算定表⑤(新・新制度)'!$B$8:$R$65536,14,FALSE))</f>
      </c>
      <c r="I9" s="492">
        <f>IF(B9="","",VLOOKUP($B9,'6-2_算定表⑤(新・新制度)'!$B$8:$R$65536,16,FALSE))</f>
      </c>
      <c r="J9" s="498">
        <f>IF(B9="","",VLOOKUP($B9,'6-2_算定表⑤(新・新制度)'!$B$8:$R$65536,17,FALSE))</f>
      </c>
      <c r="K9" s="517">
        <f>IF($B9="","",VLOOKUP($B9,'6-2_算定表⑤(新・新制度)'!$B$8:$R$65536,11,FALSE))</f>
      </c>
      <c r="L9" s="518">
        <f>IF($B9="","",VLOOKUP($B9,'6-2_算定表⑤(新・新制度)'!$B$8:$R$65536,11,FALSE))</f>
      </c>
      <c r="M9" s="519">
        <f>IF($B9="","",VLOOKUP($B9,'6-2_算定表⑤(新・新制度)'!$B$8:$R$65536,11,FALSE))</f>
      </c>
      <c r="N9" s="517">
        <f>IF($B9="","",VLOOKUP($B9,'6-2_算定表⑤(新・新制度)'!$B$8:$R$65536,14,FALSE))</f>
      </c>
      <c r="O9" s="518">
        <f>IF($B9="","",VLOOKUP($B9,'6-2_算定表⑤(新・新制度)'!$B$8:$R$65536,14,FALSE))</f>
      </c>
      <c r="P9" s="518">
        <f>IF($B9="","",VLOOKUP($B9,'6-2_算定表⑤(新・新制度)'!$B$8:$R$65536,14,FALSE))</f>
      </c>
      <c r="Q9" s="518">
        <f>IF($B9="","",VLOOKUP($B9,'6-2_算定表⑤(新・新制度)'!$B$8:$R$65536,14,FALSE))</f>
      </c>
      <c r="R9" s="518">
        <f>IF($B9="","",VLOOKUP($B9,'6-2_算定表⑤(新・新制度)'!$B$8:$R$65536,14,FALSE))</f>
      </c>
      <c r="S9" s="518">
        <f>IF($B9="","",VLOOKUP($B9,'6-2_算定表⑤(新・新制度)'!$B$8:$R$65536,14,FALSE))</f>
      </c>
      <c r="T9" s="518">
        <f>IF($B9="","",VLOOKUP($B9,'6-2_算定表⑤(新・新制度)'!$B$8:$R$65536,14,FALSE))</f>
      </c>
      <c r="U9" s="518">
        <f>IF($B9="","",VLOOKUP($B9,'6-2_算定表⑤(新・新制度)'!$B$8:$R$65536,14,FALSE))</f>
      </c>
      <c r="V9" s="519">
        <f>IF($B9="","",VLOOKUP($B9,'6-2_算定表⑤(新・新制度)'!$B$8:$R$65536,14,FALSE))</f>
      </c>
      <c r="W9" s="520">
        <f>IF($B9="","",COUNTIF($K9:$M9,W$6))</f>
      </c>
      <c r="X9" s="521">
        <f>IF($B9="","",COUNTIF($N9:$V9,X$6))</f>
      </c>
      <c r="Y9" s="520">
        <f>IF($B9="","",COUNTIF($K9:$M9,Y$6))</f>
      </c>
      <c r="Z9" s="522">
        <f>IF($B9="","",COUNTIF($N9:$V9,Z$6))</f>
      </c>
      <c r="AA9" s="524">
        <f>IF($B9="","",COUNTIF($K9:$M9,AA$6))</f>
      </c>
      <c r="AB9" s="522">
        <f>IF($B9="","",COUNTIF($N9:$V9,AB$6))</f>
      </c>
      <c r="AC9" s="523">
        <f>IF($B9="","",COUNTIF($K9:$M9,AC$6))</f>
      </c>
      <c r="AD9" s="525">
        <f>IF($B9="","",COUNTIF($N9:$V9,AD$6))</f>
      </c>
      <c r="AE9" s="498">
        <f>IF(B9="","",(G9/12*W9)+(I9/12*X9)+(G9/12*Y9)+(I9/12*Z9)+(G9/12*AA9)+(I9/12*AB9))</f>
      </c>
      <c r="AF9" s="526">
        <f>IF(B9="","",AE9-J9)</f>
      </c>
      <c r="AG9" s="835">
        <f>IF(B9="","",VLOOKUP($B9,'6-2_算定表⑤(新・新制度)'!$B$8:$AB$65536,27,FALSE))</f>
      </c>
      <c r="AH9" s="836" t="s">
        <v>205</v>
      </c>
      <c r="AI9" s="837" t="s">
        <v>205</v>
      </c>
      <c r="AK9" s="63">
        <f>IF(A9&gt;0,ASC(C9&amp;H9),"")</f>
      </c>
      <c r="AL9" s="63">
        <f>IF(B9="","",IF(AF9=0,0,1))</f>
      </c>
    </row>
    <row r="10" spans="1:38" s="54" customFormat="1" ht="18.75" customHeight="1">
      <c r="A10" s="34">
        <f aca="true" t="shared" si="0" ref="A10:A38">IF(B10="","",ROW($A10)-ROW($A$8))</f>
      </c>
      <c r="B10" s="280"/>
      <c r="C10" s="87">
        <f>IF(B10="","",VLOOKUP($B10,'6-2_算定表⑤(新・新制度)'!$B$8:$R$65536,2,FALSE))</f>
      </c>
      <c r="D10" s="527">
        <f>IF(B10="","",VLOOKUP($B10,'6-2_算定表⑤(新・新制度)'!$B$8:$R$65536,3,FALSE))</f>
      </c>
      <c r="E10" s="88">
        <f>IF(B10="","",VLOOKUP($B10,'6-2_算定表⑤(新・新制度)'!$B$8:$R$65536,4,FALSE))</f>
      </c>
      <c r="F10" s="528">
        <f>IF(B10="","",VLOOKUP($B10,'6-2_算定表⑤(新・新制度)'!$B$8:$R$65536,11,FALSE))</f>
      </c>
      <c r="G10" s="529">
        <f>IF(B10="","",VLOOKUP($B10,'6-2_算定表⑤(新・新制度)'!$B$8:$R$65536,13,FALSE))</f>
      </c>
      <c r="H10" s="528">
        <f>IF(B10="","",VLOOKUP($B10,'6-2_算定表⑤(新・新制度)'!$B$8:$R$65536,14,FALSE))</f>
      </c>
      <c r="I10" s="529">
        <f>IF(B10="","",VLOOKUP($B10,'6-2_算定表⑤(新・新制度)'!$B$8:$R$65536,16,FALSE))</f>
      </c>
      <c r="J10" s="530">
        <f>IF(B10="","",VLOOKUP($B10,'6-2_算定表⑤(新・新制度)'!$B$8:$R$65536,17,FALSE))</f>
      </c>
      <c r="K10" s="531">
        <f>IF($B10="","",VLOOKUP($B10,'6-2_算定表⑤(新・新制度)'!$B$8:$R$65536,11,FALSE))</f>
      </c>
      <c r="L10" s="532">
        <f>IF($B10="","",VLOOKUP($B10,'6-2_算定表⑤(新・新制度)'!$B$8:$R$65536,11,FALSE))</f>
      </c>
      <c r="M10" s="533">
        <f>IF($B10="","",VLOOKUP($B10,'6-2_算定表⑤(新・新制度)'!$B$8:$R$65536,11,FALSE))</f>
      </c>
      <c r="N10" s="531">
        <f>IF($B10="","",VLOOKUP($B10,'6-2_算定表⑤(新・新制度)'!$B$8:$R$65536,14,FALSE))</f>
      </c>
      <c r="O10" s="532">
        <f>IF($B10="","",VLOOKUP($B10,'6-2_算定表⑤(新・新制度)'!$B$8:$R$65536,14,FALSE))</f>
      </c>
      <c r="P10" s="532">
        <f>IF($B10="","",VLOOKUP($B10,'6-2_算定表⑤(新・新制度)'!$B$8:$R$65536,14,FALSE))</f>
      </c>
      <c r="Q10" s="532">
        <f>IF($B10="","",VLOOKUP($B10,'6-2_算定表⑤(新・新制度)'!$B$8:$R$65536,14,FALSE))</f>
      </c>
      <c r="R10" s="532">
        <f>IF($B10="","",VLOOKUP($B10,'6-2_算定表⑤(新・新制度)'!$B$8:$R$65536,14,FALSE))</f>
      </c>
      <c r="S10" s="532">
        <f>IF($B10="","",VLOOKUP($B10,'6-2_算定表⑤(新・新制度)'!$B$8:$R$65536,14,FALSE))</f>
      </c>
      <c r="T10" s="532">
        <f>IF($B10="","",VLOOKUP($B10,'6-2_算定表⑤(新・新制度)'!$B$8:$R$65536,14,FALSE))</f>
      </c>
      <c r="U10" s="532">
        <f>IF($B10="","",VLOOKUP($B10,'6-2_算定表⑤(新・新制度)'!$B$8:$R$65536,14,FALSE))</f>
      </c>
      <c r="V10" s="533">
        <f>IF($B10="","",VLOOKUP($B10,'6-2_算定表⑤(新・新制度)'!$B$8:$R$65536,14,FALSE))</f>
      </c>
      <c r="W10" s="546">
        <f aca="true" t="shared" si="1" ref="W10:W38">IF($B10="","",COUNTIF($K10:$M10,W$6))</f>
      </c>
      <c r="X10" s="547">
        <f aca="true" t="shared" si="2" ref="X10:X38">IF($B10="","",COUNTIF($N10:$V10,X$6))</f>
      </c>
      <c r="Y10" s="546">
        <f aca="true" t="shared" si="3" ref="Y10:Y38">IF($B10="","",COUNTIF($K10:$M10,Y$6))</f>
      </c>
      <c r="Z10" s="548">
        <f aca="true" t="shared" si="4" ref="Z10:Z38">IF($B10="","",COUNTIF($N10:$V10,Z$6))</f>
      </c>
      <c r="AA10" s="538">
        <f aca="true" t="shared" si="5" ref="AA10:AA38">IF($B10="","",COUNTIF($K10:$M10,AA$6))</f>
      </c>
      <c r="AB10" s="548">
        <f aca="true" t="shared" si="6" ref="AB10:AB38">IF($B10="","",COUNTIF($N10:$V10,AB$6))</f>
      </c>
      <c r="AC10" s="537">
        <f aca="true" t="shared" si="7" ref="AC10:AC38">IF($B10="","",COUNTIF($K10:$M10,AC$6))</f>
      </c>
      <c r="AD10" s="539">
        <f aca="true" t="shared" si="8" ref="AD10:AD38">IF($B10="","",COUNTIF($N10:$V10,AD$6))</f>
      </c>
      <c r="AE10" s="530">
        <f aca="true" t="shared" si="9" ref="AE10:AE38">IF(B10="","",(G10/12*W10)+(I10/12*X10)+(G10/12*Y10)+(I10/12*Z10)+(G10/12*AA10)+(I10/12*AB10))</f>
      </c>
      <c r="AF10" s="540">
        <f>IF(B10="","",AE10-J10)</f>
      </c>
      <c r="AG10" s="308">
        <f>IF(B10="","",VLOOKUP($B10,'6-2_算定表⑤(新・新制度)'!$B$8:$AB$65536,27,FALSE))</f>
      </c>
      <c r="AH10" s="309" t="s">
        <v>205</v>
      </c>
      <c r="AI10" s="310" t="s">
        <v>205</v>
      </c>
      <c r="AK10" s="55">
        <f>IF(A10&gt;0,ASC(C10&amp;H10),"")</f>
      </c>
      <c r="AL10" s="55">
        <f aca="true" t="shared" si="10" ref="AL10:AL38">IF(B10="","",IF(AF10=0,0,1))</f>
      </c>
    </row>
    <row r="11" spans="1:38" s="54" customFormat="1" ht="18.75" customHeight="1">
      <c r="A11" s="27">
        <f t="shared" si="0"/>
      </c>
      <c r="B11" s="280"/>
      <c r="C11" s="97">
        <f>IF(B11="","",VLOOKUP($B11,'6-2_算定表⑤(新・新制度)'!$B$8:$R$65536,2,FALSE))</f>
      </c>
      <c r="D11" s="541">
        <f>IF(B11="","",VLOOKUP($B11,'6-2_算定表⑤(新・新制度)'!$B$8:$R$65536,3,FALSE))</f>
      </c>
      <c r="E11" s="98">
        <f>IF(B11="","",VLOOKUP($B11,'6-2_算定表⑤(新・新制度)'!$B$8:$R$65536,4,FALSE))</f>
      </c>
      <c r="F11" s="542">
        <f>IF(B11="","",VLOOKUP($B11,'6-2_算定表⑤(新・新制度)'!$B$8:$R$65536,11,FALSE))</f>
      </c>
      <c r="G11" s="493">
        <f>IF(B11="","",VLOOKUP($B11,'6-2_算定表⑤(新・新制度)'!$B$8:$R$65536,13,FALSE))</f>
      </c>
      <c r="H11" s="542">
        <f>IF(B11="","",VLOOKUP($B11,'6-2_算定表⑤(新・新制度)'!$B$8:$R$65536,14,FALSE))</f>
      </c>
      <c r="I11" s="493">
        <f>IF(B11="","",VLOOKUP($B11,'6-2_算定表⑤(新・新制度)'!$B$8:$R$65536,16,FALSE))</f>
      </c>
      <c r="J11" s="506">
        <f>IF(B11="","",VLOOKUP($B11,'6-2_算定表⑤(新・新制度)'!$B$8:$R$65536,17,FALSE))</f>
      </c>
      <c r="K11" s="543">
        <f>IF($B11="","",VLOOKUP($B11,'6-2_算定表⑤(新・新制度)'!$B$8:$R$65536,11,FALSE))</f>
      </c>
      <c r="L11" s="544">
        <f>IF($B11="","",VLOOKUP($B11,'6-2_算定表⑤(新・新制度)'!$B$8:$R$65536,11,FALSE))</f>
      </c>
      <c r="M11" s="545">
        <f>IF($B11="","",VLOOKUP($B11,'6-2_算定表⑤(新・新制度)'!$B$8:$R$65536,11,FALSE))</f>
      </c>
      <c r="N11" s="543">
        <f>IF($B11="","",VLOOKUP($B11,'6-2_算定表⑤(新・新制度)'!$B$8:$R$65536,14,FALSE))</f>
      </c>
      <c r="O11" s="544">
        <f>IF($B11="","",VLOOKUP($B11,'6-2_算定表⑤(新・新制度)'!$B$8:$R$65536,14,FALSE))</f>
      </c>
      <c r="P11" s="544">
        <f>IF($B11="","",VLOOKUP($B11,'6-2_算定表⑤(新・新制度)'!$B$8:$R$65536,14,FALSE))</f>
      </c>
      <c r="Q11" s="544">
        <f>IF($B11="","",VLOOKUP($B11,'6-2_算定表⑤(新・新制度)'!$B$8:$R$65536,14,FALSE))</f>
      </c>
      <c r="R11" s="544">
        <f>IF($B11="","",VLOOKUP($B11,'6-2_算定表⑤(新・新制度)'!$B$8:$R$65536,14,FALSE))</f>
      </c>
      <c r="S11" s="544">
        <f>IF($B11="","",VLOOKUP($B11,'6-2_算定表⑤(新・新制度)'!$B$8:$R$65536,14,FALSE))</f>
      </c>
      <c r="T11" s="544">
        <f>IF($B11="","",VLOOKUP($B11,'6-2_算定表⑤(新・新制度)'!$B$8:$R$65536,14,FALSE))</f>
      </c>
      <c r="U11" s="544">
        <f>IF($B11="","",VLOOKUP($B11,'6-2_算定表⑤(新・新制度)'!$B$8:$R$65536,14,FALSE))</f>
      </c>
      <c r="V11" s="545">
        <f>IF($B11="","",VLOOKUP($B11,'6-2_算定表⑤(新・新制度)'!$B$8:$R$65536,14,FALSE))</f>
      </c>
      <c r="W11" s="546">
        <f t="shared" si="1"/>
      </c>
      <c r="X11" s="547">
        <f t="shared" si="2"/>
      </c>
      <c r="Y11" s="546">
        <f t="shared" si="3"/>
      </c>
      <c r="Z11" s="548">
        <f t="shared" si="4"/>
      </c>
      <c r="AA11" s="538">
        <f t="shared" si="5"/>
      </c>
      <c r="AB11" s="548">
        <f t="shared" si="6"/>
      </c>
      <c r="AC11" s="537">
        <f t="shared" si="7"/>
      </c>
      <c r="AD11" s="539">
        <f t="shared" si="8"/>
      </c>
      <c r="AE11" s="506">
        <f t="shared" si="9"/>
      </c>
      <c r="AF11" s="503">
        <f aca="true" t="shared" si="11" ref="AF11:AF38">IF(B11="","",AE11-J11)</f>
      </c>
      <c r="AG11" s="847">
        <f>IF(B11="","",VLOOKUP($B11,'6-2_算定表⑤(新・新制度)'!$B$8:$AB$65536,27,FALSE))</f>
      </c>
      <c r="AH11" s="848" t="s">
        <v>205</v>
      </c>
      <c r="AI11" s="849" t="s">
        <v>205</v>
      </c>
      <c r="AK11" s="63">
        <f aca="true" t="shared" si="12" ref="AK11:AK38">IF(A11&gt;0,ASC(C11&amp;H11),"")</f>
      </c>
      <c r="AL11" s="63">
        <f t="shared" si="10"/>
      </c>
    </row>
    <row r="12" spans="1:38" s="54" customFormat="1" ht="18.75" customHeight="1">
      <c r="A12" s="27">
        <f t="shared" si="0"/>
      </c>
      <c r="B12" s="280"/>
      <c r="C12" s="97">
        <f>IF(B12="","",VLOOKUP($B12,'6-2_算定表⑤(新・新制度)'!$B$8:$R$65536,2,FALSE))</f>
      </c>
      <c r="D12" s="541">
        <f>IF(B12="","",VLOOKUP($B12,'6-2_算定表⑤(新・新制度)'!$B$8:$R$65536,3,FALSE))</f>
      </c>
      <c r="E12" s="98">
        <f>IF(B12="","",VLOOKUP($B12,'6-2_算定表⑤(新・新制度)'!$B$8:$R$65536,4,FALSE))</f>
      </c>
      <c r="F12" s="542">
        <f>IF(B12="","",VLOOKUP($B12,'6-2_算定表⑤(新・新制度)'!$B$8:$R$65536,11,FALSE))</f>
      </c>
      <c r="G12" s="493">
        <f>IF(B12="","",VLOOKUP($B12,'6-2_算定表⑤(新・新制度)'!$B$8:$R$65536,13,FALSE))</f>
      </c>
      <c r="H12" s="542">
        <f>IF(B12="","",VLOOKUP($B12,'6-2_算定表⑤(新・新制度)'!$B$8:$R$65536,14,FALSE))</f>
      </c>
      <c r="I12" s="493">
        <f>IF(B12="","",VLOOKUP($B12,'6-2_算定表⑤(新・新制度)'!$B$8:$R$65536,16,FALSE))</f>
      </c>
      <c r="J12" s="506">
        <f>IF(B12="","",VLOOKUP($B12,'6-2_算定表⑤(新・新制度)'!$B$8:$R$65536,17,FALSE))</f>
      </c>
      <c r="K12" s="543">
        <f>IF($B12="","",VLOOKUP($B12,'6-2_算定表⑤(新・新制度)'!$B$8:$R$65536,11,FALSE))</f>
      </c>
      <c r="L12" s="544">
        <f>IF($B12="","",VLOOKUP($B12,'6-2_算定表⑤(新・新制度)'!$B$8:$R$65536,11,FALSE))</f>
      </c>
      <c r="M12" s="545">
        <f>IF($B12="","",VLOOKUP($B12,'6-2_算定表⑤(新・新制度)'!$B$8:$R$65536,11,FALSE))</f>
      </c>
      <c r="N12" s="543">
        <f>IF($B12="","",VLOOKUP($B12,'6-2_算定表⑤(新・新制度)'!$B$8:$R$65536,14,FALSE))</f>
      </c>
      <c r="O12" s="544">
        <f>IF($B12="","",VLOOKUP($B12,'6-2_算定表⑤(新・新制度)'!$B$8:$R$65536,14,FALSE))</f>
      </c>
      <c r="P12" s="544">
        <f>IF($B12="","",VLOOKUP($B12,'6-2_算定表⑤(新・新制度)'!$B$8:$R$65536,14,FALSE))</f>
      </c>
      <c r="Q12" s="544">
        <f>IF($B12="","",VLOOKUP($B12,'6-2_算定表⑤(新・新制度)'!$B$8:$R$65536,14,FALSE))</f>
      </c>
      <c r="R12" s="544">
        <f>IF($B12="","",VLOOKUP($B12,'6-2_算定表⑤(新・新制度)'!$B$8:$R$65536,14,FALSE))</f>
      </c>
      <c r="S12" s="544">
        <f>IF($B12="","",VLOOKUP($B12,'6-2_算定表⑤(新・新制度)'!$B$8:$R$65536,14,FALSE))</f>
      </c>
      <c r="T12" s="544">
        <f>IF($B12="","",VLOOKUP($B12,'6-2_算定表⑤(新・新制度)'!$B$8:$R$65536,14,FALSE))</f>
      </c>
      <c r="U12" s="544">
        <f>IF($B12="","",VLOOKUP($B12,'6-2_算定表⑤(新・新制度)'!$B$8:$R$65536,14,FALSE))</f>
      </c>
      <c r="V12" s="545">
        <f>IF($B12="","",VLOOKUP($B12,'6-2_算定表⑤(新・新制度)'!$B$8:$R$65536,14,FALSE))</f>
      </c>
      <c r="W12" s="546">
        <f t="shared" si="1"/>
      </c>
      <c r="X12" s="547">
        <f t="shared" si="2"/>
      </c>
      <c r="Y12" s="546">
        <f t="shared" si="3"/>
      </c>
      <c r="Z12" s="548">
        <f t="shared" si="4"/>
      </c>
      <c r="AA12" s="538">
        <f t="shared" si="5"/>
      </c>
      <c r="AB12" s="548">
        <f t="shared" si="6"/>
      </c>
      <c r="AC12" s="537">
        <f t="shared" si="7"/>
      </c>
      <c r="AD12" s="539">
        <f t="shared" si="8"/>
      </c>
      <c r="AE12" s="506">
        <f t="shared" si="9"/>
      </c>
      <c r="AF12" s="503">
        <f t="shared" si="11"/>
      </c>
      <c r="AG12" s="847">
        <f>IF(B12="","",VLOOKUP($B12,'6-2_算定表⑤(新・新制度)'!$B$8:$AB$65536,27,FALSE))</f>
      </c>
      <c r="AH12" s="848" t="s">
        <v>205</v>
      </c>
      <c r="AI12" s="849" t="s">
        <v>205</v>
      </c>
      <c r="AK12" s="63">
        <f t="shared" si="12"/>
      </c>
      <c r="AL12" s="63">
        <f t="shared" si="10"/>
      </c>
    </row>
    <row r="13" spans="1:38" s="54" customFormat="1" ht="18.75" customHeight="1">
      <c r="A13" s="27">
        <f t="shared" si="0"/>
      </c>
      <c r="B13" s="280"/>
      <c r="C13" s="97">
        <f>IF(B13="","",VLOOKUP($B13,'6-2_算定表⑤(新・新制度)'!$B$8:$R$65536,2,FALSE))</f>
      </c>
      <c r="D13" s="541">
        <f>IF(B13="","",VLOOKUP($B13,'6-2_算定表⑤(新・新制度)'!$B$8:$R$65536,3,FALSE))</f>
      </c>
      <c r="E13" s="98">
        <f>IF(B13="","",VLOOKUP($B13,'6-2_算定表⑤(新・新制度)'!$B$8:$R$65536,4,FALSE))</f>
      </c>
      <c r="F13" s="542">
        <f>IF(B13="","",VLOOKUP($B13,'6-2_算定表⑤(新・新制度)'!$B$8:$R$65536,11,FALSE))</f>
      </c>
      <c r="G13" s="493">
        <f>IF(B13="","",VLOOKUP($B13,'6-2_算定表⑤(新・新制度)'!$B$8:$R$65536,13,FALSE))</f>
      </c>
      <c r="H13" s="542">
        <f>IF(B13="","",VLOOKUP($B13,'6-2_算定表⑤(新・新制度)'!$B$8:$R$65536,14,FALSE))</f>
      </c>
      <c r="I13" s="493">
        <f>IF(B13="","",VLOOKUP($B13,'6-2_算定表⑤(新・新制度)'!$B$8:$R$65536,16,FALSE))</f>
      </c>
      <c r="J13" s="506">
        <f>IF(B13="","",VLOOKUP($B13,'6-2_算定表⑤(新・新制度)'!$B$8:$R$65536,17,FALSE))</f>
      </c>
      <c r="K13" s="543">
        <f>IF($B13="","",VLOOKUP($B13,'6-2_算定表⑤(新・新制度)'!$B$8:$R$65536,11,FALSE))</f>
      </c>
      <c r="L13" s="544">
        <f>IF($B13="","",VLOOKUP($B13,'6-2_算定表⑤(新・新制度)'!$B$8:$R$65536,11,FALSE))</f>
      </c>
      <c r="M13" s="545">
        <f>IF($B13="","",VLOOKUP($B13,'6-2_算定表⑤(新・新制度)'!$B$8:$R$65536,11,FALSE))</f>
      </c>
      <c r="N13" s="543">
        <f>IF($B13="","",VLOOKUP($B13,'6-2_算定表⑤(新・新制度)'!$B$8:$R$65536,14,FALSE))</f>
      </c>
      <c r="O13" s="544">
        <f>IF($B13="","",VLOOKUP($B13,'6-2_算定表⑤(新・新制度)'!$B$8:$R$65536,14,FALSE))</f>
      </c>
      <c r="P13" s="544">
        <f>IF($B13="","",VLOOKUP($B13,'6-2_算定表⑤(新・新制度)'!$B$8:$R$65536,14,FALSE))</f>
      </c>
      <c r="Q13" s="544">
        <f>IF($B13="","",VLOOKUP($B13,'6-2_算定表⑤(新・新制度)'!$B$8:$R$65536,14,FALSE))</f>
      </c>
      <c r="R13" s="544">
        <f>IF($B13="","",VLOOKUP($B13,'6-2_算定表⑤(新・新制度)'!$B$8:$R$65536,14,FALSE))</f>
      </c>
      <c r="S13" s="544">
        <f>IF($B13="","",VLOOKUP($B13,'6-2_算定表⑤(新・新制度)'!$B$8:$R$65536,14,FALSE))</f>
      </c>
      <c r="T13" s="544">
        <f>IF($B13="","",VLOOKUP($B13,'6-2_算定表⑤(新・新制度)'!$B$8:$R$65536,14,FALSE))</f>
      </c>
      <c r="U13" s="544">
        <f>IF($B13="","",VLOOKUP($B13,'6-2_算定表⑤(新・新制度)'!$B$8:$R$65536,14,FALSE))</f>
      </c>
      <c r="V13" s="545">
        <f>IF($B13="","",VLOOKUP($B13,'6-2_算定表⑤(新・新制度)'!$B$8:$R$65536,14,FALSE))</f>
      </c>
      <c r="W13" s="546">
        <f t="shared" si="1"/>
      </c>
      <c r="X13" s="547">
        <f t="shared" si="2"/>
      </c>
      <c r="Y13" s="546">
        <f t="shared" si="3"/>
      </c>
      <c r="Z13" s="548">
        <f t="shared" si="4"/>
      </c>
      <c r="AA13" s="538">
        <f t="shared" si="5"/>
      </c>
      <c r="AB13" s="548">
        <f t="shared" si="6"/>
      </c>
      <c r="AC13" s="537">
        <f t="shared" si="7"/>
      </c>
      <c r="AD13" s="539">
        <f t="shared" si="8"/>
      </c>
      <c r="AE13" s="506">
        <f t="shared" si="9"/>
      </c>
      <c r="AF13" s="503">
        <f>IF(B13="","",AE13-J13)</f>
      </c>
      <c r="AG13" s="847">
        <f>IF(B13="","",VLOOKUP($B13,'6-2_算定表⑤(新・新制度)'!$B$8:$AB$65536,27,FALSE))</f>
      </c>
      <c r="AH13" s="848" t="s">
        <v>205</v>
      </c>
      <c r="AI13" s="849" t="s">
        <v>205</v>
      </c>
      <c r="AK13" s="63">
        <f t="shared" si="12"/>
      </c>
      <c r="AL13" s="63">
        <f t="shared" si="10"/>
      </c>
    </row>
    <row r="14" spans="1:38" s="54" customFormat="1" ht="18.75" customHeight="1">
      <c r="A14" s="27">
        <f t="shared" si="0"/>
      </c>
      <c r="B14" s="280"/>
      <c r="C14" s="97">
        <f>IF(B14="","",VLOOKUP($B14,'6-2_算定表⑤(新・新制度)'!$B$8:$R$65536,2,FALSE))</f>
      </c>
      <c r="D14" s="541">
        <f>IF(B14="","",VLOOKUP($B14,'6-2_算定表⑤(新・新制度)'!$B$8:$R$65536,3,FALSE))</f>
      </c>
      <c r="E14" s="98">
        <f>IF(B14="","",VLOOKUP($B14,'6-2_算定表⑤(新・新制度)'!$B$8:$R$65536,4,FALSE))</f>
      </c>
      <c r="F14" s="542">
        <f>IF(B14="","",VLOOKUP($B14,'6-2_算定表⑤(新・新制度)'!$B$8:$R$65536,11,FALSE))</f>
      </c>
      <c r="G14" s="493">
        <f>IF(B14="","",VLOOKUP($B14,'6-2_算定表⑤(新・新制度)'!$B$8:$R$65536,13,FALSE))</f>
      </c>
      <c r="H14" s="542">
        <f>IF(B14="","",VLOOKUP($B14,'6-2_算定表⑤(新・新制度)'!$B$8:$R$65536,14,FALSE))</f>
      </c>
      <c r="I14" s="493">
        <f>IF(B14="","",VLOOKUP($B14,'6-2_算定表⑤(新・新制度)'!$B$8:$R$65536,16,FALSE))</f>
      </c>
      <c r="J14" s="506">
        <f>IF(B14="","",VLOOKUP($B14,'6-2_算定表⑤(新・新制度)'!$B$8:$R$65536,17,FALSE))</f>
      </c>
      <c r="K14" s="543">
        <f>IF($B14="","",VLOOKUP($B14,'6-2_算定表⑤(新・新制度)'!$B$8:$R$65536,11,FALSE))</f>
      </c>
      <c r="L14" s="544">
        <f>IF($B14="","",VLOOKUP($B14,'6-2_算定表⑤(新・新制度)'!$B$8:$R$65536,11,FALSE))</f>
      </c>
      <c r="M14" s="545">
        <f>IF($B14="","",VLOOKUP($B14,'6-2_算定表⑤(新・新制度)'!$B$8:$R$65536,11,FALSE))</f>
      </c>
      <c r="N14" s="543">
        <f>IF($B14="","",VLOOKUP($B14,'6-2_算定表⑤(新・新制度)'!$B$8:$R$65536,14,FALSE))</f>
      </c>
      <c r="O14" s="544">
        <f>IF($B14="","",VLOOKUP($B14,'6-2_算定表⑤(新・新制度)'!$B$8:$R$65536,14,FALSE))</f>
      </c>
      <c r="P14" s="544">
        <f>IF($B14="","",VLOOKUP($B14,'6-2_算定表⑤(新・新制度)'!$B$8:$R$65536,14,FALSE))</f>
      </c>
      <c r="Q14" s="544">
        <f>IF($B14="","",VLOOKUP($B14,'6-2_算定表⑤(新・新制度)'!$B$8:$R$65536,14,FALSE))</f>
      </c>
      <c r="R14" s="544">
        <f>IF($B14="","",VLOOKUP($B14,'6-2_算定表⑤(新・新制度)'!$B$8:$R$65536,14,FALSE))</f>
      </c>
      <c r="S14" s="544">
        <f>IF($B14="","",VLOOKUP($B14,'6-2_算定表⑤(新・新制度)'!$B$8:$R$65536,14,FALSE))</f>
      </c>
      <c r="T14" s="544">
        <f>IF($B14="","",VLOOKUP($B14,'6-2_算定表⑤(新・新制度)'!$B$8:$R$65536,14,FALSE))</f>
      </c>
      <c r="U14" s="544">
        <f>IF($B14="","",VLOOKUP($B14,'6-2_算定表⑤(新・新制度)'!$B$8:$R$65536,14,FALSE))</f>
      </c>
      <c r="V14" s="545">
        <f>IF($B14="","",VLOOKUP($B14,'6-2_算定表⑤(新・新制度)'!$B$8:$R$65536,14,FALSE))</f>
      </c>
      <c r="W14" s="546">
        <f t="shared" si="1"/>
      </c>
      <c r="X14" s="547">
        <f t="shared" si="2"/>
      </c>
      <c r="Y14" s="546">
        <f t="shared" si="3"/>
      </c>
      <c r="Z14" s="548">
        <f t="shared" si="4"/>
      </c>
      <c r="AA14" s="538">
        <f t="shared" si="5"/>
      </c>
      <c r="AB14" s="548">
        <f t="shared" si="6"/>
      </c>
      <c r="AC14" s="537">
        <f t="shared" si="7"/>
      </c>
      <c r="AD14" s="539">
        <f t="shared" si="8"/>
      </c>
      <c r="AE14" s="506">
        <f>IF(B14="","",(G14/12*W14)+(I14/12*X14)+(G14/12*Y14)+(I14/12*Z14)+(G14/12*AA14)+(I14/12*AB14))</f>
      </c>
      <c r="AF14" s="503">
        <f t="shared" si="11"/>
      </c>
      <c r="AG14" s="847">
        <f>IF(B14="","",VLOOKUP($B14,'6-2_算定表⑤(新・新制度)'!$B$8:$AB$65536,27,FALSE))</f>
      </c>
      <c r="AH14" s="848" t="s">
        <v>205</v>
      </c>
      <c r="AI14" s="849" t="s">
        <v>205</v>
      </c>
      <c r="AK14" s="63">
        <f t="shared" si="12"/>
      </c>
      <c r="AL14" s="63">
        <f t="shared" si="10"/>
      </c>
    </row>
    <row r="15" spans="1:38" s="54" customFormat="1" ht="18.75" customHeight="1">
      <c r="A15" s="27">
        <f t="shared" si="0"/>
      </c>
      <c r="B15" s="280"/>
      <c r="C15" s="97">
        <f>IF(B15="","",VLOOKUP($B15,'6-2_算定表⑤(新・新制度)'!$B$8:$R$65536,2,FALSE))</f>
      </c>
      <c r="D15" s="541">
        <f>IF(B15="","",VLOOKUP($B15,'6-2_算定表⑤(新・新制度)'!$B$8:$R$65536,3,FALSE))</f>
      </c>
      <c r="E15" s="98">
        <f>IF(B15="","",VLOOKUP($B15,'6-2_算定表⑤(新・新制度)'!$B$8:$R$65536,4,FALSE))</f>
      </c>
      <c r="F15" s="542">
        <f>IF(B15="","",VLOOKUP($B15,'6-2_算定表⑤(新・新制度)'!$B$8:$R$65536,11,FALSE))</f>
      </c>
      <c r="G15" s="493">
        <f>IF(B15="","",VLOOKUP($B15,'6-2_算定表⑤(新・新制度)'!$B$8:$R$65536,13,FALSE))</f>
      </c>
      <c r="H15" s="542">
        <f>IF(B15="","",VLOOKUP($B15,'6-2_算定表⑤(新・新制度)'!$B$8:$R$65536,14,FALSE))</f>
      </c>
      <c r="I15" s="493">
        <f>IF(B15="","",VLOOKUP($B15,'6-2_算定表⑤(新・新制度)'!$B$8:$R$65536,16,FALSE))</f>
      </c>
      <c r="J15" s="506">
        <f>IF(B15="","",VLOOKUP($B15,'6-2_算定表⑤(新・新制度)'!$B$8:$R$65536,17,FALSE))</f>
      </c>
      <c r="K15" s="543">
        <f>IF($B15="","",VLOOKUP($B15,'6-2_算定表⑤(新・新制度)'!$B$8:$R$65536,11,FALSE))</f>
      </c>
      <c r="L15" s="544">
        <f>IF($B15="","",VLOOKUP($B15,'6-2_算定表⑤(新・新制度)'!$B$8:$R$65536,11,FALSE))</f>
      </c>
      <c r="M15" s="545">
        <f>IF($B15="","",VLOOKUP($B15,'6-2_算定表⑤(新・新制度)'!$B$8:$R$65536,11,FALSE))</f>
      </c>
      <c r="N15" s="543">
        <f>IF($B15="","",VLOOKUP($B15,'6-2_算定表⑤(新・新制度)'!$B$8:$R$65536,14,FALSE))</f>
      </c>
      <c r="O15" s="544">
        <f>IF($B15="","",VLOOKUP($B15,'6-2_算定表⑤(新・新制度)'!$B$8:$R$65536,14,FALSE))</f>
      </c>
      <c r="P15" s="544">
        <f>IF($B15="","",VLOOKUP($B15,'6-2_算定表⑤(新・新制度)'!$B$8:$R$65536,14,FALSE))</f>
      </c>
      <c r="Q15" s="544">
        <f>IF($B15="","",VLOOKUP($B15,'6-2_算定表⑤(新・新制度)'!$B$8:$R$65536,14,FALSE))</f>
      </c>
      <c r="R15" s="544">
        <f>IF($B15="","",VLOOKUP($B15,'6-2_算定表⑤(新・新制度)'!$B$8:$R$65536,14,FALSE))</f>
      </c>
      <c r="S15" s="544">
        <f>IF($B15="","",VLOOKUP($B15,'6-2_算定表⑤(新・新制度)'!$B$8:$R$65536,14,FALSE))</f>
      </c>
      <c r="T15" s="544">
        <f>IF($B15="","",VLOOKUP($B15,'6-2_算定表⑤(新・新制度)'!$B$8:$R$65536,14,FALSE))</f>
      </c>
      <c r="U15" s="544">
        <f>IF($B15="","",VLOOKUP($B15,'6-2_算定表⑤(新・新制度)'!$B$8:$R$65536,14,FALSE))</f>
      </c>
      <c r="V15" s="545">
        <f>IF($B15="","",VLOOKUP($B15,'6-2_算定表⑤(新・新制度)'!$B$8:$R$65536,14,FALSE))</f>
      </c>
      <c r="W15" s="546">
        <f t="shared" si="1"/>
      </c>
      <c r="X15" s="547">
        <f t="shared" si="2"/>
      </c>
      <c r="Y15" s="546">
        <f t="shared" si="3"/>
      </c>
      <c r="Z15" s="548">
        <f t="shared" si="4"/>
      </c>
      <c r="AA15" s="538">
        <f t="shared" si="5"/>
      </c>
      <c r="AB15" s="548">
        <f t="shared" si="6"/>
      </c>
      <c r="AC15" s="537">
        <f t="shared" si="7"/>
      </c>
      <c r="AD15" s="539">
        <f t="shared" si="8"/>
      </c>
      <c r="AE15" s="506">
        <f>IF(B15="","",(G15/12*W15)+(I15/12*X15)+(G15/12*Y15)+(I15/12*Z15)+(G15/12*AA15)+(I15/12*AB15))</f>
      </c>
      <c r="AF15" s="503">
        <f t="shared" si="11"/>
      </c>
      <c r="AG15" s="308">
        <f>IF(B15="","",VLOOKUP($B15,'6-2_算定表⑤(新・新制度)'!$B$8:$AB$65536,27,FALSE))</f>
      </c>
      <c r="AH15" s="309" t="s">
        <v>205</v>
      </c>
      <c r="AI15" s="310" t="s">
        <v>205</v>
      </c>
      <c r="AK15" s="63">
        <f t="shared" si="12"/>
      </c>
      <c r="AL15" s="63">
        <f t="shared" si="10"/>
      </c>
    </row>
    <row r="16" spans="1:38" s="54" customFormat="1" ht="18.75" customHeight="1">
      <c r="A16" s="27">
        <f t="shared" si="0"/>
      </c>
      <c r="B16" s="280"/>
      <c r="C16" s="97">
        <f>IF(B16="","",VLOOKUP($B16,'6-2_算定表⑤(新・新制度)'!$B$8:$R$65536,2,FALSE))</f>
      </c>
      <c r="D16" s="541">
        <f>IF(B16="","",VLOOKUP($B16,'6-2_算定表⑤(新・新制度)'!$B$8:$R$65536,3,FALSE))</f>
      </c>
      <c r="E16" s="98">
        <f>IF(B16="","",VLOOKUP($B16,'6-2_算定表⑤(新・新制度)'!$B$8:$R$65536,4,FALSE))</f>
      </c>
      <c r="F16" s="542">
        <f>IF(B16="","",VLOOKUP($B16,'6-2_算定表⑤(新・新制度)'!$B$8:$R$65536,11,FALSE))</f>
      </c>
      <c r="G16" s="493">
        <f>IF(B16="","",VLOOKUP($B16,'6-2_算定表⑤(新・新制度)'!$B$8:$R$65536,13,FALSE))</f>
      </c>
      <c r="H16" s="542">
        <f>IF(B16="","",VLOOKUP($B16,'6-2_算定表⑤(新・新制度)'!$B$8:$R$65536,14,FALSE))</f>
      </c>
      <c r="I16" s="493">
        <f>IF(B16="","",VLOOKUP($B16,'6-2_算定表⑤(新・新制度)'!$B$8:$R$65536,16,FALSE))</f>
      </c>
      <c r="J16" s="506">
        <f>IF(B16="","",VLOOKUP($B16,'6-2_算定表⑤(新・新制度)'!$B$8:$R$65536,17,FALSE))</f>
      </c>
      <c r="K16" s="543">
        <f>IF($B16="","",VLOOKUP($B16,'6-2_算定表⑤(新・新制度)'!$B$8:$R$65536,11,FALSE))</f>
      </c>
      <c r="L16" s="544">
        <f>IF($B16="","",VLOOKUP($B16,'6-2_算定表⑤(新・新制度)'!$B$8:$R$65536,11,FALSE))</f>
      </c>
      <c r="M16" s="545">
        <f>IF($B16="","",VLOOKUP($B16,'6-2_算定表⑤(新・新制度)'!$B$8:$R$65536,11,FALSE))</f>
      </c>
      <c r="N16" s="543">
        <f>IF($B16="","",VLOOKUP($B16,'6-2_算定表⑤(新・新制度)'!$B$8:$R$65536,14,FALSE))</f>
      </c>
      <c r="O16" s="544">
        <f>IF($B16="","",VLOOKUP($B16,'6-2_算定表⑤(新・新制度)'!$B$8:$R$65536,14,FALSE))</f>
      </c>
      <c r="P16" s="544">
        <f>IF($B16="","",VLOOKUP($B16,'6-2_算定表⑤(新・新制度)'!$B$8:$R$65536,14,FALSE))</f>
      </c>
      <c r="Q16" s="544">
        <f>IF($B16="","",VLOOKUP($B16,'6-2_算定表⑤(新・新制度)'!$B$8:$R$65536,14,FALSE))</f>
      </c>
      <c r="R16" s="544">
        <f>IF($B16="","",VLOOKUP($B16,'6-2_算定表⑤(新・新制度)'!$B$8:$R$65536,14,FALSE))</f>
      </c>
      <c r="S16" s="544">
        <f>IF($B16="","",VLOOKUP($B16,'6-2_算定表⑤(新・新制度)'!$B$8:$R$65536,14,FALSE))</f>
      </c>
      <c r="T16" s="544">
        <f>IF($B16="","",VLOOKUP($B16,'6-2_算定表⑤(新・新制度)'!$B$8:$R$65536,14,FALSE))</f>
      </c>
      <c r="U16" s="544">
        <f>IF($B16="","",VLOOKUP($B16,'6-2_算定表⑤(新・新制度)'!$B$8:$R$65536,14,FALSE))</f>
      </c>
      <c r="V16" s="545">
        <f>IF($B16="","",VLOOKUP($B16,'6-2_算定表⑤(新・新制度)'!$B$8:$R$65536,14,FALSE))</f>
      </c>
      <c r="W16" s="546">
        <f t="shared" si="1"/>
      </c>
      <c r="X16" s="547">
        <f t="shared" si="2"/>
      </c>
      <c r="Y16" s="546">
        <f t="shared" si="3"/>
      </c>
      <c r="Z16" s="548">
        <f t="shared" si="4"/>
      </c>
      <c r="AA16" s="538">
        <f t="shared" si="5"/>
      </c>
      <c r="AB16" s="548">
        <f t="shared" si="6"/>
      </c>
      <c r="AC16" s="537">
        <f t="shared" si="7"/>
      </c>
      <c r="AD16" s="539">
        <f t="shared" si="8"/>
      </c>
      <c r="AE16" s="506">
        <f t="shared" si="9"/>
      </c>
      <c r="AF16" s="503">
        <f t="shared" si="11"/>
      </c>
      <c r="AG16" s="308">
        <f>IF(B16="","",VLOOKUP($B16,'6-2_算定表⑤(新・新制度)'!$B$8:$AB$65536,27,FALSE))</f>
      </c>
      <c r="AH16" s="309" t="s">
        <v>205</v>
      </c>
      <c r="AI16" s="310" t="s">
        <v>205</v>
      </c>
      <c r="AK16" s="63">
        <f t="shared" si="12"/>
      </c>
      <c r="AL16" s="63">
        <f t="shared" si="10"/>
      </c>
    </row>
    <row r="17" spans="1:38" s="54" customFormat="1" ht="18.75" customHeight="1">
      <c r="A17" s="27">
        <f t="shared" si="0"/>
      </c>
      <c r="B17" s="280"/>
      <c r="C17" s="97">
        <f>IF(B17="","",VLOOKUP($B17,'6-2_算定表⑤(新・新制度)'!$B$8:$R$65536,2,FALSE))</f>
      </c>
      <c r="D17" s="541">
        <f>IF(B17="","",VLOOKUP($B17,'6-2_算定表⑤(新・新制度)'!$B$8:$R$65536,3,FALSE))</f>
      </c>
      <c r="E17" s="98">
        <f>IF(B17="","",VLOOKUP($B17,'6-2_算定表⑤(新・新制度)'!$B$8:$R$65536,4,FALSE))</f>
      </c>
      <c r="F17" s="542">
        <f>IF(B17="","",VLOOKUP($B17,'6-2_算定表⑤(新・新制度)'!$B$8:$R$65536,11,FALSE))</f>
      </c>
      <c r="G17" s="493">
        <f>IF(B17="","",VLOOKUP($B17,'6-2_算定表⑤(新・新制度)'!$B$8:$R$65536,13,FALSE))</f>
      </c>
      <c r="H17" s="542">
        <f>IF(B17="","",VLOOKUP($B17,'6-2_算定表⑤(新・新制度)'!$B$8:$R$65536,14,FALSE))</f>
      </c>
      <c r="I17" s="493">
        <f>IF(B17="","",VLOOKUP($B17,'6-2_算定表⑤(新・新制度)'!$B$8:$R$65536,16,FALSE))</f>
      </c>
      <c r="J17" s="506">
        <f>IF(B17="","",VLOOKUP($B17,'6-2_算定表⑤(新・新制度)'!$B$8:$R$65536,17,FALSE))</f>
      </c>
      <c r="K17" s="543">
        <f>IF($B17="","",VLOOKUP($B17,'6-2_算定表⑤(新・新制度)'!$B$8:$R$65536,11,FALSE))</f>
      </c>
      <c r="L17" s="544">
        <f>IF($B17="","",VLOOKUP($B17,'6-2_算定表⑤(新・新制度)'!$B$8:$R$65536,11,FALSE))</f>
      </c>
      <c r="M17" s="545">
        <f>IF($B17="","",VLOOKUP($B17,'6-2_算定表⑤(新・新制度)'!$B$8:$R$65536,11,FALSE))</f>
      </c>
      <c r="N17" s="543">
        <f>IF($B17="","",VLOOKUP($B17,'6-2_算定表⑤(新・新制度)'!$B$8:$R$65536,14,FALSE))</f>
      </c>
      <c r="O17" s="544">
        <f>IF($B17="","",VLOOKUP($B17,'6-2_算定表⑤(新・新制度)'!$B$8:$R$65536,14,FALSE))</f>
      </c>
      <c r="P17" s="544">
        <f>IF($B17="","",VLOOKUP($B17,'6-2_算定表⑤(新・新制度)'!$B$8:$R$65536,14,FALSE))</f>
      </c>
      <c r="Q17" s="544">
        <f>IF($B17="","",VLOOKUP($B17,'6-2_算定表⑤(新・新制度)'!$B$8:$R$65536,14,FALSE))</f>
      </c>
      <c r="R17" s="544">
        <f>IF($B17="","",VLOOKUP($B17,'6-2_算定表⑤(新・新制度)'!$B$8:$R$65536,14,FALSE))</f>
      </c>
      <c r="S17" s="544">
        <f>IF($B17="","",VLOOKUP($B17,'6-2_算定表⑤(新・新制度)'!$B$8:$R$65536,14,FALSE))</f>
      </c>
      <c r="T17" s="544">
        <f>IF($B17="","",VLOOKUP($B17,'6-2_算定表⑤(新・新制度)'!$B$8:$R$65536,14,FALSE))</f>
      </c>
      <c r="U17" s="544">
        <f>IF($B17="","",VLOOKUP($B17,'6-2_算定表⑤(新・新制度)'!$B$8:$R$65536,14,FALSE))</f>
      </c>
      <c r="V17" s="545">
        <f>IF($B17="","",VLOOKUP($B17,'6-2_算定表⑤(新・新制度)'!$B$8:$R$65536,14,FALSE))</f>
      </c>
      <c r="W17" s="546">
        <f t="shared" si="1"/>
      </c>
      <c r="X17" s="547">
        <f t="shared" si="2"/>
      </c>
      <c r="Y17" s="546">
        <f t="shared" si="3"/>
      </c>
      <c r="Z17" s="548">
        <f t="shared" si="4"/>
      </c>
      <c r="AA17" s="538">
        <f t="shared" si="5"/>
      </c>
      <c r="AB17" s="548">
        <f t="shared" si="6"/>
      </c>
      <c r="AC17" s="537">
        <f t="shared" si="7"/>
      </c>
      <c r="AD17" s="539">
        <f t="shared" si="8"/>
      </c>
      <c r="AE17" s="506">
        <f t="shared" si="9"/>
      </c>
      <c r="AF17" s="503">
        <f t="shared" si="11"/>
      </c>
      <c r="AG17" s="847">
        <f>IF(B17="","",VLOOKUP($B17,'6-2_算定表⑤(新・新制度)'!$B$8:$AB$65536,27,FALSE))</f>
      </c>
      <c r="AH17" s="848" t="s">
        <v>205</v>
      </c>
      <c r="AI17" s="849" t="s">
        <v>205</v>
      </c>
      <c r="AK17" s="63">
        <f t="shared" si="12"/>
      </c>
      <c r="AL17" s="63">
        <f t="shared" si="10"/>
      </c>
    </row>
    <row r="18" spans="1:38" s="54" customFormat="1" ht="18.75" customHeight="1">
      <c r="A18" s="27">
        <f t="shared" si="0"/>
      </c>
      <c r="B18" s="280"/>
      <c r="C18" s="97">
        <f>IF(B18="","",VLOOKUP($B18,'6-2_算定表⑤(新・新制度)'!$B$8:$R$65536,2,FALSE))</f>
      </c>
      <c r="D18" s="541">
        <f>IF(B18="","",VLOOKUP($B18,'6-2_算定表⑤(新・新制度)'!$B$8:$R$65536,3,FALSE))</f>
      </c>
      <c r="E18" s="98">
        <f>IF(B18="","",VLOOKUP($B18,'6-2_算定表⑤(新・新制度)'!$B$8:$R$65536,4,FALSE))</f>
      </c>
      <c r="F18" s="542">
        <f>IF(B18="","",VLOOKUP($B18,'6-2_算定表⑤(新・新制度)'!$B$8:$R$65536,11,FALSE))</f>
      </c>
      <c r="G18" s="493">
        <f>IF(B18="","",VLOOKUP($B18,'6-2_算定表⑤(新・新制度)'!$B$8:$R$65536,13,FALSE))</f>
      </c>
      <c r="H18" s="542">
        <f>IF(B18="","",VLOOKUP($B18,'6-2_算定表⑤(新・新制度)'!$B$8:$R$65536,14,FALSE))</f>
      </c>
      <c r="I18" s="493">
        <f>IF(B18="","",VLOOKUP($B18,'6-2_算定表⑤(新・新制度)'!$B$8:$R$65536,16,FALSE))</f>
      </c>
      <c r="J18" s="506">
        <f>IF(B18="","",VLOOKUP($B18,'6-2_算定表⑤(新・新制度)'!$B$8:$R$65536,17,FALSE))</f>
      </c>
      <c r="K18" s="543">
        <f>IF($B18="","",VLOOKUP($B18,'6-2_算定表⑤(新・新制度)'!$B$8:$R$65536,11,FALSE))</f>
      </c>
      <c r="L18" s="544">
        <f>IF($B18="","",VLOOKUP($B18,'6-2_算定表⑤(新・新制度)'!$B$8:$R$65536,11,FALSE))</f>
      </c>
      <c r="M18" s="545">
        <f>IF($B18="","",VLOOKUP($B18,'6-2_算定表⑤(新・新制度)'!$B$8:$R$65536,11,FALSE))</f>
      </c>
      <c r="N18" s="543">
        <f>IF($B18="","",VLOOKUP($B18,'6-2_算定表⑤(新・新制度)'!$B$8:$R$65536,14,FALSE))</f>
      </c>
      <c r="O18" s="544">
        <f>IF($B18="","",VLOOKUP($B18,'6-2_算定表⑤(新・新制度)'!$B$8:$R$65536,14,FALSE))</f>
      </c>
      <c r="P18" s="544">
        <f>IF($B18="","",VLOOKUP($B18,'6-2_算定表⑤(新・新制度)'!$B$8:$R$65536,14,FALSE))</f>
      </c>
      <c r="Q18" s="544">
        <f>IF($B18="","",VLOOKUP($B18,'6-2_算定表⑤(新・新制度)'!$B$8:$R$65536,14,FALSE))</f>
      </c>
      <c r="R18" s="544">
        <f>IF($B18="","",VLOOKUP($B18,'6-2_算定表⑤(新・新制度)'!$B$8:$R$65536,14,FALSE))</f>
      </c>
      <c r="S18" s="544">
        <f>IF($B18="","",VLOOKUP($B18,'6-2_算定表⑤(新・新制度)'!$B$8:$R$65536,14,FALSE))</f>
      </c>
      <c r="T18" s="544">
        <f>IF($B18="","",VLOOKUP($B18,'6-2_算定表⑤(新・新制度)'!$B$8:$R$65536,14,FALSE))</f>
      </c>
      <c r="U18" s="544">
        <f>IF($B18="","",VLOOKUP($B18,'6-2_算定表⑤(新・新制度)'!$B$8:$R$65536,14,FALSE))</f>
      </c>
      <c r="V18" s="545">
        <f>IF($B18="","",VLOOKUP($B18,'6-2_算定表⑤(新・新制度)'!$B$8:$R$65536,14,FALSE))</f>
      </c>
      <c r="W18" s="546">
        <f t="shared" si="1"/>
      </c>
      <c r="X18" s="547">
        <f t="shared" si="2"/>
      </c>
      <c r="Y18" s="546">
        <f t="shared" si="3"/>
      </c>
      <c r="Z18" s="548">
        <f t="shared" si="4"/>
      </c>
      <c r="AA18" s="538">
        <f t="shared" si="5"/>
      </c>
      <c r="AB18" s="548">
        <f t="shared" si="6"/>
      </c>
      <c r="AC18" s="537">
        <f t="shared" si="7"/>
      </c>
      <c r="AD18" s="539">
        <f t="shared" si="8"/>
      </c>
      <c r="AE18" s="506">
        <f t="shared" si="9"/>
      </c>
      <c r="AF18" s="503">
        <f t="shared" si="11"/>
      </c>
      <c r="AG18" s="847">
        <f>IF(B18="","",VLOOKUP($B18,'6-2_算定表⑤(新・新制度)'!$B$8:$AB$65536,27,FALSE))</f>
      </c>
      <c r="AH18" s="848" t="s">
        <v>205</v>
      </c>
      <c r="AI18" s="849" t="s">
        <v>205</v>
      </c>
      <c r="AK18" s="63">
        <f t="shared" si="12"/>
      </c>
      <c r="AL18" s="63">
        <f t="shared" si="10"/>
      </c>
    </row>
    <row r="19" spans="1:38" s="54" customFormat="1" ht="18.75" customHeight="1">
      <c r="A19" s="27">
        <f t="shared" si="0"/>
      </c>
      <c r="B19" s="280"/>
      <c r="C19" s="97">
        <f>IF(B19="","",VLOOKUP($B19,'6-2_算定表⑤(新・新制度)'!$B$8:$R$65536,2,FALSE))</f>
      </c>
      <c r="D19" s="541">
        <f>IF(B19="","",VLOOKUP($B19,'6-2_算定表⑤(新・新制度)'!$B$8:$R$65536,3,FALSE))</f>
      </c>
      <c r="E19" s="98">
        <f>IF(B19="","",VLOOKUP($B19,'6-2_算定表⑤(新・新制度)'!$B$8:$R$65536,4,FALSE))</f>
      </c>
      <c r="F19" s="542">
        <f>IF(B19="","",VLOOKUP($B19,'6-2_算定表⑤(新・新制度)'!$B$8:$R$65536,11,FALSE))</f>
      </c>
      <c r="G19" s="493">
        <f>IF(B19="","",VLOOKUP($B19,'6-2_算定表⑤(新・新制度)'!$B$8:$R$65536,13,FALSE))</f>
      </c>
      <c r="H19" s="542">
        <f>IF(B19="","",VLOOKUP($B19,'6-2_算定表⑤(新・新制度)'!$B$8:$R$65536,14,FALSE))</f>
      </c>
      <c r="I19" s="493">
        <f>IF(B19="","",VLOOKUP($B19,'6-2_算定表⑤(新・新制度)'!$B$8:$R$65536,16,FALSE))</f>
      </c>
      <c r="J19" s="506">
        <f>IF(B19="","",VLOOKUP($B19,'6-2_算定表⑤(新・新制度)'!$B$8:$R$65536,17,FALSE))</f>
      </c>
      <c r="K19" s="543">
        <f>IF($B19="","",VLOOKUP($B19,'6-2_算定表⑤(新・新制度)'!$B$8:$R$65536,11,FALSE))</f>
      </c>
      <c r="L19" s="544">
        <f>IF($B19="","",VLOOKUP($B19,'6-2_算定表⑤(新・新制度)'!$B$8:$R$65536,11,FALSE))</f>
      </c>
      <c r="M19" s="545">
        <f>IF($B19="","",VLOOKUP($B19,'6-2_算定表⑤(新・新制度)'!$B$8:$R$65536,11,FALSE))</f>
      </c>
      <c r="N19" s="543">
        <f>IF($B19="","",VLOOKUP($B19,'6-2_算定表⑤(新・新制度)'!$B$8:$R$65536,14,FALSE))</f>
      </c>
      <c r="O19" s="544">
        <f>IF($B19="","",VLOOKUP($B19,'6-2_算定表⑤(新・新制度)'!$B$8:$R$65536,14,FALSE))</f>
      </c>
      <c r="P19" s="544">
        <f>IF($B19="","",VLOOKUP($B19,'6-2_算定表⑤(新・新制度)'!$B$8:$R$65536,14,FALSE))</f>
      </c>
      <c r="Q19" s="544">
        <f>IF($B19="","",VLOOKUP($B19,'6-2_算定表⑤(新・新制度)'!$B$8:$R$65536,14,FALSE))</f>
      </c>
      <c r="R19" s="544">
        <f>IF($B19="","",VLOOKUP($B19,'6-2_算定表⑤(新・新制度)'!$B$8:$R$65536,14,FALSE))</f>
      </c>
      <c r="S19" s="544">
        <f>IF($B19="","",VLOOKUP($B19,'6-2_算定表⑤(新・新制度)'!$B$8:$R$65536,14,FALSE))</f>
      </c>
      <c r="T19" s="544">
        <f>IF($B19="","",VLOOKUP($B19,'6-2_算定表⑤(新・新制度)'!$B$8:$R$65536,14,FALSE))</f>
      </c>
      <c r="U19" s="544">
        <f>IF($B19="","",VLOOKUP($B19,'6-2_算定表⑤(新・新制度)'!$B$8:$R$65536,14,FALSE))</f>
      </c>
      <c r="V19" s="545">
        <f>IF($B19="","",VLOOKUP($B19,'6-2_算定表⑤(新・新制度)'!$B$8:$R$65536,14,FALSE))</f>
      </c>
      <c r="W19" s="546">
        <f t="shared" si="1"/>
      </c>
      <c r="X19" s="547">
        <f t="shared" si="2"/>
      </c>
      <c r="Y19" s="546">
        <f t="shared" si="3"/>
      </c>
      <c r="Z19" s="548">
        <f t="shared" si="4"/>
      </c>
      <c r="AA19" s="538">
        <f t="shared" si="5"/>
      </c>
      <c r="AB19" s="548">
        <f t="shared" si="6"/>
      </c>
      <c r="AC19" s="537">
        <f t="shared" si="7"/>
      </c>
      <c r="AD19" s="539">
        <f t="shared" si="8"/>
      </c>
      <c r="AE19" s="506">
        <f t="shared" si="9"/>
      </c>
      <c r="AF19" s="503">
        <f t="shared" si="11"/>
      </c>
      <c r="AG19" s="847">
        <f>IF(B19="","",VLOOKUP($B19,'6-2_算定表⑤(新・新制度)'!$B$8:$AB$65536,27,FALSE))</f>
      </c>
      <c r="AH19" s="848" t="s">
        <v>205</v>
      </c>
      <c r="AI19" s="849" t="s">
        <v>205</v>
      </c>
      <c r="AK19" s="63">
        <f t="shared" si="12"/>
      </c>
      <c r="AL19" s="63">
        <f t="shared" si="10"/>
      </c>
    </row>
    <row r="20" spans="1:38" s="54" customFormat="1" ht="18.75" customHeight="1">
      <c r="A20" s="27">
        <f t="shared" si="0"/>
      </c>
      <c r="B20" s="280"/>
      <c r="C20" s="97">
        <f>IF(B20="","",VLOOKUP($B20,'6-2_算定表⑤(新・新制度)'!$B$8:$R$65536,2,FALSE))</f>
      </c>
      <c r="D20" s="541">
        <f>IF(B20="","",VLOOKUP($B20,'6-2_算定表⑤(新・新制度)'!$B$8:$R$65536,3,FALSE))</f>
      </c>
      <c r="E20" s="98">
        <f>IF(B20="","",VLOOKUP($B20,'6-2_算定表⑤(新・新制度)'!$B$8:$R$65536,4,FALSE))</f>
      </c>
      <c r="F20" s="542">
        <f>IF(B20="","",VLOOKUP($B20,'6-2_算定表⑤(新・新制度)'!$B$8:$R$65536,11,FALSE))</f>
      </c>
      <c r="G20" s="493">
        <f>IF(B20="","",VLOOKUP($B20,'6-2_算定表⑤(新・新制度)'!$B$8:$R$65536,13,FALSE))</f>
      </c>
      <c r="H20" s="542">
        <f>IF(B20="","",VLOOKUP($B20,'6-2_算定表⑤(新・新制度)'!$B$8:$R$65536,14,FALSE))</f>
      </c>
      <c r="I20" s="493">
        <f>IF(B20="","",VLOOKUP($B20,'6-2_算定表⑤(新・新制度)'!$B$8:$R$65536,16,FALSE))</f>
      </c>
      <c r="J20" s="506">
        <f>IF(B20="","",VLOOKUP($B20,'6-2_算定表⑤(新・新制度)'!$B$8:$R$65536,17,FALSE))</f>
      </c>
      <c r="K20" s="543">
        <f>IF($B20="","",VLOOKUP($B20,'6-2_算定表⑤(新・新制度)'!$B$8:$R$65536,11,FALSE))</f>
      </c>
      <c r="L20" s="544">
        <f>IF($B20="","",VLOOKUP($B20,'6-2_算定表⑤(新・新制度)'!$B$8:$R$65536,11,FALSE))</f>
      </c>
      <c r="M20" s="545">
        <f>IF($B20="","",VLOOKUP($B20,'6-2_算定表⑤(新・新制度)'!$B$8:$R$65536,11,FALSE))</f>
      </c>
      <c r="N20" s="543">
        <f>IF($B20="","",VLOOKUP($B20,'6-2_算定表⑤(新・新制度)'!$B$8:$R$65536,14,FALSE))</f>
      </c>
      <c r="O20" s="544">
        <f>IF($B20="","",VLOOKUP($B20,'6-2_算定表⑤(新・新制度)'!$B$8:$R$65536,14,FALSE))</f>
      </c>
      <c r="P20" s="544">
        <f>IF($B20="","",VLOOKUP($B20,'6-2_算定表⑤(新・新制度)'!$B$8:$R$65536,14,FALSE))</f>
      </c>
      <c r="Q20" s="544">
        <f>IF($B20="","",VLOOKUP($B20,'6-2_算定表⑤(新・新制度)'!$B$8:$R$65536,14,FALSE))</f>
      </c>
      <c r="R20" s="544">
        <f>IF($B20="","",VLOOKUP($B20,'6-2_算定表⑤(新・新制度)'!$B$8:$R$65536,14,FALSE))</f>
      </c>
      <c r="S20" s="544">
        <f>IF($B20="","",VLOOKUP($B20,'6-2_算定表⑤(新・新制度)'!$B$8:$R$65536,14,FALSE))</f>
      </c>
      <c r="T20" s="544">
        <f>IF($B20="","",VLOOKUP($B20,'6-2_算定表⑤(新・新制度)'!$B$8:$R$65536,14,FALSE))</f>
      </c>
      <c r="U20" s="544">
        <f>IF($B20="","",VLOOKUP($B20,'6-2_算定表⑤(新・新制度)'!$B$8:$R$65536,14,FALSE))</f>
      </c>
      <c r="V20" s="545">
        <f>IF($B20="","",VLOOKUP($B20,'6-2_算定表⑤(新・新制度)'!$B$8:$R$65536,14,FALSE))</f>
      </c>
      <c r="W20" s="546">
        <f t="shared" si="1"/>
      </c>
      <c r="X20" s="547">
        <f t="shared" si="2"/>
      </c>
      <c r="Y20" s="546">
        <f t="shared" si="3"/>
      </c>
      <c r="Z20" s="548">
        <f t="shared" si="4"/>
      </c>
      <c r="AA20" s="538">
        <f t="shared" si="5"/>
      </c>
      <c r="AB20" s="548">
        <f t="shared" si="6"/>
      </c>
      <c r="AC20" s="537">
        <f t="shared" si="7"/>
      </c>
      <c r="AD20" s="539">
        <f t="shared" si="8"/>
      </c>
      <c r="AE20" s="506">
        <f t="shared" si="9"/>
      </c>
      <c r="AF20" s="503">
        <f t="shared" si="11"/>
      </c>
      <c r="AG20" s="308">
        <f>IF(B20="","",VLOOKUP($B20,'6-2_算定表⑤(新・新制度)'!$B$8:$AB$65536,27,FALSE))</f>
      </c>
      <c r="AH20" s="309" t="s">
        <v>205</v>
      </c>
      <c r="AI20" s="310" t="s">
        <v>205</v>
      </c>
      <c r="AK20" s="63">
        <f t="shared" si="12"/>
      </c>
      <c r="AL20" s="63">
        <f t="shared" si="10"/>
      </c>
    </row>
    <row r="21" spans="1:38" s="54" customFormat="1" ht="18.75" customHeight="1">
      <c r="A21" s="27">
        <f t="shared" si="0"/>
      </c>
      <c r="B21" s="280"/>
      <c r="C21" s="97">
        <f>IF(B21="","",VLOOKUP($B21,'6-2_算定表⑤(新・新制度)'!$B$8:$R$65536,2,FALSE))</f>
      </c>
      <c r="D21" s="541">
        <f>IF(B21="","",VLOOKUP($B21,'6-2_算定表⑤(新・新制度)'!$B$8:$R$65536,3,FALSE))</f>
      </c>
      <c r="E21" s="98">
        <f>IF(B21="","",VLOOKUP($B21,'6-2_算定表⑤(新・新制度)'!$B$8:$R$65536,4,FALSE))</f>
      </c>
      <c r="F21" s="542">
        <f>IF(B21="","",VLOOKUP($B21,'6-2_算定表⑤(新・新制度)'!$B$8:$R$65536,11,FALSE))</f>
      </c>
      <c r="G21" s="493">
        <f>IF(B21="","",VLOOKUP($B21,'6-2_算定表⑤(新・新制度)'!$B$8:$R$65536,13,FALSE))</f>
      </c>
      <c r="H21" s="542">
        <f>IF(B21="","",VLOOKUP($B21,'6-2_算定表⑤(新・新制度)'!$B$8:$R$65536,14,FALSE))</f>
      </c>
      <c r="I21" s="493">
        <f>IF(B21="","",VLOOKUP($B21,'6-2_算定表⑤(新・新制度)'!$B$8:$R$65536,16,FALSE))</f>
      </c>
      <c r="J21" s="506">
        <f>IF(B21="","",VLOOKUP($B21,'6-2_算定表⑤(新・新制度)'!$B$8:$R$65536,17,FALSE))</f>
      </c>
      <c r="K21" s="543">
        <f>IF($B21="","",VLOOKUP($B21,'6-2_算定表⑤(新・新制度)'!$B$8:$R$65536,11,FALSE))</f>
      </c>
      <c r="L21" s="544">
        <f>IF($B21="","",VLOOKUP($B21,'6-2_算定表⑤(新・新制度)'!$B$8:$R$65536,11,FALSE))</f>
      </c>
      <c r="M21" s="545">
        <f>IF($B21="","",VLOOKUP($B21,'6-2_算定表⑤(新・新制度)'!$B$8:$R$65536,11,FALSE))</f>
      </c>
      <c r="N21" s="543">
        <f>IF($B21="","",VLOOKUP($B21,'6-2_算定表⑤(新・新制度)'!$B$8:$R$65536,14,FALSE))</f>
      </c>
      <c r="O21" s="544">
        <f>IF($B21="","",VLOOKUP($B21,'6-2_算定表⑤(新・新制度)'!$B$8:$R$65536,14,FALSE))</f>
      </c>
      <c r="P21" s="544">
        <f>IF($B21="","",VLOOKUP($B21,'6-2_算定表⑤(新・新制度)'!$B$8:$R$65536,14,FALSE))</f>
      </c>
      <c r="Q21" s="544">
        <f>IF($B21="","",VLOOKUP($B21,'6-2_算定表⑤(新・新制度)'!$B$8:$R$65536,14,FALSE))</f>
      </c>
      <c r="R21" s="544">
        <f>IF($B21="","",VLOOKUP($B21,'6-2_算定表⑤(新・新制度)'!$B$8:$R$65536,14,FALSE))</f>
      </c>
      <c r="S21" s="544">
        <f>IF($B21="","",VLOOKUP($B21,'6-2_算定表⑤(新・新制度)'!$B$8:$R$65536,14,FALSE))</f>
      </c>
      <c r="T21" s="544">
        <f>IF($B21="","",VLOOKUP($B21,'6-2_算定表⑤(新・新制度)'!$B$8:$R$65536,14,FALSE))</f>
      </c>
      <c r="U21" s="544">
        <f>IF($B21="","",VLOOKUP($B21,'6-2_算定表⑤(新・新制度)'!$B$8:$R$65536,14,FALSE))</f>
      </c>
      <c r="V21" s="545">
        <f>IF($B21="","",VLOOKUP($B21,'6-2_算定表⑤(新・新制度)'!$B$8:$R$65536,14,FALSE))</f>
      </c>
      <c r="W21" s="546">
        <f t="shared" si="1"/>
      </c>
      <c r="X21" s="547">
        <f t="shared" si="2"/>
      </c>
      <c r="Y21" s="546">
        <f t="shared" si="3"/>
      </c>
      <c r="Z21" s="548">
        <f t="shared" si="4"/>
      </c>
      <c r="AA21" s="538">
        <f t="shared" si="5"/>
      </c>
      <c r="AB21" s="548">
        <f t="shared" si="6"/>
      </c>
      <c r="AC21" s="537">
        <f t="shared" si="7"/>
      </c>
      <c r="AD21" s="539">
        <f t="shared" si="8"/>
      </c>
      <c r="AE21" s="506">
        <f t="shared" si="9"/>
      </c>
      <c r="AF21" s="503">
        <f t="shared" si="11"/>
      </c>
      <c r="AG21" s="308">
        <f>IF(B21="","",VLOOKUP($B21,'6-2_算定表⑤(新・新制度)'!$B$8:$AB$65536,27,FALSE))</f>
      </c>
      <c r="AH21" s="309" t="s">
        <v>205</v>
      </c>
      <c r="AI21" s="310" t="s">
        <v>205</v>
      </c>
      <c r="AK21" s="63">
        <f t="shared" si="12"/>
      </c>
      <c r="AL21" s="63">
        <f t="shared" si="10"/>
      </c>
    </row>
    <row r="22" spans="1:38" s="54" customFormat="1" ht="18.75" customHeight="1">
      <c r="A22" s="27">
        <f t="shared" si="0"/>
      </c>
      <c r="B22" s="280"/>
      <c r="C22" s="97">
        <f>IF(B22="","",VLOOKUP($B22,'6-2_算定表⑤(新・新制度)'!$B$8:$R$65536,2,FALSE))</f>
      </c>
      <c r="D22" s="541">
        <f>IF(B22="","",VLOOKUP($B22,'6-2_算定表⑤(新・新制度)'!$B$8:$R$65536,3,FALSE))</f>
      </c>
      <c r="E22" s="98">
        <f>IF(B22="","",VLOOKUP($B22,'6-2_算定表⑤(新・新制度)'!$B$8:$R$65536,4,FALSE))</f>
      </c>
      <c r="F22" s="542">
        <f>IF(B22="","",VLOOKUP($B22,'6-2_算定表⑤(新・新制度)'!$B$8:$R$65536,11,FALSE))</f>
      </c>
      <c r="G22" s="493">
        <f>IF(B22="","",VLOOKUP($B22,'6-2_算定表⑤(新・新制度)'!$B$8:$R$65536,13,FALSE))</f>
      </c>
      <c r="H22" s="542">
        <f>IF(B22="","",VLOOKUP($B22,'6-2_算定表⑤(新・新制度)'!$B$8:$R$65536,14,FALSE))</f>
      </c>
      <c r="I22" s="493">
        <f>IF(B22="","",VLOOKUP($B22,'6-2_算定表⑤(新・新制度)'!$B$8:$R$65536,16,FALSE))</f>
      </c>
      <c r="J22" s="506">
        <f>IF(B22="","",VLOOKUP($B22,'6-2_算定表⑤(新・新制度)'!$B$8:$R$65536,17,FALSE))</f>
      </c>
      <c r="K22" s="543">
        <f>IF($B22="","",VLOOKUP($B22,'6-2_算定表⑤(新・新制度)'!$B$8:$R$65536,11,FALSE))</f>
      </c>
      <c r="L22" s="544">
        <f>IF($B22="","",VLOOKUP($B22,'6-2_算定表⑤(新・新制度)'!$B$8:$R$65536,11,FALSE))</f>
      </c>
      <c r="M22" s="545">
        <f>IF($B22="","",VLOOKUP($B22,'6-2_算定表⑤(新・新制度)'!$B$8:$R$65536,11,FALSE))</f>
      </c>
      <c r="N22" s="543">
        <f>IF($B22="","",VLOOKUP($B22,'6-2_算定表⑤(新・新制度)'!$B$8:$R$65536,14,FALSE))</f>
      </c>
      <c r="O22" s="544">
        <f>IF($B22="","",VLOOKUP($B22,'6-2_算定表⑤(新・新制度)'!$B$8:$R$65536,14,FALSE))</f>
      </c>
      <c r="P22" s="544">
        <f>IF($B22="","",VLOOKUP($B22,'6-2_算定表⑤(新・新制度)'!$B$8:$R$65536,14,FALSE))</f>
      </c>
      <c r="Q22" s="544">
        <f>IF($B22="","",VLOOKUP($B22,'6-2_算定表⑤(新・新制度)'!$B$8:$R$65536,14,FALSE))</f>
      </c>
      <c r="R22" s="544">
        <f>IF($B22="","",VLOOKUP($B22,'6-2_算定表⑤(新・新制度)'!$B$8:$R$65536,14,FALSE))</f>
      </c>
      <c r="S22" s="544">
        <f>IF($B22="","",VLOOKUP($B22,'6-2_算定表⑤(新・新制度)'!$B$8:$R$65536,14,FALSE))</f>
      </c>
      <c r="T22" s="544">
        <f>IF($B22="","",VLOOKUP($B22,'6-2_算定表⑤(新・新制度)'!$B$8:$R$65536,14,FALSE))</f>
      </c>
      <c r="U22" s="544">
        <f>IF($B22="","",VLOOKUP($B22,'6-2_算定表⑤(新・新制度)'!$B$8:$R$65536,14,FALSE))</f>
      </c>
      <c r="V22" s="545">
        <f>IF($B22="","",VLOOKUP($B22,'6-2_算定表⑤(新・新制度)'!$B$8:$R$65536,14,FALSE))</f>
      </c>
      <c r="W22" s="546">
        <f t="shared" si="1"/>
      </c>
      <c r="X22" s="547">
        <f t="shared" si="2"/>
      </c>
      <c r="Y22" s="546">
        <f t="shared" si="3"/>
      </c>
      <c r="Z22" s="548">
        <f t="shared" si="4"/>
      </c>
      <c r="AA22" s="538">
        <f t="shared" si="5"/>
      </c>
      <c r="AB22" s="548">
        <f t="shared" si="6"/>
      </c>
      <c r="AC22" s="537">
        <f t="shared" si="7"/>
      </c>
      <c r="AD22" s="539">
        <f t="shared" si="8"/>
      </c>
      <c r="AE22" s="506">
        <f t="shared" si="9"/>
      </c>
      <c r="AF22" s="503">
        <f t="shared" si="11"/>
      </c>
      <c r="AG22" s="847">
        <f>IF(B22="","",VLOOKUP($B22,'6-2_算定表⑤(新・新制度)'!$B$8:$AB$65536,27,FALSE))</f>
      </c>
      <c r="AH22" s="848" t="s">
        <v>205</v>
      </c>
      <c r="AI22" s="849" t="s">
        <v>205</v>
      </c>
      <c r="AK22" s="63">
        <f t="shared" si="12"/>
      </c>
      <c r="AL22" s="63">
        <f t="shared" si="10"/>
      </c>
    </row>
    <row r="23" spans="1:38" s="54" customFormat="1" ht="18.75" customHeight="1">
      <c r="A23" s="27">
        <f t="shared" si="0"/>
      </c>
      <c r="B23" s="280"/>
      <c r="C23" s="97">
        <f>IF(B23="","",VLOOKUP($B23,'6-2_算定表⑤(新・新制度)'!$B$8:$R$65536,2,FALSE))</f>
      </c>
      <c r="D23" s="541">
        <f>IF(B23="","",VLOOKUP($B23,'6-2_算定表⑤(新・新制度)'!$B$8:$R$65536,3,FALSE))</f>
      </c>
      <c r="E23" s="98">
        <f>IF(B23="","",VLOOKUP($B23,'6-2_算定表⑤(新・新制度)'!$B$8:$R$65536,4,FALSE))</f>
      </c>
      <c r="F23" s="542">
        <f>IF(B23="","",VLOOKUP($B23,'6-2_算定表⑤(新・新制度)'!$B$8:$R$65536,11,FALSE))</f>
      </c>
      <c r="G23" s="493">
        <f>IF(B23="","",VLOOKUP($B23,'6-2_算定表⑤(新・新制度)'!$B$8:$R$65536,13,FALSE))</f>
      </c>
      <c r="H23" s="542">
        <f>IF(B23="","",VLOOKUP($B23,'6-2_算定表⑤(新・新制度)'!$B$8:$R$65536,14,FALSE))</f>
      </c>
      <c r="I23" s="493">
        <f>IF(B23="","",VLOOKUP($B23,'6-2_算定表⑤(新・新制度)'!$B$8:$R$65536,16,FALSE))</f>
      </c>
      <c r="J23" s="506">
        <f>IF(B23="","",VLOOKUP($B23,'6-2_算定表⑤(新・新制度)'!$B$8:$R$65536,17,FALSE))</f>
      </c>
      <c r="K23" s="543">
        <f>IF($B23="","",VLOOKUP($B23,'6-2_算定表⑤(新・新制度)'!$B$8:$R$65536,11,FALSE))</f>
      </c>
      <c r="L23" s="544">
        <f>IF($B23="","",VLOOKUP($B23,'6-2_算定表⑤(新・新制度)'!$B$8:$R$65536,11,FALSE))</f>
      </c>
      <c r="M23" s="545">
        <f>IF($B23="","",VLOOKUP($B23,'6-2_算定表⑤(新・新制度)'!$B$8:$R$65536,11,FALSE))</f>
      </c>
      <c r="N23" s="543">
        <f>IF($B23="","",VLOOKUP($B23,'6-2_算定表⑤(新・新制度)'!$B$8:$R$65536,14,FALSE))</f>
      </c>
      <c r="O23" s="544">
        <f>IF($B23="","",VLOOKUP($B23,'6-2_算定表⑤(新・新制度)'!$B$8:$R$65536,14,FALSE))</f>
      </c>
      <c r="P23" s="544">
        <f>IF($B23="","",VLOOKUP($B23,'6-2_算定表⑤(新・新制度)'!$B$8:$R$65536,14,FALSE))</f>
      </c>
      <c r="Q23" s="544">
        <f>IF($B23="","",VLOOKUP($B23,'6-2_算定表⑤(新・新制度)'!$B$8:$R$65536,14,FALSE))</f>
      </c>
      <c r="R23" s="544">
        <f>IF($B23="","",VLOOKUP($B23,'6-2_算定表⑤(新・新制度)'!$B$8:$R$65536,14,FALSE))</f>
      </c>
      <c r="S23" s="544">
        <f>IF($B23="","",VLOOKUP($B23,'6-2_算定表⑤(新・新制度)'!$B$8:$R$65536,14,FALSE))</f>
      </c>
      <c r="T23" s="544">
        <f>IF($B23="","",VLOOKUP($B23,'6-2_算定表⑤(新・新制度)'!$B$8:$R$65536,14,FALSE))</f>
      </c>
      <c r="U23" s="544">
        <f>IF($B23="","",VLOOKUP($B23,'6-2_算定表⑤(新・新制度)'!$B$8:$R$65536,14,FALSE))</f>
      </c>
      <c r="V23" s="545">
        <f>IF($B23="","",VLOOKUP($B23,'6-2_算定表⑤(新・新制度)'!$B$8:$R$65536,14,FALSE))</f>
      </c>
      <c r="W23" s="546">
        <f t="shared" si="1"/>
      </c>
      <c r="X23" s="547">
        <f t="shared" si="2"/>
      </c>
      <c r="Y23" s="546">
        <f t="shared" si="3"/>
      </c>
      <c r="Z23" s="548">
        <f t="shared" si="4"/>
      </c>
      <c r="AA23" s="538">
        <f t="shared" si="5"/>
      </c>
      <c r="AB23" s="548">
        <f t="shared" si="6"/>
      </c>
      <c r="AC23" s="537">
        <f t="shared" si="7"/>
      </c>
      <c r="AD23" s="539">
        <f t="shared" si="8"/>
      </c>
      <c r="AE23" s="506">
        <f t="shared" si="9"/>
      </c>
      <c r="AF23" s="503">
        <f t="shared" si="11"/>
      </c>
      <c r="AG23" s="847">
        <f>IF(B23="","",VLOOKUP($B23,'6-2_算定表⑤(新・新制度)'!$B$8:$AB$65536,27,FALSE))</f>
      </c>
      <c r="AH23" s="848" t="s">
        <v>205</v>
      </c>
      <c r="AI23" s="849" t="s">
        <v>205</v>
      </c>
      <c r="AK23" s="63">
        <f t="shared" si="12"/>
      </c>
      <c r="AL23" s="63">
        <f t="shared" si="10"/>
      </c>
    </row>
    <row r="24" spans="1:38" s="54" customFormat="1" ht="18.75" customHeight="1">
      <c r="A24" s="27">
        <f t="shared" si="0"/>
      </c>
      <c r="B24" s="280"/>
      <c r="C24" s="97">
        <f>IF(B24="","",VLOOKUP($B24,'6-2_算定表⑤(新・新制度)'!$B$8:$R$65536,2,FALSE))</f>
      </c>
      <c r="D24" s="541">
        <f>IF(B24="","",VLOOKUP($B24,'6-2_算定表⑤(新・新制度)'!$B$8:$R$65536,3,FALSE))</f>
      </c>
      <c r="E24" s="98">
        <f>IF(B24="","",VLOOKUP($B24,'6-2_算定表⑤(新・新制度)'!$B$8:$R$65536,4,FALSE))</f>
      </c>
      <c r="F24" s="542">
        <f>IF(B24="","",VLOOKUP($B24,'6-2_算定表⑤(新・新制度)'!$B$8:$R$65536,11,FALSE))</f>
      </c>
      <c r="G24" s="493">
        <f>IF(B24="","",VLOOKUP($B24,'6-2_算定表⑤(新・新制度)'!$B$8:$R$65536,13,FALSE))</f>
      </c>
      <c r="H24" s="542">
        <f>IF(B24="","",VLOOKUP($B24,'6-2_算定表⑤(新・新制度)'!$B$8:$R$65536,14,FALSE))</f>
      </c>
      <c r="I24" s="493">
        <f>IF(B24="","",VLOOKUP($B24,'6-2_算定表⑤(新・新制度)'!$B$8:$R$65536,16,FALSE))</f>
      </c>
      <c r="J24" s="506">
        <f>IF(B24="","",VLOOKUP($B24,'6-2_算定表⑤(新・新制度)'!$B$8:$R$65536,17,FALSE))</f>
      </c>
      <c r="K24" s="543">
        <f>IF($B24="","",VLOOKUP($B24,'6-2_算定表⑤(新・新制度)'!$B$8:$R$65536,11,FALSE))</f>
      </c>
      <c r="L24" s="544">
        <f>IF($B24="","",VLOOKUP($B24,'6-2_算定表⑤(新・新制度)'!$B$8:$R$65536,11,FALSE))</f>
      </c>
      <c r="M24" s="545">
        <f>IF($B24="","",VLOOKUP($B24,'6-2_算定表⑤(新・新制度)'!$B$8:$R$65536,11,FALSE))</f>
      </c>
      <c r="N24" s="543">
        <f>IF($B24="","",VLOOKUP($B24,'6-2_算定表⑤(新・新制度)'!$B$8:$R$65536,14,FALSE))</f>
      </c>
      <c r="O24" s="544">
        <f>IF($B24="","",VLOOKUP($B24,'6-2_算定表⑤(新・新制度)'!$B$8:$R$65536,14,FALSE))</f>
      </c>
      <c r="P24" s="544">
        <f>IF($B24="","",VLOOKUP($B24,'6-2_算定表⑤(新・新制度)'!$B$8:$R$65536,14,FALSE))</f>
      </c>
      <c r="Q24" s="544">
        <f>IF($B24="","",VLOOKUP($B24,'6-2_算定表⑤(新・新制度)'!$B$8:$R$65536,14,FALSE))</f>
      </c>
      <c r="R24" s="544">
        <f>IF($B24="","",VLOOKUP($B24,'6-2_算定表⑤(新・新制度)'!$B$8:$R$65536,14,FALSE))</f>
      </c>
      <c r="S24" s="544">
        <f>IF($B24="","",VLOOKUP($B24,'6-2_算定表⑤(新・新制度)'!$B$8:$R$65536,14,FALSE))</f>
      </c>
      <c r="T24" s="544">
        <f>IF($B24="","",VLOOKUP($B24,'6-2_算定表⑤(新・新制度)'!$B$8:$R$65536,14,FALSE))</f>
      </c>
      <c r="U24" s="544">
        <f>IF($B24="","",VLOOKUP($B24,'6-2_算定表⑤(新・新制度)'!$B$8:$R$65536,14,FALSE))</f>
      </c>
      <c r="V24" s="545">
        <f>IF($B24="","",VLOOKUP($B24,'6-2_算定表⑤(新・新制度)'!$B$8:$R$65536,14,FALSE))</f>
      </c>
      <c r="W24" s="546">
        <f t="shared" si="1"/>
      </c>
      <c r="X24" s="547">
        <f t="shared" si="2"/>
      </c>
      <c r="Y24" s="546">
        <f t="shared" si="3"/>
      </c>
      <c r="Z24" s="548">
        <f t="shared" si="4"/>
      </c>
      <c r="AA24" s="538">
        <f t="shared" si="5"/>
      </c>
      <c r="AB24" s="548">
        <f t="shared" si="6"/>
      </c>
      <c r="AC24" s="537">
        <f t="shared" si="7"/>
      </c>
      <c r="AD24" s="539">
        <f t="shared" si="8"/>
      </c>
      <c r="AE24" s="506">
        <f t="shared" si="9"/>
      </c>
      <c r="AF24" s="503">
        <f t="shared" si="11"/>
      </c>
      <c r="AG24" s="308">
        <f>IF(B24="","",VLOOKUP($B24,'6-2_算定表⑤(新・新制度)'!$B$8:$AB$65536,27,FALSE))</f>
      </c>
      <c r="AH24" s="309" t="s">
        <v>205</v>
      </c>
      <c r="AI24" s="310" t="s">
        <v>205</v>
      </c>
      <c r="AK24" s="63">
        <f t="shared" si="12"/>
      </c>
      <c r="AL24" s="63">
        <f t="shared" si="10"/>
      </c>
    </row>
    <row r="25" spans="1:38" s="54" customFormat="1" ht="18.75" customHeight="1">
      <c r="A25" s="27">
        <f t="shared" si="0"/>
      </c>
      <c r="B25" s="280"/>
      <c r="C25" s="97">
        <f>IF(B25="","",VLOOKUP($B25,'6-2_算定表⑤(新・新制度)'!$B$8:$R$65536,2,FALSE))</f>
      </c>
      <c r="D25" s="541">
        <f>IF(B25="","",VLOOKUP($B25,'6-2_算定表⑤(新・新制度)'!$B$8:$R$65536,3,FALSE))</f>
      </c>
      <c r="E25" s="98">
        <f>IF(B25="","",VLOOKUP($B25,'6-2_算定表⑤(新・新制度)'!$B$8:$R$65536,4,FALSE))</f>
      </c>
      <c r="F25" s="542">
        <f>IF(B25="","",VLOOKUP($B25,'6-2_算定表⑤(新・新制度)'!$B$8:$R$65536,11,FALSE))</f>
      </c>
      <c r="G25" s="493">
        <f>IF(B25="","",VLOOKUP($B25,'6-2_算定表⑤(新・新制度)'!$B$8:$R$65536,13,FALSE))</f>
      </c>
      <c r="H25" s="542">
        <f>IF(B25="","",VLOOKUP($B25,'6-2_算定表⑤(新・新制度)'!$B$8:$R$65536,14,FALSE))</f>
      </c>
      <c r="I25" s="493">
        <f>IF(B25="","",VLOOKUP($B25,'6-2_算定表⑤(新・新制度)'!$B$8:$R$65536,16,FALSE))</f>
      </c>
      <c r="J25" s="506">
        <f>IF(B25="","",VLOOKUP($B25,'6-2_算定表⑤(新・新制度)'!$B$8:$R$65536,17,FALSE))</f>
      </c>
      <c r="K25" s="543">
        <f>IF($B25="","",VLOOKUP($B25,'6-2_算定表⑤(新・新制度)'!$B$8:$R$65536,11,FALSE))</f>
      </c>
      <c r="L25" s="544">
        <f>IF($B25="","",VLOOKUP($B25,'6-2_算定表⑤(新・新制度)'!$B$8:$R$65536,11,FALSE))</f>
      </c>
      <c r="M25" s="545">
        <f>IF($B25="","",VLOOKUP($B25,'6-2_算定表⑤(新・新制度)'!$B$8:$R$65536,11,FALSE))</f>
      </c>
      <c r="N25" s="543">
        <f>IF($B25="","",VLOOKUP($B25,'6-2_算定表⑤(新・新制度)'!$B$8:$R$65536,14,FALSE))</f>
      </c>
      <c r="O25" s="544">
        <f>IF($B25="","",VLOOKUP($B25,'6-2_算定表⑤(新・新制度)'!$B$8:$R$65536,14,FALSE))</f>
      </c>
      <c r="P25" s="544">
        <f>IF($B25="","",VLOOKUP($B25,'6-2_算定表⑤(新・新制度)'!$B$8:$R$65536,14,FALSE))</f>
      </c>
      <c r="Q25" s="544">
        <f>IF($B25="","",VLOOKUP($B25,'6-2_算定表⑤(新・新制度)'!$B$8:$R$65536,14,FALSE))</f>
      </c>
      <c r="R25" s="544">
        <f>IF($B25="","",VLOOKUP($B25,'6-2_算定表⑤(新・新制度)'!$B$8:$R$65536,14,FALSE))</f>
      </c>
      <c r="S25" s="544">
        <f>IF($B25="","",VLOOKUP($B25,'6-2_算定表⑤(新・新制度)'!$B$8:$R$65536,14,FALSE))</f>
      </c>
      <c r="T25" s="544">
        <f>IF($B25="","",VLOOKUP($B25,'6-2_算定表⑤(新・新制度)'!$B$8:$R$65536,14,FALSE))</f>
      </c>
      <c r="U25" s="544">
        <f>IF($B25="","",VLOOKUP($B25,'6-2_算定表⑤(新・新制度)'!$B$8:$R$65536,14,FALSE))</f>
      </c>
      <c r="V25" s="545">
        <f>IF($B25="","",VLOOKUP($B25,'6-2_算定表⑤(新・新制度)'!$B$8:$R$65536,14,FALSE))</f>
      </c>
      <c r="W25" s="546">
        <f t="shared" si="1"/>
      </c>
      <c r="X25" s="547">
        <f t="shared" si="2"/>
      </c>
      <c r="Y25" s="546">
        <f t="shared" si="3"/>
      </c>
      <c r="Z25" s="548">
        <f t="shared" si="4"/>
      </c>
      <c r="AA25" s="538">
        <f t="shared" si="5"/>
      </c>
      <c r="AB25" s="548">
        <f t="shared" si="6"/>
      </c>
      <c r="AC25" s="537">
        <f t="shared" si="7"/>
      </c>
      <c r="AD25" s="539">
        <f t="shared" si="8"/>
      </c>
      <c r="AE25" s="506">
        <f t="shared" si="9"/>
      </c>
      <c r="AF25" s="503">
        <f t="shared" si="11"/>
      </c>
      <c r="AG25" s="847">
        <f>IF(B25="","",VLOOKUP($B25,'6-2_算定表⑤(新・新制度)'!$B$8:$AB$65536,27,FALSE))</f>
      </c>
      <c r="AH25" s="848" t="s">
        <v>205</v>
      </c>
      <c r="AI25" s="849" t="s">
        <v>205</v>
      </c>
      <c r="AK25" s="63">
        <f t="shared" si="12"/>
      </c>
      <c r="AL25" s="63">
        <f t="shared" si="10"/>
      </c>
    </row>
    <row r="26" spans="1:38" s="54" customFormat="1" ht="18.75" customHeight="1">
      <c r="A26" s="27">
        <f t="shared" si="0"/>
      </c>
      <c r="B26" s="280"/>
      <c r="C26" s="97">
        <f>IF(B26="","",VLOOKUP($B26,'6-2_算定表⑤(新・新制度)'!$B$8:$R$65536,2,FALSE))</f>
      </c>
      <c r="D26" s="541">
        <f>IF(B26="","",VLOOKUP($B26,'6-2_算定表⑤(新・新制度)'!$B$8:$R$65536,3,FALSE))</f>
      </c>
      <c r="E26" s="98">
        <f>IF(B26="","",VLOOKUP($B26,'6-2_算定表⑤(新・新制度)'!$B$8:$R$65536,4,FALSE))</f>
      </c>
      <c r="F26" s="542">
        <f>IF(B26="","",VLOOKUP($B26,'6-2_算定表⑤(新・新制度)'!$B$8:$R$65536,11,FALSE))</f>
      </c>
      <c r="G26" s="493">
        <f>IF(B26="","",VLOOKUP($B26,'6-2_算定表⑤(新・新制度)'!$B$8:$R$65536,13,FALSE))</f>
      </c>
      <c r="H26" s="542">
        <f>IF(B26="","",VLOOKUP($B26,'6-2_算定表⑤(新・新制度)'!$B$8:$R$65536,14,FALSE))</f>
      </c>
      <c r="I26" s="493">
        <f>IF(B26="","",VLOOKUP($B26,'6-2_算定表⑤(新・新制度)'!$B$8:$R$65536,16,FALSE))</f>
      </c>
      <c r="J26" s="506">
        <f>IF(B26="","",VLOOKUP($B26,'6-2_算定表⑤(新・新制度)'!$B$8:$R$65536,17,FALSE))</f>
      </c>
      <c r="K26" s="543">
        <f>IF($B26="","",VLOOKUP($B26,'6-2_算定表⑤(新・新制度)'!$B$8:$R$65536,11,FALSE))</f>
      </c>
      <c r="L26" s="544">
        <f>IF($B26="","",VLOOKUP($B26,'6-2_算定表⑤(新・新制度)'!$B$8:$R$65536,11,FALSE))</f>
      </c>
      <c r="M26" s="545">
        <f>IF($B26="","",VLOOKUP($B26,'6-2_算定表⑤(新・新制度)'!$B$8:$R$65536,11,FALSE))</f>
      </c>
      <c r="N26" s="543">
        <f>IF($B26="","",VLOOKUP($B26,'6-2_算定表⑤(新・新制度)'!$B$8:$R$65536,14,FALSE))</f>
      </c>
      <c r="O26" s="544">
        <f>IF($B26="","",VLOOKUP($B26,'6-2_算定表⑤(新・新制度)'!$B$8:$R$65536,14,FALSE))</f>
      </c>
      <c r="P26" s="544">
        <f>IF($B26="","",VLOOKUP($B26,'6-2_算定表⑤(新・新制度)'!$B$8:$R$65536,14,FALSE))</f>
      </c>
      <c r="Q26" s="544">
        <f>IF($B26="","",VLOOKUP($B26,'6-2_算定表⑤(新・新制度)'!$B$8:$R$65536,14,FALSE))</f>
      </c>
      <c r="R26" s="544">
        <f>IF($B26="","",VLOOKUP($B26,'6-2_算定表⑤(新・新制度)'!$B$8:$R$65536,14,FALSE))</f>
      </c>
      <c r="S26" s="544">
        <f>IF($B26="","",VLOOKUP($B26,'6-2_算定表⑤(新・新制度)'!$B$8:$R$65536,14,FALSE))</f>
      </c>
      <c r="T26" s="544">
        <f>IF($B26="","",VLOOKUP($B26,'6-2_算定表⑤(新・新制度)'!$B$8:$R$65536,14,FALSE))</f>
      </c>
      <c r="U26" s="544">
        <f>IF($B26="","",VLOOKUP($B26,'6-2_算定表⑤(新・新制度)'!$B$8:$R$65536,14,FALSE))</f>
      </c>
      <c r="V26" s="545">
        <f>IF($B26="","",VLOOKUP($B26,'6-2_算定表⑤(新・新制度)'!$B$8:$R$65536,14,FALSE))</f>
      </c>
      <c r="W26" s="546">
        <f t="shared" si="1"/>
      </c>
      <c r="X26" s="547">
        <f t="shared" si="2"/>
      </c>
      <c r="Y26" s="546">
        <f t="shared" si="3"/>
      </c>
      <c r="Z26" s="548">
        <f t="shared" si="4"/>
      </c>
      <c r="AA26" s="538">
        <f t="shared" si="5"/>
      </c>
      <c r="AB26" s="548">
        <f t="shared" si="6"/>
      </c>
      <c r="AC26" s="537">
        <f t="shared" si="7"/>
      </c>
      <c r="AD26" s="539">
        <f t="shared" si="8"/>
      </c>
      <c r="AE26" s="506">
        <f t="shared" si="9"/>
      </c>
      <c r="AF26" s="503">
        <f t="shared" si="11"/>
      </c>
      <c r="AG26" s="847">
        <f>IF(B26="","",VLOOKUP($B26,'6-2_算定表⑤(新・新制度)'!$B$8:$AB$65536,27,FALSE))</f>
      </c>
      <c r="AH26" s="848" t="s">
        <v>205</v>
      </c>
      <c r="AI26" s="849" t="s">
        <v>205</v>
      </c>
      <c r="AK26" s="63">
        <f t="shared" si="12"/>
      </c>
      <c r="AL26" s="63">
        <f t="shared" si="10"/>
      </c>
    </row>
    <row r="27" spans="1:38" s="54" customFormat="1" ht="18.75" customHeight="1">
      <c r="A27" s="27">
        <f t="shared" si="0"/>
      </c>
      <c r="B27" s="280"/>
      <c r="C27" s="97">
        <f>IF(B27="","",VLOOKUP($B27,'6-2_算定表⑤(新・新制度)'!$B$8:$R$65536,2,FALSE))</f>
      </c>
      <c r="D27" s="541">
        <f>IF(B27="","",VLOOKUP($B27,'6-2_算定表⑤(新・新制度)'!$B$8:$R$65536,3,FALSE))</f>
      </c>
      <c r="E27" s="98">
        <f>IF(B27="","",VLOOKUP($B27,'6-2_算定表⑤(新・新制度)'!$B$8:$R$65536,4,FALSE))</f>
      </c>
      <c r="F27" s="542">
        <f>IF(B27="","",VLOOKUP($B27,'6-2_算定表⑤(新・新制度)'!$B$8:$R$65536,11,FALSE))</f>
      </c>
      <c r="G27" s="493">
        <f>IF(B27="","",VLOOKUP($B27,'6-2_算定表⑤(新・新制度)'!$B$8:$R$65536,13,FALSE))</f>
      </c>
      <c r="H27" s="542">
        <f>IF(B27="","",VLOOKUP($B27,'6-2_算定表⑤(新・新制度)'!$B$8:$R$65536,14,FALSE))</f>
      </c>
      <c r="I27" s="493">
        <f>IF(B27="","",VLOOKUP($B27,'6-2_算定表⑤(新・新制度)'!$B$8:$R$65536,16,FALSE))</f>
      </c>
      <c r="J27" s="506">
        <f>IF(B27="","",VLOOKUP($B27,'6-2_算定表⑤(新・新制度)'!$B$8:$R$65536,17,FALSE))</f>
      </c>
      <c r="K27" s="543">
        <f>IF($B27="","",VLOOKUP($B27,'6-2_算定表⑤(新・新制度)'!$B$8:$R$65536,11,FALSE))</f>
      </c>
      <c r="L27" s="544">
        <f>IF($B27="","",VLOOKUP($B27,'6-2_算定表⑤(新・新制度)'!$B$8:$R$65536,11,FALSE))</f>
      </c>
      <c r="M27" s="545">
        <f>IF($B27="","",VLOOKUP($B27,'6-2_算定表⑤(新・新制度)'!$B$8:$R$65536,11,FALSE))</f>
      </c>
      <c r="N27" s="543">
        <f>IF($B27="","",VLOOKUP($B27,'6-2_算定表⑤(新・新制度)'!$B$8:$R$65536,14,FALSE))</f>
      </c>
      <c r="O27" s="544">
        <f>IF($B27="","",VLOOKUP($B27,'6-2_算定表⑤(新・新制度)'!$B$8:$R$65536,14,FALSE))</f>
      </c>
      <c r="P27" s="544">
        <f>IF($B27="","",VLOOKUP($B27,'6-2_算定表⑤(新・新制度)'!$B$8:$R$65536,14,FALSE))</f>
      </c>
      <c r="Q27" s="544">
        <f>IF($B27="","",VLOOKUP($B27,'6-2_算定表⑤(新・新制度)'!$B$8:$R$65536,14,FALSE))</f>
      </c>
      <c r="R27" s="544">
        <f>IF($B27="","",VLOOKUP($B27,'6-2_算定表⑤(新・新制度)'!$B$8:$R$65536,14,FALSE))</f>
      </c>
      <c r="S27" s="544">
        <f>IF($B27="","",VLOOKUP($B27,'6-2_算定表⑤(新・新制度)'!$B$8:$R$65536,14,FALSE))</f>
      </c>
      <c r="T27" s="544">
        <f>IF($B27="","",VLOOKUP($B27,'6-2_算定表⑤(新・新制度)'!$B$8:$R$65536,14,FALSE))</f>
      </c>
      <c r="U27" s="544">
        <f>IF($B27="","",VLOOKUP($B27,'6-2_算定表⑤(新・新制度)'!$B$8:$R$65536,14,FALSE))</f>
      </c>
      <c r="V27" s="545">
        <f>IF($B27="","",VLOOKUP($B27,'6-2_算定表⑤(新・新制度)'!$B$8:$R$65536,14,FALSE))</f>
      </c>
      <c r="W27" s="546">
        <f t="shared" si="1"/>
      </c>
      <c r="X27" s="547">
        <f t="shared" si="2"/>
      </c>
      <c r="Y27" s="546">
        <f t="shared" si="3"/>
      </c>
      <c r="Z27" s="548">
        <f t="shared" si="4"/>
      </c>
      <c r="AA27" s="538">
        <f t="shared" si="5"/>
      </c>
      <c r="AB27" s="548">
        <f t="shared" si="6"/>
      </c>
      <c r="AC27" s="537">
        <f t="shared" si="7"/>
      </c>
      <c r="AD27" s="539">
        <f t="shared" si="8"/>
      </c>
      <c r="AE27" s="506">
        <f t="shared" si="9"/>
      </c>
      <c r="AF27" s="503">
        <f t="shared" si="11"/>
      </c>
      <c r="AG27" s="308">
        <f>IF(B27="","",VLOOKUP($B27,'6-2_算定表⑤(新・新制度)'!$B$8:$AB$65536,27,FALSE))</f>
      </c>
      <c r="AH27" s="309" t="s">
        <v>205</v>
      </c>
      <c r="AI27" s="310" t="s">
        <v>205</v>
      </c>
      <c r="AK27" s="63">
        <f t="shared" si="12"/>
      </c>
      <c r="AL27" s="63">
        <f t="shared" si="10"/>
      </c>
    </row>
    <row r="28" spans="1:38" s="54" customFormat="1" ht="18.75" customHeight="1">
      <c r="A28" s="27">
        <f t="shared" si="0"/>
      </c>
      <c r="B28" s="280"/>
      <c r="C28" s="97">
        <f>IF(B28="","",VLOOKUP($B28,'6-2_算定表⑤(新・新制度)'!$B$8:$R$65536,2,FALSE))</f>
      </c>
      <c r="D28" s="541">
        <f>IF(B28="","",VLOOKUP($B28,'6-2_算定表⑤(新・新制度)'!$B$8:$R$65536,3,FALSE))</f>
      </c>
      <c r="E28" s="98">
        <f>IF(B28="","",VLOOKUP($B28,'6-2_算定表⑤(新・新制度)'!$B$8:$R$65536,4,FALSE))</f>
      </c>
      <c r="F28" s="542">
        <f>IF(B28="","",VLOOKUP($B28,'6-2_算定表⑤(新・新制度)'!$B$8:$R$65536,11,FALSE))</f>
      </c>
      <c r="G28" s="493">
        <f>IF(B28="","",VLOOKUP($B28,'6-2_算定表⑤(新・新制度)'!$B$8:$R$65536,13,FALSE))</f>
      </c>
      <c r="H28" s="542">
        <f>IF(B28="","",VLOOKUP($B28,'6-2_算定表⑤(新・新制度)'!$B$8:$R$65536,14,FALSE))</f>
      </c>
      <c r="I28" s="493">
        <f>IF(B28="","",VLOOKUP($B28,'6-2_算定表⑤(新・新制度)'!$B$8:$R$65536,16,FALSE))</f>
      </c>
      <c r="J28" s="506">
        <f>IF(B28="","",VLOOKUP($B28,'6-2_算定表⑤(新・新制度)'!$B$8:$R$65536,17,FALSE))</f>
      </c>
      <c r="K28" s="543">
        <f>IF($B28="","",VLOOKUP($B28,'6-2_算定表⑤(新・新制度)'!$B$8:$R$65536,11,FALSE))</f>
      </c>
      <c r="L28" s="544">
        <f>IF($B28="","",VLOOKUP($B28,'6-2_算定表⑤(新・新制度)'!$B$8:$R$65536,11,FALSE))</f>
      </c>
      <c r="M28" s="545">
        <f>IF($B28="","",VLOOKUP($B28,'6-2_算定表⑤(新・新制度)'!$B$8:$R$65536,11,FALSE))</f>
      </c>
      <c r="N28" s="543">
        <f>IF($B28="","",VLOOKUP($B28,'6-2_算定表⑤(新・新制度)'!$B$8:$R$65536,14,FALSE))</f>
      </c>
      <c r="O28" s="544">
        <f>IF($B28="","",VLOOKUP($B28,'6-2_算定表⑤(新・新制度)'!$B$8:$R$65536,14,FALSE))</f>
      </c>
      <c r="P28" s="544">
        <f>IF($B28="","",VLOOKUP($B28,'6-2_算定表⑤(新・新制度)'!$B$8:$R$65536,14,FALSE))</f>
      </c>
      <c r="Q28" s="544">
        <f>IF($B28="","",VLOOKUP($B28,'6-2_算定表⑤(新・新制度)'!$B$8:$R$65536,14,FALSE))</f>
      </c>
      <c r="R28" s="544">
        <f>IF($B28="","",VLOOKUP($B28,'6-2_算定表⑤(新・新制度)'!$B$8:$R$65536,14,FALSE))</f>
      </c>
      <c r="S28" s="544">
        <f>IF($B28="","",VLOOKUP($B28,'6-2_算定表⑤(新・新制度)'!$B$8:$R$65536,14,FALSE))</f>
      </c>
      <c r="T28" s="544">
        <f>IF($B28="","",VLOOKUP($B28,'6-2_算定表⑤(新・新制度)'!$B$8:$R$65536,14,FALSE))</f>
      </c>
      <c r="U28" s="544">
        <f>IF($B28="","",VLOOKUP($B28,'6-2_算定表⑤(新・新制度)'!$B$8:$R$65536,14,FALSE))</f>
      </c>
      <c r="V28" s="545">
        <f>IF($B28="","",VLOOKUP($B28,'6-2_算定表⑤(新・新制度)'!$B$8:$R$65536,14,FALSE))</f>
      </c>
      <c r="W28" s="546">
        <f t="shared" si="1"/>
      </c>
      <c r="X28" s="547">
        <f t="shared" si="2"/>
      </c>
      <c r="Y28" s="546">
        <f t="shared" si="3"/>
      </c>
      <c r="Z28" s="548">
        <f t="shared" si="4"/>
      </c>
      <c r="AA28" s="538">
        <f t="shared" si="5"/>
      </c>
      <c r="AB28" s="548">
        <f t="shared" si="6"/>
      </c>
      <c r="AC28" s="537">
        <f t="shared" si="7"/>
      </c>
      <c r="AD28" s="539">
        <f t="shared" si="8"/>
      </c>
      <c r="AE28" s="506">
        <f t="shared" si="9"/>
      </c>
      <c r="AF28" s="503">
        <f t="shared" si="11"/>
      </c>
      <c r="AG28" s="847">
        <f>IF(B28="","",VLOOKUP($B28,'6-2_算定表⑤(新・新制度)'!$B$8:$AB$65536,27,FALSE))</f>
      </c>
      <c r="AH28" s="848" t="s">
        <v>205</v>
      </c>
      <c r="AI28" s="849" t="s">
        <v>205</v>
      </c>
      <c r="AK28" s="63">
        <f t="shared" si="12"/>
      </c>
      <c r="AL28" s="63">
        <f t="shared" si="10"/>
      </c>
    </row>
    <row r="29" spans="1:38" s="54" customFormat="1" ht="18.75" customHeight="1">
      <c r="A29" s="27">
        <f t="shared" si="0"/>
      </c>
      <c r="B29" s="280"/>
      <c r="C29" s="97">
        <f>IF(B29="","",VLOOKUP($B29,'6-2_算定表⑤(新・新制度)'!$B$8:$R$65536,2,FALSE))</f>
      </c>
      <c r="D29" s="541">
        <f>IF(B29="","",VLOOKUP($B29,'6-2_算定表⑤(新・新制度)'!$B$8:$R$65536,3,FALSE))</f>
      </c>
      <c r="E29" s="98">
        <f>IF(B29="","",VLOOKUP($B29,'6-2_算定表⑤(新・新制度)'!$B$8:$R$65536,4,FALSE))</f>
      </c>
      <c r="F29" s="542">
        <f>IF(B29="","",VLOOKUP($B29,'6-2_算定表⑤(新・新制度)'!$B$8:$R$65536,11,FALSE))</f>
      </c>
      <c r="G29" s="493">
        <f>IF(B29="","",VLOOKUP($B29,'6-2_算定表⑤(新・新制度)'!$B$8:$R$65536,13,FALSE))</f>
      </c>
      <c r="H29" s="542">
        <f>IF(B29="","",VLOOKUP($B29,'6-2_算定表⑤(新・新制度)'!$B$8:$R$65536,14,FALSE))</f>
      </c>
      <c r="I29" s="493">
        <f>IF(B29="","",VLOOKUP($B29,'6-2_算定表⑤(新・新制度)'!$B$8:$R$65536,16,FALSE))</f>
      </c>
      <c r="J29" s="506">
        <f>IF(B29="","",VLOOKUP($B29,'6-2_算定表⑤(新・新制度)'!$B$8:$R$65536,17,FALSE))</f>
      </c>
      <c r="K29" s="543">
        <f>IF($B29="","",VLOOKUP($B29,'6-2_算定表⑤(新・新制度)'!$B$8:$R$65536,11,FALSE))</f>
      </c>
      <c r="L29" s="544">
        <f>IF($B29="","",VLOOKUP($B29,'6-2_算定表⑤(新・新制度)'!$B$8:$R$65536,11,FALSE))</f>
      </c>
      <c r="M29" s="545">
        <f>IF($B29="","",VLOOKUP($B29,'6-2_算定表⑤(新・新制度)'!$B$8:$R$65536,11,FALSE))</f>
      </c>
      <c r="N29" s="543">
        <f>IF($B29="","",VLOOKUP($B29,'6-2_算定表⑤(新・新制度)'!$B$8:$R$65536,14,FALSE))</f>
      </c>
      <c r="O29" s="544">
        <f>IF($B29="","",VLOOKUP($B29,'6-2_算定表⑤(新・新制度)'!$B$8:$R$65536,14,FALSE))</f>
      </c>
      <c r="P29" s="544">
        <f>IF($B29="","",VLOOKUP($B29,'6-2_算定表⑤(新・新制度)'!$B$8:$R$65536,14,FALSE))</f>
      </c>
      <c r="Q29" s="544">
        <f>IF($B29="","",VLOOKUP($B29,'6-2_算定表⑤(新・新制度)'!$B$8:$R$65536,14,FALSE))</f>
      </c>
      <c r="R29" s="544">
        <f>IF($B29="","",VLOOKUP($B29,'6-2_算定表⑤(新・新制度)'!$B$8:$R$65536,14,FALSE))</f>
      </c>
      <c r="S29" s="544">
        <f>IF($B29="","",VLOOKUP($B29,'6-2_算定表⑤(新・新制度)'!$B$8:$R$65536,14,FALSE))</f>
      </c>
      <c r="T29" s="544">
        <f>IF($B29="","",VLOOKUP($B29,'6-2_算定表⑤(新・新制度)'!$B$8:$R$65536,14,FALSE))</f>
      </c>
      <c r="U29" s="544">
        <f>IF($B29="","",VLOOKUP($B29,'6-2_算定表⑤(新・新制度)'!$B$8:$R$65536,14,FALSE))</f>
      </c>
      <c r="V29" s="545">
        <f>IF($B29="","",VLOOKUP($B29,'6-2_算定表⑤(新・新制度)'!$B$8:$R$65536,14,FALSE))</f>
      </c>
      <c r="W29" s="546">
        <f t="shared" si="1"/>
      </c>
      <c r="X29" s="547">
        <f t="shared" si="2"/>
      </c>
      <c r="Y29" s="546">
        <f t="shared" si="3"/>
      </c>
      <c r="Z29" s="548">
        <f t="shared" si="4"/>
      </c>
      <c r="AA29" s="538">
        <f t="shared" si="5"/>
      </c>
      <c r="AB29" s="548">
        <f t="shared" si="6"/>
      </c>
      <c r="AC29" s="537">
        <f t="shared" si="7"/>
      </c>
      <c r="AD29" s="539">
        <f t="shared" si="8"/>
      </c>
      <c r="AE29" s="506">
        <f t="shared" si="9"/>
      </c>
      <c r="AF29" s="503">
        <f t="shared" si="11"/>
      </c>
      <c r="AG29" s="847">
        <f>IF(B29="","",VLOOKUP($B29,'6-2_算定表⑤(新・新制度)'!$B$8:$AB$65536,27,FALSE))</f>
      </c>
      <c r="AH29" s="848" t="s">
        <v>205</v>
      </c>
      <c r="AI29" s="849" t="s">
        <v>205</v>
      </c>
      <c r="AK29" s="63">
        <f t="shared" si="12"/>
      </c>
      <c r="AL29" s="63">
        <f t="shared" si="10"/>
      </c>
    </row>
    <row r="30" spans="1:38" s="54" customFormat="1" ht="18.75" customHeight="1">
      <c r="A30" s="27">
        <f t="shared" si="0"/>
      </c>
      <c r="B30" s="280"/>
      <c r="C30" s="97">
        <f>IF(B30="","",VLOOKUP($B30,'6-2_算定表⑤(新・新制度)'!$B$8:$R$65536,2,FALSE))</f>
      </c>
      <c r="D30" s="541">
        <f>IF(B30="","",VLOOKUP($B30,'6-2_算定表⑤(新・新制度)'!$B$8:$R$65536,3,FALSE))</f>
      </c>
      <c r="E30" s="98">
        <f>IF(B30="","",VLOOKUP($B30,'6-2_算定表⑤(新・新制度)'!$B$8:$R$65536,4,FALSE))</f>
      </c>
      <c r="F30" s="542">
        <f>IF(B30="","",VLOOKUP($B30,'6-2_算定表⑤(新・新制度)'!$B$8:$R$65536,11,FALSE))</f>
      </c>
      <c r="G30" s="493">
        <f>IF(B30="","",VLOOKUP($B30,'6-2_算定表⑤(新・新制度)'!$B$8:$R$65536,13,FALSE))</f>
      </c>
      <c r="H30" s="542">
        <f>IF(B30="","",VLOOKUP($B30,'6-2_算定表⑤(新・新制度)'!$B$8:$R$65536,14,FALSE))</f>
      </c>
      <c r="I30" s="493">
        <f>IF(B30="","",VLOOKUP($B30,'6-2_算定表⑤(新・新制度)'!$B$8:$R$65536,16,FALSE))</f>
      </c>
      <c r="J30" s="506">
        <f>IF(B30="","",VLOOKUP($B30,'6-2_算定表⑤(新・新制度)'!$B$8:$R$65536,17,FALSE))</f>
      </c>
      <c r="K30" s="543">
        <f>IF($B30="","",VLOOKUP($B30,'6-2_算定表⑤(新・新制度)'!$B$8:$R$65536,11,FALSE))</f>
      </c>
      <c r="L30" s="544">
        <f>IF($B30="","",VLOOKUP($B30,'6-2_算定表⑤(新・新制度)'!$B$8:$R$65536,11,FALSE))</f>
      </c>
      <c r="M30" s="545">
        <f>IF($B30="","",VLOOKUP($B30,'6-2_算定表⑤(新・新制度)'!$B$8:$R$65536,11,FALSE))</f>
      </c>
      <c r="N30" s="543">
        <f>IF($B30="","",VLOOKUP($B30,'6-2_算定表⑤(新・新制度)'!$B$8:$R$65536,14,FALSE))</f>
      </c>
      <c r="O30" s="544">
        <f>IF($B30="","",VLOOKUP($B30,'6-2_算定表⑤(新・新制度)'!$B$8:$R$65536,14,FALSE))</f>
      </c>
      <c r="P30" s="544">
        <f>IF($B30="","",VLOOKUP($B30,'6-2_算定表⑤(新・新制度)'!$B$8:$R$65536,14,FALSE))</f>
      </c>
      <c r="Q30" s="544">
        <f>IF($B30="","",VLOOKUP($B30,'6-2_算定表⑤(新・新制度)'!$B$8:$R$65536,14,FALSE))</f>
      </c>
      <c r="R30" s="544">
        <f>IF($B30="","",VLOOKUP($B30,'6-2_算定表⑤(新・新制度)'!$B$8:$R$65536,14,FALSE))</f>
      </c>
      <c r="S30" s="544">
        <f>IF($B30="","",VLOOKUP($B30,'6-2_算定表⑤(新・新制度)'!$B$8:$R$65536,14,FALSE))</f>
      </c>
      <c r="T30" s="544">
        <f>IF($B30="","",VLOOKUP($B30,'6-2_算定表⑤(新・新制度)'!$B$8:$R$65536,14,FALSE))</f>
      </c>
      <c r="U30" s="544">
        <f>IF($B30="","",VLOOKUP($B30,'6-2_算定表⑤(新・新制度)'!$B$8:$R$65536,14,FALSE))</f>
      </c>
      <c r="V30" s="545">
        <f>IF($B30="","",VLOOKUP($B30,'6-2_算定表⑤(新・新制度)'!$B$8:$R$65536,14,FALSE))</f>
      </c>
      <c r="W30" s="546">
        <f t="shared" si="1"/>
      </c>
      <c r="X30" s="547">
        <f t="shared" si="2"/>
      </c>
      <c r="Y30" s="546">
        <f t="shared" si="3"/>
      </c>
      <c r="Z30" s="548">
        <f t="shared" si="4"/>
      </c>
      <c r="AA30" s="538">
        <f t="shared" si="5"/>
      </c>
      <c r="AB30" s="548">
        <f t="shared" si="6"/>
      </c>
      <c r="AC30" s="537">
        <f t="shared" si="7"/>
      </c>
      <c r="AD30" s="539">
        <f t="shared" si="8"/>
      </c>
      <c r="AE30" s="506">
        <f t="shared" si="9"/>
      </c>
      <c r="AF30" s="503">
        <f t="shared" si="11"/>
      </c>
      <c r="AG30" s="847">
        <f>IF(B30="","",VLOOKUP($B30,'6-2_算定表⑤(新・新制度)'!$B$8:$AB$65536,27,FALSE))</f>
      </c>
      <c r="AH30" s="848" t="s">
        <v>205</v>
      </c>
      <c r="AI30" s="849" t="s">
        <v>205</v>
      </c>
      <c r="AK30" s="63">
        <f>IF(A30&gt;0,ASC(C30&amp;H30),"")</f>
      </c>
      <c r="AL30" s="63">
        <f t="shared" si="10"/>
      </c>
    </row>
    <row r="31" spans="1:38" s="54" customFormat="1" ht="18.75" customHeight="1">
      <c r="A31" s="27">
        <f t="shared" si="0"/>
      </c>
      <c r="B31" s="280"/>
      <c r="C31" s="97">
        <f>IF(B31="","",VLOOKUP($B31,'6-2_算定表⑤(新・新制度)'!$B$8:$R$65536,2,FALSE))</f>
      </c>
      <c r="D31" s="541">
        <f>IF(B31="","",VLOOKUP($B31,'6-2_算定表⑤(新・新制度)'!$B$8:$R$65536,3,FALSE))</f>
      </c>
      <c r="E31" s="98">
        <f>IF(B31="","",VLOOKUP($B31,'6-2_算定表⑤(新・新制度)'!$B$8:$R$65536,4,FALSE))</f>
      </c>
      <c r="F31" s="542">
        <f>IF(B31="","",VLOOKUP($B31,'6-2_算定表⑤(新・新制度)'!$B$8:$R$65536,11,FALSE))</f>
      </c>
      <c r="G31" s="493">
        <f>IF(B31="","",VLOOKUP($B31,'6-2_算定表⑤(新・新制度)'!$B$8:$R$65536,13,FALSE))</f>
      </c>
      <c r="H31" s="542">
        <f>IF(B31="","",VLOOKUP($B31,'6-2_算定表⑤(新・新制度)'!$B$8:$R$65536,14,FALSE))</f>
      </c>
      <c r="I31" s="493">
        <f>IF(B31="","",VLOOKUP($B31,'6-2_算定表⑤(新・新制度)'!$B$8:$R$65536,16,FALSE))</f>
      </c>
      <c r="J31" s="506">
        <f>IF(B31="","",VLOOKUP($B31,'6-2_算定表⑤(新・新制度)'!$B$8:$R$65536,17,FALSE))</f>
      </c>
      <c r="K31" s="543">
        <f>IF($B31="","",VLOOKUP($B31,'6-2_算定表⑤(新・新制度)'!$B$8:$R$65536,11,FALSE))</f>
      </c>
      <c r="L31" s="544">
        <f>IF($B31="","",VLOOKUP($B31,'6-2_算定表⑤(新・新制度)'!$B$8:$R$65536,11,FALSE))</f>
      </c>
      <c r="M31" s="545">
        <f>IF($B31="","",VLOOKUP($B31,'6-2_算定表⑤(新・新制度)'!$B$8:$R$65536,11,FALSE))</f>
      </c>
      <c r="N31" s="543">
        <f>IF($B31="","",VLOOKUP($B31,'6-2_算定表⑤(新・新制度)'!$B$8:$R$65536,14,FALSE))</f>
      </c>
      <c r="O31" s="544">
        <f>IF($B31="","",VLOOKUP($B31,'6-2_算定表⑤(新・新制度)'!$B$8:$R$65536,14,FALSE))</f>
      </c>
      <c r="P31" s="544">
        <f>IF($B31="","",VLOOKUP($B31,'6-2_算定表⑤(新・新制度)'!$B$8:$R$65536,14,FALSE))</f>
      </c>
      <c r="Q31" s="544">
        <f>IF($B31="","",VLOOKUP($B31,'6-2_算定表⑤(新・新制度)'!$B$8:$R$65536,14,FALSE))</f>
      </c>
      <c r="R31" s="544">
        <f>IF($B31="","",VLOOKUP($B31,'6-2_算定表⑤(新・新制度)'!$B$8:$R$65536,14,FALSE))</f>
      </c>
      <c r="S31" s="544">
        <f>IF($B31="","",VLOOKUP($B31,'6-2_算定表⑤(新・新制度)'!$B$8:$R$65536,14,FALSE))</f>
      </c>
      <c r="T31" s="544">
        <f>IF($B31="","",VLOOKUP($B31,'6-2_算定表⑤(新・新制度)'!$B$8:$R$65536,14,FALSE))</f>
      </c>
      <c r="U31" s="544">
        <f>IF($B31="","",VLOOKUP($B31,'6-2_算定表⑤(新・新制度)'!$B$8:$R$65536,14,FALSE))</f>
      </c>
      <c r="V31" s="545">
        <f>IF($B31="","",VLOOKUP($B31,'6-2_算定表⑤(新・新制度)'!$B$8:$R$65536,14,FALSE))</f>
      </c>
      <c r="W31" s="546">
        <f t="shared" si="1"/>
      </c>
      <c r="X31" s="547">
        <f t="shared" si="2"/>
      </c>
      <c r="Y31" s="546">
        <f t="shared" si="3"/>
      </c>
      <c r="Z31" s="548">
        <f t="shared" si="4"/>
      </c>
      <c r="AA31" s="538">
        <f t="shared" si="5"/>
      </c>
      <c r="AB31" s="548">
        <f t="shared" si="6"/>
      </c>
      <c r="AC31" s="537">
        <f t="shared" si="7"/>
      </c>
      <c r="AD31" s="539">
        <f t="shared" si="8"/>
      </c>
      <c r="AE31" s="506">
        <f t="shared" si="9"/>
      </c>
      <c r="AF31" s="503">
        <f t="shared" si="11"/>
      </c>
      <c r="AG31" s="847">
        <f>IF(B31="","",VLOOKUP($B31,'6-2_算定表⑤(新・新制度)'!$B$8:$AB$65536,27,FALSE))</f>
      </c>
      <c r="AH31" s="848" t="s">
        <v>205</v>
      </c>
      <c r="AI31" s="849" t="s">
        <v>205</v>
      </c>
      <c r="AK31" s="63">
        <f>IF(A31&gt;0,ASC(C31&amp;H31),"")</f>
      </c>
      <c r="AL31" s="63">
        <f t="shared" si="10"/>
      </c>
    </row>
    <row r="32" spans="1:38" s="54" customFormat="1" ht="18.75" customHeight="1">
      <c r="A32" s="27">
        <f t="shared" si="0"/>
      </c>
      <c r="B32" s="280"/>
      <c r="C32" s="97">
        <f>IF(B32="","",VLOOKUP($B32,'6-2_算定表⑤(新・新制度)'!$B$8:$R$65536,2,FALSE))</f>
      </c>
      <c r="D32" s="541">
        <f>IF(B32="","",VLOOKUP($B32,'6-2_算定表⑤(新・新制度)'!$B$8:$R$65536,3,FALSE))</f>
      </c>
      <c r="E32" s="98">
        <f>IF(B32="","",VLOOKUP($B32,'6-2_算定表⑤(新・新制度)'!$B$8:$R$65536,4,FALSE))</f>
      </c>
      <c r="F32" s="542">
        <f>IF(B32="","",VLOOKUP($B32,'6-2_算定表⑤(新・新制度)'!$B$8:$R$65536,11,FALSE))</f>
      </c>
      <c r="G32" s="493">
        <f>IF(B32="","",VLOOKUP($B32,'6-2_算定表⑤(新・新制度)'!$B$8:$R$65536,13,FALSE))</f>
      </c>
      <c r="H32" s="542">
        <f>IF(B32="","",VLOOKUP($B32,'6-2_算定表⑤(新・新制度)'!$B$8:$R$65536,14,FALSE))</f>
      </c>
      <c r="I32" s="493">
        <f>IF(B32="","",VLOOKUP($B32,'6-2_算定表⑤(新・新制度)'!$B$8:$R$65536,16,FALSE))</f>
      </c>
      <c r="J32" s="506">
        <f>IF(B32="","",VLOOKUP($B32,'6-2_算定表⑤(新・新制度)'!$B$8:$R$65536,17,FALSE))</f>
      </c>
      <c r="K32" s="543">
        <f>IF($B32="","",VLOOKUP($B32,'6-2_算定表⑤(新・新制度)'!$B$8:$R$65536,11,FALSE))</f>
      </c>
      <c r="L32" s="544">
        <f>IF($B32="","",VLOOKUP($B32,'6-2_算定表⑤(新・新制度)'!$B$8:$R$65536,11,FALSE))</f>
      </c>
      <c r="M32" s="545">
        <f>IF($B32="","",VLOOKUP($B32,'6-2_算定表⑤(新・新制度)'!$B$8:$R$65536,11,FALSE))</f>
      </c>
      <c r="N32" s="543">
        <f>IF($B32="","",VLOOKUP($B32,'6-2_算定表⑤(新・新制度)'!$B$8:$R$65536,14,FALSE))</f>
      </c>
      <c r="O32" s="544">
        <f>IF($B32="","",VLOOKUP($B32,'6-2_算定表⑤(新・新制度)'!$B$8:$R$65536,14,FALSE))</f>
      </c>
      <c r="P32" s="544">
        <f>IF($B32="","",VLOOKUP($B32,'6-2_算定表⑤(新・新制度)'!$B$8:$R$65536,14,FALSE))</f>
      </c>
      <c r="Q32" s="544">
        <f>IF($B32="","",VLOOKUP($B32,'6-2_算定表⑤(新・新制度)'!$B$8:$R$65536,14,FALSE))</f>
      </c>
      <c r="R32" s="544">
        <f>IF($B32="","",VLOOKUP($B32,'6-2_算定表⑤(新・新制度)'!$B$8:$R$65536,14,FALSE))</f>
      </c>
      <c r="S32" s="544">
        <f>IF($B32="","",VLOOKUP($B32,'6-2_算定表⑤(新・新制度)'!$B$8:$R$65536,14,FALSE))</f>
      </c>
      <c r="T32" s="544">
        <f>IF($B32="","",VLOOKUP($B32,'6-2_算定表⑤(新・新制度)'!$B$8:$R$65536,14,FALSE))</f>
      </c>
      <c r="U32" s="544">
        <f>IF($B32="","",VLOOKUP($B32,'6-2_算定表⑤(新・新制度)'!$B$8:$R$65536,14,FALSE))</f>
      </c>
      <c r="V32" s="545">
        <f>IF($B32="","",VLOOKUP($B32,'6-2_算定表⑤(新・新制度)'!$B$8:$R$65536,14,FALSE))</f>
      </c>
      <c r="W32" s="546">
        <f t="shared" si="1"/>
      </c>
      <c r="X32" s="547">
        <f t="shared" si="2"/>
      </c>
      <c r="Y32" s="546">
        <f t="shared" si="3"/>
      </c>
      <c r="Z32" s="548">
        <f t="shared" si="4"/>
      </c>
      <c r="AA32" s="538">
        <f t="shared" si="5"/>
      </c>
      <c r="AB32" s="548">
        <f t="shared" si="6"/>
      </c>
      <c r="AC32" s="537">
        <f t="shared" si="7"/>
      </c>
      <c r="AD32" s="539">
        <f t="shared" si="8"/>
      </c>
      <c r="AE32" s="506">
        <f t="shared" si="9"/>
      </c>
      <c r="AF32" s="503">
        <f t="shared" si="11"/>
      </c>
      <c r="AG32" s="847">
        <f>IF(B32="","",VLOOKUP($B32,'6-2_算定表⑤(新・新制度)'!$B$8:$AB$65536,27,FALSE))</f>
      </c>
      <c r="AH32" s="848" t="s">
        <v>205</v>
      </c>
      <c r="AI32" s="849" t="s">
        <v>205</v>
      </c>
      <c r="AK32" s="63">
        <f>IF(A32&gt;0,ASC(C32&amp;H32),"")</f>
      </c>
      <c r="AL32" s="63">
        <f t="shared" si="10"/>
      </c>
    </row>
    <row r="33" spans="1:38" s="54" customFormat="1" ht="18.75" customHeight="1">
      <c r="A33" s="27">
        <f t="shared" si="0"/>
      </c>
      <c r="B33" s="280"/>
      <c r="C33" s="97">
        <f>IF(B33="","",VLOOKUP($B33,'6-2_算定表⑤(新・新制度)'!$B$8:$R$65536,2,FALSE))</f>
      </c>
      <c r="D33" s="541">
        <f>IF(B33="","",VLOOKUP($B33,'6-2_算定表⑤(新・新制度)'!$B$8:$R$65536,3,FALSE))</f>
      </c>
      <c r="E33" s="98">
        <f>IF(B33="","",VLOOKUP($B33,'6-2_算定表⑤(新・新制度)'!$B$8:$R$65536,4,FALSE))</f>
      </c>
      <c r="F33" s="542">
        <f>IF(B33="","",VLOOKUP($B33,'6-2_算定表⑤(新・新制度)'!$B$8:$R$65536,11,FALSE))</f>
      </c>
      <c r="G33" s="493">
        <f>IF(B33="","",VLOOKUP($B33,'6-2_算定表⑤(新・新制度)'!$B$8:$R$65536,13,FALSE))</f>
      </c>
      <c r="H33" s="542">
        <f>IF(B33="","",VLOOKUP($B33,'6-2_算定表⑤(新・新制度)'!$B$8:$R$65536,14,FALSE))</f>
      </c>
      <c r="I33" s="493">
        <f>IF(B33="","",VLOOKUP($B33,'6-2_算定表⑤(新・新制度)'!$B$8:$R$65536,16,FALSE))</f>
      </c>
      <c r="J33" s="506">
        <f>IF(B33="","",VLOOKUP($B33,'6-2_算定表⑤(新・新制度)'!$B$8:$R$65536,17,FALSE))</f>
      </c>
      <c r="K33" s="543">
        <f>IF($B33="","",VLOOKUP($B33,'6-2_算定表⑤(新・新制度)'!$B$8:$R$65536,11,FALSE))</f>
      </c>
      <c r="L33" s="544">
        <f>IF($B33="","",VLOOKUP($B33,'6-2_算定表⑤(新・新制度)'!$B$8:$R$65536,11,FALSE))</f>
      </c>
      <c r="M33" s="545">
        <f>IF($B33="","",VLOOKUP($B33,'6-2_算定表⑤(新・新制度)'!$B$8:$R$65536,11,FALSE))</f>
      </c>
      <c r="N33" s="543">
        <f>IF($B33="","",VLOOKUP($B33,'6-2_算定表⑤(新・新制度)'!$B$8:$R$65536,14,FALSE))</f>
      </c>
      <c r="O33" s="544">
        <f>IF($B33="","",VLOOKUP($B33,'6-2_算定表⑤(新・新制度)'!$B$8:$R$65536,14,FALSE))</f>
      </c>
      <c r="P33" s="544">
        <f>IF($B33="","",VLOOKUP($B33,'6-2_算定表⑤(新・新制度)'!$B$8:$R$65536,14,FALSE))</f>
      </c>
      <c r="Q33" s="544">
        <f>IF($B33="","",VLOOKUP($B33,'6-2_算定表⑤(新・新制度)'!$B$8:$R$65536,14,FALSE))</f>
      </c>
      <c r="R33" s="544">
        <f>IF($B33="","",VLOOKUP($B33,'6-2_算定表⑤(新・新制度)'!$B$8:$R$65536,14,FALSE))</f>
      </c>
      <c r="S33" s="544">
        <f>IF($B33="","",VLOOKUP($B33,'6-2_算定表⑤(新・新制度)'!$B$8:$R$65536,14,FALSE))</f>
      </c>
      <c r="T33" s="544">
        <f>IF($B33="","",VLOOKUP($B33,'6-2_算定表⑤(新・新制度)'!$B$8:$R$65536,14,FALSE))</f>
      </c>
      <c r="U33" s="544">
        <f>IF($B33="","",VLOOKUP($B33,'6-2_算定表⑤(新・新制度)'!$B$8:$R$65536,14,FALSE))</f>
      </c>
      <c r="V33" s="545">
        <f>IF($B33="","",VLOOKUP($B33,'6-2_算定表⑤(新・新制度)'!$B$8:$R$65536,14,FALSE))</f>
      </c>
      <c r="W33" s="546">
        <f t="shared" si="1"/>
      </c>
      <c r="X33" s="547">
        <f t="shared" si="2"/>
      </c>
      <c r="Y33" s="546">
        <f t="shared" si="3"/>
      </c>
      <c r="Z33" s="548">
        <f t="shared" si="4"/>
      </c>
      <c r="AA33" s="538">
        <f t="shared" si="5"/>
      </c>
      <c r="AB33" s="548">
        <f t="shared" si="6"/>
      </c>
      <c r="AC33" s="537">
        <f t="shared" si="7"/>
      </c>
      <c r="AD33" s="539">
        <f t="shared" si="8"/>
      </c>
      <c r="AE33" s="506">
        <f t="shared" si="9"/>
      </c>
      <c r="AF33" s="503">
        <f t="shared" si="11"/>
      </c>
      <c r="AG33" s="847">
        <f>IF(B33="","",VLOOKUP($B33,'6-2_算定表⑤(新・新制度)'!$B$8:$AB$65536,27,FALSE))</f>
      </c>
      <c r="AH33" s="848" t="s">
        <v>205</v>
      </c>
      <c r="AI33" s="849" t="s">
        <v>205</v>
      </c>
      <c r="AK33" s="63">
        <f t="shared" si="12"/>
      </c>
      <c r="AL33" s="63">
        <f t="shared" si="10"/>
      </c>
    </row>
    <row r="34" spans="1:38" s="54" customFormat="1" ht="18.75" customHeight="1">
      <c r="A34" s="27">
        <f t="shared" si="0"/>
      </c>
      <c r="B34" s="280"/>
      <c r="C34" s="97">
        <f>IF(B34="","",VLOOKUP($B34,'6-2_算定表⑤(新・新制度)'!$B$8:$R$65536,2,FALSE))</f>
      </c>
      <c r="D34" s="541">
        <f>IF(B34="","",VLOOKUP($B34,'6-2_算定表⑤(新・新制度)'!$B$8:$R$65536,3,FALSE))</f>
      </c>
      <c r="E34" s="98">
        <f>IF(B34="","",VLOOKUP($B34,'6-2_算定表⑤(新・新制度)'!$B$8:$R$65536,4,FALSE))</f>
      </c>
      <c r="F34" s="542">
        <f>IF(B34="","",VLOOKUP($B34,'6-2_算定表⑤(新・新制度)'!$B$8:$R$65536,11,FALSE))</f>
      </c>
      <c r="G34" s="493">
        <f>IF(B34="","",VLOOKUP($B34,'6-2_算定表⑤(新・新制度)'!$B$8:$R$65536,13,FALSE))</f>
      </c>
      <c r="H34" s="542">
        <f>IF(B34="","",VLOOKUP($B34,'6-2_算定表⑤(新・新制度)'!$B$8:$R$65536,14,FALSE))</f>
      </c>
      <c r="I34" s="493">
        <f>IF(B34="","",VLOOKUP($B34,'6-2_算定表⑤(新・新制度)'!$B$8:$R$65536,16,FALSE))</f>
      </c>
      <c r="J34" s="506">
        <f>IF(B34="","",VLOOKUP($B34,'6-2_算定表⑤(新・新制度)'!$B$8:$R$65536,17,FALSE))</f>
      </c>
      <c r="K34" s="543">
        <f>IF($B34="","",VLOOKUP($B34,'6-2_算定表⑤(新・新制度)'!$B$8:$R$65536,11,FALSE))</f>
      </c>
      <c r="L34" s="544">
        <f>IF($B34="","",VLOOKUP($B34,'6-2_算定表⑤(新・新制度)'!$B$8:$R$65536,11,FALSE))</f>
      </c>
      <c r="M34" s="545">
        <f>IF($B34="","",VLOOKUP($B34,'6-2_算定表⑤(新・新制度)'!$B$8:$R$65536,11,FALSE))</f>
      </c>
      <c r="N34" s="543">
        <f>IF($B34="","",VLOOKUP($B34,'6-2_算定表⑤(新・新制度)'!$B$8:$R$65536,14,FALSE))</f>
      </c>
      <c r="O34" s="544">
        <f>IF($B34="","",VLOOKUP($B34,'6-2_算定表⑤(新・新制度)'!$B$8:$R$65536,14,FALSE))</f>
      </c>
      <c r="P34" s="544">
        <f>IF($B34="","",VLOOKUP($B34,'6-2_算定表⑤(新・新制度)'!$B$8:$R$65536,14,FALSE))</f>
      </c>
      <c r="Q34" s="544">
        <f>IF($B34="","",VLOOKUP($B34,'6-2_算定表⑤(新・新制度)'!$B$8:$R$65536,14,FALSE))</f>
      </c>
      <c r="R34" s="544">
        <f>IF($B34="","",VLOOKUP($B34,'6-2_算定表⑤(新・新制度)'!$B$8:$R$65536,14,FALSE))</f>
      </c>
      <c r="S34" s="544">
        <f>IF($B34="","",VLOOKUP($B34,'6-2_算定表⑤(新・新制度)'!$B$8:$R$65536,14,FALSE))</f>
      </c>
      <c r="T34" s="544">
        <f>IF($B34="","",VLOOKUP($B34,'6-2_算定表⑤(新・新制度)'!$B$8:$R$65536,14,FALSE))</f>
      </c>
      <c r="U34" s="544">
        <f>IF($B34="","",VLOOKUP($B34,'6-2_算定表⑤(新・新制度)'!$B$8:$R$65536,14,FALSE))</f>
      </c>
      <c r="V34" s="545">
        <f>IF($B34="","",VLOOKUP($B34,'6-2_算定表⑤(新・新制度)'!$B$8:$R$65536,14,FALSE))</f>
      </c>
      <c r="W34" s="546">
        <f t="shared" si="1"/>
      </c>
      <c r="X34" s="547">
        <f t="shared" si="2"/>
      </c>
      <c r="Y34" s="546">
        <f t="shared" si="3"/>
      </c>
      <c r="Z34" s="548">
        <f t="shared" si="4"/>
      </c>
      <c r="AA34" s="538">
        <f t="shared" si="5"/>
      </c>
      <c r="AB34" s="548">
        <f t="shared" si="6"/>
      </c>
      <c r="AC34" s="537">
        <f t="shared" si="7"/>
      </c>
      <c r="AD34" s="539">
        <f t="shared" si="8"/>
      </c>
      <c r="AE34" s="506">
        <f t="shared" si="9"/>
      </c>
      <c r="AF34" s="503">
        <f t="shared" si="11"/>
      </c>
      <c r="AG34" s="847">
        <f>IF(B34="","",VLOOKUP($B34,'6-2_算定表⑤(新・新制度)'!$B$8:$AB$65536,27,FALSE))</f>
      </c>
      <c r="AH34" s="848" t="s">
        <v>205</v>
      </c>
      <c r="AI34" s="849" t="s">
        <v>205</v>
      </c>
      <c r="AK34" s="63">
        <f t="shared" si="12"/>
      </c>
      <c r="AL34" s="63">
        <f t="shared" si="10"/>
      </c>
    </row>
    <row r="35" spans="1:38" s="54" customFormat="1" ht="18.75" customHeight="1">
      <c r="A35" s="27">
        <f t="shared" si="0"/>
      </c>
      <c r="B35" s="280"/>
      <c r="C35" s="97">
        <f>IF(B35="","",VLOOKUP($B35,'6-2_算定表⑤(新・新制度)'!$B$8:$R$65536,2,FALSE))</f>
      </c>
      <c r="D35" s="541">
        <f>IF(B35="","",VLOOKUP($B35,'6-2_算定表⑤(新・新制度)'!$B$8:$R$65536,3,FALSE))</f>
      </c>
      <c r="E35" s="348">
        <f>IF(B35="","",VLOOKUP($B35,'6-2_算定表⑤(新・新制度)'!$B$8:$R$65536,4,FALSE))</f>
      </c>
      <c r="F35" s="542">
        <f>IF(B35="","",VLOOKUP($B35,'6-2_算定表⑤(新・新制度)'!$B$8:$R$65536,11,FALSE))</f>
      </c>
      <c r="G35" s="493">
        <f>IF(B35="","",VLOOKUP($B35,'6-2_算定表⑤(新・新制度)'!$B$8:$R$65536,13,FALSE))</f>
      </c>
      <c r="H35" s="542">
        <f>IF(B35="","",VLOOKUP($B35,'6-2_算定表⑤(新・新制度)'!$B$8:$R$65536,14,FALSE))</f>
      </c>
      <c r="I35" s="493">
        <f>IF(B35="","",VLOOKUP($B35,'6-2_算定表⑤(新・新制度)'!$B$8:$R$65536,16,FALSE))</f>
      </c>
      <c r="J35" s="506">
        <f>IF(B35="","",VLOOKUP($B35,'6-2_算定表⑤(新・新制度)'!$B$8:$R$65536,17,FALSE))</f>
      </c>
      <c r="K35" s="543">
        <f>IF($B35="","",VLOOKUP($B35,'6-2_算定表⑤(新・新制度)'!$B$8:$R$65536,11,FALSE))</f>
      </c>
      <c r="L35" s="544">
        <f>IF($B35="","",VLOOKUP($B35,'6-2_算定表⑤(新・新制度)'!$B$8:$R$65536,11,FALSE))</f>
      </c>
      <c r="M35" s="545">
        <f>IF($B35="","",VLOOKUP($B35,'6-2_算定表⑤(新・新制度)'!$B$8:$R$65536,11,FALSE))</f>
      </c>
      <c r="N35" s="543">
        <f>IF($B35="","",VLOOKUP($B35,'6-2_算定表⑤(新・新制度)'!$B$8:$R$65536,14,FALSE))</f>
      </c>
      <c r="O35" s="544">
        <f>IF($B35="","",VLOOKUP($B35,'6-2_算定表⑤(新・新制度)'!$B$8:$R$65536,14,FALSE))</f>
      </c>
      <c r="P35" s="544">
        <f>IF($B35="","",VLOOKUP($B35,'6-2_算定表⑤(新・新制度)'!$B$8:$R$65536,14,FALSE))</f>
      </c>
      <c r="Q35" s="544">
        <f>IF($B35="","",VLOOKUP($B35,'6-2_算定表⑤(新・新制度)'!$B$8:$R$65536,14,FALSE))</f>
      </c>
      <c r="R35" s="544">
        <f>IF($B35="","",VLOOKUP($B35,'6-2_算定表⑤(新・新制度)'!$B$8:$R$65536,14,FALSE))</f>
      </c>
      <c r="S35" s="544">
        <f>IF($B35="","",VLOOKUP($B35,'6-2_算定表⑤(新・新制度)'!$B$8:$R$65536,14,FALSE))</f>
      </c>
      <c r="T35" s="544">
        <f>IF($B35="","",VLOOKUP($B35,'6-2_算定表⑤(新・新制度)'!$B$8:$R$65536,14,FALSE))</f>
      </c>
      <c r="U35" s="544">
        <f>IF($B35="","",VLOOKUP($B35,'6-2_算定表⑤(新・新制度)'!$B$8:$R$65536,14,FALSE))</f>
      </c>
      <c r="V35" s="545">
        <f>IF($B35="","",VLOOKUP($B35,'6-2_算定表⑤(新・新制度)'!$B$8:$R$65536,14,FALSE))</f>
      </c>
      <c r="W35" s="546">
        <f t="shared" si="1"/>
      </c>
      <c r="X35" s="547">
        <f t="shared" si="2"/>
      </c>
      <c r="Y35" s="546">
        <f t="shared" si="3"/>
      </c>
      <c r="Z35" s="548">
        <f t="shared" si="4"/>
      </c>
      <c r="AA35" s="538">
        <f t="shared" si="5"/>
      </c>
      <c r="AB35" s="548">
        <f t="shared" si="6"/>
      </c>
      <c r="AC35" s="537">
        <f t="shared" si="7"/>
      </c>
      <c r="AD35" s="539">
        <f t="shared" si="8"/>
      </c>
      <c r="AE35" s="506">
        <f t="shared" si="9"/>
      </c>
      <c r="AF35" s="503">
        <f t="shared" si="11"/>
      </c>
      <c r="AG35" s="847">
        <f>IF(B35="","",VLOOKUP($B35,'6-2_算定表⑤(新・新制度)'!$B$8:$AB$65536,27,FALSE))</f>
      </c>
      <c r="AH35" s="848" t="s">
        <v>205</v>
      </c>
      <c r="AI35" s="849" t="s">
        <v>205</v>
      </c>
      <c r="AK35" s="63">
        <f t="shared" si="12"/>
      </c>
      <c r="AL35" s="63">
        <f t="shared" si="10"/>
      </c>
    </row>
    <row r="36" spans="1:38" s="54" customFormat="1" ht="18.75" customHeight="1">
      <c r="A36" s="27">
        <f t="shared" si="0"/>
      </c>
      <c r="B36" s="280"/>
      <c r="C36" s="97">
        <f>IF(B36="","",VLOOKUP($B36,'6-2_算定表⑤(新・新制度)'!$B$8:$R$65536,2,FALSE))</f>
      </c>
      <c r="D36" s="541">
        <f>IF(B36="","",VLOOKUP($B36,'6-2_算定表⑤(新・新制度)'!$B$8:$R$65536,3,FALSE))</f>
      </c>
      <c r="E36" s="98">
        <f>IF(B36="","",VLOOKUP($B36,'6-2_算定表⑤(新・新制度)'!$B$8:$R$65536,4,FALSE))</f>
      </c>
      <c r="F36" s="542">
        <f>IF(B36="","",VLOOKUP($B36,'6-2_算定表⑤(新・新制度)'!$B$8:$R$65536,11,FALSE))</f>
      </c>
      <c r="G36" s="493">
        <f>IF(B36="","",VLOOKUP($B36,'6-2_算定表⑤(新・新制度)'!$B$8:$R$65536,13,FALSE))</f>
      </c>
      <c r="H36" s="542">
        <f>IF(B36="","",VLOOKUP($B36,'6-2_算定表⑤(新・新制度)'!$B$8:$R$65536,14,FALSE))</f>
      </c>
      <c r="I36" s="493">
        <f>IF(B36="","",VLOOKUP($B36,'6-2_算定表⑤(新・新制度)'!$B$8:$R$65536,16,FALSE))</f>
      </c>
      <c r="J36" s="506">
        <f>IF(B36="","",VLOOKUP($B36,'6-2_算定表⑤(新・新制度)'!$B$8:$R$65536,17,FALSE))</f>
      </c>
      <c r="K36" s="543">
        <f>IF($B36="","",VLOOKUP($B36,'6-2_算定表⑤(新・新制度)'!$B$8:$R$65536,11,FALSE))</f>
      </c>
      <c r="L36" s="544">
        <f>IF($B36="","",VLOOKUP($B36,'6-2_算定表⑤(新・新制度)'!$B$8:$R$65536,11,FALSE))</f>
      </c>
      <c r="M36" s="545">
        <f>IF($B36="","",VLOOKUP($B36,'6-2_算定表⑤(新・新制度)'!$B$8:$R$65536,11,FALSE))</f>
      </c>
      <c r="N36" s="543">
        <f>IF($B36="","",VLOOKUP($B36,'6-2_算定表⑤(新・新制度)'!$B$8:$R$65536,14,FALSE))</f>
      </c>
      <c r="O36" s="544">
        <f>IF($B36="","",VLOOKUP($B36,'6-2_算定表⑤(新・新制度)'!$B$8:$R$65536,14,FALSE))</f>
      </c>
      <c r="P36" s="544">
        <f>IF($B36="","",VLOOKUP($B36,'6-2_算定表⑤(新・新制度)'!$B$8:$R$65536,14,FALSE))</f>
      </c>
      <c r="Q36" s="544">
        <f>IF($B36="","",VLOOKUP($B36,'6-2_算定表⑤(新・新制度)'!$B$8:$R$65536,14,FALSE))</f>
      </c>
      <c r="R36" s="544">
        <f>IF($B36="","",VLOOKUP($B36,'6-2_算定表⑤(新・新制度)'!$B$8:$R$65536,14,FALSE))</f>
      </c>
      <c r="S36" s="544">
        <f>IF($B36="","",VLOOKUP($B36,'6-2_算定表⑤(新・新制度)'!$B$8:$R$65536,14,FALSE))</f>
      </c>
      <c r="T36" s="544">
        <f>IF($B36="","",VLOOKUP($B36,'6-2_算定表⑤(新・新制度)'!$B$8:$R$65536,14,FALSE))</f>
      </c>
      <c r="U36" s="544">
        <f>IF($B36="","",VLOOKUP($B36,'6-2_算定表⑤(新・新制度)'!$B$8:$R$65536,14,FALSE))</f>
      </c>
      <c r="V36" s="545">
        <f>IF($B36="","",VLOOKUP($B36,'6-2_算定表⑤(新・新制度)'!$B$8:$R$65536,14,FALSE))</f>
      </c>
      <c r="W36" s="546">
        <f t="shared" si="1"/>
      </c>
      <c r="X36" s="547">
        <f t="shared" si="2"/>
      </c>
      <c r="Y36" s="546">
        <f t="shared" si="3"/>
      </c>
      <c r="Z36" s="548">
        <f t="shared" si="4"/>
      </c>
      <c r="AA36" s="538">
        <f t="shared" si="5"/>
      </c>
      <c r="AB36" s="548">
        <f t="shared" si="6"/>
      </c>
      <c r="AC36" s="537">
        <f t="shared" si="7"/>
      </c>
      <c r="AD36" s="539">
        <f t="shared" si="8"/>
      </c>
      <c r="AE36" s="506">
        <f t="shared" si="9"/>
      </c>
      <c r="AF36" s="503">
        <f t="shared" si="11"/>
      </c>
      <c r="AG36" s="847">
        <f>IF(B36="","",VLOOKUP($B36,'6-2_算定表⑤(新・新制度)'!$B$8:$AB$65536,27,FALSE))</f>
      </c>
      <c r="AH36" s="848" t="s">
        <v>205</v>
      </c>
      <c r="AI36" s="849" t="s">
        <v>205</v>
      </c>
      <c r="AK36" s="63">
        <f t="shared" si="12"/>
      </c>
      <c r="AL36" s="63">
        <f t="shared" si="10"/>
      </c>
    </row>
    <row r="37" spans="1:38" s="54" customFormat="1" ht="18.75" customHeight="1">
      <c r="A37" s="27">
        <f t="shared" si="0"/>
      </c>
      <c r="B37" s="280"/>
      <c r="C37" s="97">
        <f>IF(B37="","",VLOOKUP($B37,'6-2_算定表⑤(新・新制度)'!$B$8:$R$65536,2,FALSE))</f>
      </c>
      <c r="D37" s="541">
        <f>IF(B37="","",VLOOKUP($B37,'6-2_算定表⑤(新・新制度)'!$B$8:$R$65536,3,FALSE))</f>
      </c>
      <c r="E37" s="98">
        <f>IF(B37="","",VLOOKUP($B37,'6-2_算定表⑤(新・新制度)'!$B$8:$R$65536,4,FALSE))</f>
      </c>
      <c r="F37" s="542">
        <f>IF(B37="","",VLOOKUP($B37,'6-2_算定表⑤(新・新制度)'!$B$8:$R$65536,11,FALSE))</f>
      </c>
      <c r="G37" s="493">
        <f>IF(B37="","",VLOOKUP($B37,'6-2_算定表⑤(新・新制度)'!$B$8:$R$65536,13,FALSE))</f>
      </c>
      <c r="H37" s="542">
        <f>IF(B37="","",VLOOKUP($B37,'6-2_算定表⑤(新・新制度)'!$B$8:$R$65536,14,FALSE))</f>
      </c>
      <c r="I37" s="493">
        <f>IF(B37="","",VLOOKUP($B37,'6-2_算定表⑤(新・新制度)'!$B$8:$R$65536,16,FALSE))</f>
      </c>
      <c r="J37" s="506">
        <f>IF(B37="","",VLOOKUP($B37,'6-2_算定表⑤(新・新制度)'!$B$8:$R$65536,17,FALSE))</f>
      </c>
      <c r="K37" s="543">
        <f>IF($B37="","",VLOOKUP($B37,'6-2_算定表⑤(新・新制度)'!$B$8:$R$65536,11,FALSE))</f>
      </c>
      <c r="L37" s="544">
        <f>IF($B37="","",VLOOKUP($B37,'6-2_算定表⑤(新・新制度)'!$B$8:$R$65536,11,FALSE))</f>
      </c>
      <c r="M37" s="545">
        <f>IF($B37="","",VLOOKUP($B37,'6-2_算定表⑤(新・新制度)'!$B$8:$R$65536,11,FALSE))</f>
      </c>
      <c r="N37" s="543">
        <f>IF($B37="","",VLOOKUP($B37,'6-2_算定表⑤(新・新制度)'!$B$8:$R$65536,14,FALSE))</f>
      </c>
      <c r="O37" s="544">
        <f>IF($B37="","",VLOOKUP($B37,'6-2_算定表⑤(新・新制度)'!$B$8:$R$65536,14,FALSE))</f>
      </c>
      <c r="P37" s="544">
        <f>IF($B37="","",VLOOKUP($B37,'6-2_算定表⑤(新・新制度)'!$B$8:$R$65536,14,FALSE))</f>
      </c>
      <c r="Q37" s="544">
        <f>IF($B37="","",VLOOKUP($B37,'6-2_算定表⑤(新・新制度)'!$B$8:$R$65536,14,FALSE))</f>
      </c>
      <c r="R37" s="544">
        <f>IF($B37="","",VLOOKUP($B37,'6-2_算定表⑤(新・新制度)'!$B$8:$R$65536,14,FALSE))</f>
      </c>
      <c r="S37" s="544">
        <f>IF($B37="","",VLOOKUP($B37,'6-2_算定表⑤(新・新制度)'!$B$8:$R$65536,14,FALSE))</f>
      </c>
      <c r="T37" s="544">
        <f>IF($B37="","",VLOOKUP($B37,'6-2_算定表⑤(新・新制度)'!$B$8:$R$65536,14,FALSE))</f>
      </c>
      <c r="U37" s="544">
        <f>IF($B37="","",VLOOKUP($B37,'6-2_算定表⑤(新・新制度)'!$B$8:$R$65536,14,FALSE))</f>
      </c>
      <c r="V37" s="545">
        <f>IF($B37="","",VLOOKUP($B37,'6-2_算定表⑤(新・新制度)'!$B$8:$R$65536,14,FALSE))</f>
      </c>
      <c r="W37" s="546">
        <f t="shared" si="1"/>
      </c>
      <c r="X37" s="547">
        <f t="shared" si="2"/>
      </c>
      <c r="Y37" s="546">
        <f t="shared" si="3"/>
      </c>
      <c r="Z37" s="548">
        <f t="shared" si="4"/>
      </c>
      <c r="AA37" s="538">
        <f t="shared" si="5"/>
      </c>
      <c r="AB37" s="548">
        <f t="shared" si="6"/>
      </c>
      <c r="AC37" s="537">
        <f t="shared" si="7"/>
      </c>
      <c r="AD37" s="539">
        <f t="shared" si="8"/>
      </c>
      <c r="AE37" s="506">
        <f t="shared" si="9"/>
      </c>
      <c r="AF37" s="503">
        <f t="shared" si="11"/>
      </c>
      <c r="AG37" s="847">
        <f>IF(B37="","",VLOOKUP($B37,'6-2_算定表⑤(新・新制度)'!$B$8:$AB$65536,27,FALSE))</f>
      </c>
      <c r="AH37" s="848" t="s">
        <v>205</v>
      </c>
      <c r="AI37" s="849" t="s">
        <v>205</v>
      </c>
      <c r="AK37" s="63">
        <f t="shared" si="12"/>
      </c>
      <c r="AL37" s="63">
        <f t="shared" si="10"/>
      </c>
    </row>
    <row r="38" spans="1:38" s="54" customFormat="1" ht="18.75" customHeight="1" thickBot="1">
      <c r="A38" s="27">
        <f t="shared" si="0"/>
      </c>
      <c r="B38" s="280"/>
      <c r="C38" s="97">
        <f>IF(B38="","",VLOOKUP($B38,'6-2_算定表⑤(新・新制度)'!$B$8:$R$65536,2,FALSE))</f>
      </c>
      <c r="D38" s="541">
        <f>IF(B38="","",VLOOKUP($B38,'6-2_算定表⑤(新・新制度)'!$B$8:$R$65536,3,FALSE))</f>
      </c>
      <c r="E38" s="98">
        <f>IF(B38="","",VLOOKUP($B38,'6-2_算定表⑤(新・新制度)'!$B$8:$R$65536,4,FALSE))</f>
      </c>
      <c r="F38" s="542">
        <f>IF(B38="","",VLOOKUP($B38,'6-2_算定表⑤(新・新制度)'!$B$8:$R$65536,11,FALSE))</f>
      </c>
      <c r="G38" s="493">
        <f>IF(B38="","",VLOOKUP($B38,'6-2_算定表⑤(新・新制度)'!$B$8:$R$65536,13,FALSE))</f>
      </c>
      <c r="H38" s="542">
        <f>IF(B38="","",VLOOKUP($B38,'6-2_算定表⑤(新・新制度)'!$B$8:$R$65536,14,FALSE))</f>
      </c>
      <c r="I38" s="493">
        <f>IF(B38="","",VLOOKUP($B38,'6-2_算定表⑤(新・新制度)'!$B$8:$R$65536,16,FALSE))</f>
      </c>
      <c r="J38" s="506">
        <f>IF(B38="","",VLOOKUP($B38,'6-2_算定表⑤(新・新制度)'!$B$8:$R$65536,17,FALSE))</f>
      </c>
      <c r="K38" s="543">
        <f>IF($B38="","",VLOOKUP($B38,'6-2_算定表⑤(新・新制度)'!$B$8:$R$65536,11,FALSE))</f>
      </c>
      <c r="L38" s="544">
        <f>IF($B38="","",VLOOKUP($B38,'6-2_算定表⑤(新・新制度)'!$B$8:$R$65536,11,FALSE))</f>
      </c>
      <c r="M38" s="545">
        <f>IF($B38="","",VLOOKUP($B38,'6-2_算定表⑤(新・新制度)'!$B$8:$R$65536,11,FALSE))</f>
      </c>
      <c r="N38" s="543">
        <f>IF($B38="","",VLOOKUP($B38,'6-2_算定表⑤(新・新制度)'!$B$8:$R$65536,14,FALSE))</f>
      </c>
      <c r="O38" s="544">
        <f>IF($B38="","",VLOOKUP($B38,'6-2_算定表⑤(新・新制度)'!$B$8:$R$65536,14,FALSE))</f>
      </c>
      <c r="P38" s="544">
        <f>IF($B38="","",VLOOKUP($B38,'6-2_算定表⑤(新・新制度)'!$B$8:$R$65536,14,FALSE))</f>
      </c>
      <c r="Q38" s="544">
        <f>IF($B38="","",VLOOKUP($B38,'6-2_算定表⑤(新・新制度)'!$B$8:$R$65536,14,FALSE))</f>
      </c>
      <c r="R38" s="544">
        <f>IF($B38="","",VLOOKUP($B38,'6-2_算定表⑤(新・新制度)'!$B$8:$R$65536,14,FALSE))</f>
      </c>
      <c r="S38" s="544">
        <f>IF($B38="","",VLOOKUP($B38,'6-2_算定表⑤(新・新制度)'!$B$8:$R$65536,14,FALSE))</f>
      </c>
      <c r="T38" s="544">
        <f>IF($B38="","",VLOOKUP($B38,'6-2_算定表⑤(新・新制度)'!$B$8:$R$65536,14,FALSE))</f>
      </c>
      <c r="U38" s="544">
        <f>IF($B38="","",VLOOKUP($B38,'6-2_算定表⑤(新・新制度)'!$B$8:$R$65536,14,FALSE))</f>
      </c>
      <c r="V38" s="545">
        <f>IF($B38="","",VLOOKUP($B38,'6-2_算定表⑤(新・新制度)'!$B$8:$R$65536,14,FALSE))</f>
      </c>
      <c r="W38" s="587">
        <f t="shared" si="1"/>
      </c>
      <c r="X38" s="588">
        <f t="shared" si="2"/>
      </c>
      <c r="Y38" s="587">
        <f t="shared" si="3"/>
      </c>
      <c r="Z38" s="589">
        <f t="shared" si="4"/>
      </c>
      <c r="AA38" s="550">
        <f t="shared" si="5"/>
      </c>
      <c r="AB38" s="589">
        <f t="shared" si="6"/>
      </c>
      <c r="AC38" s="549">
        <f t="shared" si="7"/>
      </c>
      <c r="AD38" s="551">
        <f t="shared" si="8"/>
      </c>
      <c r="AE38" s="506">
        <f t="shared" si="9"/>
      </c>
      <c r="AF38" s="503">
        <f t="shared" si="11"/>
      </c>
      <c r="AG38" s="966">
        <f>IF(B38="","",VLOOKUP($B38,'6-2_算定表⑤(新・新制度)'!$B$8:$AB$65536,27,FALSE))</f>
      </c>
      <c r="AH38" s="967" t="s">
        <v>205</v>
      </c>
      <c r="AI38" s="968" t="s">
        <v>205</v>
      </c>
      <c r="AK38" s="63">
        <f t="shared" si="12"/>
      </c>
      <c r="AL38" s="63">
        <f t="shared" si="10"/>
      </c>
    </row>
    <row r="39" spans="1:38" s="69" customFormat="1" ht="18.75" customHeight="1" thickBot="1">
      <c r="A39" s="715" t="s">
        <v>27</v>
      </c>
      <c r="B39" s="850"/>
      <c r="C39" s="850"/>
      <c r="D39" s="850"/>
      <c r="E39" s="850"/>
      <c r="F39" s="850"/>
      <c r="G39" s="850"/>
      <c r="H39" s="850"/>
      <c r="I39" s="850"/>
      <c r="J39" s="513">
        <f>SUM(J9:J38)</f>
        <v>0</v>
      </c>
      <c r="K39" s="568" t="s">
        <v>155</v>
      </c>
      <c r="L39" s="569" t="s">
        <v>155</v>
      </c>
      <c r="M39" s="570" t="s">
        <v>155</v>
      </c>
      <c r="N39" s="568" t="s">
        <v>155</v>
      </c>
      <c r="O39" s="569" t="s">
        <v>155</v>
      </c>
      <c r="P39" s="569" t="s">
        <v>155</v>
      </c>
      <c r="Q39" s="569" t="s">
        <v>155</v>
      </c>
      <c r="R39" s="569" t="s">
        <v>155</v>
      </c>
      <c r="S39" s="569" t="s">
        <v>155</v>
      </c>
      <c r="T39" s="569" t="s">
        <v>155</v>
      </c>
      <c r="U39" s="569" t="s">
        <v>155</v>
      </c>
      <c r="V39" s="570" t="s">
        <v>155</v>
      </c>
      <c r="W39" s="568" t="s">
        <v>155</v>
      </c>
      <c r="X39" s="571" t="s">
        <v>155</v>
      </c>
      <c r="Y39" s="568" t="s">
        <v>155</v>
      </c>
      <c r="Z39" s="572" t="s">
        <v>155</v>
      </c>
      <c r="AA39" s="573" t="s">
        <v>155</v>
      </c>
      <c r="AB39" s="574" t="s">
        <v>155</v>
      </c>
      <c r="AC39" s="575" t="s">
        <v>155</v>
      </c>
      <c r="AD39" s="570" t="s">
        <v>155</v>
      </c>
      <c r="AE39" s="513">
        <f>SUM(AE9:AE38)</f>
        <v>0</v>
      </c>
      <c r="AF39" s="513">
        <f>SUM(AF9:AF38)</f>
        <v>0</v>
      </c>
      <c r="AG39" s="718"/>
      <c r="AH39" s="719"/>
      <c r="AI39" s="720"/>
      <c r="AK39" s="70"/>
      <c r="AL39" s="70"/>
    </row>
    <row r="40" spans="1:38" s="71" customFormat="1" ht="16.5" customHeight="1">
      <c r="A40" s="71" t="s">
        <v>29</v>
      </c>
      <c r="B40" s="268"/>
      <c r="C40" s="290"/>
      <c r="AK40" s="72"/>
      <c r="AL40" s="72"/>
    </row>
    <row r="41" spans="1:29" s="190" customFormat="1" ht="14.25" customHeight="1">
      <c r="A41" s="283" t="s">
        <v>254</v>
      </c>
      <c r="B41" s="269"/>
      <c r="C41" s="291"/>
      <c r="Z41" s="191"/>
      <c r="AA41" s="191"/>
      <c r="AC41" s="191"/>
    </row>
    <row r="42" spans="1:38" s="190" customFormat="1" ht="11.25">
      <c r="A42" s="283" t="s">
        <v>71</v>
      </c>
      <c r="C42" s="291"/>
      <c r="AK42" s="191"/>
      <c r="AL42" s="191"/>
    </row>
    <row r="43" spans="1:38" s="190" customFormat="1" ht="10.5" customHeight="1">
      <c r="A43" s="283" t="s">
        <v>179</v>
      </c>
      <c r="B43" s="269"/>
      <c r="C43" s="291"/>
      <c r="AK43" s="191"/>
      <c r="AL43" s="191"/>
    </row>
    <row r="44" spans="2:38" s="71" customFormat="1" ht="10.5" customHeight="1">
      <c r="B44" s="268"/>
      <c r="C44" s="290"/>
      <c r="AK44" s="72"/>
      <c r="AL44" s="72"/>
    </row>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sheetData>
  <sheetProtection/>
  <mergeCells count="73">
    <mergeCell ref="AG36:AI36"/>
    <mergeCell ref="AG37:AI37"/>
    <mergeCell ref="AG38:AI38"/>
    <mergeCell ref="A39:I39"/>
    <mergeCell ref="AG39:AI39"/>
    <mergeCell ref="AG30:AI30"/>
    <mergeCell ref="AG31:AI31"/>
    <mergeCell ref="AG32:AI32"/>
    <mergeCell ref="AG33:AI33"/>
    <mergeCell ref="AG34:AI34"/>
    <mergeCell ref="AG35:AI35"/>
    <mergeCell ref="AG22:AI22"/>
    <mergeCell ref="AG23:AI23"/>
    <mergeCell ref="AG25:AI25"/>
    <mergeCell ref="AG26:AI26"/>
    <mergeCell ref="AG28:AI28"/>
    <mergeCell ref="AG29:AI29"/>
    <mergeCell ref="AG12:AI12"/>
    <mergeCell ref="AG13:AI13"/>
    <mergeCell ref="AG14:AI14"/>
    <mergeCell ref="AG17:AI17"/>
    <mergeCell ref="AG18:AI18"/>
    <mergeCell ref="AG19:AI19"/>
    <mergeCell ref="U7:U8"/>
    <mergeCell ref="V7:V8"/>
    <mergeCell ref="AK7:AK8"/>
    <mergeCell ref="AL7:AL8"/>
    <mergeCell ref="AG9:AI9"/>
    <mergeCell ref="AG11:AI11"/>
    <mergeCell ref="AA6:AA8"/>
    <mergeCell ref="AB6:AB8"/>
    <mergeCell ref="AC6:AC8"/>
    <mergeCell ref="AD6:AD8"/>
    <mergeCell ref="K7:K8"/>
    <mergeCell ref="L7:L8"/>
    <mergeCell ref="M7:M8"/>
    <mergeCell ref="N7:N8"/>
    <mergeCell ref="O7:O8"/>
    <mergeCell ref="P7:P8"/>
    <mergeCell ref="K6:M6"/>
    <mergeCell ref="N6:V6"/>
    <mergeCell ref="W6:W8"/>
    <mergeCell ref="X6:X8"/>
    <mergeCell ref="Y6:Y8"/>
    <mergeCell ref="Z6:Z8"/>
    <mergeCell ref="Q7:Q8"/>
    <mergeCell ref="R7:R8"/>
    <mergeCell ref="S7:S8"/>
    <mergeCell ref="T7:T8"/>
    <mergeCell ref="K4:AD4"/>
    <mergeCell ref="AE4:AE7"/>
    <mergeCell ref="AF4:AF7"/>
    <mergeCell ref="AG4:AI8"/>
    <mergeCell ref="F5:J5"/>
    <mergeCell ref="K5:V5"/>
    <mergeCell ref="W5:AD5"/>
    <mergeCell ref="F6:F8"/>
    <mergeCell ref="G6:G7"/>
    <mergeCell ref="H6:H8"/>
    <mergeCell ref="A4:A8"/>
    <mergeCell ref="B4:B8"/>
    <mergeCell ref="C4:C8"/>
    <mergeCell ref="D4:D8"/>
    <mergeCell ref="E4:E8"/>
    <mergeCell ref="F4:J4"/>
    <mergeCell ref="I6:I7"/>
    <mergeCell ref="J6:J7"/>
    <mergeCell ref="W1:Y1"/>
    <mergeCell ref="Z1:AF1"/>
    <mergeCell ref="AH1:AI1"/>
    <mergeCell ref="W2:Y2"/>
    <mergeCell ref="Z2:AF2"/>
    <mergeCell ref="AH2:AI2"/>
  </mergeCells>
  <dataValidations count="2">
    <dataValidation type="whole" allowBlank="1" showInputMessage="1" showErrorMessage="1" sqref="B14:B38">
      <formula1>1</formula1>
      <formula2>999999</formula2>
    </dataValidation>
    <dataValidation type="list" allowBlank="1" showInputMessage="1" showErrorMessage="1" sqref="K9:V38">
      <formula1>"Ａ,Ｂ,Ｃ,Ｄ"</formula1>
    </dataValidation>
  </dataValidations>
  <printOptions/>
  <pageMargins left="0.7480314960629921" right="0.7480314960629921" top="0.984251968503937" bottom="0.984251968503937" header="0.5118110236220472" footer="0.5118110236220472"/>
  <pageSetup cellComments="asDisplayed" fitToWidth="0"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sheetPr codeName="Sheet1">
    <tabColor rgb="FF002060"/>
    <pageSetUpPr fitToPage="1"/>
  </sheetPr>
  <dimension ref="A1:AF38"/>
  <sheetViews>
    <sheetView view="pageBreakPreview" zoomScale="85" zoomScaleNormal="75" zoomScaleSheetLayoutView="85" zoomScalePageLayoutView="0" workbookViewId="0" topLeftCell="A1">
      <selection activeCell="N17" sqref="N17"/>
    </sheetView>
  </sheetViews>
  <sheetFormatPr defaultColWidth="9.625" defaultRowHeight="13.5"/>
  <cols>
    <col min="1" max="26" width="3.00390625" style="2" customWidth="1"/>
    <col min="27" max="28" width="3.125" style="2" customWidth="1"/>
    <col min="29" max="33" width="3.00390625" style="2" customWidth="1"/>
    <col min="34" max="51" width="3.125" style="2" customWidth="1"/>
    <col min="52" max="52" width="7.25390625" style="2" customWidth="1"/>
    <col min="53" max="53" width="12.125" style="2" customWidth="1"/>
    <col min="54" max="16384" width="9.625" style="2" customWidth="1"/>
  </cols>
  <sheetData>
    <row r="1" spans="1:2" ht="22.5" customHeight="1">
      <c r="A1" s="1" t="s">
        <v>243</v>
      </c>
      <c r="B1" s="1"/>
    </row>
    <row r="2" spans="1:2" ht="22.5" customHeight="1" thickBot="1">
      <c r="A2" s="1"/>
      <c r="B2" s="1"/>
    </row>
    <row r="3" spans="1:32" ht="24.75" customHeight="1">
      <c r="A3" s="645" t="s">
        <v>25</v>
      </c>
      <c r="B3" s="645"/>
      <c r="C3" s="645"/>
      <c r="D3" s="645"/>
      <c r="E3" s="633"/>
      <c r="F3" s="634"/>
      <c r="G3" s="634"/>
      <c r="H3" s="634"/>
      <c r="I3" s="634"/>
      <c r="J3" s="634"/>
      <c r="K3" s="634"/>
      <c r="L3" s="634"/>
      <c r="M3" s="634"/>
      <c r="N3" s="634"/>
      <c r="O3" s="634"/>
      <c r="P3" s="634"/>
      <c r="Q3" s="634"/>
      <c r="R3" s="634"/>
      <c r="S3" s="634"/>
      <c r="T3" s="634"/>
      <c r="U3" s="635"/>
      <c r="V3" s="631" t="s">
        <v>26</v>
      </c>
      <c r="W3" s="631"/>
      <c r="X3" s="631"/>
      <c r="Y3" s="631"/>
      <c r="Z3" s="646"/>
      <c r="AA3" s="647"/>
      <c r="AB3" s="647"/>
      <c r="AC3" s="647"/>
      <c r="AD3" s="647"/>
      <c r="AE3" s="647"/>
      <c r="AF3" s="648"/>
    </row>
    <row r="4" spans="1:32" ht="24.75" customHeight="1" thickBot="1">
      <c r="A4" s="642" t="s">
        <v>23</v>
      </c>
      <c r="B4" s="643"/>
      <c r="C4" s="643"/>
      <c r="D4" s="644"/>
      <c r="E4" s="636"/>
      <c r="F4" s="637"/>
      <c r="G4" s="637"/>
      <c r="H4" s="637"/>
      <c r="I4" s="637"/>
      <c r="J4" s="637"/>
      <c r="K4" s="637"/>
      <c r="L4" s="637"/>
      <c r="M4" s="637"/>
      <c r="N4" s="637"/>
      <c r="O4" s="637"/>
      <c r="P4" s="637"/>
      <c r="Q4" s="637"/>
      <c r="R4" s="637"/>
      <c r="S4" s="637"/>
      <c r="T4" s="637"/>
      <c r="U4" s="638"/>
      <c r="V4" s="632" t="s">
        <v>24</v>
      </c>
      <c r="W4" s="632"/>
      <c r="X4" s="632"/>
      <c r="Y4" s="632"/>
      <c r="Z4" s="649"/>
      <c r="AA4" s="650"/>
      <c r="AB4" s="650"/>
      <c r="AC4" s="650"/>
      <c r="AD4" s="651"/>
      <c r="AE4" s="650"/>
      <c r="AF4" s="652"/>
    </row>
    <row r="5" spans="1:32" s="33" customFormat="1" ht="22.5" customHeight="1" thickBot="1">
      <c r="A5" s="30"/>
      <c r="B5" s="30"/>
      <c r="C5" s="30"/>
      <c r="D5" s="30"/>
      <c r="E5" s="31"/>
      <c r="F5" s="31"/>
      <c r="G5" s="31"/>
      <c r="H5" s="31"/>
      <c r="I5" s="31"/>
      <c r="J5" s="31"/>
      <c r="K5" s="31"/>
      <c r="L5" s="31"/>
      <c r="M5" s="31"/>
      <c r="N5" s="31"/>
      <c r="O5" s="31"/>
      <c r="P5" s="31"/>
      <c r="Q5" s="31"/>
      <c r="R5" s="31"/>
      <c r="S5" s="31"/>
      <c r="T5" s="31"/>
      <c r="U5" s="31"/>
      <c r="V5" s="31"/>
      <c r="W5" s="31"/>
      <c r="X5" s="31"/>
      <c r="Y5" s="31"/>
      <c r="Z5" s="30"/>
      <c r="AA5" s="30"/>
      <c r="AB5" s="30"/>
      <c r="AC5" s="30"/>
      <c r="AD5" s="32"/>
      <c r="AE5" s="32"/>
      <c r="AF5" s="32"/>
    </row>
    <row r="6" spans="1:32" ht="22.5" customHeight="1">
      <c r="A6" s="12"/>
      <c r="B6" s="13"/>
      <c r="C6" s="13"/>
      <c r="D6" s="13"/>
      <c r="E6" s="13"/>
      <c r="F6" s="13"/>
      <c r="G6" s="13"/>
      <c r="H6" s="13"/>
      <c r="I6" s="13"/>
      <c r="J6" s="13"/>
      <c r="K6" s="13"/>
      <c r="L6" s="14"/>
      <c r="M6" s="3"/>
      <c r="N6" s="3"/>
      <c r="O6" s="3"/>
      <c r="P6" s="3"/>
      <c r="Q6" s="3"/>
      <c r="R6" s="3"/>
      <c r="S6" s="3"/>
      <c r="T6" s="3"/>
      <c r="U6" s="3"/>
      <c r="V6" s="3"/>
      <c r="W6" s="3"/>
      <c r="X6" s="3"/>
      <c r="Y6" s="3"/>
      <c r="Z6" s="3"/>
      <c r="AA6" s="3"/>
      <c r="AB6" s="3"/>
      <c r="AC6" s="3"/>
      <c r="AD6" s="3"/>
      <c r="AE6" s="3"/>
      <c r="AF6" s="4"/>
    </row>
    <row r="7" spans="1:32" ht="22.5" customHeight="1">
      <c r="A7" s="639" t="s">
        <v>33</v>
      </c>
      <c r="B7" s="640"/>
      <c r="C7" s="640"/>
      <c r="D7" s="640"/>
      <c r="E7" s="640"/>
      <c r="F7" s="640"/>
      <c r="G7" s="640"/>
      <c r="H7" s="640"/>
      <c r="I7" s="640"/>
      <c r="J7" s="640"/>
      <c r="K7" s="640"/>
      <c r="L7" s="641"/>
      <c r="M7" s="7"/>
      <c r="N7" s="7" t="s">
        <v>39</v>
      </c>
      <c r="O7" s="7"/>
      <c r="P7" s="7"/>
      <c r="Q7" s="7"/>
      <c r="R7" s="7"/>
      <c r="S7" s="7"/>
      <c r="T7" s="7"/>
      <c r="U7" s="7"/>
      <c r="V7" s="7"/>
      <c r="W7" s="7"/>
      <c r="X7" s="7"/>
      <c r="Y7" s="7"/>
      <c r="Z7" s="7"/>
      <c r="AA7" s="7"/>
      <c r="AB7" s="7"/>
      <c r="AC7" s="7"/>
      <c r="AD7" s="7"/>
      <c r="AE7" s="7"/>
      <c r="AF7" s="8"/>
    </row>
    <row r="8" spans="1:32" ht="22.5" customHeight="1" thickBot="1">
      <c r="A8" s="15"/>
      <c r="B8" s="16"/>
      <c r="C8" s="16"/>
      <c r="D8" s="16"/>
      <c r="E8" s="16"/>
      <c r="F8" s="16"/>
      <c r="G8" s="16"/>
      <c r="H8" s="16"/>
      <c r="I8" s="16"/>
      <c r="J8" s="16"/>
      <c r="K8" s="16"/>
      <c r="L8" s="17"/>
      <c r="M8" s="9"/>
      <c r="N8" s="9"/>
      <c r="O8" s="9"/>
      <c r="P8" s="9"/>
      <c r="Q8" s="9"/>
      <c r="R8" s="9"/>
      <c r="S8" s="9"/>
      <c r="T8" s="9"/>
      <c r="U8" s="9"/>
      <c r="V8" s="9"/>
      <c r="W8" s="9"/>
      <c r="X8" s="9"/>
      <c r="Y8" s="9"/>
      <c r="Z8" s="9"/>
      <c r="AA8" s="9"/>
      <c r="AB8" s="9"/>
      <c r="AC8" s="9"/>
      <c r="AD8" s="9"/>
      <c r="AE8" s="9"/>
      <c r="AF8" s="10"/>
    </row>
    <row r="9" spans="1:32" ht="22.5" customHeight="1">
      <c r="A9" s="21"/>
      <c r="B9" s="22"/>
      <c r="C9" s="22"/>
      <c r="D9" s="22"/>
      <c r="E9" s="22"/>
      <c r="F9" s="22"/>
      <c r="G9" s="22"/>
      <c r="H9" s="22"/>
      <c r="I9" s="22"/>
      <c r="J9" s="22"/>
      <c r="K9" s="22"/>
      <c r="L9" s="23"/>
      <c r="M9" s="3"/>
      <c r="N9" s="3"/>
      <c r="O9" s="3"/>
      <c r="P9" s="3"/>
      <c r="Q9" s="3"/>
      <c r="R9" s="3"/>
      <c r="S9" s="3"/>
      <c r="T9" s="3"/>
      <c r="U9" s="3"/>
      <c r="V9" s="3"/>
      <c r="W9" s="3"/>
      <c r="X9" s="3"/>
      <c r="Y9" s="3"/>
      <c r="Z9" s="3"/>
      <c r="AA9" s="3"/>
      <c r="AB9" s="3"/>
      <c r="AC9" s="3"/>
      <c r="AD9" s="3"/>
      <c r="AE9" s="3"/>
      <c r="AF9" s="4"/>
    </row>
    <row r="10" spans="1:32" ht="22.5" customHeight="1">
      <c r="A10" s="639" t="s">
        <v>34</v>
      </c>
      <c r="B10" s="640"/>
      <c r="C10" s="640"/>
      <c r="D10" s="640"/>
      <c r="E10" s="640"/>
      <c r="F10" s="640"/>
      <c r="G10" s="640"/>
      <c r="H10" s="640"/>
      <c r="I10" s="640"/>
      <c r="J10" s="640"/>
      <c r="K10" s="640"/>
      <c r="L10" s="641"/>
      <c r="M10" s="7"/>
      <c r="N10" s="7" t="s">
        <v>40</v>
      </c>
      <c r="O10" s="7"/>
      <c r="P10" s="7"/>
      <c r="Q10" s="7"/>
      <c r="R10" s="7"/>
      <c r="S10" s="7"/>
      <c r="T10" s="7"/>
      <c r="U10" s="7"/>
      <c r="V10" s="7"/>
      <c r="W10" s="7"/>
      <c r="X10" s="7"/>
      <c r="Y10" s="7"/>
      <c r="Z10" s="7"/>
      <c r="AA10" s="7"/>
      <c r="AB10" s="7"/>
      <c r="AC10" s="7"/>
      <c r="AD10" s="7"/>
      <c r="AE10" s="7"/>
      <c r="AF10" s="8"/>
    </row>
    <row r="11" spans="1:32" ht="22.5" customHeight="1" thickBot="1">
      <c r="A11" s="15"/>
      <c r="B11" s="16"/>
      <c r="C11" s="16"/>
      <c r="D11" s="16"/>
      <c r="E11" s="16"/>
      <c r="F11" s="16"/>
      <c r="G11" s="16"/>
      <c r="H11" s="16"/>
      <c r="I11" s="16"/>
      <c r="J11" s="16"/>
      <c r="K11" s="16"/>
      <c r="L11" s="17"/>
      <c r="M11" s="9"/>
      <c r="N11" s="9"/>
      <c r="O11" s="9"/>
      <c r="P11" s="9"/>
      <c r="Q11" s="9"/>
      <c r="R11" s="9"/>
      <c r="S11" s="9"/>
      <c r="T11" s="9"/>
      <c r="U11" s="9"/>
      <c r="V11" s="9"/>
      <c r="W11" s="9"/>
      <c r="X11" s="9"/>
      <c r="Y11" s="9"/>
      <c r="Z11" s="9"/>
      <c r="AA11" s="9"/>
      <c r="AB11" s="9"/>
      <c r="AC11" s="9"/>
      <c r="AD11" s="9"/>
      <c r="AE11" s="9"/>
      <c r="AF11" s="10"/>
    </row>
    <row r="12" spans="1:32" ht="22.5" customHeight="1">
      <c r="A12" s="12"/>
      <c r="B12" s="13"/>
      <c r="C12" s="13"/>
      <c r="D12" s="13"/>
      <c r="E12" s="13"/>
      <c r="F12" s="13"/>
      <c r="G12" s="13"/>
      <c r="H12" s="13"/>
      <c r="I12" s="13"/>
      <c r="J12" s="13"/>
      <c r="K12" s="13"/>
      <c r="L12" s="14"/>
      <c r="M12" s="3"/>
      <c r="N12" s="3"/>
      <c r="O12" s="3"/>
      <c r="P12" s="3"/>
      <c r="Q12" s="3"/>
      <c r="R12" s="3"/>
      <c r="S12" s="3"/>
      <c r="T12" s="3"/>
      <c r="U12" s="3"/>
      <c r="V12" s="3"/>
      <c r="W12" s="3"/>
      <c r="X12" s="3"/>
      <c r="Y12" s="3"/>
      <c r="Z12" s="3"/>
      <c r="AA12" s="3"/>
      <c r="AB12" s="3"/>
      <c r="AC12" s="3"/>
      <c r="AD12" s="3"/>
      <c r="AE12" s="3"/>
      <c r="AF12" s="4"/>
    </row>
    <row r="13" spans="1:32" ht="22.5" customHeight="1">
      <c r="A13" s="639" t="s">
        <v>35</v>
      </c>
      <c r="B13" s="640"/>
      <c r="C13" s="640"/>
      <c r="D13" s="640"/>
      <c r="E13" s="640"/>
      <c r="F13" s="640"/>
      <c r="G13" s="640"/>
      <c r="H13" s="640"/>
      <c r="I13" s="640"/>
      <c r="J13" s="640"/>
      <c r="K13" s="640"/>
      <c r="L13" s="641"/>
      <c r="M13" s="7"/>
      <c r="N13" s="7" t="s">
        <v>41</v>
      </c>
      <c r="O13" s="7"/>
      <c r="P13" s="7"/>
      <c r="Q13" s="7"/>
      <c r="R13" s="7"/>
      <c r="S13" s="7"/>
      <c r="T13" s="7"/>
      <c r="U13" s="7"/>
      <c r="V13" s="7"/>
      <c r="W13" s="7"/>
      <c r="X13" s="7"/>
      <c r="Y13" s="7"/>
      <c r="Z13" s="7"/>
      <c r="AA13" s="7"/>
      <c r="AB13" s="7"/>
      <c r="AC13" s="7"/>
      <c r="AD13" s="7"/>
      <c r="AE13" s="7"/>
      <c r="AF13" s="8"/>
    </row>
    <row r="14" spans="1:32" ht="22.5" customHeight="1" thickBot="1">
      <c r="A14" s="15"/>
      <c r="B14" s="16"/>
      <c r="C14" s="16"/>
      <c r="D14" s="16"/>
      <c r="E14" s="16"/>
      <c r="F14" s="16"/>
      <c r="G14" s="16"/>
      <c r="H14" s="16"/>
      <c r="I14" s="16"/>
      <c r="J14" s="16"/>
      <c r="K14" s="16"/>
      <c r="L14" s="17"/>
      <c r="M14" s="9"/>
      <c r="N14" s="9"/>
      <c r="O14" s="9"/>
      <c r="P14" s="9"/>
      <c r="Q14" s="9"/>
      <c r="R14" s="9"/>
      <c r="S14" s="9"/>
      <c r="T14" s="9"/>
      <c r="U14" s="9"/>
      <c r="V14" s="9"/>
      <c r="W14" s="9"/>
      <c r="X14" s="9"/>
      <c r="Y14" s="9"/>
      <c r="Z14" s="9"/>
      <c r="AA14" s="9"/>
      <c r="AB14" s="9"/>
      <c r="AC14" s="9"/>
      <c r="AD14" s="9"/>
      <c r="AE14" s="9"/>
      <c r="AF14" s="10"/>
    </row>
    <row r="15" spans="1:32" ht="22.5" customHeight="1">
      <c r="A15" s="12"/>
      <c r="B15" s="13"/>
      <c r="C15" s="13"/>
      <c r="D15" s="13"/>
      <c r="E15" s="13"/>
      <c r="F15" s="13"/>
      <c r="G15" s="13"/>
      <c r="H15" s="13"/>
      <c r="I15" s="13"/>
      <c r="J15" s="13"/>
      <c r="K15" s="13"/>
      <c r="L15" s="14"/>
      <c r="M15" s="3"/>
      <c r="N15" s="3"/>
      <c r="O15" s="3"/>
      <c r="P15" s="3"/>
      <c r="Q15" s="3"/>
      <c r="R15" s="3"/>
      <c r="S15" s="3"/>
      <c r="T15" s="3"/>
      <c r="U15" s="3"/>
      <c r="V15" s="3"/>
      <c r="W15" s="3"/>
      <c r="X15" s="3"/>
      <c r="Y15" s="3"/>
      <c r="Z15" s="3"/>
      <c r="AA15" s="3"/>
      <c r="AB15" s="3"/>
      <c r="AC15" s="3"/>
      <c r="AD15" s="3"/>
      <c r="AE15" s="3"/>
      <c r="AF15" s="4"/>
    </row>
    <row r="16" spans="1:32" ht="22.5" customHeight="1">
      <c r="A16" s="639" t="s">
        <v>36</v>
      </c>
      <c r="B16" s="640"/>
      <c r="C16" s="640"/>
      <c r="D16" s="640"/>
      <c r="E16" s="640"/>
      <c r="F16" s="640"/>
      <c r="G16" s="640"/>
      <c r="H16" s="640"/>
      <c r="I16" s="640"/>
      <c r="J16" s="640"/>
      <c r="K16" s="640"/>
      <c r="L16" s="641"/>
      <c r="M16" s="7"/>
      <c r="N16" s="654">
        <v>43190</v>
      </c>
      <c r="O16" s="654"/>
      <c r="P16" s="654"/>
      <c r="Q16" s="654"/>
      <c r="R16" s="654"/>
      <c r="S16" s="654"/>
      <c r="T16" s="654"/>
      <c r="U16" s="654"/>
      <c r="V16" s="654"/>
      <c r="W16" s="654"/>
      <c r="X16" s="654"/>
      <c r="Y16" s="654"/>
      <c r="Z16" s="654"/>
      <c r="AA16" s="654"/>
      <c r="AB16" s="654"/>
      <c r="AC16" s="654"/>
      <c r="AD16" s="7"/>
      <c r="AE16" s="7"/>
      <c r="AF16" s="8"/>
    </row>
    <row r="17" spans="1:32" ht="22.5" customHeight="1" thickBot="1">
      <c r="A17" s="15"/>
      <c r="B17" s="16"/>
      <c r="C17" s="16"/>
      <c r="D17" s="16"/>
      <c r="E17" s="16"/>
      <c r="F17" s="16"/>
      <c r="G17" s="16"/>
      <c r="H17" s="16"/>
      <c r="I17" s="16"/>
      <c r="J17" s="16"/>
      <c r="K17" s="16"/>
      <c r="L17" s="17"/>
      <c r="M17" s="9"/>
      <c r="N17" s="9"/>
      <c r="O17" s="9"/>
      <c r="P17" s="9"/>
      <c r="Q17" s="9"/>
      <c r="R17" s="9"/>
      <c r="S17" s="9"/>
      <c r="T17" s="9"/>
      <c r="U17" s="9"/>
      <c r="V17" s="9"/>
      <c r="W17" s="9"/>
      <c r="X17" s="9"/>
      <c r="Y17" s="9"/>
      <c r="Z17" s="9"/>
      <c r="AA17" s="9"/>
      <c r="AB17" s="9"/>
      <c r="AC17" s="9"/>
      <c r="AD17" s="9"/>
      <c r="AE17" s="9"/>
      <c r="AF17" s="10"/>
    </row>
    <row r="18" spans="1:32" ht="22.5" customHeight="1">
      <c r="A18" s="12"/>
      <c r="B18" s="13"/>
      <c r="C18" s="13"/>
      <c r="D18" s="13"/>
      <c r="E18" s="13"/>
      <c r="F18" s="13"/>
      <c r="G18" s="13"/>
      <c r="H18" s="13"/>
      <c r="I18" s="13"/>
      <c r="J18" s="13"/>
      <c r="K18" s="13"/>
      <c r="L18" s="14"/>
      <c r="M18" s="3"/>
      <c r="N18" s="3"/>
      <c r="O18" s="3"/>
      <c r="P18" s="3"/>
      <c r="Q18" s="3"/>
      <c r="R18" s="3"/>
      <c r="S18" s="3"/>
      <c r="T18" s="3"/>
      <c r="U18" s="3"/>
      <c r="V18" s="3"/>
      <c r="W18" s="3"/>
      <c r="X18" s="3"/>
      <c r="Y18" s="3"/>
      <c r="Z18" s="3"/>
      <c r="AA18" s="3"/>
      <c r="AB18" s="3"/>
      <c r="AC18" s="3"/>
      <c r="AD18" s="3"/>
      <c r="AE18" s="3"/>
      <c r="AF18" s="4"/>
    </row>
    <row r="19" spans="1:32" ht="22.5" customHeight="1">
      <c r="A19" s="639" t="s">
        <v>37</v>
      </c>
      <c r="B19" s="640"/>
      <c r="C19" s="640"/>
      <c r="D19" s="640"/>
      <c r="E19" s="640"/>
      <c r="F19" s="640"/>
      <c r="G19" s="640"/>
      <c r="H19" s="640"/>
      <c r="I19" s="640"/>
      <c r="J19" s="640"/>
      <c r="K19" s="640"/>
      <c r="L19" s="641"/>
      <c r="M19" s="7"/>
      <c r="N19" s="7" t="s">
        <v>42</v>
      </c>
      <c r="O19" s="7"/>
      <c r="P19" s="7"/>
      <c r="Q19" s="7"/>
      <c r="R19" s="7"/>
      <c r="S19" s="7"/>
      <c r="T19" s="7"/>
      <c r="U19" s="7"/>
      <c r="V19" s="7"/>
      <c r="W19" s="7"/>
      <c r="X19" s="7"/>
      <c r="Y19" s="7"/>
      <c r="Z19" s="7"/>
      <c r="AA19" s="7"/>
      <c r="AB19" s="7"/>
      <c r="AC19" s="7"/>
      <c r="AD19" s="7"/>
      <c r="AE19" s="7"/>
      <c r="AF19" s="8"/>
    </row>
    <row r="20" spans="1:32" ht="22.5" customHeight="1">
      <c r="A20" s="639"/>
      <c r="B20" s="640"/>
      <c r="C20" s="640"/>
      <c r="D20" s="640"/>
      <c r="E20" s="640"/>
      <c r="F20" s="640"/>
      <c r="G20" s="640"/>
      <c r="H20" s="640"/>
      <c r="I20" s="640"/>
      <c r="J20" s="640"/>
      <c r="K20" s="640"/>
      <c r="L20" s="641"/>
      <c r="M20" s="7"/>
      <c r="N20" s="7" t="s">
        <v>43</v>
      </c>
      <c r="O20" s="7"/>
      <c r="P20" s="7"/>
      <c r="Q20" s="7"/>
      <c r="R20" s="7"/>
      <c r="S20" s="7"/>
      <c r="T20" s="7"/>
      <c r="U20" s="7"/>
      <c r="V20" s="7"/>
      <c r="W20" s="7"/>
      <c r="X20" s="7"/>
      <c r="Y20" s="7"/>
      <c r="Z20" s="7"/>
      <c r="AA20" s="7"/>
      <c r="AB20" s="7"/>
      <c r="AC20" s="7"/>
      <c r="AD20" s="7"/>
      <c r="AE20" s="7"/>
      <c r="AF20" s="8"/>
    </row>
    <row r="21" spans="1:32" ht="22.5" customHeight="1" thickBot="1">
      <c r="A21" s="15"/>
      <c r="B21" s="16"/>
      <c r="C21" s="16"/>
      <c r="D21" s="16"/>
      <c r="E21" s="16"/>
      <c r="F21" s="16"/>
      <c r="G21" s="16"/>
      <c r="H21" s="16"/>
      <c r="I21" s="16"/>
      <c r="J21" s="16"/>
      <c r="K21" s="16"/>
      <c r="L21" s="17"/>
      <c r="M21" s="9"/>
      <c r="N21" s="9"/>
      <c r="O21" s="9"/>
      <c r="P21" s="9"/>
      <c r="Q21" s="9"/>
      <c r="R21" s="9"/>
      <c r="S21" s="9"/>
      <c r="T21" s="9"/>
      <c r="U21" s="9"/>
      <c r="V21" s="9"/>
      <c r="W21" s="9"/>
      <c r="X21" s="9"/>
      <c r="Y21" s="9"/>
      <c r="Z21" s="9"/>
      <c r="AA21" s="9"/>
      <c r="AB21" s="9"/>
      <c r="AC21" s="9"/>
      <c r="AD21" s="9"/>
      <c r="AE21" s="9"/>
      <c r="AF21" s="10"/>
    </row>
    <row r="22" spans="1:32" ht="22.5" customHeight="1" thickBot="1">
      <c r="A22" s="18"/>
      <c r="B22" s="19"/>
      <c r="C22" s="19"/>
      <c r="D22" s="19"/>
      <c r="E22" s="19"/>
      <c r="F22" s="19"/>
      <c r="G22" s="19"/>
      <c r="H22" s="19"/>
      <c r="I22" s="19"/>
      <c r="J22" s="19"/>
      <c r="K22" s="19"/>
      <c r="L22" s="20"/>
      <c r="M22" s="7"/>
      <c r="N22" s="7"/>
      <c r="O22" s="7"/>
      <c r="P22" s="7"/>
      <c r="Q22" s="7"/>
      <c r="R22" s="7"/>
      <c r="S22" s="7"/>
      <c r="T22" s="7"/>
      <c r="U22" s="7"/>
      <c r="V22" s="7"/>
      <c r="W22" s="7"/>
      <c r="X22" s="7"/>
      <c r="Y22" s="7"/>
      <c r="Z22" s="7"/>
      <c r="AA22" s="7"/>
      <c r="AB22" s="7"/>
      <c r="AC22" s="7"/>
      <c r="AD22" s="7"/>
      <c r="AE22" s="7"/>
      <c r="AF22" s="8"/>
    </row>
    <row r="23" spans="1:32" ht="22.5" customHeight="1" thickBot="1">
      <c r="A23" s="18"/>
      <c r="B23" s="19"/>
      <c r="C23" s="19"/>
      <c r="D23" s="19"/>
      <c r="E23" s="19"/>
      <c r="F23" s="19"/>
      <c r="G23" s="19"/>
      <c r="H23" s="19"/>
      <c r="I23" s="19"/>
      <c r="J23" s="19"/>
      <c r="K23" s="19"/>
      <c r="L23" s="20"/>
      <c r="M23" s="7"/>
      <c r="N23" s="29"/>
      <c r="O23" s="7" t="s">
        <v>44</v>
      </c>
      <c r="Q23" s="7"/>
      <c r="R23" s="7"/>
      <c r="S23" s="7"/>
      <c r="T23" s="7"/>
      <c r="U23" s="7"/>
      <c r="V23" s="7"/>
      <c r="W23" s="7"/>
      <c r="X23" s="7"/>
      <c r="Y23" s="7"/>
      <c r="Z23" s="7"/>
      <c r="AA23" s="7"/>
      <c r="AB23" s="7"/>
      <c r="AC23" s="7"/>
      <c r="AD23" s="7"/>
      <c r="AE23" s="7"/>
      <c r="AF23" s="8"/>
    </row>
    <row r="24" spans="1:32" ht="22.5" customHeight="1">
      <c r="A24" s="5"/>
      <c r="B24" s="6"/>
      <c r="C24" s="6"/>
      <c r="D24" s="6"/>
      <c r="E24" s="6"/>
      <c r="F24" s="6"/>
      <c r="G24" s="6"/>
      <c r="H24" s="6"/>
      <c r="I24" s="6"/>
      <c r="J24" s="6"/>
      <c r="K24" s="6"/>
      <c r="L24" s="11"/>
      <c r="M24" s="7"/>
      <c r="N24" s="7"/>
      <c r="O24" s="7"/>
      <c r="P24" s="7"/>
      <c r="Q24" s="7"/>
      <c r="R24" s="7"/>
      <c r="S24" s="7"/>
      <c r="T24" s="7"/>
      <c r="U24" s="7"/>
      <c r="V24" s="7"/>
      <c r="W24" s="7"/>
      <c r="X24" s="7"/>
      <c r="Y24" s="7"/>
      <c r="Z24" s="7"/>
      <c r="AA24" s="7"/>
      <c r="AB24" s="7"/>
      <c r="AC24" s="7"/>
      <c r="AD24" s="7"/>
      <c r="AE24" s="7"/>
      <c r="AF24" s="8"/>
    </row>
    <row r="25" spans="1:32" ht="22.5" customHeight="1">
      <c r="A25" s="5"/>
      <c r="B25" s="6"/>
      <c r="C25" s="6"/>
      <c r="D25" s="6"/>
      <c r="E25" s="6"/>
      <c r="F25" s="6"/>
      <c r="G25" s="6"/>
      <c r="H25" s="6"/>
      <c r="I25" s="6"/>
      <c r="J25" s="6"/>
      <c r="K25" s="6"/>
      <c r="L25" s="11"/>
      <c r="M25" s="7"/>
      <c r="N25" s="7"/>
      <c r="O25" s="19" t="s">
        <v>45</v>
      </c>
      <c r="P25" s="24"/>
      <c r="Q25" s="24"/>
      <c r="S25" s="24"/>
      <c r="T25" s="24"/>
      <c r="U25" s="24"/>
      <c r="V25" s="24"/>
      <c r="W25" s="24"/>
      <c r="X25" s="24"/>
      <c r="Y25" s="24"/>
      <c r="Z25" s="24"/>
      <c r="AA25" s="24"/>
      <c r="AB25" s="24"/>
      <c r="AC25" s="24"/>
      <c r="AD25" s="24"/>
      <c r="AE25" s="24"/>
      <c r="AF25" s="8"/>
    </row>
    <row r="26" spans="1:32" ht="22.5" customHeight="1">
      <c r="A26" s="5"/>
      <c r="B26" s="6"/>
      <c r="C26" s="6"/>
      <c r="D26" s="6"/>
      <c r="E26" s="6"/>
      <c r="F26" s="6"/>
      <c r="G26" s="6"/>
      <c r="H26" s="6"/>
      <c r="I26" s="6"/>
      <c r="J26" s="6"/>
      <c r="K26" s="6"/>
      <c r="L26" s="11"/>
      <c r="M26" s="7"/>
      <c r="N26" s="7"/>
      <c r="O26" s="655"/>
      <c r="P26" s="656"/>
      <c r="Q26" s="656"/>
      <c r="R26" s="656"/>
      <c r="S26" s="656"/>
      <c r="T26" s="656"/>
      <c r="U26" s="656"/>
      <c r="V26" s="656"/>
      <c r="W26" s="656"/>
      <c r="X26" s="656"/>
      <c r="Y26" s="656"/>
      <c r="Z26" s="656"/>
      <c r="AA26" s="656"/>
      <c r="AB26" s="656"/>
      <c r="AC26" s="656"/>
      <c r="AD26" s="656"/>
      <c r="AE26" s="657"/>
      <c r="AF26" s="8"/>
    </row>
    <row r="27" spans="1:32" ht="22.5" customHeight="1">
      <c r="A27" s="5"/>
      <c r="B27" s="6"/>
      <c r="C27" s="6"/>
      <c r="D27" s="6"/>
      <c r="E27" s="6"/>
      <c r="F27" s="6"/>
      <c r="G27" s="6"/>
      <c r="H27" s="6"/>
      <c r="I27" s="6"/>
      <c r="J27" s="6"/>
      <c r="K27" s="6"/>
      <c r="L27" s="11"/>
      <c r="M27" s="7"/>
      <c r="N27" s="7"/>
      <c r="O27" s="658"/>
      <c r="P27" s="659"/>
      <c r="Q27" s="659"/>
      <c r="R27" s="659"/>
      <c r="S27" s="659"/>
      <c r="T27" s="659"/>
      <c r="U27" s="659"/>
      <c r="V27" s="659"/>
      <c r="W27" s="659"/>
      <c r="X27" s="659"/>
      <c r="Y27" s="659"/>
      <c r="Z27" s="659"/>
      <c r="AA27" s="659"/>
      <c r="AB27" s="659"/>
      <c r="AC27" s="659"/>
      <c r="AD27" s="659"/>
      <c r="AE27" s="660"/>
      <c r="AF27" s="8"/>
    </row>
    <row r="28" spans="1:32" ht="22.5" customHeight="1">
      <c r="A28" s="639" t="s">
        <v>38</v>
      </c>
      <c r="B28" s="640"/>
      <c r="C28" s="640"/>
      <c r="D28" s="640"/>
      <c r="E28" s="640"/>
      <c r="F28" s="640"/>
      <c r="G28" s="640"/>
      <c r="H28" s="640"/>
      <c r="I28" s="640"/>
      <c r="J28" s="640"/>
      <c r="K28" s="640"/>
      <c r="L28" s="641"/>
      <c r="M28" s="7"/>
      <c r="N28" s="7"/>
      <c r="O28" s="658"/>
      <c r="P28" s="659"/>
      <c r="Q28" s="659"/>
      <c r="R28" s="659"/>
      <c r="S28" s="659"/>
      <c r="T28" s="659"/>
      <c r="U28" s="659"/>
      <c r="V28" s="659"/>
      <c r="W28" s="659"/>
      <c r="X28" s="659"/>
      <c r="Y28" s="659"/>
      <c r="Z28" s="659"/>
      <c r="AA28" s="659"/>
      <c r="AB28" s="659"/>
      <c r="AC28" s="659"/>
      <c r="AD28" s="659"/>
      <c r="AE28" s="660"/>
      <c r="AF28" s="8"/>
    </row>
    <row r="29" spans="1:32" ht="22.5" customHeight="1">
      <c r="A29" s="5"/>
      <c r="B29" s="6"/>
      <c r="C29" s="6"/>
      <c r="D29" s="6"/>
      <c r="E29" s="6"/>
      <c r="F29" s="6"/>
      <c r="G29" s="6"/>
      <c r="H29" s="6"/>
      <c r="I29" s="6"/>
      <c r="J29" s="6"/>
      <c r="K29" s="6"/>
      <c r="L29" s="11"/>
      <c r="M29" s="7"/>
      <c r="N29" s="7"/>
      <c r="O29" s="661"/>
      <c r="P29" s="662"/>
      <c r="Q29" s="662"/>
      <c r="R29" s="662"/>
      <c r="S29" s="662"/>
      <c r="T29" s="662"/>
      <c r="U29" s="662"/>
      <c r="V29" s="662"/>
      <c r="W29" s="662"/>
      <c r="X29" s="662"/>
      <c r="Y29" s="662"/>
      <c r="Z29" s="662"/>
      <c r="AA29" s="662"/>
      <c r="AB29" s="662"/>
      <c r="AC29" s="662"/>
      <c r="AD29" s="662"/>
      <c r="AE29" s="663"/>
      <c r="AF29" s="8"/>
    </row>
    <row r="30" spans="1:32" ht="22.5" customHeight="1" thickBot="1">
      <c r="A30" s="5"/>
      <c r="B30" s="6"/>
      <c r="C30" s="6"/>
      <c r="D30" s="6"/>
      <c r="E30" s="6"/>
      <c r="F30" s="6"/>
      <c r="G30" s="6"/>
      <c r="H30" s="6"/>
      <c r="I30" s="6"/>
      <c r="J30" s="6"/>
      <c r="K30" s="6"/>
      <c r="L30" s="11"/>
      <c r="M30" s="7"/>
      <c r="N30" s="7"/>
      <c r="O30" s="7"/>
      <c r="P30" s="7"/>
      <c r="Q30" s="7"/>
      <c r="R30" s="25"/>
      <c r="S30" s="25"/>
      <c r="T30" s="25"/>
      <c r="U30" s="25"/>
      <c r="V30" s="25"/>
      <c r="W30" s="25"/>
      <c r="X30" s="25"/>
      <c r="Y30" s="25"/>
      <c r="Z30" s="25"/>
      <c r="AA30" s="25"/>
      <c r="AB30" s="25"/>
      <c r="AC30" s="25"/>
      <c r="AD30" s="25"/>
      <c r="AE30" s="25"/>
      <c r="AF30" s="8"/>
    </row>
    <row r="31" spans="1:32" ht="22.5" customHeight="1" thickBot="1">
      <c r="A31" s="5"/>
      <c r="B31" s="6"/>
      <c r="C31" s="6"/>
      <c r="D31" s="6"/>
      <c r="E31" s="6"/>
      <c r="F31" s="6"/>
      <c r="G31" s="6"/>
      <c r="H31" s="6"/>
      <c r="I31" s="6"/>
      <c r="J31" s="6"/>
      <c r="K31" s="6"/>
      <c r="L31" s="11"/>
      <c r="M31" s="7"/>
      <c r="N31" s="29"/>
      <c r="O31" s="7" t="s">
        <v>46</v>
      </c>
      <c r="Q31" s="7"/>
      <c r="R31" s="25"/>
      <c r="S31" s="25"/>
      <c r="T31" s="25"/>
      <c r="U31" s="25"/>
      <c r="V31" s="25"/>
      <c r="W31" s="25"/>
      <c r="X31" s="25"/>
      <c r="Y31" s="25"/>
      <c r="Z31" s="25"/>
      <c r="AA31" s="25"/>
      <c r="AB31" s="25"/>
      <c r="AC31" s="25"/>
      <c r="AD31" s="25"/>
      <c r="AE31" s="25"/>
      <c r="AF31" s="8"/>
    </row>
    <row r="32" spans="1:32" ht="22.5" customHeight="1">
      <c r="A32" s="5"/>
      <c r="B32" s="6"/>
      <c r="C32" s="6"/>
      <c r="D32" s="6"/>
      <c r="E32" s="6"/>
      <c r="F32" s="6"/>
      <c r="G32" s="6"/>
      <c r="H32" s="6"/>
      <c r="I32" s="6"/>
      <c r="J32" s="6"/>
      <c r="K32" s="6"/>
      <c r="L32" s="11"/>
      <c r="M32" s="7"/>
      <c r="N32" s="7"/>
      <c r="O32" s="7"/>
      <c r="P32" s="7"/>
      <c r="Q32" s="7"/>
      <c r="R32" s="25"/>
      <c r="S32" s="25"/>
      <c r="T32" s="25"/>
      <c r="U32" s="25"/>
      <c r="V32" s="25"/>
      <c r="W32" s="25"/>
      <c r="X32" s="25"/>
      <c r="Y32" s="25"/>
      <c r="Z32" s="25"/>
      <c r="AA32" s="25"/>
      <c r="AB32" s="25"/>
      <c r="AC32" s="25"/>
      <c r="AD32" s="25"/>
      <c r="AE32" s="25"/>
      <c r="AF32" s="8"/>
    </row>
    <row r="33" spans="1:32" ht="22.5" customHeight="1">
      <c r="A33" s="5"/>
      <c r="B33" s="6"/>
      <c r="C33" s="6"/>
      <c r="D33" s="6"/>
      <c r="E33" s="6"/>
      <c r="F33" s="6"/>
      <c r="G33" s="6"/>
      <c r="H33" s="6"/>
      <c r="I33" s="6"/>
      <c r="J33" s="6"/>
      <c r="K33" s="6"/>
      <c r="L33" s="11"/>
      <c r="M33" s="7"/>
      <c r="N33" s="7"/>
      <c r="O33" s="653"/>
      <c r="P33" s="653"/>
      <c r="Q33" s="653"/>
      <c r="R33" s="653"/>
      <c r="S33" s="653"/>
      <c r="T33" s="653"/>
      <c r="U33" s="19" t="s">
        <v>47</v>
      </c>
      <c r="V33" s="25"/>
      <c r="W33" s="25"/>
      <c r="X33" s="25"/>
      <c r="Y33" s="25"/>
      <c r="Z33" s="25"/>
      <c r="AA33" s="25"/>
      <c r="AB33" s="25"/>
      <c r="AC33" s="25"/>
      <c r="AD33" s="25"/>
      <c r="AE33" s="25"/>
      <c r="AF33" s="8"/>
    </row>
    <row r="34" spans="1:32" ht="22.5" customHeight="1">
      <c r="A34" s="5"/>
      <c r="B34" s="6"/>
      <c r="C34" s="6"/>
      <c r="D34" s="6"/>
      <c r="E34" s="6"/>
      <c r="F34" s="6"/>
      <c r="G34" s="6"/>
      <c r="H34" s="6"/>
      <c r="I34" s="6"/>
      <c r="J34" s="6"/>
      <c r="K34" s="6"/>
      <c r="L34" s="11"/>
      <c r="M34" s="7"/>
      <c r="N34" s="7"/>
      <c r="O34" s="7"/>
      <c r="P34" s="7"/>
      <c r="Q34" s="7"/>
      <c r="R34" s="25"/>
      <c r="S34" s="25"/>
      <c r="T34" s="25"/>
      <c r="U34" s="25"/>
      <c r="V34" s="25"/>
      <c r="W34" s="25"/>
      <c r="X34" s="25"/>
      <c r="Y34" s="25"/>
      <c r="Z34" s="25"/>
      <c r="AA34" s="25"/>
      <c r="AB34" s="25"/>
      <c r="AC34" s="25"/>
      <c r="AD34" s="25"/>
      <c r="AE34" s="25"/>
      <c r="AF34" s="8"/>
    </row>
    <row r="35" spans="1:32" ht="22.5" customHeight="1">
      <c r="A35" s="18"/>
      <c r="B35" s="19"/>
      <c r="C35" s="19"/>
      <c r="D35" s="19"/>
      <c r="E35" s="360"/>
      <c r="F35" s="360"/>
      <c r="G35" s="360"/>
      <c r="H35" s="360"/>
      <c r="I35" s="360"/>
      <c r="J35" s="19"/>
      <c r="K35" s="19"/>
      <c r="L35" s="20"/>
      <c r="M35" s="7"/>
      <c r="N35" s="7"/>
      <c r="O35" s="653"/>
      <c r="P35" s="653"/>
      <c r="Q35" s="653"/>
      <c r="R35" s="653"/>
      <c r="S35" s="653"/>
      <c r="T35" s="653"/>
      <c r="U35" s="7" t="s">
        <v>48</v>
      </c>
      <c r="V35" s="7"/>
      <c r="W35" s="7"/>
      <c r="X35" s="7"/>
      <c r="Y35" s="7"/>
      <c r="Z35" s="7"/>
      <c r="AA35" s="7"/>
      <c r="AB35" s="7"/>
      <c r="AC35" s="7"/>
      <c r="AD35" s="7"/>
      <c r="AE35" s="7"/>
      <c r="AF35" s="8"/>
    </row>
    <row r="36" spans="1:32" ht="22.5" customHeight="1" thickBot="1">
      <c r="A36" s="15"/>
      <c r="B36" s="16"/>
      <c r="C36" s="16"/>
      <c r="D36" s="16"/>
      <c r="E36" s="16"/>
      <c r="F36" s="16"/>
      <c r="G36" s="16"/>
      <c r="H36" s="16"/>
      <c r="I36" s="16"/>
      <c r="J36" s="16"/>
      <c r="K36" s="16"/>
      <c r="L36" s="17"/>
      <c r="M36" s="9"/>
      <c r="N36" s="9"/>
      <c r="O36" s="9"/>
      <c r="P36" s="9"/>
      <c r="Q36" s="9"/>
      <c r="R36" s="9"/>
      <c r="S36" s="9"/>
      <c r="T36" s="9"/>
      <c r="U36" s="9"/>
      <c r="V36" s="9"/>
      <c r="W36" s="9"/>
      <c r="X36" s="9"/>
      <c r="Y36" s="9"/>
      <c r="Z36" s="9"/>
      <c r="AA36" s="9"/>
      <c r="AB36" s="9"/>
      <c r="AC36" s="9"/>
      <c r="AD36" s="9"/>
      <c r="AE36" s="9"/>
      <c r="AF36" s="10"/>
    </row>
    <row r="37" spans="1:2" s="28" customFormat="1" ht="12.75" customHeight="1">
      <c r="A37" s="329" t="s">
        <v>29</v>
      </c>
      <c r="B37" s="192"/>
    </row>
    <row r="38" s="192" customFormat="1" ht="12.75" customHeight="1">
      <c r="A38" s="329" t="s">
        <v>219</v>
      </c>
    </row>
    <row r="39" s="28" customFormat="1" ht="14.2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sheetData>
  <sheetProtection/>
  <mergeCells count="18">
    <mergeCell ref="Z3:AF3"/>
    <mergeCell ref="Z4:AF4"/>
    <mergeCell ref="O35:T35"/>
    <mergeCell ref="A28:L28"/>
    <mergeCell ref="A13:L13"/>
    <mergeCell ref="A16:L16"/>
    <mergeCell ref="N16:AC16"/>
    <mergeCell ref="A19:L20"/>
    <mergeCell ref="O26:AE29"/>
    <mergeCell ref="O33:T33"/>
    <mergeCell ref="V3:Y3"/>
    <mergeCell ref="V4:Y4"/>
    <mergeCell ref="E3:U3"/>
    <mergeCell ref="E4:U4"/>
    <mergeCell ref="A7:L7"/>
    <mergeCell ref="A10:L10"/>
    <mergeCell ref="A4:D4"/>
    <mergeCell ref="A3:D3"/>
  </mergeCells>
  <dataValidations count="1">
    <dataValidation type="list" allowBlank="1" showInputMessage="1" showErrorMessage="1" sqref="N23 N31">
      <formula1>"○, "</formula1>
    </dataValidation>
  </dataValidations>
  <printOptions/>
  <pageMargins left="0.7480314960629921" right="0.7480314960629921" top="0.984251968503937" bottom="0.984251968503937" header="0.5118110236220472" footer="0.5118110236220472"/>
  <pageSetup cellComments="asDisplayed" fitToHeight="1" fitToWidth="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rgb="FFFFFF00"/>
  </sheetPr>
  <dimension ref="A1:W37"/>
  <sheetViews>
    <sheetView view="pageBreakPreview" zoomScaleNormal="75" zoomScaleSheetLayoutView="100" zoomScalePageLayoutView="0" workbookViewId="0" topLeftCell="A1">
      <pane xSplit="1" ySplit="8" topLeftCell="B9" activePane="bottomRight" state="frozen"/>
      <selection pane="topLeft" activeCell="M24" sqref="M24"/>
      <selection pane="topRight" activeCell="M24" sqref="M24"/>
      <selection pane="bottomLeft" activeCell="M24" sqref="M24"/>
      <selection pane="bottomRight" activeCell="M24" sqref="M24"/>
    </sheetView>
  </sheetViews>
  <sheetFormatPr defaultColWidth="9.625" defaultRowHeight="13.5"/>
  <cols>
    <col min="1" max="1" width="6.875" style="40" customWidth="1"/>
    <col min="2" max="4" width="12.50390625" style="40" customWidth="1"/>
    <col min="5" max="5" width="10.25390625" style="40" bestFit="1" customWidth="1"/>
    <col min="6" max="6" width="13.625" style="40" customWidth="1"/>
    <col min="7" max="7" width="13.00390625" style="40" customWidth="1"/>
    <col min="8" max="8" width="11.25390625" style="40" bestFit="1" customWidth="1"/>
    <col min="9" max="10" width="12.25390625" style="40" bestFit="1" customWidth="1"/>
    <col min="11" max="11" width="5.125" style="40" customWidth="1"/>
    <col min="12" max="12" width="10.00390625" style="40" customWidth="1"/>
    <col min="13" max="13" width="8.25390625" style="40" customWidth="1"/>
    <col min="14" max="14" width="14.875" style="344" customWidth="1"/>
    <col min="15" max="15" width="8.25390625" style="344" customWidth="1"/>
    <col min="16" max="16" width="14.875" style="344" customWidth="1"/>
    <col min="17" max="17" width="8.25390625" style="344" customWidth="1"/>
    <col min="18" max="18" width="14.875" style="344" customWidth="1"/>
    <col min="19" max="19" width="3.125" style="40" customWidth="1"/>
    <col min="20" max="21" width="5.625" style="40" customWidth="1"/>
    <col min="22" max="22" width="8.25390625" style="40" customWidth="1"/>
    <col min="23" max="16384" width="9.625" style="40" customWidth="1"/>
  </cols>
  <sheetData>
    <row r="1" ht="18.75" customHeight="1" thickBot="1">
      <c r="A1" s="38" t="s">
        <v>244</v>
      </c>
    </row>
    <row r="2" spans="9:18" ht="24.75" customHeight="1" thickBot="1">
      <c r="I2" s="130"/>
      <c r="J2" s="413"/>
      <c r="K2" s="413"/>
      <c r="L2" s="703" t="s">
        <v>25</v>
      </c>
      <c r="M2" s="704"/>
      <c r="N2" s="707">
        <f>'5_総括表'!E3</f>
        <v>0</v>
      </c>
      <c r="O2" s="708"/>
      <c r="P2" s="703" t="s">
        <v>26</v>
      </c>
      <c r="Q2" s="704"/>
      <c r="R2" s="180">
        <f>'5_総括表'!Z3</f>
        <v>0</v>
      </c>
    </row>
    <row r="3" spans="1:18" ht="24.75" customHeight="1" thickBot="1">
      <c r="A3" s="38"/>
      <c r="F3" s="130"/>
      <c r="G3" s="130"/>
      <c r="I3" s="130"/>
      <c r="J3" s="413"/>
      <c r="K3" s="413"/>
      <c r="L3" s="705" t="s">
        <v>23</v>
      </c>
      <c r="M3" s="706"/>
      <c r="N3" s="707">
        <f>'5_総括表'!E4</f>
        <v>0</v>
      </c>
      <c r="O3" s="708"/>
      <c r="P3" s="705" t="s">
        <v>24</v>
      </c>
      <c r="Q3" s="706"/>
      <c r="R3" s="414">
        <f>'5_総括表'!Z4</f>
        <v>0</v>
      </c>
    </row>
    <row r="4" spans="1:9" ht="18.75" customHeight="1" thickBot="1">
      <c r="A4" s="330" t="s">
        <v>220</v>
      </c>
      <c r="F4" s="131"/>
      <c r="G4" s="131"/>
      <c r="H4" s="131"/>
      <c r="I4" s="131"/>
    </row>
    <row r="5" spans="1:18" s="44" customFormat="1" ht="19.5" customHeight="1" thickBot="1">
      <c r="A5" s="132" t="s">
        <v>17</v>
      </c>
      <c r="B5" s="669" t="s">
        <v>125</v>
      </c>
      <c r="C5" s="334"/>
      <c r="D5" s="335"/>
      <c r="E5" s="670" t="s">
        <v>160</v>
      </c>
      <c r="F5" s="174"/>
      <c r="G5" s="175"/>
      <c r="H5" s="672" t="s">
        <v>147</v>
      </c>
      <c r="I5" s="674" t="s">
        <v>148</v>
      </c>
      <c r="J5" s="674" t="s">
        <v>149</v>
      </c>
      <c r="K5" s="664" t="s">
        <v>245</v>
      </c>
      <c r="L5" s="665"/>
      <c r="M5" s="665"/>
      <c r="N5" s="666"/>
      <c r="O5" s="667" t="s">
        <v>246</v>
      </c>
      <c r="P5" s="668"/>
      <c r="Q5" s="667" t="s">
        <v>247</v>
      </c>
      <c r="R5" s="668"/>
    </row>
    <row r="6" spans="1:20" s="44" customFormat="1" ht="38.25" customHeight="1" thickBot="1">
      <c r="A6" s="676" t="s">
        <v>119</v>
      </c>
      <c r="B6" s="670"/>
      <c r="C6" s="336" t="s">
        <v>211</v>
      </c>
      <c r="D6" s="336" t="s">
        <v>67</v>
      </c>
      <c r="E6" s="671"/>
      <c r="F6" s="133" t="s">
        <v>141</v>
      </c>
      <c r="G6" s="135" t="s">
        <v>124</v>
      </c>
      <c r="H6" s="673"/>
      <c r="I6" s="670"/>
      <c r="J6" s="675"/>
      <c r="K6" s="300" t="s">
        <v>21</v>
      </c>
      <c r="L6" s="399" t="s">
        <v>50</v>
      </c>
      <c r="M6" s="400" t="s">
        <v>49</v>
      </c>
      <c r="N6" s="398" t="s">
        <v>68</v>
      </c>
      <c r="O6" s="397" t="s">
        <v>49</v>
      </c>
      <c r="P6" s="450" t="s">
        <v>68</v>
      </c>
      <c r="Q6" s="401" t="s">
        <v>49</v>
      </c>
      <c r="R6" s="402" t="s">
        <v>68</v>
      </c>
      <c r="T6" s="137" t="s">
        <v>70</v>
      </c>
    </row>
    <row r="7" spans="1:20" s="44" customFormat="1" ht="20.25" customHeight="1" thickBot="1">
      <c r="A7" s="677"/>
      <c r="B7" s="48" t="s">
        <v>126</v>
      </c>
      <c r="C7" s="48" t="s">
        <v>127</v>
      </c>
      <c r="D7" s="48" t="s">
        <v>128</v>
      </c>
      <c r="E7" s="48" t="s">
        <v>144</v>
      </c>
      <c r="F7" s="138" t="s">
        <v>129</v>
      </c>
      <c r="G7" s="140" t="s">
        <v>130</v>
      </c>
      <c r="H7" s="170" t="s">
        <v>131</v>
      </c>
      <c r="I7" s="48" t="s">
        <v>132</v>
      </c>
      <c r="J7" s="47" t="s">
        <v>133</v>
      </c>
      <c r="K7" s="138"/>
      <c r="L7" s="139"/>
      <c r="M7" s="140"/>
      <c r="N7" s="393"/>
      <c r="O7" s="394"/>
      <c r="P7" s="451"/>
      <c r="Q7" s="403"/>
      <c r="R7" s="404"/>
      <c r="T7" s="142"/>
    </row>
    <row r="8" spans="1:18" s="149" customFormat="1" ht="20.25" customHeight="1" thickBot="1">
      <c r="A8" s="143"/>
      <c r="B8" s="144" t="s">
        <v>19</v>
      </c>
      <c r="C8" s="144" t="s">
        <v>19</v>
      </c>
      <c r="D8" s="144" t="s">
        <v>19</v>
      </c>
      <c r="E8" s="144" t="s">
        <v>145</v>
      </c>
      <c r="F8" s="145" t="s">
        <v>142</v>
      </c>
      <c r="G8" s="147" t="s">
        <v>143</v>
      </c>
      <c r="H8" s="171" t="s">
        <v>22</v>
      </c>
      <c r="I8" s="144" t="s">
        <v>22</v>
      </c>
      <c r="J8" s="144" t="s">
        <v>22</v>
      </c>
      <c r="K8" s="145"/>
      <c r="L8" s="146" t="s">
        <v>20</v>
      </c>
      <c r="M8" s="147" t="s">
        <v>19</v>
      </c>
      <c r="N8" s="395" t="s">
        <v>20</v>
      </c>
      <c r="O8" s="396" t="s">
        <v>19</v>
      </c>
      <c r="P8" s="452" t="s">
        <v>20</v>
      </c>
      <c r="Q8" s="405" t="s">
        <v>19</v>
      </c>
      <c r="R8" s="406" t="s">
        <v>20</v>
      </c>
    </row>
    <row r="9" spans="1:20" s="44" customFormat="1" ht="18" customHeight="1" thickBot="1">
      <c r="A9" s="678">
        <v>1</v>
      </c>
      <c r="B9" s="679"/>
      <c r="C9" s="679"/>
      <c r="D9" s="679"/>
      <c r="E9" s="681"/>
      <c r="F9" s="176"/>
      <c r="G9" s="177"/>
      <c r="H9" s="172">
        <f>IF(F9="","",IF(ISERROR(F9+ROUNDDOWN(G9*3/74,0)),"",F9+ROUNDDOWN(G9*3/74,0)))</f>
      </c>
      <c r="I9" s="151">
        <f>IF(H9="","",IF(H9&gt;10032,10032,H9))</f>
      </c>
      <c r="J9" s="150">
        <f>IF(H9="","",MIN(H9,I9))</f>
      </c>
      <c r="K9" s="152" t="s">
        <v>84</v>
      </c>
      <c r="L9" s="74">
        <v>408</v>
      </c>
      <c r="M9" s="444"/>
      <c r="N9" s="445"/>
      <c r="O9" s="425">
        <f>SUMIF('6-2_算定表①(旧々・旧制度)'!$AF:$AF,$T9,'6-2_算定表①(旧々・旧制度)'!$AG:$AG)</f>
        <v>0</v>
      </c>
      <c r="P9" s="453">
        <f>SUMIF('6-2_算定表①(旧々・旧制度)'!$AF:$AF,$T9,'6-2_算定表①(旧々・旧制度)'!$AA:$AA)</f>
        <v>0</v>
      </c>
      <c r="Q9" s="427">
        <f>O9-M9</f>
        <v>0</v>
      </c>
      <c r="R9" s="428">
        <f>P9-N9</f>
        <v>0</v>
      </c>
      <c r="T9" s="154" t="str">
        <f>ASC($A$9&amp;$K9)</f>
        <v>1A</v>
      </c>
    </row>
    <row r="10" spans="1:22" s="44" customFormat="1" ht="18" customHeight="1" thickBot="1">
      <c r="A10" s="678"/>
      <c r="B10" s="680"/>
      <c r="C10" s="680"/>
      <c r="D10" s="680"/>
      <c r="E10" s="682"/>
      <c r="F10" s="176"/>
      <c r="G10" s="177"/>
      <c r="H10" s="172">
        <f>IF(F10="","",IF(ISERROR(F10+ROUNDDOWN(G10*3/74,0)),"",F10+ROUNDDOWN(G10*3/74,0)))</f>
      </c>
      <c r="I10" s="151">
        <f aca="true" t="shared" si="0" ref="I10:I24">IF(H10="","",IF(H10&gt;10032,10032,H10))</f>
      </c>
      <c r="J10" s="150">
        <f>IF(H10="","",MIN(H10,I10))</f>
      </c>
      <c r="K10" s="155" t="s">
        <v>90</v>
      </c>
      <c r="L10" s="156">
        <v>2814</v>
      </c>
      <c r="M10" s="446"/>
      <c r="N10" s="447"/>
      <c r="O10" s="429">
        <f>SUMIF('6-2_算定表①(旧々・旧制度)'!$AF:$AF,$T10,'6-2_算定表①(旧々・旧制度)'!$AG:$AG)</f>
        <v>0</v>
      </c>
      <c r="P10" s="454">
        <f>SUMIF('6-2_算定表①(旧々・旧制度)'!$AF:$AF,$T10,'6-2_算定表①(旧々・旧制度)'!$AA:$AA)</f>
        <v>0</v>
      </c>
      <c r="Q10" s="427">
        <f aca="true" t="shared" si="1" ref="Q10:Q27">O10-M10</f>
        <v>0</v>
      </c>
      <c r="R10" s="428">
        <f aca="true" t="shared" si="2" ref="R10:R27">P10-N10</f>
        <v>0</v>
      </c>
      <c r="T10" s="158" t="str">
        <f>ASC($A$9&amp;$K10)</f>
        <v>1B</v>
      </c>
      <c r="V10" s="56" t="s">
        <v>8</v>
      </c>
    </row>
    <row r="11" spans="1:20" s="44" customFormat="1" ht="18" customHeight="1" thickBot="1">
      <c r="A11" s="678"/>
      <c r="B11" s="680"/>
      <c r="C11" s="680"/>
      <c r="D11" s="680"/>
      <c r="E11" s="682"/>
      <c r="F11" s="176"/>
      <c r="G11" s="177"/>
      <c r="H11" s="172">
        <f aca="true" t="shared" si="3" ref="H11:H24">IF(F11="","",IF(ISERROR(F11+ROUNDDOWN(G11*3/74,0)),"",F11+ROUNDDOWN(G11*3/74,0)))</f>
      </c>
      <c r="I11" s="151">
        <f t="shared" si="0"/>
      </c>
      <c r="J11" s="150">
        <f>IF(H11="","",MIN(H11,I11))</f>
      </c>
      <c r="K11" s="155" t="s">
        <v>181</v>
      </c>
      <c r="L11" s="195" t="s">
        <v>155</v>
      </c>
      <c r="M11" s="446"/>
      <c r="N11" s="447"/>
      <c r="O11" s="429">
        <f>SUMIF('6-2_算定表①(旧々・旧制度)'!$AF:$AF,$T11,'6-2_算定表①(旧々・旧制度)'!$AG:$AG)</f>
        <v>0</v>
      </c>
      <c r="P11" s="454">
        <f>SUMIF('6-2_算定表①(旧々・旧制度)'!$AF:$AF,$T11,'6-2_算定表①(旧々・旧制度)'!$AA:$AA)</f>
        <v>0</v>
      </c>
      <c r="Q11" s="431">
        <f t="shared" si="1"/>
        <v>0</v>
      </c>
      <c r="R11" s="432">
        <f t="shared" si="2"/>
        <v>0</v>
      </c>
      <c r="T11" s="158" t="str">
        <f>ASC($A$9&amp;$K11)</f>
        <v>1D</v>
      </c>
    </row>
    <row r="12" spans="1:23" s="44" customFormat="1" ht="18" customHeight="1" thickBot="1" thickTop="1">
      <c r="A12" s="678"/>
      <c r="B12" s="680"/>
      <c r="C12" s="680"/>
      <c r="D12" s="680"/>
      <c r="E12" s="683"/>
      <c r="F12" s="178"/>
      <c r="G12" s="179"/>
      <c r="H12" s="173">
        <f t="shared" si="3"/>
      </c>
      <c r="I12" s="160">
        <f t="shared" si="0"/>
      </c>
      <c r="J12" s="159">
        <f>IF(H12="","",MIN(H12,I12))</f>
      </c>
      <c r="K12" s="684" t="s">
        <v>120</v>
      </c>
      <c r="L12" s="685"/>
      <c r="M12" s="433">
        <f aca="true" t="shared" si="4" ref="M12:R12">SUM(M9:M11)</f>
        <v>0</v>
      </c>
      <c r="N12" s="434">
        <f t="shared" si="4"/>
        <v>0</v>
      </c>
      <c r="O12" s="435">
        <f t="shared" si="4"/>
        <v>0</v>
      </c>
      <c r="P12" s="455">
        <f t="shared" si="4"/>
        <v>0</v>
      </c>
      <c r="Q12" s="436">
        <f t="shared" si="4"/>
        <v>0</v>
      </c>
      <c r="R12" s="437">
        <f t="shared" si="4"/>
        <v>0</v>
      </c>
      <c r="V12" s="162" t="s">
        <v>9</v>
      </c>
      <c r="W12" s="64" t="str">
        <f>IF(D9&gt;=O12,"OK","ERR")</f>
        <v>OK</v>
      </c>
    </row>
    <row r="13" spans="1:23" s="44" customFormat="1" ht="18" customHeight="1" thickBot="1" thickTop="1">
      <c r="A13" s="686">
        <v>2</v>
      </c>
      <c r="B13" s="680"/>
      <c r="C13" s="680"/>
      <c r="D13" s="680"/>
      <c r="E13" s="688"/>
      <c r="F13" s="176"/>
      <c r="G13" s="177"/>
      <c r="H13" s="172">
        <f t="shared" si="3"/>
      </c>
      <c r="I13" s="151">
        <f t="shared" si="0"/>
      </c>
      <c r="J13" s="150">
        <f>IF(H13="","",MIN(H13,I13))</f>
      </c>
      <c r="K13" s="163" t="s">
        <v>84</v>
      </c>
      <c r="L13" s="164">
        <v>408</v>
      </c>
      <c r="M13" s="444"/>
      <c r="N13" s="445"/>
      <c r="O13" s="425">
        <f>SUMIF('6-2_算定表①(旧々・旧制度)'!$AF:$AF,$T13,'6-2_算定表①(旧々・旧制度)'!$AG:$AG)</f>
        <v>0</v>
      </c>
      <c r="P13" s="453">
        <f>SUMIF('6-2_算定表①(旧々・旧制度)'!$AF:$AF,$T13,'6-2_算定表①(旧々・旧制度)'!$AA:$AA)</f>
        <v>0</v>
      </c>
      <c r="Q13" s="438">
        <f t="shared" si="1"/>
        <v>0</v>
      </c>
      <c r="R13" s="439">
        <f t="shared" si="2"/>
        <v>0</v>
      </c>
      <c r="T13" s="154" t="str">
        <f>ASC($A$13&amp;$K13)</f>
        <v>2A</v>
      </c>
      <c r="V13" s="162" t="s">
        <v>10</v>
      </c>
      <c r="W13" s="64" t="str">
        <f>IF(D13&gt;=O16,"OK","ERR")</f>
        <v>OK</v>
      </c>
    </row>
    <row r="14" spans="1:23" s="44" customFormat="1" ht="18" customHeight="1" thickBot="1" thickTop="1">
      <c r="A14" s="678"/>
      <c r="B14" s="680"/>
      <c r="C14" s="680"/>
      <c r="D14" s="680"/>
      <c r="E14" s="682"/>
      <c r="F14" s="176"/>
      <c r="G14" s="177"/>
      <c r="H14" s="172">
        <f t="shared" si="3"/>
      </c>
      <c r="I14" s="151">
        <f t="shared" si="0"/>
      </c>
      <c r="J14" s="150">
        <f aca="true" t="shared" si="5" ref="J14:J20">IF(H14="","",MIN(H14,I14))</f>
      </c>
      <c r="K14" s="165" t="s">
        <v>90</v>
      </c>
      <c r="L14" s="166">
        <v>2814</v>
      </c>
      <c r="M14" s="446"/>
      <c r="N14" s="447"/>
      <c r="O14" s="429">
        <f>SUMIF('6-2_算定表①(旧々・旧制度)'!$AF:$AF,$T14,'6-2_算定表①(旧々・旧制度)'!$AG:$AG)</f>
        <v>0</v>
      </c>
      <c r="P14" s="454">
        <f>SUMIF('6-2_算定表①(旧々・旧制度)'!$AF:$AF,$T14,'6-2_算定表①(旧々・旧制度)'!$AA:$AA)</f>
        <v>0</v>
      </c>
      <c r="Q14" s="427">
        <f t="shared" si="1"/>
        <v>0</v>
      </c>
      <c r="R14" s="428">
        <f t="shared" si="2"/>
        <v>0</v>
      </c>
      <c r="T14" s="158" t="str">
        <f>ASC($A$13&amp;$K14)</f>
        <v>2B</v>
      </c>
      <c r="V14" s="162" t="s">
        <v>11</v>
      </c>
      <c r="W14" s="64" t="str">
        <f>IF(D17&gt;=O20,"OK","ERR")</f>
        <v>OK</v>
      </c>
    </row>
    <row r="15" spans="1:23" s="44" customFormat="1" ht="18" customHeight="1" thickBot="1" thickTop="1">
      <c r="A15" s="678"/>
      <c r="B15" s="680"/>
      <c r="C15" s="680"/>
      <c r="D15" s="680"/>
      <c r="E15" s="682"/>
      <c r="F15" s="176"/>
      <c r="G15" s="177"/>
      <c r="H15" s="172">
        <f t="shared" si="3"/>
      </c>
      <c r="I15" s="151">
        <f t="shared" si="0"/>
      </c>
      <c r="J15" s="150">
        <f t="shared" si="5"/>
      </c>
      <c r="K15" s="165" t="s">
        <v>182</v>
      </c>
      <c r="L15" s="196" t="s">
        <v>155</v>
      </c>
      <c r="M15" s="446"/>
      <c r="N15" s="447"/>
      <c r="O15" s="429">
        <f>SUMIF('6-2_算定表①(旧々・旧制度)'!$AF:$AF,$T15,'6-2_算定表①(旧々・旧制度)'!$AG:$AG)</f>
        <v>0</v>
      </c>
      <c r="P15" s="454">
        <f>SUMIF('6-2_算定表①(旧々・旧制度)'!$AF:$AF,$T15,'6-2_算定表①(旧々・旧制度)'!$AA:$AA)</f>
        <v>0</v>
      </c>
      <c r="Q15" s="431">
        <f t="shared" si="1"/>
        <v>0</v>
      </c>
      <c r="R15" s="432">
        <f t="shared" si="2"/>
        <v>0</v>
      </c>
      <c r="T15" s="158" t="str">
        <f>ASC($A$13&amp;$K15)</f>
        <v>2D</v>
      </c>
      <c r="V15" s="162" t="s">
        <v>175</v>
      </c>
      <c r="W15" s="64" t="str">
        <f>IF(D21&gt;=O24,"OK","ERR")</f>
        <v>OK</v>
      </c>
    </row>
    <row r="16" spans="1:22" s="44" customFormat="1" ht="18" customHeight="1" thickBot="1">
      <c r="A16" s="687"/>
      <c r="B16" s="680"/>
      <c r="C16" s="680"/>
      <c r="D16" s="680"/>
      <c r="E16" s="683"/>
      <c r="F16" s="178"/>
      <c r="G16" s="179"/>
      <c r="H16" s="173">
        <f t="shared" si="3"/>
      </c>
      <c r="I16" s="160">
        <f t="shared" si="0"/>
      </c>
      <c r="J16" s="159">
        <f t="shared" si="5"/>
      </c>
      <c r="K16" s="684" t="s">
        <v>121</v>
      </c>
      <c r="L16" s="685"/>
      <c r="M16" s="433">
        <f aca="true" t="shared" si="6" ref="M16:R16">SUM(M13:M15)</f>
        <v>0</v>
      </c>
      <c r="N16" s="434">
        <f t="shared" si="6"/>
        <v>0</v>
      </c>
      <c r="O16" s="435">
        <f t="shared" si="6"/>
        <v>0</v>
      </c>
      <c r="P16" s="455">
        <f t="shared" si="6"/>
        <v>0</v>
      </c>
      <c r="Q16" s="436">
        <f t="shared" si="6"/>
        <v>0</v>
      </c>
      <c r="R16" s="437">
        <f t="shared" si="6"/>
        <v>0</v>
      </c>
      <c r="V16" s="56" t="s">
        <v>13</v>
      </c>
    </row>
    <row r="17" spans="1:23" s="44" customFormat="1" ht="18" customHeight="1" thickBot="1" thickTop="1">
      <c r="A17" s="678">
        <v>3</v>
      </c>
      <c r="B17" s="680"/>
      <c r="C17" s="680"/>
      <c r="D17" s="680"/>
      <c r="E17" s="688"/>
      <c r="F17" s="176"/>
      <c r="G17" s="177"/>
      <c r="H17" s="172">
        <f t="shared" si="3"/>
      </c>
      <c r="I17" s="151">
        <f t="shared" si="0"/>
      </c>
      <c r="J17" s="150">
        <f t="shared" si="5"/>
      </c>
      <c r="K17" s="167" t="s">
        <v>84</v>
      </c>
      <c r="L17" s="168">
        <v>408</v>
      </c>
      <c r="M17" s="448"/>
      <c r="N17" s="449"/>
      <c r="O17" s="440">
        <f>SUMIF('6-2_算定表①(旧々・旧制度)'!$AF:$AF,$T17,'6-2_算定表①(旧々・旧制度)'!$AG:$AG)</f>
        <v>0</v>
      </c>
      <c r="P17" s="456">
        <f>SUMIF('6-2_算定表①(旧々・旧制度)'!$AF:$AF,$T17,'6-2_算定表①(旧々・旧制度)'!$AA:$AA)</f>
        <v>0</v>
      </c>
      <c r="Q17" s="438">
        <f t="shared" si="1"/>
        <v>0</v>
      </c>
      <c r="R17" s="439">
        <f t="shared" si="2"/>
        <v>0</v>
      </c>
      <c r="T17" s="154" t="str">
        <f>ASC($A$17&amp;$K17)</f>
        <v>3A</v>
      </c>
      <c r="V17" s="56" t="s">
        <v>49</v>
      </c>
      <c r="W17" s="64" t="str">
        <f>IF(O28=SUM('6-2_算定表①(旧々・旧制度)'!AG:AG),"OK","ERR")</f>
        <v>OK</v>
      </c>
    </row>
    <row r="18" spans="1:23" s="44" customFormat="1" ht="18" customHeight="1" thickBot="1" thickTop="1">
      <c r="A18" s="678"/>
      <c r="B18" s="680"/>
      <c r="C18" s="680"/>
      <c r="D18" s="680"/>
      <c r="E18" s="682"/>
      <c r="F18" s="176"/>
      <c r="G18" s="177"/>
      <c r="H18" s="172">
        <f t="shared" si="3"/>
      </c>
      <c r="I18" s="151">
        <f t="shared" si="0"/>
      </c>
      <c r="J18" s="150">
        <f t="shared" si="5"/>
      </c>
      <c r="K18" s="165" t="s">
        <v>90</v>
      </c>
      <c r="L18" s="166">
        <v>2814</v>
      </c>
      <c r="M18" s="446"/>
      <c r="N18" s="447"/>
      <c r="O18" s="429">
        <f>SUMIF('6-2_算定表①(旧々・旧制度)'!$AF:$AF,$T18,'6-2_算定表①(旧々・旧制度)'!$AG:$AG)</f>
        <v>0</v>
      </c>
      <c r="P18" s="454">
        <f>SUMIF('6-2_算定表①(旧々・旧制度)'!$AF:$AF,$T18,'6-2_算定表①(旧々・旧制度)'!$AA:$AA)</f>
        <v>0</v>
      </c>
      <c r="Q18" s="427">
        <f t="shared" si="1"/>
        <v>0</v>
      </c>
      <c r="R18" s="428">
        <f t="shared" si="2"/>
        <v>0</v>
      </c>
      <c r="T18" s="158" t="str">
        <f>ASC($A$17&amp;$K18)</f>
        <v>3B</v>
      </c>
      <c r="V18" s="56" t="s">
        <v>12</v>
      </c>
      <c r="W18" s="64" t="str">
        <f>IF(P28='6-2_算定表①(旧々・旧制度)'!AA45,"OK","ERR")</f>
        <v>OK</v>
      </c>
    </row>
    <row r="19" spans="1:20" s="44" customFormat="1" ht="18" customHeight="1" thickBot="1">
      <c r="A19" s="678"/>
      <c r="B19" s="680"/>
      <c r="C19" s="680"/>
      <c r="D19" s="680"/>
      <c r="E19" s="682"/>
      <c r="F19" s="176"/>
      <c r="G19" s="177"/>
      <c r="H19" s="172">
        <f t="shared" si="3"/>
      </c>
      <c r="I19" s="151">
        <f t="shared" si="0"/>
      </c>
      <c r="J19" s="150">
        <f t="shared" si="5"/>
      </c>
      <c r="K19" s="165" t="s">
        <v>182</v>
      </c>
      <c r="L19" s="196" t="s">
        <v>155</v>
      </c>
      <c r="M19" s="446"/>
      <c r="N19" s="447"/>
      <c r="O19" s="429">
        <f>SUMIF('6-2_算定表①(旧々・旧制度)'!$AF:$AF,$T19,'6-2_算定表①(旧々・旧制度)'!$AG:$AG)</f>
        <v>0</v>
      </c>
      <c r="P19" s="454">
        <f>SUMIF('6-2_算定表①(旧々・旧制度)'!$AF:$AF,$T19,'6-2_算定表①(旧々・旧制度)'!$AA:$AA)</f>
        <v>0</v>
      </c>
      <c r="Q19" s="431">
        <f t="shared" si="1"/>
        <v>0</v>
      </c>
      <c r="R19" s="432">
        <f t="shared" si="2"/>
        <v>0</v>
      </c>
      <c r="T19" s="158" t="str">
        <f>ASC($A$17&amp;$K19)</f>
        <v>3D</v>
      </c>
    </row>
    <row r="20" spans="1:18" s="44" customFormat="1" ht="18" customHeight="1" thickBot="1">
      <c r="A20" s="678"/>
      <c r="B20" s="680"/>
      <c r="C20" s="680"/>
      <c r="D20" s="680"/>
      <c r="E20" s="683"/>
      <c r="F20" s="178"/>
      <c r="G20" s="179"/>
      <c r="H20" s="173">
        <f t="shared" si="3"/>
      </c>
      <c r="I20" s="160">
        <f t="shared" si="0"/>
      </c>
      <c r="J20" s="159">
        <f t="shared" si="5"/>
      </c>
      <c r="K20" s="684" t="s">
        <v>122</v>
      </c>
      <c r="L20" s="685"/>
      <c r="M20" s="433">
        <f aca="true" t="shared" si="7" ref="M20:R20">SUM(M17:M19)</f>
        <v>0</v>
      </c>
      <c r="N20" s="434">
        <f t="shared" si="7"/>
        <v>0</v>
      </c>
      <c r="O20" s="435">
        <f t="shared" si="7"/>
        <v>0</v>
      </c>
      <c r="P20" s="455">
        <f t="shared" si="7"/>
        <v>0</v>
      </c>
      <c r="Q20" s="436">
        <f t="shared" si="7"/>
        <v>0</v>
      </c>
      <c r="R20" s="437">
        <f t="shared" si="7"/>
        <v>0</v>
      </c>
    </row>
    <row r="21" spans="1:23" s="44" customFormat="1" ht="18" customHeight="1" thickBot="1">
      <c r="A21" s="690">
        <v>4</v>
      </c>
      <c r="B21" s="680"/>
      <c r="C21" s="680"/>
      <c r="D21" s="680"/>
      <c r="E21" s="688"/>
      <c r="F21" s="176"/>
      <c r="G21" s="177"/>
      <c r="H21" s="172">
        <f t="shared" si="3"/>
      </c>
      <c r="I21" s="151">
        <f t="shared" si="0"/>
      </c>
      <c r="J21" s="150">
        <f>IF(H21="","",MIN(H21,I21))</f>
      </c>
      <c r="K21" s="167" t="s">
        <v>84</v>
      </c>
      <c r="L21" s="168">
        <v>408</v>
      </c>
      <c r="M21" s="448"/>
      <c r="N21" s="449"/>
      <c r="O21" s="440">
        <f>SUMIF('6-2_算定表①(旧々・旧制度)'!$AF:$AF,$T21,'6-2_算定表①(旧々・旧制度)'!$AG:$AG)</f>
        <v>0</v>
      </c>
      <c r="P21" s="456">
        <f>SUMIF('6-2_算定表①(旧々・旧制度)'!$AF:$AF,$T21,'6-2_算定表①(旧々・旧制度)'!$AA:$AA)</f>
        <v>0</v>
      </c>
      <c r="Q21" s="438">
        <f t="shared" si="1"/>
        <v>0</v>
      </c>
      <c r="R21" s="439">
        <f t="shared" si="2"/>
        <v>0</v>
      </c>
      <c r="T21" s="154" t="str">
        <f>ASC($A$21&amp;$K21)</f>
        <v>4A</v>
      </c>
      <c r="V21" s="56"/>
      <c r="W21" s="282"/>
    </row>
    <row r="22" spans="1:23" s="44" customFormat="1" ht="18" customHeight="1" thickBot="1">
      <c r="A22" s="691"/>
      <c r="B22" s="680"/>
      <c r="C22" s="680"/>
      <c r="D22" s="680"/>
      <c r="E22" s="682"/>
      <c r="F22" s="176"/>
      <c r="G22" s="177"/>
      <c r="H22" s="172">
        <f t="shared" si="3"/>
      </c>
      <c r="I22" s="151">
        <f t="shared" si="0"/>
      </c>
      <c r="J22" s="150">
        <f>IF(H22="","",MIN(H22,I22))</f>
      </c>
      <c r="K22" s="165" t="s">
        <v>90</v>
      </c>
      <c r="L22" s="166">
        <v>2814</v>
      </c>
      <c r="M22" s="446"/>
      <c r="N22" s="447"/>
      <c r="O22" s="429">
        <f>SUMIF('6-2_算定表①(旧々・旧制度)'!$AF:$AF,$T22,'6-2_算定表①(旧々・旧制度)'!$AG:$AG)</f>
        <v>0</v>
      </c>
      <c r="P22" s="454">
        <f>SUMIF('6-2_算定表①(旧々・旧制度)'!$AF:$AF,$T22,'6-2_算定表①(旧々・旧制度)'!$AA:$AA)</f>
        <v>0</v>
      </c>
      <c r="Q22" s="427">
        <f t="shared" si="1"/>
        <v>0</v>
      </c>
      <c r="R22" s="428">
        <f t="shared" si="2"/>
        <v>0</v>
      </c>
      <c r="T22" s="158" t="str">
        <f>ASC($A$21&amp;$K22)</f>
        <v>4B</v>
      </c>
      <c r="V22" s="56"/>
      <c r="W22" s="282"/>
    </row>
    <row r="23" spans="1:20" s="44" customFormat="1" ht="18" customHeight="1" thickBot="1">
      <c r="A23" s="691"/>
      <c r="B23" s="680"/>
      <c r="C23" s="680"/>
      <c r="D23" s="680"/>
      <c r="E23" s="682"/>
      <c r="F23" s="176"/>
      <c r="G23" s="177"/>
      <c r="H23" s="172">
        <f t="shared" si="3"/>
      </c>
      <c r="I23" s="151">
        <f t="shared" si="0"/>
      </c>
      <c r="J23" s="150">
        <f>IF(H23="","",MIN(H23,I23))</f>
      </c>
      <c r="K23" s="165" t="s">
        <v>182</v>
      </c>
      <c r="L23" s="196" t="s">
        <v>155</v>
      </c>
      <c r="M23" s="446"/>
      <c r="N23" s="447"/>
      <c r="O23" s="429">
        <f>SUMIF('6-2_算定表①(旧々・旧制度)'!$AF:$AF,$T23,'6-2_算定表①(旧々・旧制度)'!$AG:$AG)</f>
        <v>0</v>
      </c>
      <c r="P23" s="454">
        <f>SUMIF('6-2_算定表①(旧々・旧制度)'!$AF:$AF,$T23,'6-2_算定表①(旧々・旧制度)'!$AA:$AA)</f>
        <v>0</v>
      </c>
      <c r="Q23" s="431">
        <f t="shared" si="1"/>
        <v>0</v>
      </c>
      <c r="R23" s="432">
        <f t="shared" si="2"/>
        <v>0</v>
      </c>
      <c r="T23" s="158" t="str">
        <f>ASC($A$21&amp;$K23)</f>
        <v>4D</v>
      </c>
    </row>
    <row r="24" spans="1:18" s="44" customFormat="1" ht="18" customHeight="1" thickBot="1">
      <c r="A24" s="692"/>
      <c r="B24" s="680"/>
      <c r="C24" s="680"/>
      <c r="D24" s="680"/>
      <c r="E24" s="683"/>
      <c r="F24" s="178"/>
      <c r="G24" s="179"/>
      <c r="H24" s="173">
        <f t="shared" si="3"/>
      </c>
      <c r="I24" s="160">
        <f t="shared" si="0"/>
      </c>
      <c r="J24" s="159">
        <f>IF(H24="","",MIN(H24,I24))</f>
      </c>
      <c r="K24" s="684" t="s">
        <v>123</v>
      </c>
      <c r="L24" s="685"/>
      <c r="M24" s="433">
        <f aca="true" t="shared" si="8" ref="M24:R24">SUM(M21:M23)</f>
        <v>0</v>
      </c>
      <c r="N24" s="434">
        <f t="shared" si="8"/>
        <v>0</v>
      </c>
      <c r="O24" s="435">
        <f t="shared" si="8"/>
        <v>0</v>
      </c>
      <c r="P24" s="455">
        <f t="shared" si="8"/>
        <v>0</v>
      </c>
      <c r="Q24" s="436">
        <f t="shared" si="8"/>
        <v>0</v>
      </c>
      <c r="R24" s="437">
        <f t="shared" si="8"/>
        <v>0</v>
      </c>
    </row>
    <row r="25" spans="1:18" s="44" customFormat="1" ht="18" customHeight="1" thickBot="1">
      <c r="A25" s="696" t="s">
        <v>27</v>
      </c>
      <c r="B25" s="699">
        <f>SUM(B9,B13,B17)</f>
        <v>0</v>
      </c>
      <c r="C25" s="699">
        <f>SUM(C9,C13,C17)</f>
        <v>0</v>
      </c>
      <c r="D25" s="699">
        <f>SUM(D9,D13,D17)</f>
        <v>0</v>
      </c>
      <c r="E25" s="700">
        <f>SUM(E9:E24)</f>
        <v>0</v>
      </c>
      <c r="F25" s="689"/>
      <c r="G25" s="693"/>
      <c r="H25" s="694"/>
      <c r="I25" s="695"/>
      <c r="J25" s="695"/>
      <c r="K25" s="163" t="s">
        <v>84</v>
      </c>
      <c r="L25" s="164">
        <v>408</v>
      </c>
      <c r="M25" s="441">
        <f aca="true" t="shared" si="9" ref="M25:N27">SUM(M9,M13,M17,M21)</f>
        <v>0</v>
      </c>
      <c r="N25" s="426">
        <f t="shared" si="9"/>
        <v>0</v>
      </c>
      <c r="O25" s="425">
        <f aca="true" t="shared" si="10" ref="O25:P27">SUM(O9,O13,O17,O21)</f>
        <v>0</v>
      </c>
      <c r="P25" s="453">
        <f t="shared" si="10"/>
        <v>0</v>
      </c>
      <c r="Q25" s="438">
        <f t="shared" si="1"/>
        <v>0</v>
      </c>
      <c r="R25" s="439">
        <f t="shared" si="2"/>
        <v>0</v>
      </c>
    </row>
    <row r="26" spans="1:22" s="44" customFormat="1" ht="18" customHeight="1" thickBot="1">
      <c r="A26" s="697"/>
      <c r="B26" s="699"/>
      <c r="C26" s="699"/>
      <c r="D26" s="699"/>
      <c r="E26" s="701"/>
      <c r="F26" s="689"/>
      <c r="G26" s="693"/>
      <c r="H26" s="694"/>
      <c r="I26" s="695"/>
      <c r="J26" s="695"/>
      <c r="K26" s="165" t="s">
        <v>90</v>
      </c>
      <c r="L26" s="166">
        <v>2814</v>
      </c>
      <c r="M26" s="442">
        <f t="shared" si="9"/>
        <v>0</v>
      </c>
      <c r="N26" s="430">
        <f t="shared" si="9"/>
        <v>0</v>
      </c>
      <c r="O26" s="429">
        <f t="shared" si="10"/>
        <v>0</v>
      </c>
      <c r="P26" s="454">
        <f t="shared" si="10"/>
        <v>0</v>
      </c>
      <c r="Q26" s="427">
        <f t="shared" si="1"/>
        <v>0</v>
      </c>
      <c r="R26" s="428">
        <f t="shared" si="2"/>
        <v>0</v>
      </c>
      <c r="V26" s="56"/>
    </row>
    <row r="27" spans="1:18" s="44" customFormat="1" ht="18" customHeight="1" thickBot="1">
      <c r="A27" s="697"/>
      <c r="B27" s="699"/>
      <c r="C27" s="699"/>
      <c r="D27" s="699"/>
      <c r="E27" s="701"/>
      <c r="F27" s="689"/>
      <c r="G27" s="693"/>
      <c r="H27" s="694"/>
      <c r="I27" s="695"/>
      <c r="J27" s="695"/>
      <c r="K27" s="165" t="s">
        <v>189</v>
      </c>
      <c r="L27" s="196" t="s">
        <v>155</v>
      </c>
      <c r="M27" s="442">
        <f t="shared" si="9"/>
        <v>0</v>
      </c>
      <c r="N27" s="430">
        <f t="shared" si="9"/>
        <v>0</v>
      </c>
      <c r="O27" s="429">
        <f t="shared" si="10"/>
        <v>0</v>
      </c>
      <c r="P27" s="454">
        <f t="shared" si="10"/>
        <v>0</v>
      </c>
      <c r="Q27" s="431">
        <f t="shared" si="1"/>
        <v>0</v>
      </c>
      <c r="R27" s="432">
        <f t="shared" si="2"/>
        <v>0</v>
      </c>
    </row>
    <row r="28" spans="1:19" s="44" customFormat="1" ht="18" customHeight="1" thickBot="1">
      <c r="A28" s="698"/>
      <c r="B28" s="699"/>
      <c r="C28" s="699"/>
      <c r="D28" s="699"/>
      <c r="E28" s="702"/>
      <c r="F28" s="689"/>
      <c r="G28" s="693"/>
      <c r="H28" s="694"/>
      <c r="I28" s="695"/>
      <c r="J28" s="695"/>
      <c r="K28" s="684" t="s">
        <v>156</v>
      </c>
      <c r="L28" s="685"/>
      <c r="M28" s="433">
        <f aca="true" t="shared" si="11" ref="M28:R28">SUM(M25:M27)</f>
        <v>0</v>
      </c>
      <c r="N28" s="433">
        <f t="shared" si="11"/>
        <v>0</v>
      </c>
      <c r="O28" s="433">
        <f t="shared" si="11"/>
        <v>0</v>
      </c>
      <c r="P28" s="603">
        <f t="shared" si="11"/>
        <v>0</v>
      </c>
      <c r="Q28" s="433">
        <f t="shared" si="11"/>
        <v>0</v>
      </c>
      <c r="R28" s="433">
        <f t="shared" si="11"/>
        <v>0</v>
      </c>
      <c r="S28" s="169"/>
    </row>
    <row r="29" spans="1:18" s="342" customFormat="1" ht="11.25" customHeight="1">
      <c r="A29" s="337" t="s">
        <v>29</v>
      </c>
      <c r="B29" s="338"/>
      <c r="C29" s="338"/>
      <c r="D29" s="338"/>
      <c r="E29" s="338"/>
      <c r="F29" s="339"/>
      <c r="G29" s="339"/>
      <c r="H29" s="339"/>
      <c r="I29" s="339"/>
      <c r="J29" s="339"/>
      <c r="K29" s="340"/>
      <c r="L29" s="340"/>
      <c r="M29" s="338"/>
      <c r="N29" s="341"/>
      <c r="O29" s="338"/>
      <c r="P29" s="341"/>
      <c r="Q29" s="341"/>
      <c r="R29" s="341"/>
    </row>
    <row r="30" s="342" customFormat="1" ht="11.25" customHeight="1">
      <c r="A30" s="343" t="s">
        <v>150</v>
      </c>
    </row>
    <row r="31" s="344" customFormat="1" ht="11.25" customHeight="1">
      <c r="A31" s="343" t="s">
        <v>227</v>
      </c>
    </row>
    <row r="32" s="342" customFormat="1" ht="11.25" customHeight="1">
      <c r="A32" s="343" t="s">
        <v>228</v>
      </c>
    </row>
    <row r="33" s="344" customFormat="1" ht="11.25" customHeight="1">
      <c r="A33" s="343" t="s">
        <v>5</v>
      </c>
    </row>
    <row r="34" s="344" customFormat="1" ht="11.25" customHeight="1">
      <c r="A34" s="337" t="s">
        <v>151</v>
      </c>
    </row>
    <row r="35" spans="1:9" s="344" customFormat="1" ht="11.25" customHeight="1">
      <c r="A35" s="337" t="s">
        <v>152</v>
      </c>
      <c r="E35" s="353"/>
      <c r="F35" s="353"/>
      <c r="G35" s="353"/>
      <c r="H35" s="353"/>
      <c r="I35" s="353"/>
    </row>
    <row r="36" s="344" customFormat="1" ht="11.25" customHeight="1">
      <c r="A36" s="343" t="s">
        <v>6</v>
      </c>
    </row>
    <row r="37" s="344" customFormat="1" ht="11.25" customHeight="1">
      <c r="A37" s="337" t="s">
        <v>210</v>
      </c>
    </row>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sheetData>
  <sheetProtection/>
  <mergeCells count="50">
    <mergeCell ref="L2:M2"/>
    <mergeCell ref="L3:M3"/>
    <mergeCell ref="P2:Q2"/>
    <mergeCell ref="P3:Q3"/>
    <mergeCell ref="N2:O2"/>
    <mergeCell ref="N3:O3"/>
    <mergeCell ref="G25:G28"/>
    <mergeCell ref="H25:H28"/>
    <mergeCell ref="I25:I28"/>
    <mergeCell ref="J25:J28"/>
    <mergeCell ref="K28:L28"/>
    <mergeCell ref="A25:A28"/>
    <mergeCell ref="B25:B28"/>
    <mergeCell ref="C25:C28"/>
    <mergeCell ref="D25:D28"/>
    <mergeCell ref="E25:E28"/>
    <mergeCell ref="F25:F28"/>
    <mergeCell ref="A21:A24"/>
    <mergeCell ref="B21:B24"/>
    <mergeCell ref="C21:C24"/>
    <mergeCell ref="D21:D24"/>
    <mergeCell ref="E21:E24"/>
    <mergeCell ref="K24:L24"/>
    <mergeCell ref="A17:A20"/>
    <mergeCell ref="B17:B20"/>
    <mergeCell ref="C17:C20"/>
    <mergeCell ref="D17:D20"/>
    <mergeCell ref="E17:E20"/>
    <mergeCell ref="K20:L20"/>
    <mergeCell ref="K12:L12"/>
    <mergeCell ref="A13:A16"/>
    <mergeCell ref="B13:B16"/>
    <mergeCell ref="C13:C16"/>
    <mergeCell ref="D13:D16"/>
    <mergeCell ref="E13:E16"/>
    <mergeCell ref="K16:L16"/>
    <mergeCell ref="A6:A7"/>
    <mergeCell ref="A9:A12"/>
    <mergeCell ref="B9:B12"/>
    <mergeCell ref="C9:C12"/>
    <mergeCell ref="D9:D12"/>
    <mergeCell ref="E9:E12"/>
    <mergeCell ref="K5:N5"/>
    <mergeCell ref="O5:P5"/>
    <mergeCell ref="Q5:R5"/>
    <mergeCell ref="B5:B6"/>
    <mergeCell ref="E5:E6"/>
    <mergeCell ref="H5:H6"/>
    <mergeCell ref="I5:I6"/>
    <mergeCell ref="J5:J6"/>
  </mergeCells>
  <dataValidations count="1">
    <dataValidation type="whole" allowBlank="1" showInputMessage="1" showErrorMessage="1" sqref="B9:D24 E21 E17 E13 E9">
      <formula1>0</formula1>
      <formula2>999999</formula2>
    </dataValidation>
  </dataValidations>
  <printOptions/>
  <pageMargins left="0.7480314960629921" right="0.7480314960629921" top="0.984251968503937" bottom="0.984251968503937" header="0.5118110236220472" footer="0.5118110236220472"/>
  <pageSetup cellComments="asDisplayed" fitToHeight="0" fitToWidth="0" horizontalDpi="600" verticalDpi="600" orientation="landscape" paperSize="9" scale="63"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AJ59"/>
  <sheetViews>
    <sheetView view="pageBreakPreview" zoomScale="75" zoomScaleNormal="75" zoomScaleSheetLayoutView="75" zoomScalePageLayoutView="0" workbookViewId="0" topLeftCell="A1">
      <selection activeCell="A51" sqref="A51"/>
    </sheetView>
  </sheetViews>
  <sheetFormatPr defaultColWidth="9.625" defaultRowHeight="13.5"/>
  <cols>
    <col min="1" max="1" width="6.25390625" style="40" customWidth="1"/>
    <col min="2" max="2" width="19.125" style="40" bestFit="1" customWidth="1"/>
    <col min="3" max="3" width="3.75390625" style="40" customWidth="1"/>
    <col min="4" max="4" width="10.125" style="40" customWidth="1"/>
    <col min="5" max="5" width="10.375" style="40" customWidth="1"/>
    <col min="6" max="6" width="12.25390625" style="40" customWidth="1"/>
    <col min="7" max="7" width="12.375" style="40" customWidth="1"/>
    <col min="8" max="8" width="12.25390625" style="40" bestFit="1" customWidth="1"/>
    <col min="9" max="9" width="5.50390625" style="40" bestFit="1" customWidth="1"/>
    <col min="10" max="10" width="14.125" style="40" bestFit="1" customWidth="1"/>
    <col min="11" max="11" width="13.125" style="40" bestFit="1" customWidth="1"/>
    <col min="12" max="12" width="6.875" style="288" customWidth="1"/>
    <col min="13" max="13" width="12.125" style="40" hidden="1" customWidth="1"/>
    <col min="14" max="14" width="9.875" style="40" customWidth="1"/>
    <col min="15" max="15" width="6.875" style="288" customWidth="1"/>
    <col min="16" max="16" width="10.00390625" style="40" hidden="1" customWidth="1"/>
    <col min="17" max="17" width="9.875" style="40" customWidth="1"/>
    <col min="18" max="18" width="10.75390625" style="40" customWidth="1"/>
    <col min="19" max="19" width="10.625" style="40" customWidth="1"/>
    <col min="20" max="20" width="10.875" style="40" customWidth="1"/>
    <col min="21" max="21" width="12.50390625" style="40" customWidth="1"/>
    <col min="22" max="22" width="13.25390625" style="40" customWidth="1"/>
    <col min="23" max="23" width="11.25390625" style="40" customWidth="1"/>
    <col min="24" max="24" width="11.625" style="40" customWidth="1"/>
    <col min="25" max="26" width="11.25390625" style="40" customWidth="1"/>
    <col min="27" max="27" width="13.00390625" style="40" customWidth="1"/>
    <col min="28" max="28" width="1.37890625" style="40" customWidth="1"/>
    <col min="29" max="29" width="9.125" style="40" customWidth="1"/>
    <col min="30" max="30" width="16.375" style="40" customWidth="1"/>
    <col min="31" max="31" width="3.125" style="40" customWidth="1"/>
    <col min="32" max="32" width="5.625" style="41" customWidth="1"/>
    <col min="33" max="33" width="3.125" style="41" customWidth="1"/>
    <col min="34" max="34" width="3.125" style="40" customWidth="1"/>
    <col min="35" max="35" width="8.25390625" style="40" customWidth="1"/>
    <col min="36" max="16384" width="9.625" style="40" customWidth="1"/>
  </cols>
  <sheetData>
    <row r="1" spans="1:30" ht="24.75" customHeight="1">
      <c r="A1" s="213" t="s">
        <v>248</v>
      </c>
      <c r="B1" s="39"/>
      <c r="X1" s="186" t="s">
        <v>25</v>
      </c>
      <c r="Y1" s="761">
        <f>'5_総括表'!E3</f>
        <v>0</v>
      </c>
      <c r="Z1" s="762"/>
      <c r="AA1" s="762"/>
      <c r="AB1" s="763"/>
      <c r="AC1" s="186" t="s">
        <v>26</v>
      </c>
      <c r="AD1" s="188">
        <f>'5_総括表'!Z3</f>
        <v>0</v>
      </c>
    </row>
    <row r="2" spans="1:30" ht="24.75" customHeight="1" thickBot="1">
      <c r="A2" s="42"/>
      <c r="X2" s="187" t="s">
        <v>23</v>
      </c>
      <c r="Y2" s="764">
        <f>'5_総括表'!E4</f>
        <v>0</v>
      </c>
      <c r="Z2" s="765"/>
      <c r="AA2" s="765"/>
      <c r="AB2" s="766"/>
      <c r="AC2" s="187" t="s">
        <v>24</v>
      </c>
      <c r="AD2" s="189">
        <f>'5_総括表'!Z4</f>
        <v>0</v>
      </c>
    </row>
    <row r="3" spans="1:30" ht="31.5" customHeight="1" thickBot="1">
      <c r="A3" s="333" t="s">
        <v>226</v>
      </c>
      <c r="B3" s="332"/>
      <c r="AC3" s="43"/>
      <c r="AD3" s="43" t="s">
        <v>28</v>
      </c>
    </row>
    <row r="4" spans="1:33" s="44" customFormat="1" ht="22.5" customHeight="1" thickBot="1">
      <c r="A4" s="675" t="s">
        <v>32</v>
      </c>
      <c r="B4" s="670" t="s">
        <v>171</v>
      </c>
      <c r="C4" s="770" t="s">
        <v>119</v>
      </c>
      <c r="D4" s="777" t="s">
        <v>117</v>
      </c>
      <c r="E4" s="773" t="s">
        <v>100</v>
      </c>
      <c r="F4" s="774"/>
      <c r="G4" s="775" t="s">
        <v>109</v>
      </c>
      <c r="H4" s="776"/>
      <c r="I4" s="776"/>
      <c r="J4" s="776"/>
      <c r="K4" s="774"/>
      <c r="L4" s="684" t="s">
        <v>113</v>
      </c>
      <c r="M4" s="685"/>
      <c r="N4" s="685"/>
      <c r="O4" s="755"/>
      <c r="P4" s="755"/>
      <c r="Q4" s="755"/>
      <c r="R4" s="755"/>
      <c r="S4" s="755"/>
      <c r="T4" s="756"/>
      <c r="U4" s="670" t="s">
        <v>4</v>
      </c>
      <c r="V4" s="670" t="s">
        <v>115</v>
      </c>
      <c r="W4" s="670" t="s">
        <v>116</v>
      </c>
      <c r="X4" s="670" t="s">
        <v>69</v>
      </c>
      <c r="Y4" s="670" t="s">
        <v>31</v>
      </c>
      <c r="Z4" s="670" t="s">
        <v>99</v>
      </c>
      <c r="AA4" s="757" t="s">
        <v>188</v>
      </c>
      <c r="AB4" s="721" t="s">
        <v>7</v>
      </c>
      <c r="AC4" s="722"/>
      <c r="AD4" s="723"/>
      <c r="AF4" s="730" t="s">
        <v>30</v>
      </c>
      <c r="AG4" s="730" t="s">
        <v>78</v>
      </c>
    </row>
    <row r="5" spans="1:33" s="44" customFormat="1" ht="19.5" customHeight="1" thickBot="1">
      <c r="A5" s="767"/>
      <c r="B5" s="737"/>
      <c r="C5" s="771"/>
      <c r="D5" s="778"/>
      <c r="E5" s="779" t="s">
        <v>146</v>
      </c>
      <c r="F5" s="748" t="s">
        <v>76</v>
      </c>
      <c r="G5" s="753" t="s">
        <v>3</v>
      </c>
      <c r="H5" s="759" t="s">
        <v>77</v>
      </c>
      <c r="I5" s="740" t="s">
        <v>158</v>
      </c>
      <c r="J5" s="753" t="s">
        <v>157</v>
      </c>
      <c r="K5" s="748" t="s">
        <v>2</v>
      </c>
      <c r="L5" s="750" t="s">
        <v>232</v>
      </c>
      <c r="M5" s="751"/>
      <c r="N5" s="751"/>
      <c r="O5" s="750" t="s">
        <v>233</v>
      </c>
      <c r="P5" s="751"/>
      <c r="Q5" s="752"/>
      <c r="R5" s="742" t="s">
        <v>110</v>
      </c>
      <c r="S5" s="744" t="s">
        <v>112</v>
      </c>
      <c r="T5" s="738" t="s">
        <v>111</v>
      </c>
      <c r="U5" s="737"/>
      <c r="V5" s="737"/>
      <c r="W5" s="737"/>
      <c r="X5" s="737"/>
      <c r="Y5" s="737"/>
      <c r="Z5" s="737"/>
      <c r="AA5" s="758"/>
      <c r="AB5" s="724"/>
      <c r="AC5" s="725"/>
      <c r="AD5" s="726"/>
      <c r="AF5" s="731"/>
      <c r="AG5" s="731"/>
    </row>
    <row r="6" spans="1:33" s="44" customFormat="1" ht="50.25" customHeight="1">
      <c r="A6" s="767"/>
      <c r="B6" s="737"/>
      <c r="C6" s="771"/>
      <c r="D6" s="778"/>
      <c r="E6" s="780"/>
      <c r="F6" s="749"/>
      <c r="G6" s="754"/>
      <c r="H6" s="760"/>
      <c r="I6" s="741"/>
      <c r="J6" s="754"/>
      <c r="K6" s="749"/>
      <c r="L6" s="746" t="s">
        <v>18</v>
      </c>
      <c r="M6" s="363"/>
      <c r="N6" s="367" t="s">
        <v>169</v>
      </c>
      <c r="O6" s="746" t="s">
        <v>18</v>
      </c>
      <c r="P6" s="365"/>
      <c r="Q6" s="367" t="s">
        <v>169</v>
      </c>
      <c r="R6" s="743"/>
      <c r="S6" s="745"/>
      <c r="T6" s="739"/>
      <c r="U6" s="737"/>
      <c r="V6" s="737"/>
      <c r="W6" s="737"/>
      <c r="X6" s="737"/>
      <c r="Y6" s="737"/>
      <c r="Z6" s="737"/>
      <c r="AA6" s="758"/>
      <c r="AB6" s="724"/>
      <c r="AC6" s="725"/>
      <c r="AD6" s="726"/>
      <c r="AF6" s="732"/>
      <c r="AG6" s="732"/>
    </row>
    <row r="7" spans="1:33" s="44" customFormat="1" ht="17.25" customHeight="1" thickBot="1">
      <c r="A7" s="768"/>
      <c r="B7" s="769"/>
      <c r="C7" s="772"/>
      <c r="D7" s="125" t="s">
        <v>104</v>
      </c>
      <c r="E7" s="205" t="s">
        <v>0</v>
      </c>
      <c r="F7" s="122" t="s">
        <v>1</v>
      </c>
      <c r="G7" s="126" t="s">
        <v>88</v>
      </c>
      <c r="H7" s="49" t="s">
        <v>79</v>
      </c>
      <c r="I7" s="122" t="s">
        <v>89</v>
      </c>
      <c r="J7" s="123" t="s">
        <v>102</v>
      </c>
      <c r="K7" s="124" t="s">
        <v>103</v>
      </c>
      <c r="L7" s="747"/>
      <c r="M7" s="364"/>
      <c r="N7" s="311" t="s">
        <v>212</v>
      </c>
      <c r="O7" s="747"/>
      <c r="P7" s="366"/>
      <c r="Q7" s="313" t="s">
        <v>213</v>
      </c>
      <c r="R7" s="117" t="s">
        <v>82</v>
      </c>
      <c r="S7" s="119" t="s">
        <v>83</v>
      </c>
      <c r="T7" s="50" t="s">
        <v>92</v>
      </c>
      <c r="U7" s="47" t="s">
        <v>93</v>
      </c>
      <c r="V7" s="47" t="s">
        <v>94</v>
      </c>
      <c r="W7" s="47" t="s">
        <v>95</v>
      </c>
      <c r="X7" s="47" t="s">
        <v>96</v>
      </c>
      <c r="Y7" s="47" t="s">
        <v>97</v>
      </c>
      <c r="Z7" s="47" t="s">
        <v>98</v>
      </c>
      <c r="AA7" s="51" t="s">
        <v>114</v>
      </c>
      <c r="AB7" s="727"/>
      <c r="AC7" s="728"/>
      <c r="AD7" s="729"/>
      <c r="AF7" s="733"/>
      <c r="AG7" s="733"/>
    </row>
    <row r="8" spans="1:36" s="149" customFormat="1" ht="18.75" customHeight="1" thickBot="1">
      <c r="A8" s="26">
        <f>IF(B8="","",ROW($A8)-ROW($A$7))</f>
      </c>
      <c r="B8" s="271"/>
      <c r="C8" s="234"/>
      <c r="D8" s="52"/>
      <c r="E8" s="53"/>
      <c r="F8" s="215">
        <f>IF(A8="","",IF(E8&gt;30,30,E8))</f>
      </c>
      <c r="G8" s="222">
        <f>IF(A8="","",(D8*F8))</f>
      </c>
      <c r="H8" s="223"/>
      <c r="I8" s="224"/>
      <c r="J8" s="225">
        <f>IF(A8="","",ROUNDDOWN((H8*I8/12+G8),0))</f>
      </c>
      <c r="K8" s="243">
        <f>IF(A8="","",ROUNDDOWN(10032*F8,0))</f>
      </c>
      <c r="L8" s="296"/>
      <c r="M8" s="235"/>
      <c r="N8" s="236">
        <f>IF($G8="","",IF($L8="Ａ",LOOKUP($D8,{8000,8500,9000,10000,12000},{0,1532,1032,408,408}),IF($L8="Ｂ",LOOKUP($D8,{8000,8500,9000,10000,12000},{782,2814,2814,2814,2814}),0)))</f>
      </c>
      <c r="O8" s="296"/>
      <c r="P8" s="293">
        <v>0</v>
      </c>
      <c r="Q8" s="236">
        <f>IF($G8="","",IF($O8="Ａ",LOOKUP($D8,{8000,8500,9000,10000,12000},{0,1532,1032,408,408}),IF($O8="Ｂ",LOOKUP($D8,{8000,8500,9000,10000,12000},{782,2814,2814,2814,2814}),0)))</f>
      </c>
      <c r="R8" s="88">
        <f>IF(ISERROR(ROUNDUP(N8*3/12+Q8*9/12,0)),"",ROUNDUP(N8*3/12+Q8*9/12,0))</f>
      </c>
      <c r="S8" s="226">
        <f>IF(B8="","",SUMIF('6-3_調整額内訳①(旧々・旧制度)'!B:B,$B8,'6-3_調整額内訳①(旧々・旧制度)'!AD:AD))</f>
      </c>
      <c r="T8" s="227">
        <f>IF(B8="","",SUM(R8:S8))</f>
      </c>
      <c r="U8" s="383">
        <f>IF(B8="","",ROUNDDOWN(T8*F8,0))</f>
      </c>
      <c r="V8" s="228">
        <f>IF(J8&gt;=K8,K8,J8)</f>
      </c>
      <c r="W8" s="52"/>
      <c r="X8" s="228">
        <f>IF(A8="","",IF((J8-V8)&lt;W8,V8-(J8-W8),0))</f>
      </c>
      <c r="Y8" s="237"/>
      <c r="Z8" s="88">
        <f>IF(B8="","",MAX(0,V8-X8-Y8))</f>
      </c>
      <c r="AA8" s="230">
        <f>IF(B8="","",MIN(U8,Z8))</f>
      </c>
      <c r="AB8" s="734"/>
      <c r="AC8" s="735"/>
      <c r="AD8" s="736"/>
      <c r="AF8" s="55">
        <f aca="true" t="shared" si="0" ref="AF8:AF44">IF(A8&gt;0,ASC(C8&amp;O8),"")</f>
      </c>
      <c r="AG8" s="55">
        <f aca="true" t="shared" si="1" ref="AG8:AG44">IF(B8="","",IF(AA8&gt;0,1,0))</f>
      </c>
      <c r="AJ8" s="231" t="s">
        <v>15</v>
      </c>
    </row>
    <row r="9" spans="1:36" s="54" customFormat="1" ht="18.75" customHeight="1" thickBot="1" thickTop="1">
      <c r="A9" s="37">
        <f aca="true" t="shared" si="2" ref="A9:A44">IF(B9="","",ROW($A9)-ROW($A$7))</f>
      </c>
      <c r="B9" s="277"/>
      <c r="C9" s="238"/>
      <c r="D9" s="58"/>
      <c r="E9" s="59"/>
      <c r="F9" s="216">
        <f aca="true" t="shared" si="3" ref="F9:F44">IF(A9="","",IF(E9&gt;30,30,E9))</f>
      </c>
      <c r="G9" s="239">
        <f aca="true" t="shared" si="4" ref="G9:G44">IF(A9="","",(D9*F9))</f>
      </c>
      <c r="H9" s="240"/>
      <c r="I9" s="241"/>
      <c r="J9" s="242">
        <f aca="true" t="shared" si="5" ref="J9:J44">IF(A9="","",ROUNDDOWN((H9*I9/12+G9),0))</f>
      </c>
      <c r="K9" s="243">
        <f aca="true" t="shared" si="6" ref="K9:K44">IF(A9="","",ROUNDDOWN(10032*F9,0))</f>
      </c>
      <c r="L9" s="297"/>
      <c r="M9" s="220"/>
      <c r="N9" s="244">
        <f>IF($G9="","",IF($L9="Ａ",LOOKUP($D9,{8000,8500,9000,10000,12000},{0,1532,1032,408,408}),IF($L9="Ｂ",LOOKUP($D9,{8000,8500,9000,10000,12000},{782,2814,2814,2814,2814}),0)))</f>
      </c>
      <c r="O9" s="297"/>
      <c r="P9" s="294">
        <v>0</v>
      </c>
      <c r="Q9" s="244">
        <f>IF($G9="","",IF($O9="Ａ",LOOKUP($D9,{8000,8500,9000,10000,12000},{0,1532,1032,408,408}),IF($O9="Ｂ",LOOKUP($D9,{8000,8500,9000,10000,12000},{782,2814,2814,2814,2814}),0)))</f>
      </c>
      <c r="R9" s="98">
        <f aca="true" t="shared" si="7" ref="R9:R44">IF(ISERROR(ROUNDUP(N9*3/12+Q9*9/12,0)),"",ROUNDUP(N9*3/12+Q9*9/12,0))</f>
      </c>
      <c r="S9" s="245">
        <f>IF(B9="","",SUMIF('6-3_調整額内訳①(旧々・旧制度)'!B:B,$B9,'6-3_調整額内訳①(旧々・旧制度)'!AD:AD))</f>
      </c>
      <c r="T9" s="246">
        <f aca="true" t="shared" si="8" ref="T9:T44">IF(B9="","",SUM(R9:S9))</f>
      </c>
      <c r="U9" s="247">
        <f aca="true" t="shared" si="9" ref="U9:U44">IF(B9="","",ROUNDDOWN(T9*F9,0))</f>
      </c>
      <c r="V9" s="247">
        <f aca="true" t="shared" si="10" ref="V9:V44">IF(J9&gt;=K9,K9,J9)</f>
      </c>
      <c r="W9" s="58"/>
      <c r="X9" s="247">
        <f aca="true" t="shared" si="11" ref="X9:X44">IF(A9="","",IF((J9-V9)&lt;W9,V9-(J9-W9),0))</f>
      </c>
      <c r="Y9" s="229"/>
      <c r="Z9" s="98">
        <f aca="true" t="shared" si="12" ref="Z9:Z44">IF(B9="","",MAX(0,V9-X9-Y9))</f>
      </c>
      <c r="AA9" s="248">
        <f aca="true" t="shared" si="13" ref="AA9:AA44">IF(B9="","",MIN(U9,Z9))</f>
      </c>
      <c r="AB9" s="712"/>
      <c r="AC9" s="713"/>
      <c r="AD9" s="714"/>
      <c r="AF9" s="63">
        <f t="shared" si="0"/>
      </c>
      <c r="AG9" s="63">
        <f t="shared" si="1"/>
      </c>
      <c r="AI9" s="56" t="s">
        <v>14</v>
      </c>
      <c r="AJ9" s="64" t="str">
        <f>IF(S45='6-3_調整額内訳①(旧々・旧制度)'!AD39,"OK","ERR")</f>
        <v>OK</v>
      </c>
    </row>
    <row r="10" spans="1:36" s="54" customFormat="1" ht="18.75" customHeight="1" thickTop="1">
      <c r="A10" s="204">
        <f t="shared" si="2"/>
      </c>
      <c r="B10" s="277"/>
      <c r="C10" s="238"/>
      <c r="D10" s="58"/>
      <c r="E10" s="59"/>
      <c r="F10" s="216">
        <f t="shared" si="3"/>
      </c>
      <c r="G10" s="239">
        <f t="shared" si="4"/>
      </c>
      <c r="H10" s="240"/>
      <c r="I10" s="241"/>
      <c r="J10" s="242">
        <f t="shared" si="5"/>
      </c>
      <c r="K10" s="243">
        <f t="shared" si="6"/>
      </c>
      <c r="L10" s="297"/>
      <c r="M10" s="220"/>
      <c r="N10" s="244">
        <f>IF($G10="","",IF($L10="Ａ",LOOKUP($D10,{8000,8500,9000,10000,12000},{0,1532,1032,408,408}),IF($L10="Ｂ",LOOKUP($D10,{8000,8500,9000,10000,12000},{782,2814,2814,2814,2814}),0)))</f>
      </c>
      <c r="O10" s="297"/>
      <c r="P10" s="294">
        <v>0</v>
      </c>
      <c r="Q10" s="244">
        <f>IF($G10="","",IF($O10="Ａ",LOOKUP($D10,{8000,8500,9000,10000,12000},{0,1532,1032,408,408}),IF($O10="Ｂ",LOOKUP($D10,{8000,8500,9000,10000,12000},{782,2814,2814,2814,2814}),0)))</f>
      </c>
      <c r="R10" s="98">
        <f t="shared" si="7"/>
      </c>
      <c r="S10" s="245">
        <f>IF(B10="","",SUMIF('6-3_調整額内訳①(旧々・旧制度)'!B:B,$B10,'6-3_調整額内訳①(旧々・旧制度)'!AD:AD))</f>
      </c>
      <c r="T10" s="246">
        <f t="shared" si="8"/>
      </c>
      <c r="U10" s="247">
        <f t="shared" si="9"/>
      </c>
      <c r="V10" s="247">
        <f t="shared" si="10"/>
      </c>
      <c r="W10" s="58"/>
      <c r="X10" s="247">
        <f t="shared" si="11"/>
      </c>
      <c r="Y10" s="229"/>
      <c r="Z10" s="98">
        <f t="shared" si="12"/>
      </c>
      <c r="AA10" s="248">
        <f t="shared" si="13"/>
      </c>
      <c r="AB10" s="712"/>
      <c r="AC10" s="713"/>
      <c r="AD10" s="714"/>
      <c r="AF10" s="63">
        <f t="shared" si="0"/>
      </c>
      <c r="AG10" s="63">
        <f t="shared" si="1"/>
      </c>
      <c r="AI10" s="56"/>
      <c r="AJ10" s="65"/>
    </row>
    <row r="11" spans="1:33" s="54" customFormat="1" ht="18.75" customHeight="1">
      <c r="A11" s="204">
        <f t="shared" si="2"/>
      </c>
      <c r="B11" s="277"/>
      <c r="C11" s="238"/>
      <c r="D11" s="58"/>
      <c r="E11" s="59"/>
      <c r="F11" s="216">
        <f t="shared" si="3"/>
      </c>
      <c r="G11" s="239">
        <f t="shared" si="4"/>
      </c>
      <c r="H11" s="240"/>
      <c r="I11" s="241"/>
      <c r="J11" s="242">
        <f t="shared" si="5"/>
      </c>
      <c r="K11" s="243">
        <f t="shared" si="6"/>
      </c>
      <c r="L11" s="297"/>
      <c r="M11" s="220"/>
      <c r="N11" s="244">
        <f>IF($G11="","",IF($L11="Ａ",LOOKUP($D11,{8000,8500,9000,10000,12000},{0,1532,1032,408,408}),IF($L11="Ｂ",LOOKUP($D11,{8000,8500,9000,10000,12000},{782,2814,2814,2814,2814}),0)))</f>
      </c>
      <c r="O11" s="297"/>
      <c r="P11" s="294">
        <v>0</v>
      </c>
      <c r="Q11" s="244">
        <f>IF($G11="","",IF($O11="Ａ",LOOKUP($D11,{8000,8500,9000,10000,12000},{0,1532,1032,408,408}),IF($O11="Ｂ",LOOKUP($D11,{8000,8500,9000,10000,12000},{782,2814,2814,2814,2814}),0)))</f>
      </c>
      <c r="R11" s="98">
        <f t="shared" si="7"/>
      </c>
      <c r="S11" s="245">
        <f>IF(B11="","",SUMIF('6-3_調整額内訳①(旧々・旧制度)'!B:B,$B11,'6-3_調整額内訳①(旧々・旧制度)'!AD:AD))</f>
      </c>
      <c r="T11" s="246">
        <f t="shared" si="8"/>
      </c>
      <c r="U11" s="247">
        <f t="shared" si="9"/>
      </c>
      <c r="V11" s="247">
        <f t="shared" si="10"/>
      </c>
      <c r="W11" s="58"/>
      <c r="X11" s="247">
        <f t="shared" si="11"/>
      </c>
      <c r="Y11" s="229"/>
      <c r="Z11" s="98">
        <f t="shared" si="12"/>
      </c>
      <c r="AA11" s="248">
        <f t="shared" si="13"/>
      </c>
      <c r="AB11" s="712"/>
      <c r="AC11" s="713"/>
      <c r="AD11" s="714"/>
      <c r="AF11" s="63">
        <f t="shared" si="0"/>
      </c>
      <c r="AG11" s="63">
        <f t="shared" si="1"/>
      </c>
    </row>
    <row r="12" spans="1:33" s="54" customFormat="1" ht="18.75" customHeight="1">
      <c r="A12" s="204">
        <f t="shared" si="2"/>
      </c>
      <c r="B12" s="277"/>
      <c r="C12" s="238"/>
      <c r="D12" s="58"/>
      <c r="E12" s="59"/>
      <c r="F12" s="216">
        <f t="shared" si="3"/>
      </c>
      <c r="G12" s="239">
        <f t="shared" si="4"/>
      </c>
      <c r="H12" s="240"/>
      <c r="I12" s="241"/>
      <c r="J12" s="242">
        <f t="shared" si="5"/>
      </c>
      <c r="K12" s="243">
        <f t="shared" si="6"/>
      </c>
      <c r="L12" s="297"/>
      <c r="M12" s="220"/>
      <c r="N12" s="244">
        <f>IF($G12="","",IF($L12="Ａ",LOOKUP($D12,{8000,8500,9000,10000,12000},{0,1532,1032,408,408}),IF($L12="Ｂ",LOOKUP($D12,{8000,8500,9000,10000,12000},{782,2814,2814,2814,2814}),0)))</f>
      </c>
      <c r="O12" s="297"/>
      <c r="P12" s="294">
        <v>0</v>
      </c>
      <c r="Q12" s="244">
        <f>IF($G12="","",IF($O12="Ａ",LOOKUP($D12,{8000,8500,9000,10000,12000},{0,1532,1032,408,408}),IF($O12="Ｂ",LOOKUP($D12,{8000,8500,9000,10000,12000},{782,2814,2814,2814,2814}),0)))</f>
      </c>
      <c r="R12" s="98">
        <f t="shared" si="7"/>
      </c>
      <c r="S12" s="245">
        <f>IF(B12="","",SUMIF('6-3_調整額内訳①(旧々・旧制度)'!B:B,$B12,'6-3_調整額内訳①(旧々・旧制度)'!AD:AD))</f>
      </c>
      <c r="T12" s="246">
        <f t="shared" si="8"/>
      </c>
      <c r="U12" s="247">
        <f t="shared" si="9"/>
      </c>
      <c r="V12" s="247">
        <f t="shared" si="10"/>
      </c>
      <c r="W12" s="58"/>
      <c r="X12" s="247">
        <f t="shared" si="11"/>
      </c>
      <c r="Y12" s="229"/>
      <c r="Z12" s="98">
        <f t="shared" si="12"/>
      </c>
      <c r="AA12" s="248">
        <f t="shared" si="13"/>
      </c>
      <c r="AB12" s="712"/>
      <c r="AC12" s="713"/>
      <c r="AD12" s="714"/>
      <c r="AF12" s="63">
        <f t="shared" si="0"/>
      </c>
      <c r="AG12" s="63">
        <f t="shared" si="1"/>
      </c>
    </row>
    <row r="13" spans="1:33" s="54" customFormat="1" ht="18.75" customHeight="1">
      <c r="A13" s="204">
        <f t="shared" si="2"/>
      </c>
      <c r="B13" s="277"/>
      <c r="C13" s="238"/>
      <c r="D13" s="58"/>
      <c r="E13" s="59"/>
      <c r="F13" s="216">
        <f t="shared" si="3"/>
      </c>
      <c r="G13" s="239">
        <f t="shared" si="4"/>
      </c>
      <c r="H13" s="240"/>
      <c r="I13" s="241"/>
      <c r="J13" s="242">
        <f t="shared" si="5"/>
      </c>
      <c r="K13" s="243">
        <f t="shared" si="6"/>
      </c>
      <c r="L13" s="297"/>
      <c r="M13" s="220"/>
      <c r="N13" s="244">
        <f>IF($G13="","",IF($L13="Ａ",LOOKUP($D13,{8000,8500,9000,10000,12000},{0,1532,1032,408,408}),IF($L13="Ｂ",LOOKUP($D13,{8000,8500,9000,10000,12000},{782,2814,2814,2814,2814}),0)))</f>
      </c>
      <c r="O13" s="297"/>
      <c r="P13" s="294">
        <v>0</v>
      </c>
      <c r="Q13" s="244">
        <f>IF($G13="","",IF($O13="Ａ",LOOKUP($D13,{8000,8500,9000,10000,12000},{0,1532,1032,408,408}),IF($O13="Ｂ",LOOKUP($D13,{8000,8500,9000,10000,12000},{782,2814,2814,2814,2814}),0)))</f>
      </c>
      <c r="R13" s="98">
        <f t="shared" si="7"/>
      </c>
      <c r="S13" s="245">
        <f>IF(B13="","",SUMIF('6-3_調整額内訳①(旧々・旧制度)'!B:B,$B13,'6-3_調整額内訳①(旧々・旧制度)'!AD:AD))</f>
      </c>
      <c r="T13" s="246">
        <f t="shared" si="8"/>
      </c>
      <c r="U13" s="247">
        <f t="shared" si="9"/>
      </c>
      <c r="V13" s="247">
        <f t="shared" si="10"/>
      </c>
      <c r="W13" s="58"/>
      <c r="X13" s="247">
        <f t="shared" si="11"/>
      </c>
      <c r="Y13" s="229"/>
      <c r="Z13" s="98">
        <f t="shared" si="12"/>
      </c>
      <c r="AA13" s="248">
        <f t="shared" si="13"/>
      </c>
      <c r="AB13" s="712"/>
      <c r="AC13" s="713"/>
      <c r="AD13" s="714"/>
      <c r="AF13" s="63">
        <f t="shared" si="0"/>
      </c>
      <c r="AG13" s="63">
        <f t="shared" si="1"/>
      </c>
    </row>
    <row r="14" spans="1:33" s="54" customFormat="1" ht="18.75" customHeight="1">
      <c r="A14" s="204">
        <f t="shared" si="2"/>
      </c>
      <c r="B14" s="277"/>
      <c r="C14" s="238"/>
      <c r="D14" s="58"/>
      <c r="E14" s="59"/>
      <c r="F14" s="216">
        <f t="shared" si="3"/>
      </c>
      <c r="G14" s="239">
        <f t="shared" si="4"/>
      </c>
      <c r="H14" s="240"/>
      <c r="I14" s="241"/>
      <c r="J14" s="242">
        <f t="shared" si="5"/>
      </c>
      <c r="K14" s="243">
        <f t="shared" si="6"/>
      </c>
      <c r="L14" s="297"/>
      <c r="M14" s="220"/>
      <c r="N14" s="244">
        <f>IF($G14="","",IF($L14="Ａ",LOOKUP($D14,{8000,8500,9000,10000,12000},{0,1532,1032,408,408}),IF($L14="Ｂ",LOOKUP($D14,{8000,8500,9000,10000,12000},{782,2814,2814,2814,2814}),0)))</f>
      </c>
      <c r="O14" s="297"/>
      <c r="P14" s="294">
        <v>0</v>
      </c>
      <c r="Q14" s="244">
        <f>IF($G14="","",IF($O14="Ａ",LOOKUP($D14,{8000,8500,9000,10000,12000},{0,1532,1032,408,408}),IF($O14="Ｂ",LOOKUP($D14,{8000,8500,9000,10000,12000},{782,2814,2814,2814,2814}),0)))</f>
      </c>
      <c r="R14" s="98">
        <f t="shared" si="7"/>
      </c>
      <c r="S14" s="245">
        <f>IF(B14="","",SUMIF('6-3_調整額内訳①(旧々・旧制度)'!B:B,$B14,'6-3_調整額内訳①(旧々・旧制度)'!AD:AD))</f>
      </c>
      <c r="T14" s="246">
        <f t="shared" si="8"/>
      </c>
      <c r="U14" s="247">
        <f t="shared" si="9"/>
      </c>
      <c r="V14" s="247">
        <f t="shared" si="10"/>
      </c>
      <c r="W14" s="58"/>
      <c r="X14" s="247">
        <f t="shared" si="11"/>
      </c>
      <c r="Y14" s="229"/>
      <c r="Z14" s="98">
        <f t="shared" si="12"/>
      </c>
      <c r="AA14" s="248">
        <f t="shared" si="13"/>
      </c>
      <c r="AB14" s="712"/>
      <c r="AC14" s="713"/>
      <c r="AD14" s="714"/>
      <c r="AF14" s="63">
        <f t="shared" si="0"/>
      </c>
      <c r="AG14" s="63">
        <f t="shared" si="1"/>
      </c>
    </row>
    <row r="15" spans="1:33" s="54" customFormat="1" ht="18.75" customHeight="1">
      <c r="A15" s="204">
        <f t="shared" si="2"/>
      </c>
      <c r="B15" s="277"/>
      <c r="C15" s="238"/>
      <c r="D15" s="58"/>
      <c r="E15" s="59"/>
      <c r="F15" s="216">
        <f t="shared" si="3"/>
      </c>
      <c r="G15" s="239">
        <f t="shared" si="4"/>
      </c>
      <c r="H15" s="240"/>
      <c r="I15" s="241"/>
      <c r="J15" s="242">
        <f t="shared" si="5"/>
      </c>
      <c r="K15" s="243">
        <f t="shared" si="6"/>
      </c>
      <c r="L15" s="297"/>
      <c r="M15" s="220"/>
      <c r="N15" s="244">
        <f>IF($G15="","",IF($L15="Ａ",LOOKUP($D15,{8000,8500,9000,10000,12000},{0,1532,1032,408,408}),IF($L15="Ｂ",LOOKUP($D15,{8000,8500,9000,10000,12000},{782,2814,2814,2814,2814}),0)))</f>
      </c>
      <c r="O15" s="297"/>
      <c r="P15" s="294">
        <v>0</v>
      </c>
      <c r="Q15" s="244">
        <f>IF($G15="","",IF($O15="Ａ",LOOKUP($D15,{8000,8500,9000,10000,12000},{0,1532,1032,408,408}),IF($O15="Ｂ",LOOKUP($D15,{8000,8500,9000,10000,12000},{782,2814,2814,2814,2814}),0)))</f>
      </c>
      <c r="R15" s="98">
        <f t="shared" si="7"/>
      </c>
      <c r="S15" s="245">
        <f>IF(B15="","",SUMIF('6-3_調整額内訳①(旧々・旧制度)'!B:B,$B15,'6-3_調整額内訳①(旧々・旧制度)'!AD:AD))</f>
      </c>
      <c r="T15" s="246">
        <f t="shared" si="8"/>
      </c>
      <c r="U15" s="247">
        <f t="shared" si="9"/>
      </c>
      <c r="V15" s="247">
        <f t="shared" si="10"/>
      </c>
      <c r="W15" s="58"/>
      <c r="X15" s="247">
        <f t="shared" si="11"/>
      </c>
      <c r="Y15" s="229"/>
      <c r="Z15" s="98">
        <f t="shared" si="12"/>
      </c>
      <c r="AA15" s="248">
        <f t="shared" si="13"/>
      </c>
      <c r="AB15" s="712"/>
      <c r="AC15" s="713"/>
      <c r="AD15" s="714"/>
      <c r="AF15" s="63">
        <f t="shared" si="0"/>
      </c>
      <c r="AG15" s="63">
        <f t="shared" si="1"/>
      </c>
    </row>
    <row r="16" spans="1:33" s="54" customFormat="1" ht="18.75" customHeight="1">
      <c r="A16" s="204">
        <f t="shared" si="2"/>
      </c>
      <c r="B16" s="277"/>
      <c r="C16" s="238"/>
      <c r="D16" s="58"/>
      <c r="E16" s="59"/>
      <c r="F16" s="216">
        <f t="shared" si="3"/>
      </c>
      <c r="G16" s="239">
        <f t="shared" si="4"/>
      </c>
      <c r="H16" s="240"/>
      <c r="I16" s="241"/>
      <c r="J16" s="242">
        <f t="shared" si="5"/>
      </c>
      <c r="K16" s="243">
        <f t="shared" si="6"/>
      </c>
      <c r="L16" s="297"/>
      <c r="M16" s="220"/>
      <c r="N16" s="244">
        <f>IF($G16="","",IF($L16="Ａ",LOOKUP($D16,{8000,8500,9000,10000,12000},{0,1532,1032,408,408}),IF($L16="Ｂ",LOOKUP($D16,{8000,8500,9000,10000,12000},{782,2814,2814,2814,2814}),0)))</f>
      </c>
      <c r="O16" s="297"/>
      <c r="P16" s="294">
        <v>0</v>
      </c>
      <c r="Q16" s="244">
        <f>IF($G16="","",IF($O16="Ａ",LOOKUP($D16,{8000,8500,9000,10000,12000},{0,1532,1032,408,408}),IF($O16="Ｂ",LOOKUP($D16,{8000,8500,9000,10000,12000},{782,2814,2814,2814,2814}),0)))</f>
      </c>
      <c r="R16" s="98">
        <f t="shared" si="7"/>
      </c>
      <c r="S16" s="245">
        <f>IF(B16="","",SUMIF('6-3_調整額内訳①(旧々・旧制度)'!B:B,$B16,'6-3_調整額内訳①(旧々・旧制度)'!AD:AD))</f>
      </c>
      <c r="T16" s="246">
        <f t="shared" si="8"/>
      </c>
      <c r="U16" s="247">
        <f t="shared" si="9"/>
      </c>
      <c r="V16" s="247">
        <f t="shared" si="10"/>
      </c>
      <c r="W16" s="58"/>
      <c r="X16" s="247">
        <f t="shared" si="11"/>
      </c>
      <c r="Y16" s="229"/>
      <c r="Z16" s="98">
        <f t="shared" si="12"/>
      </c>
      <c r="AA16" s="248">
        <f t="shared" si="13"/>
      </c>
      <c r="AB16" s="712"/>
      <c r="AC16" s="713"/>
      <c r="AD16" s="714"/>
      <c r="AF16" s="63">
        <f t="shared" si="0"/>
      </c>
      <c r="AG16" s="63">
        <f t="shared" si="1"/>
      </c>
    </row>
    <row r="17" spans="1:33" s="54" customFormat="1" ht="18.75" customHeight="1">
      <c r="A17" s="204">
        <f t="shared" si="2"/>
      </c>
      <c r="B17" s="277"/>
      <c r="C17" s="238"/>
      <c r="D17" s="58"/>
      <c r="E17" s="59"/>
      <c r="F17" s="216">
        <f t="shared" si="3"/>
      </c>
      <c r="G17" s="239">
        <f t="shared" si="4"/>
      </c>
      <c r="H17" s="240"/>
      <c r="I17" s="241"/>
      <c r="J17" s="242">
        <f t="shared" si="5"/>
      </c>
      <c r="K17" s="243">
        <f t="shared" si="6"/>
      </c>
      <c r="L17" s="297"/>
      <c r="M17" s="220"/>
      <c r="N17" s="244">
        <f>IF($G17="","",IF($L17="Ａ",LOOKUP($D17,{8000,8500,9000,10000,12000},{0,1532,1032,408,408}),IF($L17="Ｂ",LOOKUP($D17,{8000,8500,9000,10000,12000},{782,2814,2814,2814,2814}),0)))</f>
      </c>
      <c r="O17" s="297"/>
      <c r="P17" s="294">
        <v>0</v>
      </c>
      <c r="Q17" s="244">
        <f>IF($G17="","",IF($O17="Ａ",LOOKUP($D17,{8000,8500,9000,10000,12000},{0,1532,1032,408,408}),IF($O17="Ｂ",LOOKUP($D17,{8000,8500,9000,10000,12000},{782,2814,2814,2814,2814}),0)))</f>
      </c>
      <c r="R17" s="98">
        <f t="shared" si="7"/>
      </c>
      <c r="S17" s="245">
        <f>IF(B17="","",SUMIF('6-3_調整額内訳①(旧々・旧制度)'!B:B,$B17,'6-3_調整額内訳①(旧々・旧制度)'!AD:AD))</f>
      </c>
      <c r="T17" s="246">
        <f t="shared" si="8"/>
      </c>
      <c r="U17" s="247">
        <f t="shared" si="9"/>
      </c>
      <c r="V17" s="247">
        <f t="shared" si="10"/>
      </c>
      <c r="W17" s="58"/>
      <c r="X17" s="247">
        <f t="shared" si="11"/>
      </c>
      <c r="Y17" s="229"/>
      <c r="Z17" s="98">
        <f t="shared" si="12"/>
      </c>
      <c r="AA17" s="248">
        <f t="shared" si="13"/>
      </c>
      <c r="AB17" s="712"/>
      <c r="AC17" s="713"/>
      <c r="AD17" s="714"/>
      <c r="AF17" s="63">
        <f t="shared" si="0"/>
      </c>
      <c r="AG17" s="63">
        <f t="shared" si="1"/>
      </c>
    </row>
    <row r="18" spans="1:33" s="54" customFormat="1" ht="18.75" customHeight="1">
      <c r="A18" s="204">
        <f t="shared" si="2"/>
      </c>
      <c r="B18" s="277"/>
      <c r="C18" s="238"/>
      <c r="D18" s="58"/>
      <c r="E18" s="59"/>
      <c r="F18" s="216">
        <f t="shared" si="3"/>
      </c>
      <c r="G18" s="239">
        <f t="shared" si="4"/>
      </c>
      <c r="H18" s="240"/>
      <c r="I18" s="241"/>
      <c r="J18" s="242">
        <f t="shared" si="5"/>
      </c>
      <c r="K18" s="243">
        <f t="shared" si="6"/>
      </c>
      <c r="L18" s="297"/>
      <c r="M18" s="220"/>
      <c r="N18" s="244">
        <f>IF($G18="","",IF($L18="Ａ",LOOKUP($D18,{8000,8500,9000,10000,12000},{0,1532,1032,408,408}),IF($L18="Ｂ",LOOKUP($D18,{8000,8500,9000,10000,12000},{782,2814,2814,2814,2814}),0)))</f>
      </c>
      <c r="O18" s="297"/>
      <c r="P18" s="294">
        <v>0</v>
      </c>
      <c r="Q18" s="244">
        <f>IF($G18="","",IF($O18="Ａ",LOOKUP($D18,{8000,8500,9000,10000,12000},{0,1532,1032,408,408}),IF($O18="Ｂ",LOOKUP($D18,{8000,8500,9000,10000,12000},{782,2814,2814,2814,2814}),0)))</f>
      </c>
      <c r="R18" s="98">
        <f t="shared" si="7"/>
      </c>
      <c r="S18" s="245">
        <f>IF(B18="","",SUMIF('6-3_調整額内訳①(旧々・旧制度)'!B:B,$B18,'6-3_調整額内訳①(旧々・旧制度)'!AD:AD))</f>
      </c>
      <c r="T18" s="246">
        <f t="shared" si="8"/>
      </c>
      <c r="U18" s="247">
        <f t="shared" si="9"/>
      </c>
      <c r="V18" s="247">
        <f t="shared" si="10"/>
      </c>
      <c r="W18" s="58"/>
      <c r="X18" s="247">
        <f t="shared" si="11"/>
      </c>
      <c r="Y18" s="229"/>
      <c r="Z18" s="98">
        <f t="shared" si="12"/>
      </c>
      <c r="AA18" s="248">
        <f t="shared" si="13"/>
      </c>
      <c r="AB18" s="712"/>
      <c r="AC18" s="713"/>
      <c r="AD18" s="714"/>
      <c r="AF18" s="63">
        <f t="shared" si="0"/>
      </c>
      <c r="AG18" s="63">
        <f t="shared" si="1"/>
      </c>
    </row>
    <row r="19" spans="1:33" s="54" customFormat="1" ht="18.75" customHeight="1">
      <c r="A19" s="204">
        <f t="shared" si="2"/>
      </c>
      <c r="B19" s="277"/>
      <c r="C19" s="238"/>
      <c r="D19" s="58"/>
      <c r="E19" s="59"/>
      <c r="F19" s="216">
        <f t="shared" si="3"/>
      </c>
      <c r="G19" s="239">
        <f t="shared" si="4"/>
      </c>
      <c r="H19" s="240"/>
      <c r="I19" s="241"/>
      <c r="J19" s="242">
        <f t="shared" si="5"/>
      </c>
      <c r="K19" s="243">
        <f t="shared" si="6"/>
      </c>
      <c r="L19" s="297"/>
      <c r="M19" s="220"/>
      <c r="N19" s="244">
        <f>IF($G19="","",IF($L19="Ａ",LOOKUP($D19,{8000,8500,9000,10000,12000},{0,1532,1032,408,408}),IF($L19="Ｂ",LOOKUP($D19,{8000,8500,9000,10000,12000},{782,2814,2814,2814,2814}),0)))</f>
      </c>
      <c r="O19" s="297"/>
      <c r="P19" s="294">
        <v>0</v>
      </c>
      <c r="Q19" s="244">
        <f>IF($G19="","",IF($O19="Ａ",LOOKUP($D19,{8000,8500,9000,10000,12000},{0,1532,1032,408,408}),IF($O19="Ｂ",LOOKUP($D19,{8000,8500,9000,10000,12000},{782,2814,2814,2814,2814}),0)))</f>
      </c>
      <c r="R19" s="98">
        <f t="shared" si="7"/>
      </c>
      <c r="S19" s="245">
        <f>IF(B19="","",SUMIF('6-3_調整額内訳①(旧々・旧制度)'!B:B,$B19,'6-3_調整額内訳①(旧々・旧制度)'!AD:AD))</f>
      </c>
      <c r="T19" s="246">
        <f t="shared" si="8"/>
      </c>
      <c r="U19" s="247">
        <f t="shared" si="9"/>
      </c>
      <c r="V19" s="247">
        <f t="shared" si="10"/>
      </c>
      <c r="W19" s="58"/>
      <c r="X19" s="247">
        <f t="shared" si="11"/>
      </c>
      <c r="Y19" s="229"/>
      <c r="Z19" s="98">
        <f t="shared" si="12"/>
      </c>
      <c r="AA19" s="248">
        <f t="shared" si="13"/>
      </c>
      <c r="AB19" s="712"/>
      <c r="AC19" s="713"/>
      <c r="AD19" s="714"/>
      <c r="AF19" s="63">
        <f t="shared" si="0"/>
      </c>
      <c r="AG19" s="63">
        <f t="shared" si="1"/>
      </c>
    </row>
    <row r="20" spans="1:33" s="54" customFormat="1" ht="18.75" customHeight="1">
      <c r="A20" s="204">
        <f t="shared" si="2"/>
      </c>
      <c r="B20" s="277"/>
      <c r="C20" s="238"/>
      <c r="D20" s="58"/>
      <c r="E20" s="59"/>
      <c r="F20" s="216">
        <f t="shared" si="3"/>
      </c>
      <c r="G20" s="239">
        <f t="shared" si="4"/>
      </c>
      <c r="H20" s="240"/>
      <c r="I20" s="241"/>
      <c r="J20" s="242">
        <f t="shared" si="5"/>
      </c>
      <c r="K20" s="243">
        <f t="shared" si="6"/>
      </c>
      <c r="L20" s="297"/>
      <c r="M20" s="220"/>
      <c r="N20" s="244">
        <f>IF($G20="","",IF($L20="Ａ",LOOKUP($D20,{8000,8500,9000,10000,12000},{0,1532,1032,408,408}),IF($L20="Ｂ",LOOKUP($D20,{8000,8500,9000,10000,12000},{782,2814,2814,2814,2814}),0)))</f>
      </c>
      <c r="O20" s="297"/>
      <c r="P20" s="294">
        <v>0</v>
      </c>
      <c r="Q20" s="244">
        <f>IF($G20="","",IF($O20="Ａ",LOOKUP($D20,{8000,8500,9000,10000,12000},{0,1532,1032,408,408}),IF($O20="Ｂ",LOOKUP($D20,{8000,8500,9000,10000,12000},{782,2814,2814,2814,2814}),0)))</f>
      </c>
      <c r="R20" s="98">
        <f t="shared" si="7"/>
      </c>
      <c r="S20" s="245">
        <f>IF(B20="","",SUMIF('6-3_調整額内訳①(旧々・旧制度)'!B:B,$B20,'6-3_調整額内訳①(旧々・旧制度)'!AD:AD))</f>
      </c>
      <c r="T20" s="246">
        <f t="shared" si="8"/>
      </c>
      <c r="U20" s="247">
        <f t="shared" si="9"/>
      </c>
      <c r="V20" s="247">
        <f t="shared" si="10"/>
      </c>
      <c r="W20" s="58"/>
      <c r="X20" s="247">
        <f t="shared" si="11"/>
      </c>
      <c r="Y20" s="229"/>
      <c r="Z20" s="98">
        <f t="shared" si="12"/>
      </c>
      <c r="AA20" s="248">
        <f t="shared" si="13"/>
      </c>
      <c r="AB20" s="712"/>
      <c r="AC20" s="713"/>
      <c r="AD20" s="714"/>
      <c r="AF20" s="63">
        <f t="shared" si="0"/>
      </c>
      <c r="AG20" s="63">
        <f t="shared" si="1"/>
      </c>
    </row>
    <row r="21" spans="1:33" s="54" customFormat="1" ht="18.75" customHeight="1">
      <c r="A21" s="204">
        <f t="shared" si="2"/>
      </c>
      <c r="B21" s="277"/>
      <c r="C21" s="238"/>
      <c r="D21" s="58"/>
      <c r="E21" s="59"/>
      <c r="F21" s="216">
        <f t="shared" si="3"/>
      </c>
      <c r="G21" s="239">
        <f t="shared" si="4"/>
      </c>
      <c r="H21" s="240"/>
      <c r="I21" s="241"/>
      <c r="J21" s="242">
        <f t="shared" si="5"/>
      </c>
      <c r="K21" s="243">
        <f t="shared" si="6"/>
      </c>
      <c r="L21" s="297"/>
      <c r="M21" s="220"/>
      <c r="N21" s="244">
        <f>IF($G21="","",IF($L21="Ａ",LOOKUP($D21,{8000,8500,9000,10000,12000},{0,1532,1032,408,408}),IF($L21="Ｂ",LOOKUP($D21,{8000,8500,9000,10000,12000},{782,2814,2814,2814,2814}),0)))</f>
      </c>
      <c r="O21" s="297"/>
      <c r="P21" s="294">
        <v>0</v>
      </c>
      <c r="Q21" s="244">
        <f>IF($G21="","",IF($O21="Ａ",LOOKUP($D21,{8000,8500,9000,10000,12000},{0,1532,1032,408,408}),IF($O21="Ｂ",LOOKUP($D21,{8000,8500,9000,10000,12000},{782,2814,2814,2814,2814}),0)))</f>
      </c>
      <c r="R21" s="98">
        <f t="shared" si="7"/>
      </c>
      <c r="S21" s="245">
        <f>IF(B21="","",SUMIF('6-3_調整額内訳①(旧々・旧制度)'!B:B,$B21,'6-3_調整額内訳①(旧々・旧制度)'!AD:AD))</f>
      </c>
      <c r="T21" s="246">
        <f t="shared" si="8"/>
      </c>
      <c r="U21" s="247">
        <f t="shared" si="9"/>
      </c>
      <c r="V21" s="247">
        <f t="shared" si="10"/>
      </c>
      <c r="W21" s="58"/>
      <c r="X21" s="247">
        <f t="shared" si="11"/>
      </c>
      <c r="Y21" s="229"/>
      <c r="Z21" s="98">
        <f t="shared" si="12"/>
      </c>
      <c r="AA21" s="248">
        <f t="shared" si="13"/>
      </c>
      <c r="AB21" s="712"/>
      <c r="AC21" s="713"/>
      <c r="AD21" s="714"/>
      <c r="AF21" s="63">
        <f t="shared" si="0"/>
      </c>
      <c r="AG21" s="63">
        <f t="shared" si="1"/>
      </c>
    </row>
    <row r="22" spans="1:33" s="54" customFormat="1" ht="18.75" customHeight="1">
      <c r="A22" s="204">
        <f t="shared" si="2"/>
      </c>
      <c r="B22" s="277"/>
      <c r="C22" s="238"/>
      <c r="D22" s="58"/>
      <c r="E22" s="59"/>
      <c r="F22" s="216">
        <f t="shared" si="3"/>
      </c>
      <c r="G22" s="239">
        <f t="shared" si="4"/>
      </c>
      <c r="H22" s="240"/>
      <c r="I22" s="241"/>
      <c r="J22" s="242">
        <f t="shared" si="5"/>
      </c>
      <c r="K22" s="243">
        <f t="shared" si="6"/>
      </c>
      <c r="L22" s="297"/>
      <c r="M22" s="220"/>
      <c r="N22" s="244">
        <f>IF($G22="","",IF($L22="Ａ",LOOKUP($D22,{8000,8500,9000,10000,12000},{0,1532,1032,408,408}),IF($L22="Ｂ",LOOKUP($D22,{8000,8500,9000,10000,12000},{782,2814,2814,2814,2814}),0)))</f>
      </c>
      <c r="O22" s="297"/>
      <c r="P22" s="294">
        <v>0</v>
      </c>
      <c r="Q22" s="244">
        <f>IF($G22="","",IF($O22="Ａ",LOOKUP($D22,{8000,8500,9000,10000,12000},{0,1532,1032,408,408}),IF($O22="Ｂ",LOOKUP($D22,{8000,8500,9000,10000,12000},{782,2814,2814,2814,2814}),0)))</f>
      </c>
      <c r="R22" s="98">
        <f t="shared" si="7"/>
      </c>
      <c r="S22" s="245">
        <f>IF(B22="","",SUMIF('6-3_調整額内訳①(旧々・旧制度)'!B:B,$B22,'6-3_調整額内訳①(旧々・旧制度)'!AD:AD))</f>
      </c>
      <c r="T22" s="246">
        <f t="shared" si="8"/>
      </c>
      <c r="U22" s="247">
        <f t="shared" si="9"/>
      </c>
      <c r="V22" s="247">
        <f t="shared" si="10"/>
      </c>
      <c r="W22" s="58"/>
      <c r="X22" s="247">
        <f t="shared" si="11"/>
      </c>
      <c r="Y22" s="229"/>
      <c r="Z22" s="98">
        <f t="shared" si="12"/>
      </c>
      <c r="AA22" s="248">
        <f t="shared" si="13"/>
      </c>
      <c r="AB22" s="712"/>
      <c r="AC22" s="713"/>
      <c r="AD22" s="714"/>
      <c r="AF22" s="63">
        <f t="shared" si="0"/>
      </c>
      <c r="AG22" s="63">
        <f t="shared" si="1"/>
      </c>
    </row>
    <row r="23" spans="1:33" s="54" customFormat="1" ht="18.75" customHeight="1">
      <c r="A23" s="204">
        <f t="shared" si="2"/>
      </c>
      <c r="B23" s="277"/>
      <c r="C23" s="238"/>
      <c r="D23" s="58"/>
      <c r="E23" s="59"/>
      <c r="F23" s="216">
        <f t="shared" si="3"/>
      </c>
      <c r="G23" s="239">
        <f t="shared" si="4"/>
      </c>
      <c r="H23" s="240"/>
      <c r="I23" s="241"/>
      <c r="J23" s="242">
        <f t="shared" si="5"/>
      </c>
      <c r="K23" s="243">
        <f t="shared" si="6"/>
      </c>
      <c r="L23" s="297"/>
      <c r="M23" s="220"/>
      <c r="N23" s="244">
        <f>IF($G23="","",IF($L23="Ａ",LOOKUP($D23,{8000,8500,9000,10000,12000},{0,1532,1032,408,408}),IF($L23="Ｂ",LOOKUP($D23,{8000,8500,9000,10000,12000},{782,2814,2814,2814,2814}),0)))</f>
      </c>
      <c r="O23" s="297"/>
      <c r="P23" s="294">
        <v>0</v>
      </c>
      <c r="Q23" s="244">
        <f>IF($G23="","",IF($O23="Ａ",LOOKUP($D23,{8000,8500,9000,10000,12000},{0,1532,1032,408,408}),IF($O23="Ｂ",LOOKUP($D23,{8000,8500,9000,10000,12000},{782,2814,2814,2814,2814}),0)))</f>
      </c>
      <c r="R23" s="98">
        <f t="shared" si="7"/>
      </c>
      <c r="S23" s="245">
        <f>IF(B23="","",SUMIF('6-3_調整額内訳①(旧々・旧制度)'!B:B,$B23,'6-3_調整額内訳①(旧々・旧制度)'!AD:AD))</f>
      </c>
      <c r="T23" s="246">
        <f t="shared" si="8"/>
      </c>
      <c r="U23" s="247">
        <f t="shared" si="9"/>
      </c>
      <c r="V23" s="247">
        <f t="shared" si="10"/>
      </c>
      <c r="W23" s="58"/>
      <c r="X23" s="247">
        <f t="shared" si="11"/>
      </c>
      <c r="Y23" s="229"/>
      <c r="Z23" s="98">
        <f t="shared" si="12"/>
      </c>
      <c r="AA23" s="248">
        <f t="shared" si="13"/>
      </c>
      <c r="AB23" s="712"/>
      <c r="AC23" s="713"/>
      <c r="AD23" s="714"/>
      <c r="AF23" s="63">
        <f t="shared" si="0"/>
      </c>
      <c r="AG23" s="63">
        <f t="shared" si="1"/>
      </c>
    </row>
    <row r="24" spans="1:33" s="54" customFormat="1" ht="18.75" customHeight="1">
      <c r="A24" s="204">
        <f t="shared" si="2"/>
      </c>
      <c r="B24" s="277"/>
      <c r="C24" s="238"/>
      <c r="D24" s="58"/>
      <c r="E24" s="59"/>
      <c r="F24" s="216">
        <f t="shared" si="3"/>
      </c>
      <c r="G24" s="239">
        <f t="shared" si="4"/>
      </c>
      <c r="H24" s="240"/>
      <c r="I24" s="241"/>
      <c r="J24" s="242">
        <f t="shared" si="5"/>
      </c>
      <c r="K24" s="243">
        <f t="shared" si="6"/>
      </c>
      <c r="L24" s="297"/>
      <c r="M24" s="220"/>
      <c r="N24" s="244">
        <f>IF($G24="","",IF($L24="Ａ",LOOKUP($D24,{8000,8500,9000,10000,12000},{0,1532,1032,408,408}),IF($L24="Ｂ",LOOKUP($D24,{8000,8500,9000,10000,12000},{782,2814,2814,2814,2814}),0)))</f>
      </c>
      <c r="O24" s="297"/>
      <c r="P24" s="294">
        <v>0</v>
      </c>
      <c r="Q24" s="244">
        <f>IF($G24="","",IF($O24="Ａ",LOOKUP($D24,{8000,8500,9000,10000,12000},{0,1532,1032,408,408}),IF($O24="Ｂ",LOOKUP($D24,{8000,8500,9000,10000,12000},{782,2814,2814,2814,2814}),0)))</f>
      </c>
      <c r="R24" s="98">
        <f t="shared" si="7"/>
      </c>
      <c r="S24" s="245">
        <f>IF(B24="","",SUMIF('6-3_調整額内訳①(旧々・旧制度)'!B:B,$B24,'6-3_調整額内訳①(旧々・旧制度)'!AD:AD))</f>
      </c>
      <c r="T24" s="246">
        <f t="shared" si="8"/>
      </c>
      <c r="U24" s="247">
        <f t="shared" si="9"/>
      </c>
      <c r="V24" s="247">
        <f t="shared" si="10"/>
      </c>
      <c r="W24" s="58"/>
      <c r="X24" s="247">
        <f t="shared" si="11"/>
      </c>
      <c r="Y24" s="229"/>
      <c r="Z24" s="98">
        <f t="shared" si="12"/>
      </c>
      <c r="AA24" s="248">
        <f t="shared" si="13"/>
      </c>
      <c r="AB24" s="712"/>
      <c r="AC24" s="713"/>
      <c r="AD24" s="714"/>
      <c r="AF24" s="63">
        <f t="shared" si="0"/>
      </c>
      <c r="AG24" s="63">
        <f t="shared" si="1"/>
      </c>
    </row>
    <row r="25" spans="1:33" s="54" customFormat="1" ht="18.75" customHeight="1">
      <c r="A25" s="204">
        <f t="shared" si="2"/>
      </c>
      <c r="B25" s="277"/>
      <c r="C25" s="238"/>
      <c r="D25" s="58"/>
      <c r="E25" s="59"/>
      <c r="F25" s="216">
        <f t="shared" si="3"/>
      </c>
      <c r="G25" s="239">
        <f t="shared" si="4"/>
      </c>
      <c r="H25" s="240"/>
      <c r="I25" s="241"/>
      <c r="J25" s="242">
        <f t="shared" si="5"/>
      </c>
      <c r="K25" s="243">
        <f t="shared" si="6"/>
      </c>
      <c r="L25" s="297"/>
      <c r="M25" s="220"/>
      <c r="N25" s="244">
        <f>IF($G25="","",IF($L25="Ａ",LOOKUP($D25,{8000,8500,9000,10000,12000},{0,1532,1032,408,408}),IF($L25="Ｂ",LOOKUP($D25,{8000,8500,9000,10000,12000},{782,2814,2814,2814,2814}),0)))</f>
      </c>
      <c r="O25" s="297"/>
      <c r="P25" s="294">
        <v>0</v>
      </c>
      <c r="Q25" s="244">
        <f>IF($G25="","",IF($O25="Ａ",LOOKUP($D25,{8000,8500,9000,10000,12000},{0,1532,1032,408,408}),IF($O25="Ｂ",LOOKUP($D25,{8000,8500,9000,10000,12000},{782,2814,2814,2814,2814}),0)))</f>
      </c>
      <c r="R25" s="98">
        <f t="shared" si="7"/>
      </c>
      <c r="S25" s="245">
        <f>IF(B25="","",SUMIF('6-3_調整額内訳①(旧々・旧制度)'!B:B,$B25,'6-3_調整額内訳①(旧々・旧制度)'!AD:AD))</f>
      </c>
      <c r="T25" s="246">
        <f t="shared" si="8"/>
      </c>
      <c r="U25" s="247">
        <f t="shared" si="9"/>
      </c>
      <c r="V25" s="247">
        <f t="shared" si="10"/>
      </c>
      <c r="W25" s="58"/>
      <c r="X25" s="247">
        <f t="shared" si="11"/>
      </c>
      <c r="Y25" s="229"/>
      <c r="Z25" s="98">
        <f t="shared" si="12"/>
      </c>
      <c r="AA25" s="248">
        <f t="shared" si="13"/>
      </c>
      <c r="AB25" s="712"/>
      <c r="AC25" s="713"/>
      <c r="AD25" s="714"/>
      <c r="AF25" s="63">
        <f t="shared" si="0"/>
      </c>
      <c r="AG25" s="63">
        <f t="shared" si="1"/>
      </c>
    </row>
    <row r="26" spans="1:33" s="54" customFormat="1" ht="18.75" customHeight="1">
      <c r="A26" s="204">
        <f t="shared" si="2"/>
      </c>
      <c r="B26" s="277"/>
      <c r="C26" s="238"/>
      <c r="D26" s="58"/>
      <c r="E26" s="59"/>
      <c r="F26" s="216">
        <f t="shared" si="3"/>
      </c>
      <c r="G26" s="239">
        <f t="shared" si="4"/>
      </c>
      <c r="H26" s="240"/>
      <c r="I26" s="241"/>
      <c r="J26" s="242">
        <f t="shared" si="5"/>
      </c>
      <c r="K26" s="243">
        <f t="shared" si="6"/>
      </c>
      <c r="L26" s="297"/>
      <c r="M26" s="220"/>
      <c r="N26" s="244">
        <f>IF($G26="","",IF($L26="Ａ",LOOKUP($D26,{8000,8500,9000,10000,12000},{0,1532,1032,408,408}),IF($L26="Ｂ",LOOKUP($D26,{8000,8500,9000,10000,12000},{782,2814,2814,2814,2814}),0)))</f>
      </c>
      <c r="O26" s="297"/>
      <c r="P26" s="294">
        <v>0</v>
      </c>
      <c r="Q26" s="244">
        <f>IF($G26="","",IF($O26="Ａ",LOOKUP($D26,{8000,8500,9000,10000,12000},{0,1532,1032,408,408}),IF($O26="Ｂ",LOOKUP($D26,{8000,8500,9000,10000,12000},{782,2814,2814,2814,2814}),0)))</f>
      </c>
      <c r="R26" s="98">
        <f t="shared" si="7"/>
      </c>
      <c r="S26" s="245">
        <f>IF(B26="","",SUMIF('6-3_調整額内訳①(旧々・旧制度)'!B:B,$B26,'6-3_調整額内訳①(旧々・旧制度)'!AD:AD))</f>
      </c>
      <c r="T26" s="246">
        <f t="shared" si="8"/>
      </c>
      <c r="U26" s="247">
        <f t="shared" si="9"/>
      </c>
      <c r="V26" s="247">
        <f t="shared" si="10"/>
      </c>
      <c r="W26" s="58"/>
      <c r="X26" s="247">
        <f t="shared" si="11"/>
      </c>
      <c r="Y26" s="229"/>
      <c r="Z26" s="98">
        <f t="shared" si="12"/>
      </c>
      <c r="AA26" s="248">
        <f t="shared" si="13"/>
      </c>
      <c r="AB26" s="712"/>
      <c r="AC26" s="713"/>
      <c r="AD26" s="714"/>
      <c r="AF26" s="63">
        <f t="shared" si="0"/>
      </c>
      <c r="AG26" s="63">
        <f t="shared" si="1"/>
      </c>
    </row>
    <row r="27" spans="1:33" s="54" customFormat="1" ht="18.75" customHeight="1">
      <c r="A27" s="204">
        <f t="shared" si="2"/>
      </c>
      <c r="B27" s="277"/>
      <c r="C27" s="238"/>
      <c r="D27" s="58"/>
      <c r="E27" s="59"/>
      <c r="F27" s="216">
        <f t="shared" si="3"/>
      </c>
      <c r="G27" s="239">
        <f t="shared" si="4"/>
      </c>
      <c r="H27" s="240"/>
      <c r="I27" s="241"/>
      <c r="J27" s="242">
        <f t="shared" si="5"/>
      </c>
      <c r="K27" s="243">
        <f t="shared" si="6"/>
      </c>
      <c r="L27" s="297"/>
      <c r="M27" s="220"/>
      <c r="N27" s="244">
        <f>IF($G27="","",IF($L27="Ａ",LOOKUP($D27,{8000,8500,9000,10000,12000},{0,1532,1032,408,408}),IF($L27="Ｂ",LOOKUP($D27,{8000,8500,9000,10000,12000},{782,2814,2814,2814,2814}),0)))</f>
      </c>
      <c r="O27" s="297"/>
      <c r="P27" s="294">
        <v>0</v>
      </c>
      <c r="Q27" s="244">
        <f>IF($G27="","",IF($O27="Ａ",LOOKUP($D27,{8000,8500,9000,10000,12000},{0,1532,1032,408,408}),IF($O27="Ｂ",LOOKUP($D27,{8000,8500,9000,10000,12000},{782,2814,2814,2814,2814}),0)))</f>
      </c>
      <c r="R27" s="98">
        <f t="shared" si="7"/>
      </c>
      <c r="S27" s="245">
        <f>IF(B27="","",SUMIF('6-3_調整額内訳①(旧々・旧制度)'!B:B,$B27,'6-3_調整額内訳①(旧々・旧制度)'!AD:AD))</f>
      </c>
      <c r="T27" s="246">
        <f t="shared" si="8"/>
      </c>
      <c r="U27" s="247">
        <f t="shared" si="9"/>
      </c>
      <c r="V27" s="247">
        <f t="shared" si="10"/>
      </c>
      <c r="W27" s="58"/>
      <c r="X27" s="247">
        <f t="shared" si="11"/>
      </c>
      <c r="Y27" s="229"/>
      <c r="Z27" s="98">
        <f t="shared" si="12"/>
      </c>
      <c r="AA27" s="248">
        <f t="shared" si="13"/>
      </c>
      <c r="AB27" s="712"/>
      <c r="AC27" s="713"/>
      <c r="AD27" s="714"/>
      <c r="AF27" s="63">
        <f t="shared" si="0"/>
      </c>
      <c r="AG27" s="63">
        <f t="shared" si="1"/>
      </c>
    </row>
    <row r="28" spans="1:33" s="54" customFormat="1" ht="18.75" customHeight="1">
      <c r="A28" s="204">
        <f t="shared" si="2"/>
      </c>
      <c r="B28" s="277"/>
      <c r="C28" s="238"/>
      <c r="D28" s="58"/>
      <c r="E28" s="59"/>
      <c r="F28" s="216">
        <f t="shared" si="3"/>
      </c>
      <c r="G28" s="239">
        <f t="shared" si="4"/>
      </c>
      <c r="H28" s="240"/>
      <c r="I28" s="241"/>
      <c r="J28" s="242">
        <f t="shared" si="5"/>
      </c>
      <c r="K28" s="243">
        <f t="shared" si="6"/>
      </c>
      <c r="L28" s="297"/>
      <c r="M28" s="220"/>
      <c r="N28" s="244">
        <f>IF($G28="","",IF($L28="Ａ",LOOKUP($D28,{8000,8500,9000,10000,12000},{0,1532,1032,408,408}),IF($L28="Ｂ",LOOKUP($D28,{8000,8500,9000,10000,12000},{782,2814,2814,2814,2814}),0)))</f>
      </c>
      <c r="O28" s="297"/>
      <c r="P28" s="294">
        <v>0</v>
      </c>
      <c r="Q28" s="244">
        <f>IF($G28="","",IF($O28="Ａ",LOOKUP($D28,{8000,8500,9000,10000,12000},{0,1532,1032,408,408}),IF($O28="Ｂ",LOOKUP($D28,{8000,8500,9000,10000,12000},{782,2814,2814,2814,2814}),0)))</f>
      </c>
      <c r="R28" s="98">
        <f t="shared" si="7"/>
      </c>
      <c r="S28" s="245">
        <f>IF(B28="","",SUMIF('6-3_調整額内訳①(旧々・旧制度)'!B:B,$B28,'6-3_調整額内訳①(旧々・旧制度)'!AD:AD))</f>
      </c>
      <c r="T28" s="246">
        <f t="shared" si="8"/>
      </c>
      <c r="U28" s="247">
        <f t="shared" si="9"/>
      </c>
      <c r="V28" s="247">
        <f t="shared" si="10"/>
      </c>
      <c r="W28" s="58"/>
      <c r="X28" s="247">
        <f t="shared" si="11"/>
      </c>
      <c r="Y28" s="229"/>
      <c r="Z28" s="98">
        <f t="shared" si="12"/>
      </c>
      <c r="AA28" s="248">
        <f t="shared" si="13"/>
      </c>
      <c r="AB28" s="712"/>
      <c r="AC28" s="713"/>
      <c r="AD28" s="714"/>
      <c r="AF28" s="63">
        <f t="shared" si="0"/>
      </c>
      <c r="AG28" s="63">
        <f t="shared" si="1"/>
      </c>
    </row>
    <row r="29" spans="1:33" s="54" customFormat="1" ht="18.75" customHeight="1">
      <c r="A29" s="204">
        <f t="shared" si="2"/>
      </c>
      <c r="B29" s="277"/>
      <c r="C29" s="238"/>
      <c r="D29" s="58"/>
      <c r="E29" s="59"/>
      <c r="F29" s="216">
        <f t="shared" si="3"/>
      </c>
      <c r="G29" s="239">
        <f t="shared" si="4"/>
      </c>
      <c r="H29" s="240"/>
      <c r="I29" s="241"/>
      <c r="J29" s="242">
        <f t="shared" si="5"/>
      </c>
      <c r="K29" s="243">
        <f t="shared" si="6"/>
      </c>
      <c r="L29" s="297"/>
      <c r="M29" s="220"/>
      <c r="N29" s="244">
        <f>IF($G29="","",IF($L29="Ａ",LOOKUP($D29,{8000,8500,9000,10000,12000},{0,1532,1032,408,408}),IF($L29="Ｂ",LOOKUP($D29,{8000,8500,9000,10000,12000},{782,2814,2814,2814,2814}),0)))</f>
      </c>
      <c r="O29" s="297"/>
      <c r="P29" s="294">
        <v>0</v>
      </c>
      <c r="Q29" s="244">
        <f>IF($G29="","",IF($O29="Ａ",LOOKUP($D29,{8000,8500,9000,10000,12000},{0,1532,1032,408,408}),IF($O29="Ｂ",LOOKUP($D29,{8000,8500,9000,10000,12000},{782,2814,2814,2814,2814}),0)))</f>
      </c>
      <c r="R29" s="98">
        <f t="shared" si="7"/>
      </c>
      <c r="S29" s="245">
        <f>IF(B29="","",SUMIF('6-3_調整額内訳①(旧々・旧制度)'!B:B,$B29,'6-3_調整額内訳①(旧々・旧制度)'!AD:AD))</f>
      </c>
      <c r="T29" s="246">
        <f t="shared" si="8"/>
      </c>
      <c r="U29" s="247">
        <f t="shared" si="9"/>
      </c>
      <c r="V29" s="247">
        <f t="shared" si="10"/>
      </c>
      <c r="W29" s="58"/>
      <c r="X29" s="247">
        <f t="shared" si="11"/>
      </c>
      <c r="Y29" s="229"/>
      <c r="Z29" s="98">
        <f t="shared" si="12"/>
      </c>
      <c r="AA29" s="248">
        <f t="shared" si="13"/>
      </c>
      <c r="AB29" s="712"/>
      <c r="AC29" s="713"/>
      <c r="AD29" s="714"/>
      <c r="AF29" s="63">
        <f t="shared" si="0"/>
      </c>
      <c r="AG29" s="63">
        <f t="shared" si="1"/>
      </c>
    </row>
    <row r="30" spans="1:33" s="54" customFormat="1" ht="18.75" customHeight="1">
      <c r="A30" s="204">
        <f t="shared" si="2"/>
      </c>
      <c r="B30" s="277"/>
      <c r="C30" s="238"/>
      <c r="D30" s="58"/>
      <c r="E30" s="59"/>
      <c r="F30" s="216">
        <f t="shared" si="3"/>
      </c>
      <c r="G30" s="239">
        <f t="shared" si="4"/>
      </c>
      <c r="H30" s="240"/>
      <c r="I30" s="241"/>
      <c r="J30" s="242">
        <f t="shared" si="5"/>
      </c>
      <c r="K30" s="243">
        <f t="shared" si="6"/>
      </c>
      <c r="L30" s="297"/>
      <c r="M30" s="220"/>
      <c r="N30" s="244">
        <f>IF($G30="","",IF($L30="Ａ",LOOKUP($D30,{8000,8500,9000,10000,12000},{0,1532,1032,408,408}),IF($L30="Ｂ",LOOKUP($D30,{8000,8500,9000,10000,12000},{782,2814,2814,2814,2814}),0)))</f>
      </c>
      <c r="O30" s="297"/>
      <c r="P30" s="294">
        <v>0</v>
      </c>
      <c r="Q30" s="244">
        <f>IF($G30="","",IF($O30="Ａ",LOOKUP($D30,{8000,8500,9000,10000,12000},{0,1532,1032,408,408}),IF($O30="Ｂ",LOOKUP($D30,{8000,8500,9000,10000,12000},{782,2814,2814,2814,2814}),0)))</f>
      </c>
      <c r="R30" s="98">
        <f t="shared" si="7"/>
      </c>
      <c r="S30" s="245">
        <f>IF(B30="","",SUMIF('6-3_調整額内訳①(旧々・旧制度)'!B:B,$B30,'6-3_調整額内訳①(旧々・旧制度)'!AD:AD))</f>
      </c>
      <c r="T30" s="246">
        <f t="shared" si="8"/>
      </c>
      <c r="U30" s="247">
        <f t="shared" si="9"/>
      </c>
      <c r="V30" s="247">
        <f t="shared" si="10"/>
      </c>
      <c r="W30" s="58"/>
      <c r="X30" s="247">
        <f t="shared" si="11"/>
      </c>
      <c r="Y30" s="229"/>
      <c r="Z30" s="98">
        <f t="shared" si="12"/>
      </c>
      <c r="AA30" s="248">
        <f t="shared" si="13"/>
      </c>
      <c r="AB30" s="712"/>
      <c r="AC30" s="713"/>
      <c r="AD30" s="714"/>
      <c r="AF30" s="63">
        <f t="shared" si="0"/>
      </c>
      <c r="AG30" s="63">
        <f t="shared" si="1"/>
      </c>
    </row>
    <row r="31" spans="1:33" s="54" customFormat="1" ht="18.75" customHeight="1">
      <c r="A31" s="204">
        <f t="shared" si="2"/>
      </c>
      <c r="B31" s="277"/>
      <c r="C31" s="238"/>
      <c r="D31" s="58"/>
      <c r="E31" s="59"/>
      <c r="F31" s="216">
        <f t="shared" si="3"/>
      </c>
      <c r="G31" s="239">
        <f t="shared" si="4"/>
      </c>
      <c r="H31" s="240"/>
      <c r="I31" s="241"/>
      <c r="J31" s="242">
        <f t="shared" si="5"/>
      </c>
      <c r="K31" s="243">
        <f t="shared" si="6"/>
      </c>
      <c r="L31" s="297"/>
      <c r="M31" s="220"/>
      <c r="N31" s="244">
        <f>IF($G31="","",IF($L31="Ａ",LOOKUP($D31,{8000,8500,9000,10000,12000},{0,1532,1032,408,408}),IF($L31="Ｂ",LOOKUP($D31,{8000,8500,9000,10000,12000},{782,2814,2814,2814,2814}),0)))</f>
      </c>
      <c r="O31" s="297"/>
      <c r="P31" s="294">
        <v>0</v>
      </c>
      <c r="Q31" s="244">
        <f>IF($G31="","",IF($O31="Ａ",LOOKUP($D31,{8000,8500,9000,10000,12000},{0,1532,1032,408,408}),IF($O31="Ｂ",LOOKUP($D31,{8000,8500,9000,10000,12000},{782,2814,2814,2814,2814}),0)))</f>
      </c>
      <c r="R31" s="98">
        <f t="shared" si="7"/>
      </c>
      <c r="S31" s="245">
        <f>IF(B31="","",SUMIF('6-3_調整額内訳①(旧々・旧制度)'!B:B,$B31,'6-3_調整額内訳①(旧々・旧制度)'!AD:AD))</f>
      </c>
      <c r="T31" s="246">
        <f t="shared" si="8"/>
      </c>
      <c r="U31" s="247">
        <f t="shared" si="9"/>
      </c>
      <c r="V31" s="247">
        <f t="shared" si="10"/>
      </c>
      <c r="W31" s="58"/>
      <c r="X31" s="247">
        <f t="shared" si="11"/>
      </c>
      <c r="Y31" s="229"/>
      <c r="Z31" s="98">
        <f t="shared" si="12"/>
      </c>
      <c r="AA31" s="248">
        <f t="shared" si="13"/>
      </c>
      <c r="AB31" s="712"/>
      <c r="AC31" s="713"/>
      <c r="AD31" s="714"/>
      <c r="AF31" s="63">
        <f t="shared" si="0"/>
      </c>
      <c r="AG31" s="63">
        <f t="shared" si="1"/>
      </c>
    </row>
    <row r="32" spans="1:33" s="54" customFormat="1" ht="18.75" customHeight="1">
      <c r="A32" s="204">
        <f t="shared" si="2"/>
      </c>
      <c r="B32" s="277"/>
      <c r="C32" s="238"/>
      <c r="D32" s="58"/>
      <c r="E32" s="59"/>
      <c r="F32" s="216">
        <f t="shared" si="3"/>
      </c>
      <c r="G32" s="239">
        <f t="shared" si="4"/>
      </c>
      <c r="H32" s="240"/>
      <c r="I32" s="241"/>
      <c r="J32" s="242">
        <f t="shared" si="5"/>
      </c>
      <c r="K32" s="243">
        <f t="shared" si="6"/>
      </c>
      <c r="L32" s="297"/>
      <c r="M32" s="220"/>
      <c r="N32" s="244">
        <f>IF($G32="","",IF($L32="Ａ",LOOKUP($D32,{8000,8500,9000,10000,12000},{0,1532,1032,408,408}),IF($L32="Ｂ",LOOKUP($D32,{8000,8500,9000,10000,12000},{782,2814,2814,2814,2814}),0)))</f>
      </c>
      <c r="O32" s="297"/>
      <c r="P32" s="294">
        <v>0</v>
      </c>
      <c r="Q32" s="244">
        <f>IF($G32="","",IF($O32="Ａ",LOOKUP($D32,{8000,8500,9000,10000,12000},{0,1532,1032,408,408}),IF($O32="Ｂ",LOOKUP($D32,{8000,8500,9000,10000,12000},{782,2814,2814,2814,2814}),0)))</f>
      </c>
      <c r="R32" s="98">
        <f t="shared" si="7"/>
      </c>
      <c r="S32" s="245">
        <f>IF(B32="","",SUMIF('6-3_調整額内訳①(旧々・旧制度)'!B:B,$B32,'6-3_調整額内訳①(旧々・旧制度)'!AD:AD))</f>
      </c>
      <c r="T32" s="246">
        <f t="shared" si="8"/>
      </c>
      <c r="U32" s="247">
        <f t="shared" si="9"/>
      </c>
      <c r="V32" s="247">
        <f t="shared" si="10"/>
      </c>
      <c r="W32" s="58"/>
      <c r="X32" s="247">
        <f t="shared" si="11"/>
      </c>
      <c r="Y32" s="229"/>
      <c r="Z32" s="98">
        <f t="shared" si="12"/>
      </c>
      <c r="AA32" s="248">
        <f t="shared" si="13"/>
      </c>
      <c r="AB32" s="712"/>
      <c r="AC32" s="713"/>
      <c r="AD32" s="714"/>
      <c r="AF32" s="63">
        <f t="shared" si="0"/>
      </c>
      <c r="AG32" s="63">
        <f t="shared" si="1"/>
      </c>
    </row>
    <row r="33" spans="1:33" s="54" customFormat="1" ht="18.75" customHeight="1">
      <c r="A33" s="27">
        <f t="shared" si="2"/>
      </c>
      <c r="B33" s="277"/>
      <c r="C33" s="238"/>
      <c r="D33" s="58"/>
      <c r="E33" s="59"/>
      <c r="F33" s="216">
        <f t="shared" si="3"/>
      </c>
      <c r="G33" s="239">
        <f t="shared" si="4"/>
      </c>
      <c r="H33" s="240"/>
      <c r="I33" s="241"/>
      <c r="J33" s="242">
        <f t="shared" si="5"/>
      </c>
      <c r="K33" s="243">
        <f t="shared" si="6"/>
      </c>
      <c r="L33" s="297"/>
      <c r="M33" s="220"/>
      <c r="N33" s="244">
        <f>IF($G33="","",IF($L33="Ａ",LOOKUP($D33,{8000,8500,9000,10000,12000},{0,1532,1032,408,408}),IF($L33="Ｂ",LOOKUP($D33,{8000,8500,9000,10000,12000},{782,2814,2814,2814,2814}),0)))</f>
      </c>
      <c r="O33" s="297"/>
      <c r="P33" s="294">
        <v>0</v>
      </c>
      <c r="Q33" s="244">
        <f>IF($G33="","",IF($O33="Ａ",LOOKUP($D33,{8000,8500,9000,10000,12000},{0,1532,1032,408,408}),IF($O33="Ｂ",LOOKUP($D33,{8000,8500,9000,10000,12000},{782,2814,2814,2814,2814}),0)))</f>
      </c>
      <c r="R33" s="98">
        <f t="shared" si="7"/>
      </c>
      <c r="S33" s="245">
        <f>IF(B33="","",SUMIF('6-3_調整額内訳①(旧々・旧制度)'!B:B,$B33,'6-3_調整額内訳①(旧々・旧制度)'!AD:AD))</f>
      </c>
      <c r="T33" s="246">
        <f t="shared" si="8"/>
      </c>
      <c r="U33" s="247">
        <f t="shared" si="9"/>
      </c>
      <c r="V33" s="247">
        <f t="shared" si="10"/>
      </c>
      <c r="W33" s="58"/>
      <c r="X33" s="247">
        <f t="shared" si="11"/>
      </c>
      <c r="Y33" s="229"/>
      <c r="Z33" s="98">
        <f t="shared" si="12"/>
      </c>
      <c r="AA33" s="248">
        <f t="shared" si="13"/>
      </c>
      <c r="AB33" s="712"/>
      <c r="AC33" s="713"/>
      <c r="AD33" s="714"/>
      <c r="AF33" s="63">
        <f t="shared" si="0"/>
      </c>
      <c r="AG33" s="63">
        <f t="shared" si="1"/>
      </c>
    </row>
    <row r="34" spans="1:33" s="54" customFormat="1" ht="18.75" customHeight="1">
      <c r="A34" s="27">
        <f t="shared" si="2"/>
      </c>
      <c r="B34" s="277"/>
      <c r="C34" s="238"/>
      <c r="D34" s="58"/>
      <c r="E34" s="59"/>
      <c r="F34" s="216">
        <f t="shared" si="3"/>
      </c>
      <c r="G34" s="239">
        <f t="shared" si="4"/>
      </c>
      <c r="H34" s="240"/>
      <c r="I34" s="241"/>
      <c r="J34" s="242">
        <f t="shared" si="5"/>
      </c>
      <c r="K34" s="243">
        <f t="shared" si="6"/>
      </c>
      <c r="L34" s="297"/>
      <c r="M34" s="220"/>
      <c r="N34" s="244">
        <f>IF($G34="","",IF($L34="Ａ",LOOKUP($D34,{8000,8500,9000,10000,12000},{0,1532,1032,408,408}),IF($L34="Ｂ",LOOKUP($D34,{8000,8500,9000,10000,12000},{782,2814,2814,2814,2814}),0)))</f>
      </c>
      <c r="O34" s="297"/>
      <c r="P34" s="294">
        <v>0</v>
      </c>
      <c r="Q34" s="244">
        <f>IF($G34="","",IF($O34="Ａ",LOOKUP($D34,{8000,8500,9000,10000,12000},{0,1532,1032,408,408}),IF($O34="Ｂ",LOOKUP($D34,{8000,8500,9000,10000,12000},{782,2814,2814,2814,2814}),0)))</f>
      </c>
      <c r="R34" s="98">
        <f t="shared" si="7"/>
      </c>
      <c r="S34" s="245">
        <f>IF(B34="","",SUMIF('6-3_調整額内訳①(旧々・旧制度)'!B:B,$B34,'6-3_調整額内訳①(旧々・旧制度)'!AD:AD))</f>
      </c>
      <c r="T34" s="246">
        <f t="shared" si="8"/>
      </c>
      <c r="U34" s="247">
        <f t="shared" si="9"/>
      </c>
      <c r="V34" s="247">
        <f t="shared" si="10"/>
      </c>
      <c r="W34" s="58"/>
      <c r="X34" s="247">
        <f t="shared" si="11"/>
      </c>
      <c r="Y34" s="229"/>
      <c r="Z34" s="98">
        <f t="shared" si="12"/>
      </c>
      <c r="AA34" s="248">
        <f t="shared" si="13"/>
      </c>
      <c r="AB34" s="712"/>
      <c r="AC34" s="713"/>
      <c r="AD34" s="714"/>
      <c r="AF34" s="63">
        <f t="shared" si="0"/>
      </c>
      <c r="AG34" s="63">
        <f t="shared" si="1"/>
      </c>
    </row>
    <row r="35" spans="1:33" s="54" customFormat="1" ht="18.75" customHeight="1">
      <c r="A35" s="37">
        <f t="shared" si="2"/>
      </c>
      <c r="B35" s="277"/>
      <c r="C35" s="238"/>
      <c r="D35" s="58"/>
      <c r="E35" s="59"/>
      <c r="F35" s="216">
        <f t="shared" si="3"/>
      </c>
      <c r="G35" s="239">
        <f t="shared" si="4"/>
      </c>
      <c r="H35" s="240"/>
      <c r="I35" s="241"/>
      <c r="J35" s="242">
        <f t="shared" si="5"/>
      </c>
      <c r="K35" s="243">
        <f t="shared" si="6"/>
      </c>
      <c r="L35" s="297"/>
      <c r="M35" s="220"/>
      <c r="N35" s="244">
        <f>IF($G35="","",IF($L35="Ａ",LOOKUP($D35,{8000,8500,9000,10000,12000},{0,1532,1032,408,408}),IF($L35="Ｂ",LOOKUP($D35,{8000,8500,9000,10000,12000},{782,2814,2814,2814,2814}),0)))</f>
      </c>
      <c r="O35" s="297"/>
      <c r="P35" s="294">
        <v>0</v>
      </c>
      <c r="Q35" s="244">
        <f>IF($G35="","",IF($O35="Ａ",LOOKUP($D35,{8000,8500,9000,10000,12000},{0,1532,1032,408,408}),IF($O35="Ｂ",LOOKUP($D35,{8000,8500,9000,10000,12000},{782,2814,2814,2814,2814}),0)))</f>
      </c>
      <c r="R35" s="98">
        <f t="shared" si="7"/>
      </c>
      <c r="S35" s="245">
        <f>IF(B35="","",SUMIF('6-3_調整額内訳①(旧々・旧制度)'!B:B,$B35,'6-3_調整額内訳①(旧々・旧制度)'!AD:AD))</f>
      </c>
      <c r="T35" s="246">
        <f t="shared" si="8"/>
      </c>
      <c r="U35" s="247">
        <f t="shared" si="9"/>
      </c>
      <c r="V35" s="247">
        <f t="shared" si="10"/>
      </c>
      <c r="W35" s="58"/>
      <c r="X35" s="247">
        <f t="shared" si="11"/>
      </c>
      <c r="Y35" s="229"/>
      <c r="Z35" s="98">
        <f t="shared" si="12"/>
      </c>
      <c r="AA35" s="248">
        <f t="shared" si="13"/>
      </c>
      <c r="AB35" s="712"/>
      <c r="AC35" s="713"/>
      <c r="AD35" s="714"/>
      <c r="AF35" s="63">
        <f t="shared" si="0"/>
      </c>
      <c r="AG35" s="63">
        <f t="shared" si="1"/>
      </c>
    </row>
    <row r="36" spans="1:33" s="54" customFormat="1" ht="18.75" customHeight="1">
      <c r="A36" s="204">
        <f t="shared" si="2"/>
      </c>
      <c r="B36" s="277"/>
      <c r="C36" s="238"/>
      <c r="D36" s="58"/>
      <c r="E36" s="355"/>
      <c r="F36" s="356">
        <f t="shared" si="3"/>
      </c>
      <c r="G36" s="357">
        <f t="shared" si="4"/>
      </c>
      <c r="H36" s="358"/>
      <c r="I36" s="359"/>
      <c r="J36" s="242">
        <f t="shared" si="5"/>
      </c>
      <c r="K36" s="243">
        <f t="shared" si="6"/>
      </c>
      <c r="L36" s="297"/>
      <c r="M36" s="220"/>
      <c r="N36" s="244">
        <f>IF($G36="","",IF($L36="Ａ",LOOKUP($D36,{8000,8500,9000,10000,12000},{0,1532,1032,408,408}),IF($L36="Ｂ",LOOKUP($D36,{8000,8500,9000,10000,12000},{782,2814,2814,2814,2814}),0)))</f>
      </c>
      <c r="O36" s="297"/>
      <c r="P36" s="294">
        <v>0</v>
      </c>
      <c r="Q36" s="244">
        <f>IF($G36="","",IF($O36="Ａ",LOOKUP($D36,{8000,8500,9000,10000,12000},{0,1532,1032,408,408}),IF($O36="Ｂ",LOOKUP($D36,{8000,8500,9000,10000,12000},{782,2814,2814,2814,2814}),0)))</f>
      </c>
      <c r="R36" s="98">
        <f t="shared" si="7"/>
      </c>
      <c r="S36" s="245">
        <f>IF(B36="","",SUMIF('6-3_調整額内訳①(旧々・旧制度)'!B:B,$B36,'6-3_調整額内訳①(旧々・旧制度)'!AD:AD))</f>
      </c>
      <c r="T36" s="246">
        <f t="shared" si="8"/>
      </c>
      <c r="U36" s="247">
        <f t="shared" si="9"/>
      </c>
      <c r="V36" s="247">
        <f t="shared" si="10"/>
      </c>
      <c r="W36" s="58"/>
      <c r="X36" s="247">
        <f t="shared" si="11"/>
      </c>
      <c r="Y36" s="229"/>
      <c r="Z36" s="98">
        <f t="shared" si="12"/>
      </c>
      <c r="AA36" s="248">
        <f t="shared" si="13"/>
      </c>
      <c r="AB36" s="712"/>
      <c r="AC36" s="713"/>
      <c r="AD36" s="714"/>
      <c r="AF36" s="63">
        <f t="shared" si="0"/>
      </c>
      <c r="AG36" s="63">
        <f t="shared" si="1"/>
      </c>
    </row>
    <row r="37" spans="1:33" s="54" customFormat="1" ht="18.75" customHeight="1">
      <c r="A37" s="27">
        <f t="shared" si="2"/>
      </c>
      <c r="B37" s="277"/>
      <c r="C37" s="238"/>
      <c r="D37" s="58"/>
      <c r="E37" s="59"/>
      <c r="F37" s="216">
        <f t="shared" si="3"/>
      </c>
      <c r="G37" s="239">
        <f t="shared" si="4"/>
      </c>
      <c r="H37" s="240"/>
      <c r="I37" s="241"/>
      <c r="J37" s="242">
        <f t="shared" si="5"/>
      </c>
      <c r="K37" s="243">
        <f t="shared" si="6"/>
      </c>
      <c r="L37" s="297"/>
      <c r="M37" s="220"/>
      <c r="N37" s="244">
        <f>IF($G37="","",IF($L37="Ａ",LOOKUP($D37,{8000,8500,9000,10000,12000},{0,1532,1032,408,408}),IF($L37="Ｂ",LOOKUP($D37,{8000,8500,9000,10000,12000},{782,2814,2814,2814,2814}),0)))</f>
      </c>
      <c r="O37" s="297"/>
      <c r="P37" s="294">
        <v>0</v>
      </c>
      <c r="Q37" s="244">
        <f>IF($G37="","",IF($O37="Ａ",LOOKUP($D37,{8000,8500,9000,10000,12000},{0,1532,1032,408,408}),IF($O37="Ｂ",LOOKUP($D37,{8000,8500,9000,10000,12000},{782,2814,2814,2814,2814}),0)))</f>
      </c>
      <c r="R37" s="98">
        <f t="shared" si="7"/>
      </c>
      <c r="S37" s="245">
        <f>IF(B37="","",SUMIF('6-3_調整額内訳①(旧々・旧制度)'!B:B,$B37,'6-3_調整額内訳①(旧々・旧制度)'!AD:AD))</f>
      </c>
      <c r="T37" s="246">
        <f t="shared" si="8"/>
      </c>
      <c r="U37" s="247">
        <f t="shared" si="9"/>
      </c>
      <c r="V37" s="247">
        <f t="shared" si="10"/>
      </c>
      <c r="W37" s="58"/>
      <c r="X37" s="247">
        <f t="shared" si="11"/>
      </c>
      <c r="Y37" s="229"/>
      <c r="Z37" s="98">
        <f t="shared" si="12"/>
      </c>
      <c r="AA37" s="248">
        <f t="shared" si="13"/>
      </c>
      <c r="AB37" s="712"/>
      <c r="AC37" s="713"/>
      <c r="AD37" s="714"/>
      <c r="AF37" s="63">
        <f t="shared" si="0"/>
      </c>
      <c r="AG37" s="63">
        <f t="shared" si="1"/>
      </c>
    </row>
    <row r="38" spans="1:33" s="54" customFormat="1" ht="18.75" customHeight="1">
      <c r="A38" s="27">
        <f t="shared" si="2"/>
      </c>
      <c r="B38" s="277"/>
      <c r="C38" s="238"/>
      <c r="D38" s="58"/>
      <c r="E38" s="59"/>
      <c r="F38" s="216">
        <f t="shared" si="3"/>
      </c>
      <c r="G38" s="239">
        <f t="shared" si="4"/>
      </c>
      <c r="H38" s="240"/>
      <c r="I38" s="241"/>
      <c r="J38" s="242">
        <f t="shared" si="5"/>
      </c>
      <c r="K38" s="243">
        <f t="shared" si="6"/>
      </c>
      <c r="L38" s="297"/>
      <c r="M38" s="220"/>
      <c r="N38" s="244">
        <f>IF($G38="","",IF($L38="Ａ",LOOKUP($D38,{8000,8500,9000,10000,12000},{0,1532,1032,408,408}),IF($L38="Ｂ",LOOKUP($D38,{8000,8500,9000,10000,12000},{782,2814,2814,2814,2814}),0)))</f>
      </c>
      <c r="O38" s="297"/>
      <c r="P38" s="294">
        <v>0</v>
      </c>
      <c r="Q38" s="244">
        <f>IF($G38="","",IF($O38="Ａ",LOOKUP($D38,{8000,8500,9000,10000,12000},{0,1532,1032,408,408}),IF($O38="Ｂ",LOOKUP($D38,{8000,8500,9000,10000,12000},{782,2814,2814,2814,2814}),0)))</f>
      </c>
      <c r="R38" s="98">
        <f t="shared" si="7"/>
      </c>
      <c r="S38" s="245">
        <f>IF(B38="","",SUMIF('6-3_調整額内訳①(旧々・旧制度)'!B:B,$B38,'6-3_調整額内訳①(旧々・旧制度)'!AD:AD))</f>
      </c>
      <c r="T38" s="246">
        <f t="shared" si="8"/>
      </c>
      <c r="U38" s="247">
        <f t="shared" si="9"/>
      </c>
      <c r="V38" s="247">
        <f t="shared" si="10"/>
      </c>
      <c r="W38" s="58"/>
      <c r="X38" s="247">
        <f t="shared" si="11"/>
      </c>
      <c r="Y38" s="229"/>
      <c r="Z38" s="98">
        <f t="shared" si="12"/>
      </c>
      <c r="AA38" s="248">
        <f t="shared" si="13"/>
      </c>
      <c r="AB38" s="712"/>
      <c r="AC38" s="713"/>
      <c r="AD38" s="714"/>
      <c r="AF38" s="63">
        <f t="shared" si="0"/>
      </c>
      <c r="AG38" s="63">
        <f t="shared" si="1"/>
      </c>
    </row>
    <row r="39" spans="1:33" s="54" customFormat="1" ht="18.75" customHeight="1">
      <c r="A39" s="27">
        <f t="shared" si="2"/>
      </c>
      <c r="B39" s="277"/>
      <c r="C39" s="238"/>
      <c r="D39" s="58"/>
      <c r="E39" s="59"/>
      <c r="F39" s="216">
        <f t="shared" si="3"/>
      </c>
      <c r="G39" s="239">
        <f t="shared" si="4"/>
      </c>
      <c r="H39" s="240"/>
      <c r="I39" s="241"/>
      <c r="J39" s="242">
        <f t="shared" si="5"/>
      </c>
      <c r="K39" s="243">
        <f t="shared" si="6"/>
      </c>
      <c r="L39" s="297"/>
      <c r="M39" s="220"/>
      <c r="N39" s="244">
        <f>IF($G39="","",IF($L39="Ａ",LOOKUP($D39,{8000,8500,9000,10000,12000},{0,1532,1032,408,408}),IF($L39="Ｂ",LOOKUP($D39,{8000,8500,9000,10000,12000},{782,2814,2814,2814,2814}),0)))</f>
      </c>
      <c r="O39" s="297"/>
      <c r="P39" s="294">
        <v>0</v>
      </c>
      <c r="Q39" s="244">
        <f>IF($G39="","",IF($O39="Ａ",LOOKUP($D39,{8000,8500,9000,10000,12000},{0,1532,1032,408,408}),IF($O39="Ｂ",LOOKUP($D39,{8000,8500,9000,10000,12000},{782,2814,2814,2814,2814}),0)))</f>
      </c>
      <c r="R39" s="98">
        <f t="shared" si="7"/>
      </c>
      <c r="S39" s="245">
        <f>IF(B39="","",SUMIF('6-3_調整額内訳①(旧々・旧制度)'!B:B,$B39,'6-3_調整額内訳①(旧々・旧制度)'!AD:AD))</f>
      </c>
      <c r="T39" s="246">
        <f t="shared" si="8"/>
      </c>
      <c r="U39" s="247">
        <f t="shared" si="9"/>
      </c>
      <c r="V39" s="247">
        <f t="shared" si="10"/>
      </c>
      <c r="W39" s="58"/>
      <c r="X39" s="247">
        <f t="shared" si="11"/>
      </c>
      <c r="Y39" s="229"/>
      <c r="Z39" s="98">
        <f t="shared" si="12"/>
      </c>
      <c r="AA39" s="248">
        <f t="shared" si="13"/>
      </c>
      <c r="AB39" s="712"/>
      <c r="AC39" s="713"/>
      <c r="AD39" s="714"/>
      <c r="AF39" s="63">
        <f t="shared" si="0"/>
      </c>
      <c r="AG39" s="63">
        <f t="shared" si="1"/>
      </c>
    </row>
    <row r="40" spans="1:33" s="54" customFormat="1" ht="18.75" customHeight="1">
      <c r="A40" s="37">
        <f t="shared" si="2"/>
      </c>
      <c r="B40" s="277"/>
      <c r="C40" s="238"/>
      <c r="D40" s="58"/>
      <c r="E40" s="59"/>
      <c r="F40" s="216">
        <f t="shared" si="3"/>
      </c>
      <c r="G40" s="239">
        <f t="shared" si="4"/>
      </c>
      <c r="H40" s="240"/>
      <c r="I40" s="241"/>
      <c r="J40" s="242">
        <f t="shared" si="5"/>
      </c>
      <c r="K40" s="243">
        <f t="shared" si="6"/>
      </c>
      <c r="L40" s="297"/>
      <c r="M40" s="220"/>
      <c r="N40" s="244">
        <f>IF($G40="","",IF($L40="Ａ",LOOKUP($D40,{8000,8500,9000,10000,12000},{0,1532,1032,408,408}),IF($L40="Ｂ",LOOKUP($D40,{8000,8500,9000,10000,12000},{782,2814,2814,2814,2814}),0)))</f>
      </c>
      <c r="O40" s="297"/>
      <c r="P40" s="294">
        <v>0</v>
      </c>
      <c r="Q40" s="244">
        <f>IF($G40="","",IF($O40="Ａ",LOOKUP($D40,{8000,8500,9000,10000,12000},{0,1532,1032,408,408}),IF($O40="Ｂ",LOOKUP($D40,{8000,8500,9000,10000,12000},{782,2814,2814,2814,2814}),0)))</f>
      </c>
      <c r="R40" s="98">
        <f t="shared" si="7"/>
      </c>
      <c r="S40" s="245">
        <f>IF(B40="","",SUMIF('6-3_調整額内訳①(旧々・旧制度)'!B:B,$B40,'6-3_調整額内訳①(旧々・旧制度)'!AD:AD))</f>
      </c>
      <c r="T40" s="246">
        <f t="shared" si="8"/>
      </c>
      <c r="U40" s="247">
        <f t="shared" si="9"/>
      </c>
      <c r="V40" s="247">
        <f t="shared" si="10"/>
      </c>
      <c r="W40" s="58"/>
      <c r="X40" s="247">
        <f t="shared" si="11"/>
      </c>
      <c r="Y40" s="229"/>
      <c r="Z40" s="98">
        <f t="shared" si="12"/>
      </c>
      <c r="AA40" s="248">
        <f t="shared" si="13"/>
      </c>
      <c r="AB40" s="712"/>
      <c r="AC40" s="713"/>
      <c r="AD40" s="714"/>
      <c r="AF40" s="63">
        <f t="shared" si="0"/>
      </c>
      <c r="AG40" s="63">
        <f t="shared" si="1"/>
      </c>
    </row>
    <row r="41" spans="1:33" s="54" customFormat="1" ht="18.75" customHeight="1">
      <c r="A41" s="204">
        <f t="shared" si="2"/>
      </c>
      <c r="B41" s="277"/>
      <c r="C41" s="238"/>
      <c r="D41" s="58"/>
      <c r="E41" s="59"/>
      <c r="F41" s="216">
        <f t="shared" si="3"/>
      </c>
      <c r="G41" s="239">
        <f t="shared" si="4"/>
      </c>
      <c r="H41" s="240"/>
      <c r="I41" s="241"/>
      <c r="J41" s="242">
        <f t="shared" si="5"/>
      </c>
      <c r="K41" s="243">
        <f t="shared" si="6"/>
      </c>
      <c r="L41" s="297"/>
      <c r="M41" s="220"/>
      <c r="N41" s="244">
        <f>IF($G41="","",IF($L41="Ａ",LOOKUP($D41,{8000,8500,9000,10000,12000},{0,1532,1032,408,408}),IF($L41="Ｂ",LOOKUP($D41,{8000,8500,9000,10000,12000},{782,2814,2814,2814,2814}),0)))</f>
      </c>
      <c r="O41" s="297"/>
      <c r="P41" s="294">
        <v>0</v>
      </c>
      <c r="Q41" s="244">
        <f>IF($G41="","",IF($O41="Ａ",LOOKUP($D41,{8000,8500,9000,10000,12000},{0,1532,1032,408,408}),IF($O41="Ｂ",LOOKUP($D41,{8000,8500,9000,10000,12000},{782,2814,2814,2814,2814}),0)))</f>
      </c>
      <c r="R41" s="98">
        <f t="shared" si="7"/>
      </c>
      <c r="S41" s="245">
        <f>IF(B41="","",SUMIF('6-3_調整額内訳①(旧々・旧制度)'!B:B,$B41,'6-3_調整額内訳①(旧々・旧制度)'!AD:AD))</f>
      </c>
      <c r="T41" s="246">
        <f t="shared" si="8"/>
      </c>
      <c r="U41" s="247">
        <f t="shared" si="9"/>
      </c>
      <c r="V41" s="247">
        <f t="shared" si="10"/>
      </c>
      <c r="W41" s="58"/>
      <c r="X41" s="247">
        <f t="shared" si="11"/>
      </c>
      <c r="Y41" s="229"/>
      <c r="Z41" s="98">
        <f t="shared" si="12"/>
      </c>
      <c r="AA41" s="248">
        <f t="shared" si="13"/>
      </c>
      <c r="AB41" s="712"/>
      <c r="AC41" s="713"/>
      <c r="AD41" s="714"/>
      <c r="AF41" s="63">
        <f t="shared" si="0"/>
      </c>
      <c r="AG41" s="63">
        <f t="shared" si="1"/>
      </c>
    </row>
    <row r="42" spans="1:33" s="54" customFormat="1" ht="18.75" customHeight="1">
      <c r="A42" s="27">
        <f t="shared" si="2"/>
      </c>
      <c r="B42" s="277"/>
      <c r="C42" s="238"/>
      <c r="D42" s="58"/>
      <c r="E42" s="59"/>
      <c r="F42" s="216">
        <f t="shared" si="3"/>
      </c>
      <c r="G42" s="239">
        <f t="shared" si="4"/>
      </c>
      <c r="H42" s="240"/>
      <c r="I42" s="241"/>
      <c r="J42" s="242">
        <f t="shared" si="5"/>
      </c>
      <c r="K42" s="243">
        <f t="shared" si="6"/>
      </c>
      <c r="L42" s="297"/>
      <c r="M42" s="220"/>
      <c r="N42" s="244">
        <f>IF($G42="","",IF($L42="Ａ",LOOKUP($D42,{8000,8500,9000,10000,12000},{0,1532,1032,408,408}),IF($L42="Ｂ",LOOKUP($D42,{8000,8500,9000,10000,12000},{782,2814,2814,2814,2814}),0)))</f>
      </c>
      <c r="O42" s="297"/>
      <c r="P42" s="294">
        <v>0</v>
      </c>
      <c r="Q42" s="244">
        <f>IF($G42="","",IF($O42="Ａ",LOOKUP($D42,{8000,8500,9000,10000,12000},{0,1532,1032,408,408}),IF($O42="Ｂ",LOOKUP($D42,{8000,8500,9000,10000,12000},{782,2814,2814,2814,2814}),0)))</f>
      </c>
      <c r="R42" s="98">
        <f t="shared" si="7"/>
      </c>
      <c r="S42" s="245">
        <f>IF(B42="","",SUMIF('6-3_調整額内訳①(旧々・旧制度)'!B:B,$B42,'6-3_調整額内訳①(旧々・旧制度)'!AD:AD))</f>
      </c>
      <c r="T42" s="246">
        <f t="shared" si="8"/>
      </c>
      <c r="U42" s="247">
        <f t="shared" si="9"/>
      </c>
      <c r="V42" s="247">
        <f t="shared" si="10"/>
      </c>
      <c r="W42" s="58"/>
      <c r="X42" s="247">
        <f t="shared" si="11"/>
      </c>
      <c r="Y42" s="229"/>
      <c r="Z42" s="98">
        <f t="shared" si="12"/>
      </c>
      <c r="AA42" s="248">
        <f t="shared" si="13"/>
      </c>
      <c r="AB42" s="712"/>
      <c r="AC42" s="713"/>
      <c r="AD42" s="714"/>
      <c r="AF42" s="63">
        <f t="shared" si="0"/>
      </c>
      <c r="AG42" s="63">
        <f t="shared" si="1"/>
      </c>
    </row>
    <row r="43" spans="1:33" s="54" customFormat="1" ht="18.75" customHeight="1">
      <c r="A43" s="27">
        <f t="shared" si="2"/>
      </c>
      <c r="B43" s="277"/>
      <c r="C43" s="238"/>
      <c r="D43" s="58"/>
      <c r="E43" s="59"/>
      <c r="F43" s="216">
        <f t="shared" si="3"/>
      </c>
      <c r="G43" s="239">
        <f t="shared" si="4"/>
      </c>
      <c r="H43" s="240"/>
      <c r="I43" s="241"/>
      <c r="J43" s="242">
        <f t="shared" si="5"/>
      </c>
      <c r="K43" s="243">
        <f t="shared" si="6"/>
      </c>
      <c r="L43" s="297"/>
      <c r="M43" s="220"/>
      <c r="N43" s="244">
        <f>IF($G43="","",IF($L43="Ａ",LOOKUP($D43,{8000,8500,9000,10000,12000},{0,1532,1032,408,408}),IF($L43="Ｂ",LOOKUP($D43,{8000,8500,9000,10000,12000},{782,2814,2814,2814,2814}),0)))</f>
      </c>
      <c r="O43" s="297"/>
      <c r="P43" s="294">
        <v>0</v>
      </c>
      <c r="Q43" s="244">
        <f>IF($G43="","",IF($O43="Ａ",LOOKUP($D43,{8000,8500,9000,10000,12000},{0,1532,1032,408,408}),IF($O43="Ｂ",LOOKUP($D43,{8000,8500,9000,10000,12000},{782,2814,2814,2814,2814}),0)))</f>
      </c>
      <c r="R43" s="98">
        <f t="shared" si="7"/>
      </c>
      <c r="S43" s="245">
        <f>IF(B43="","",SUMIF('6-3_調整額内訳①(旧々・旧制度)'!B:B,$B43,'6-3_調整額内訳①(旧々・旧制度)'!AD:AD))</f>
      </c>
      <c r="T43" s="246">
        <f t="shared" si="8"/>
      </c>
      <c r="U43" s="247">
        <f t="shared" si="9"/>
      </c>
      <c r="V43" s="247">
        <f t="shared" si="10"/>
      </c>
      <c r="W43" s="58"/>
      <c r="X43" s="247">
        <f t="shared" si="11"/>
      </c>
      <c r="Y43" s="229"/>
      <c r="Z43" s="98">
        <f t="shared" si="12"/>
      </c>
      <c r="AA43" s="248">
        <f t="shared" si="13"/>
      </c>
      <c r="AB43" s="712"/>
      <c r="AC43" s="713"/>
      <c r="AD43" s="714"/>
      <c r="AF43" s="63">
        <f t="shared" si="0"/>
      </c>
      <c r="AG43" s="63">
        <f t="shared" si="1"/>
      </c>
    </row>
    <row r="44" spans="1:33" s="54" customFormat="1" ht="18.75" customHeight="1" thickBot="1">
      <c r="A44" s="27">
        <f t="shared" si="2"/>
      </c>
      <c r="B44" s="279"/>
      <c r="C44" s="249"/>
      <c r="D44" s="250"/>
      <c r="E44" s="251"/>
      <c r="F44" s="218">
        <f t="shared" si="3"/>
      </c>
      <c r="G44" s="252">
        <f t="shared" si="4"/>
      </c>
      <c r="H44" s="253"/>
      <c r="I44" s="254"/>
      <c r="J44" s="255">
        <f t="shared" si="5"/>
      </c>
      <c r="K44" s="243">
        <f t="shared" si="6"/>
      </c>
      <c r="L44" s="298"/>
      <c r="M44" s="221"/>
      <c r="N44" s="256">
        <f>IF($G44="","",IF($L44="Ａ",LOOKUP($D44,{8000,8500,9000,10000,12000},{0,1532,1032,408,408}),IF($L44="Ｂ",LOOKUP($D44,{8000,8500,9000,10000,12000},{782,2814,2814,2814,2814}),0)))</f>
      </c>
      <c r="O44" s="298"/>
      <c r="P44" s="295">
        <v>0</v>
      </c>
      <c r="Q44" s="256">
        <f>IF($G44="","",IF($O44="Ａ",LOOKUP($D44,{8000,8500,9000,10000,12000},{0,1532,1032,408,408}),IF($O44="Ｂ",LOOKUP($D44,{8000,8500,9000,10000,12000},{782,2814,2814,2814,2814}),0)))</f>
      </c>
      <c r="R44" s="257">
        <f t="shared" si="7"/>
      </c>
      <c r="S44" s="258">
        <f>IF(B44="","",SUMIF('6-3_調整額内訳①(旧々・旧制度)'!B:B,$B44,'6-3_調整額内訳①(旧々・旧制度)'!AD:AD))</f>
      </c>
      <c r="T44" s="259">
        <f t="shared" si="8"/>
      </c>
      <c r="U44" s="260">
        <f t="shared" si="9"/>
      </c>
      <c r="V44" s="260">
        <f t="shared" si="10"/>
      </c>
      <c r="W44" s="250"/>
      <c r="X44" s="260">
        <f t="shared" si="11"/>
      </c>
      <c r="Y44" s="261"/>
      <c r="Z44" s="257">
        <f t="shared" si="12"/>
      </c>
      <c r="AA44" s="262">
        <f t="shared" si="13"/>
      </c>
      <c r="AB44" s="709"/>
      <c r="AC44" s="710"/>
      <c r="AD44" s="711"/>
      <c r="AF44" s="63">
        <f t="shared" si="0"/>
      </c>
      <c r="AG44" s="63">
        <f t="shared" si="1"/>
      </c>
    </row>
    <row r="45" spans="1:33" s="69" customFormat="1" ht="25.5" customHeight="1" thickBot="1">
      <c r="A45" s="715" t="s">
        <v>161</v>
      </c>
      <c r="B45" s="716"/>
      <c r="C45" s="716"/>
      <c r="D45" s="717"/>
      <c r="E45" s="208">
        <f>SUM(E8:E44)</f>
        <v>0</v>
      </c>
      <c r="F45" s="207">
        <f>SUM(F8:F44)</f>
        <v>0</v>
      </c>
      <c r="G45" s="121" t="s">
        <v>155</v>
      </c>
      <c r="H45" s="209" t="s">
        <v>155</v>
      </c>
      <c r="I45" s="206" t="s">
        <v>155</v>
      </c>
      <c r="J45" s="210">
        <f>SUM(J8:J44)</f>
        <v>0</v>
      </c>
      <c r="K45" s="211" t="s">
        <v>155</v>
      </c>
      <c r="L45" s="368" t="s">
        <v>155</v>
      </c>
      <c r="M45" s="121"/>
      <c r="N45" s="206"/>
      <c r="O45" s="121" t="s">
        <v>155</v>
      </c>
      <c r="P45" s="121"/>
      <c r="Q45" s="206"/>
      <c r="R45" s="104">
        <f aca="true" t="shared" si="14" ref="R45:AA45">SUM(R8:R44)</f>
        <v>0</v>
      </c>
      <c r="S45" s="120">
        <f t="shared" si="14"/>
        <v>0</v>
      </c>
      <c r="T45" s="118">
        <f t="shared" si="14"/>
        <v>0</v>
      </c>
      <c r="U45" s="66">
        <f t="shared" si="14"/>
        <v>0</v>
      </c>
      <c r="V45" s="66">
        <f>SUM(V8:V44)</f>
        <v>0</v>
      </c>
      <c r="W45" s="66">
        <f t="shared" si="14"/>
        <v>0</v>
      </c>
      <c r="X45" s="66">
        <f t="shared" si="14"/>
        <v>0</v>
      </c>
      <c r="Y45" s="66">
        <f t="shared" si="14"/>
        <v>0</v>
      </c>
      <c r="Z45" s="66">
        <f t="shared" si="14"/>
        <v>0</v>
      </c>
      <c r="AA45" s="68">
        <f t="shared" si="14"/>
        <v>0</v>
      </c>
      <c r="AB45" s="718"/>
      <c r="AC45" s="719"/>
      <c r="AD45" s="720"/>
      <c r="AF45" s="70"/>
      <c r="AG45" s="70"/>
    </row>
    <row r="46" spans="1:33" s="345" customFormat="1" ht="15.75" customHeight="1">
      <c r="A46" s="345" t="s">
        <v>29</v>
      </c>
      <c r="L46" s="346"/>
      <c r="O46" s="346"/>
      <c r="AF46" s="347"/>
      <c r="AG46" s="347"/>
    </row>
    <row r="47" spans="1:33" s="345" customFormat="1" ht="15.75" customHeight="1">
      <c r="A47" s="345" t="s">
        <v>153</v>
      </c>
      <c r="L47" s="346"/>
      <c r="O47" s="346"/>
      <c r="AF47" s="347"/>
      <c r="AG47" s="347"/>
    </row>
    <row r="48" spans="1:33" s="345" customFormat="1" ht="15.75" customHeight="1">
      <c r="A48" s="345" t="s">
        <v>168</v>
      </c>
      <c r="L48" s="346"/>
      <c r="O48" s="346"/>
      <c r="AF48" s="347"/>
      <c r="AG48" s="347"/>
    </row>
    <row r="49" spans="1:33" s="345" customFormat="1" ht="15.75" customHeight="1">
      <c r="A49" s="345" t="s">
        <v>159</v>
      </c>
      <c r="L49" s="346"/>
      <c r="O49" s="346"/>
      <c r="AF49" s="347"/>
      <c r="AG49" s="347"/>
    </row>
    <row r="50" spans="1:33" s="345" customFormat="1" ht="15.75" customHeight="1">
      <c r="A50" s="345" t="s">
        <v>249</v>
      </c>
      <c r="L50" s="346"/>
      <c r="O50" s="346"/>
      <c r="AF50" s="347"/>
      <c r="AG50" s="347"/>
    </row>
    <row r="51" spans="1:33" s="345" customFormat="1" ht="15.75" customHeight="1">
      <c r="A51" s="345" t="s">
        <v>257</v>
      </c>
      <c r="L51" s="346"/>
      <c r="O51" s="346"/>
      <c r="AF51" s="347"/>
      <c r="AG51" s="347"/>
    </row>
    <row r="52" spans="1:33" s="345" customFormat="1" ht="15.75" customHeight="1">
      <c r="A52" s="345" t="s">
        <v>176</v>
      </c>
      <c r="L52" s="346"/>
      <c r="O52" s="346"/>
      <c r="AF52" s="347"/>
      <c r="AG52" s="347"/>
    </row>
    <row r="53" spans="1:33" s="345" customFormat="1" ht="15.75" customHeight="1">
      <c r="A53" s="345" t="s">
        <v>177</v>
      </c>
      <c r="L53" s="346"/>
      <c r="O53" s="346"/>
      <c r="AF53" s="347"/>
      <c r="AG53" s="347"/>
    </row>
    <row r="54" spans="1:33" s="345" customFormat="1" ht="15.75" customHeight="1">
      <c r="A54" s="345" t="s">
        <v>250</v>
      </c>
      <c r="L54" s="346"/>
      <c r="O54" s="346"/>
      <c r="AF54" s="347"/>
      <c r="AG54" s="347"/>
    </row>
    <row r="55" spans="1:33" s="345" customFormat="1" ht="15.75" customHeight="1">
      <c r="A55" s="345" t="s">
        <v>229</v>
      </c>
      <c r="L55" s="346"/>
      <c r="O55" s="346"/>
      <c r="AF55" s="347"/>
      <c r="AG55" s="347"/>
    </row>
    <row r="56" spans="1:32" s="345" customFormat="1" ht="15.75" customHeight="1">
      <c r="A56" s="345" t="s">
        <v>230</v>
      </c>
      <c r="L56" s="346"/>
      <c r="O56" s="346"/>
      <c r="AE56" s="347"/>
      <c r="AF56" s="347"/>
    </row>
    <row r="57" spans="1:33" s="345" customFormat="1" ht="15.75" customHeight="1">
      <c r="A57" s="345" t="s">
        <v>163</v>
      </c>
      <c r="L57" s="346"/>
      <c r="O57" s="346"/>
      <c r="AF57" s="347"/>
      <c r="AG57" s="347"/>
    </row>
    <row r="58" spans="1:33" s="345" customFormat="1" ht="15.75" customHeight="1">
      <c r="A58" s="345" t="s">
        <v>164</v>
      </c>
      <c r="L58" s="346"/>
      <c r="O58" s="346"/>
      <c r="AF58" s="347"/>
      <c r="AG58" s="347"/>
    </row>
    <row r="59" spans="1:33" s="345" customFormat="1" ht="15.75" customHeight="1">
      <c r="A59" s="345" t="s">
        <v>165</v>
      </c>
      <c r="L59" s="346"/>
      <c r="O59" s="346"/>
      <c r="AF59" s="347"/>
      <c r="AG59" s="347"/>
    </row>
    <row r="60" ht="12"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sheetData>
  <sheetProtection/>
  <mergeCells count="72">
    <mergeCell ref="Y1:AB1"/>
    <mergeCell ref="Y2:AB2"/>
    <mergeCell ref="U4:U6"/>
    <mergeCell ref="A4:A7"/>
    <mergeCell ref="B4:B7"/>
    <mergeCell ref="C4:C7"/>
    <mergeCell ref="E4:F4"/>
    <mergeCell ref="G4:K4"/>
    <mergeCell ref="D4:D6"/>
    <mergeCell ref="E5:E6"/>
    <mergeCell ref="F5:F6"/>
    <mergeCell ref="G5:G6"/>
    <mergeCell ref="AB13:AD13"/>
    <mergeCell ref="AB14:AD14"/>
    <mergeCell ref="Y4:Y6"/>
    <mergeCell ref="L4:T4"/>
    <mergeCell ref="AA4:AA6"/>
    <mergeCell ref="L6:L7"/>
    <mergeCell ref="X4:X6"/>
    <mergeCell ref="H5:H6"/>
    <mergeCell ref="I5:I6"/>
    <mergeCell ref="R5:R6"/>
    <mergeCell ref="S5:S6"/>
    <mergeCell ref="V4:V6"/>
    <mergeCell ref="O6:O7"/>
    <mergeCell ref="K5:K6"/>
    <mergeCell ref="L5:N5"/>
    <mergeCell ref="O5:Q5"/>
    <mergeCell ref="J5:J6"/>
    <mergeCell ref="AG4:AG7"/>
    <mergeCell ref="AB8:AD8"/>
    <mergeCell ref="AB9:AD9"/>
    <mergeCell ref="Z4:Z6"/>
    <mergeCell ref="T5:T6"/>
    <mergeCell ref="W4:W6"/>
    <mergeCell ref="AB10:AD10"/>
    <mergeCell ref="AB4:AD7"/>
    <mergeCell ref="AB11:AD11"/>
    <mergeCell ref="AF4:AF7"/>
    <mergeCell ref="AB15:AD15"/>
    <mergeCell ref="AB16:AD16"/>
    <mergeCell ref="AB12:AD12"/>
    <mergeCell ref="AB19:AD19"/>
    <mergeCell ref="AB20:AD20"/>
    <mergeCell ref="AB21:AD21"/>
    <mergeCell ref="AB22:AD22"/>
    <mergeCell ref="AB17:AD17"/>
    <mergeCell ref="AB18:AD18"/>
    <mergeCell ref="AB25:AD25"/>
    <mergeCell ref="AB26:AD26"/>
    <mergeCell ref="AB23:AD23"/>
    <mergeCell ref="AB24:AD24"/>
    <mergeCell ref="AB27:AD27"/>
    <mergeCell ref="AB28:AD28"/>
    <mergeCell ref="AB43:AD43"/>
    <mergeCell ref="AB31:AD31"/>
    <mergeCell ref="AB32:AD32"/>
    <mergeCell ref="AB29:AD29"/>
    <mergeCell ref="AB30:AD30"/>
    <mergeCell ref="AB33:AD33"/>
    <mergeCell ref="AB34:AD34"/>
    <mergeCell ref="AB37:AD37"/>
    <mergeCell ref="AB44:AD44"/>
    <mergeCell ref="AB35:AD35"/>
    <mergeCell ref="AB36:AD36"/>
    <mergeCell ref="A45:D45"/>
    <mergeCell ref="AB45:AD45"/>
    <mergeCell ref="AB38:AD38"/>
    <mergeCell ref="AB39:AD39"/>
    <mergeCell ref="AB40:AD40"/>
    <mergeCell ref="AB41:AD41"/>
    <mergeCell ref="AB42:AD42"/>
  </mergeCells>
  <dataValidations count="4">
    <dataValidation type="whole" allowBlank="1" showInputMessage="1" showErrorMessage="1" sqref="C8:C44">
      <formula1>1</formula1>
      <formula2>4</formula2>
    </dataValidation>
    <dataValidation type="whole" allowBlank="1" showInputMessage="1" showErrorMessage="1" sqref="W8:W44 G8:H44">
      <formula1>0</formula1>
      <formula2>9999999</formula2>
    </dataValidation>
    <dataValidation type="list" allowBlank="1" showInputMessage="1" showErrorMessage="1" sqref="L8:L44 O8:O44">
      <formula1>"Ａ,Ｂ,Ｄ"</formula1>
    </dataValidation>
    <dataValidation allowBlank="1" showInputMessage="1" sqref="K8:K44"/>
  </dataValidations>
  <printOptions/>
  <pageMargins left="0.7480314960629921" right="0.7480314960629921" top="0.984251968503937" bottom="0.984251968503937" header="0.5118110236220472" footer="0.5118110236220472"/>
  <pageSetup cellComments="asDisplayed" fitToHeight="0" fitToWidth="0" horizontalDpi="600" verticalDpi="600" orientation="landscape" paperSize="9" scale="44" r:id="rId3"/>
  <legacyDrawing r:id="rId2"/>
</worksheet>
</file>

<file path=xl/worksheets/sheet5.xml><?xml version="1.0" encoding="utf-8"?>
<worksheet xmlns="http://schemas.openxmlformats.org/spreadsheetml/2006/main" xmlns:r="http://schemas.openxmlformats.org/officeDocument/2006/relationships">
  <sheetPr>
    <tabColor rgb="FFFFFF00"/>
  </sheetPr>
  <dimension ref="A1:AM43"/>
  <sheetViews>
    <sheetView view="pageBreakPreview" zoomScale="75" zoomScaleNormal="75" zoomScaleSheetLayoutView="75" zoomScalePageLayoutView="0" workbookViewId="0" topLeftCell="A1">
      <selection activeCell="A41" sqref="A41"/>
    </sheetView>
  </sheetViews>
  <sheetFormatPr defaultColWidth="9.625" defaultRowHeight="13.5"/>
  <cols>
    <col min="1" max="1" width="6.25390625" style="40" customWidth="1"/>
    <col min="2" max="2" width="17.50390625" style="40" customWidth="1"/>
    <col min="3" max="3" width="6.00390625" style="40" bestFit="1" customWidth="1"/>
    <col min="4" max="5" width="11.25390625" style="40" customWidth="1"/>
    <col min="6" max="6" width="4.00390625" style="40" bestFit="1" customWidth="1"/>
    <col min="7" max="7" width="10.25390625" style="40" bestFit="1" customWidth="1"/>
    <col min="8" max="8" width="4.00390625" style="40" bestFit="1" customWidth="1"/>
    <col min="9" max="9" width="10.75390625" style="40" customWidth="1"/>
    <col min="10" max="10" width="12.25390625" style="40" bestFit="1" customWidth="1"/>
    <col min="11" max="17" width="4.25390625" style="40" customWidth="1"/>
    <col min="18" max="18" width="4.75390625" style="40" customWidth="1"/>
    <col min="19" max="22" width="4.25390625" style="40" customWidth="1"/>
    <col min="23" max="28" width="4.375" style="40" customWidth="1"/>
    <col min="29" max="30" width="10.25390625" style="40" bestFit="1" customWidth="1"/>
    <col min="31" max="31" width="9.75390625" style="40" customWidth="1"/>
    <col min="32" max="32" width="6.50390625" style="40" customWidth="1"/>
    <col min="33" max="33" width="8.25390625" style="40" customWidth="1"/>
    <col min="34" max="34" width="3.125" style="40" customWidth="1"/>
    <col min="35" max="35" width="8.625" style="41" bestFit="1" customWidth="1"/>
    <col min="36" max="36" width="5.25390625" style="41" bestFit="1" customWidth="1"/>
    <col min="37" max="16384" width="9.625" style="40" customWidth="1"/>
  </cols>
  <sheetData>
    <row r="1" spans="1:36" ht="24.75" customHeight="1">
      <c r="A1" s="39" t="s">
        <v>251</v>
      </c>
      <c r="B1" s="39"/>
      <c r="W1" s="781" t="s">
        <v>25</v>
      </c>
      <c r="X1" s="781"/>
      <c r="Y1" s="781"/>
      <c r="Z1" s="761">
        <f>'5_総括表'!E3</f>
        <v>0</v>
      </c>
      <c r="AA1" s="782"/>
      <c r="AB1" s="782"/>
      <c r="AC1" s="782"/>
      <c r="AD1" s="783"/>
      <c r="AE1" s="186" t="s">
        <v>26</v>
      </c>
      <c r="AF1" s="784">
        <f>'5_総括表'!Z3</f>
        <v>0</v>
      </c>
      <c r="AG1" s="785"/>
      <c r="AI1" s="46"/>
      <c r="AJ1" s="46"/>
    </row>
    <row r="2" spans="1:36" ht="24.75" customHeight="1" thickBot="1">
      <c r="A2" s="42"/>
      <c r="W2" s="786" t="s">
        <v>23</v>
      </c>
      <c r="X2" s="786"/>
      <c r="Y2" s="786"/>
      <c r="Z2" s="764">
        <f>'5_総括表'!E4</f>
        <v>0</v>
      </c>
      <c r="AA2" s="787"/>
      <c r="AB2" s="787"/>
      <c r="AC2" s="787"/>
      <c r="AD2" s="788"/>
      <c r="AE2" s="187" t="s">
        <v>24</v>
      </c>
      <c r="AF2" s="789">
        <f>'5_総括表'!Z4</f>
        <v>0</v>
      </c>
      <c r="AG2" s="790"/>
      <c r="AI2" s="73"/>
      <c r="AJ2" s="74"/>
    </row>
    <row r="3" spans="1:36" ht="19.5" thickBot="1">
      <c r="A3" s="331" t="s">
        <v>221</v>
      </c>
      <c r="B3" s="38"/>
      <c r="AF3" s="43"/>
      <c r="AG3" s="43" t="s">
        <v>28</v>
      </c>
      <c r="AI3" s="73"/>
      <c r="AJ3" s="74"/>
    </row>
    <row r="4" spans="1:36" s="44" customFormat="1" ht="18.75" customHeight="1" thickBot="1">
      <c r="A4" s="675" t="s">
        <v>32</v>
      </c>
      <c r="B4" s="670" t="s">
        <v>170</v>
      </c>
      <c r="C4" s="770" t="s">
        <v>16</v>
      </c>
      <c r="D4" s="670" t="s">
        <v>75</v>
      </c>
      <c r="E4" s="670" t="s">
        <v>106</v>
      </c>
      <c r="F4" s="664" t="s">
        <v>252</v>
      </c>
      <c r="G4" s="665"/>
      <c r="H4" s="665"/>
      <c r="I4" s="665"/>
      <c r="J4" s="666"/>
      <c r="K4" s="795" t="s">
        <v>65</v>
      </c>
      <c r="L4" s="796"/>
      <c r="M4" s="796"/>
      <c r="N4" s="796"/>
      <c r="O4" s="796"/>
      <c r="P4" s="796"/>
      <c r="Q4" s="796"/>
      <c r="R4" s="796"/>
      <c r="S4" s="796"/>
      <c r="T4" s="796"/>
      <c r="U4" s="796"/>
      <c r="V4" s="796"/>
      <c r="W4" s="796"/>
      <c r="X4" s="796"/>
      <c r="Y4" s="796"/>
      <c r="Z4" s="796"/>
      <c r="AA4" s="796"/>
      <c r="AB4" s="796"/>
      <c r="AC4" s="670" t="s">
        <v>63</v>
      </c>
      <c r="AD4" s="797" t="s">
        <v>64</v>
      </c>
      <c r="AE4" s="800" t="s">
        <v>66</v>
      </c>
      <c r="AF4" s="801"/>
      <c r="AG4" s="802"/>
      <c r="AI4" s="73"/>
      <c r="AJ4" s="74"/>
    </row>
    <row r="5" spans="1:36" s="44" customFormat="1" ht="18.75" customHeight="1" thickBot="1">
      <c r="A5" s="767"/>
      <c r="B5" s="737"/>
      <c r="C5" s="771"/>
      <c r="D5" s="737"/>
      <c r="E5" s="737"/>
      <c r="F5" s="795" t="s">
        <v>107</v>
      </c>
      <c r="G5" s="811"/>
      <c r="H5" s="812"/>
      <c r="I5" s="812"/>
      <c r="J5" s="813"/>
      <c r="K5" s="814" t="s">
        <v>62</v>
      </c>
      <c r="L5" s="815"/>
      <c r="M5" s="815"/>
      <c r="N5" s="815"/>
      <c r="O5" s="815"/>
      <c r="P5" s="815"/>
      <c r="Q5" s="815"/>
      <c r="R5" s="815"/>
      <c r="S5" s="815"/>
      <c r="T5" s="815"/>
      <c r="U5" s="815"/>
      <c r="V5" s="816"/>
      <c r="W5" s="664" t="s">
        <v>118</v>
      </c>
      <c r="X5" s="665"/>
      <c r="Y5" s="665"/>
      <c r="Z5" s="665"/>
      <c r="AA5" s="665"/>
      <c r="AB5" s="665"/>
      <c r="AC5" s="737"/>
      <c r="AD5" s="798"/>
      <c r="AE5" s="803"/>
      <c r="AF5" s="804"/>
      <c r="AG5" s="805"/>
      <c r="AI5" s="73"/>
      <c r="AJ5" s="74"/>
    </row>
    <row r="6" spans="1:36" s="44" customFormat="1" ht="21.75" customHeight="1" thickBot="1">
      <c r="A6" s="767"/>
      <c r="B6" s="767"/>
      <c r="C6" s="771"/>
      <c r="D6" s="737"/>
      <c r="E6" s="737"/>
      <c r="F6" s="817" t="s">
        <v>18</v>
      </c>
      <c r="G6" s="791" t="s">
        <v>50</v>
      </c>
      <c r="H6" s="817" t="s">
        <v>18</v>
      </c>
      <c r="I6" s="791" t="s">
        <v>50</v>
      </c>
      <c r="J6" s="793" t="s">
        <v>108</v>
      </c>
      <c r="K6" s="664" t="s">
        <v>60</v>
      </c>
      <c r="L6" s="665"/>
      <c r="M6" s="666"/>
      <c r="N6" s="820" t="s">
        <v>61</v>
      </c>
      <c r="O6" s="821"/>
      <c r="P6" s="821"/>
      <c r="Q6" s="821"/>
      <c r="R6" s="821"/>
      <c r="S6" s="821"/>
      <c r="T6" s="821"/>
      <c r="U6" s="821"/>
      <c r="V6" s="822"/>
      <c r="W6" s="795" t="s">
        <v>84</v>
      </c>
      <c r="X6" s="823" t="s">
        <v>84</v>
      </c>
      <c r="Y6" s="795" t="s">
        <v>90</v>
      </c>
      <c r="Z6" s="826" t="s">
        <v>90</v>
      </c>
      <c r="AA6" s="841" t="s">
        <v>178</v>
      </c>
      <c r="AB6" s="844" t="s">
        <v>178</v>
      </c>
      <c r="AC6" s="737"/>
      <c r="AD6" s="799"/>
      <c r="AE6" s="806"/>
      <c r="AF6" s="807"/>
      <c r="AG6" s="805"/>
      <c r="AI6" s="73"/>
      <c r="AJ6" s="75"/>
    </row>
    <row r="7" spans="1:39" s="44" customFormat="1" ht="20.25" customHeight="1">
      <c r="A7" s="767"/>
      <c r="B7" s="767"/>
      <c r="C7" s="771"/>
      <c r="D7" s="737"/>
      <c r="E7" s="737"/>
      <c r="F7" s="818"/>
      <c r="G7" s="792"/>
      <c r="H7" s="818"/>
      <c r="I7" s="792"/>
      <c r="J7" s="794"/>
      <c r="K7" s="831" t="s">
        <v>54</v>
      </c>
      <c r="L7" s="829" t="s">
        <v>55</v>
      </c>
      <c r="M7" s="826" t="s">
        <v>56</v>
      </c>
      <c r="N7" s="831" t="s">
        <v>51</v>
      </c>
      <c r="O7" s="829" t="s">
        <v>85</v>
      </c>
      <c r="P7" s="829" t="s">
        <v>86</v>
      </c>
      <c r="Q7" s="829" t="s">
        <v>87</v>
      </c>
      <c r="R7" s="829" t="s">
        <v>52</v>
      </c>
      <c r="S7" s="829" t="s">
        <v>53</v>
      </c>
      <c r="T7" s="829" t="s">
        <v>57</v>
      </c>
      <c r="U7" s="829" t="s">
        <v>58</v>
      </c>
      <c r="V7" s="826" t="s">
        <v>59</v>
      </c>
      <c r="W7" s="806"/>
      <c r="X7" s="824"/>
      <c r="Y7" s="806"/>
      <c r="Z7" s="827"/>
      <c r="AA7" s="842"/>
      <c r="AB7" s="845"/>
      <c r="AC7" s="737"/>
      <c r="AD7" s="799"/>
      <c r="AE7" s="806"/>
      <c r="AF7" s="807"/>
      <c r="AG7" s="805"/>
      <c r="AI7" s="833" t="s">
        <v>30</v>
      </c>
      <c r="AJ7" s="833" t="s">
        <v>78</v>
      </c>
      <c r="AK7" s="76"/>
      <c r="AL7" s="76"/>
      <c r="AM7" s="76"/>
    </row>
    <row r="8" spans="1:36" s="44" customFormat="1" ht="18.75" customHeight="1" thickBot="1">
      <c r="A8" s="768"/>
      <c r="B8" s="768"/>
      <c r="C8" s="772"/>
      <c r="D8" s="769"/>
      <c r="E8" s="769"/>
      <c r="F8" s="819"/>
      <c r="G8" s="77" t="s">
        <v>80</v>
      </c>
      <c r="H8" s="819"/>
      <c r="I8" s="77" t="s">
        <v>81</v>
      </c>
      <c r="J8" s="47" t="s">
        <v>88</v>
      </c>
      <c r="K8" s="832"/>
      <c r="L8" s="830"/>
      <c r="M8" s="828"/>
      <c r="N8" s="832"/>
      <c r="O8" s="830"/>
      <c r="P8" s="830"/>
      <c r="Q8" s="830"/>
      <c r="R8" s="830"/>
      <c r="S8" s="830"/>
      <c r="T8" s="830"/>
      <c r="U8" s="830"/>
      <c r="V8" s="828"/>
      <c r="W8" s="808"/>
      <c r="X8" s="825"/>
      <c r="Y8" s="808"/>
      <c r="Z8" s="828"/>
      <c r="AA8" s="843"/>
      <c r="AB8" s="846"/>
      <c r="AC8" s="47" t="s">
        <v>89</v>
      </c>
      <c r="AD8" s="78" t="s">
        <v>79</v>
      </c>
      <c r="AE8" s="808"/>
      <c r="AF8" s="809"/>
      <c r="AG8" s="810"/>
      <c r="AI8" s="834"/>
      <c r="AJ8" s="834"/>
    </row>
    <row r="9" spans="1:36" s="54" customFormat="1" ht="18.75" customHeight="1">
      <c r="A9" s="26">
        <f>IF(B9="","",ROW($A9)-ROW($A$8))</f>
      </c>
      <c r="B9" s="271"/>
      <c r="C9" s="281">
        <f>IF($B9="","",VLOOKUP($B9,'6-2_算定表①(旧々・旧制度)'!$B$8:$R$65536,2,FALSE))</f>
      </c>
      <c r="D9" s="79">
        <f>IF($B9="","",VLOOKUP($B9,'6-2_算定表①(旧々・旧制度)'!$B$8:$R$65536,3,FALSE))</f>
      </c>
      <c r="E9" s="79">
        <f>IF($B9="","",VLOOKUP($B9,'6-2_算定表①(旧々・旧制度)'!$B$8:$R$65536,4,FALSE))</f>
      </c>
      <c r="F9" s="80">
        <f>IF(B9="","",VLOOKUP($B9,'6-2_算定表①(旧々・旧制度)'!$B$8:$R$65536,11,FALSE))</f>
      </c>
      <c r="G9" s="81">
        <f>IF(B9="","",VLOOKUP($B9,'6-2_算定表①(旧々・旧制度)'!$B$8:$R$65536,13,FALSE))</f>
      </c>
      <c r="H9" s="80">
        <f>IF(B9="","",VLOOKUP($B9,'6-2_算定表①(旧々・旧制度)'!$B$8:$R$65536,14,FALSE))</f>
      </c>
      <c r="I9" s="81">
        <f>IF(B9="","",VLOOKUP($B9,'6-2_算定表①(旧々・旧制度)'!$B$8:$R$65536,16,FALSE))</f>
      </c>
      <c r="J9" s="82">
        <f>IF(B9="","",VLOOKUP($B9,'6-2_算定表①(旧々・旧制度)'!$B$8:$R$65536,17,FALSE))</f>
      </c>
      <c r="K9" s="83">
        <f>IF($B9="","",VLOOKUP($B9,'6-2_算定表①(旧々・旧制度)'!$B$8:$R$65536,11,FALSE))</f>
      </c>
      <c r="L9" s="84">
        <f>IF($B9="","",VLOOKUP($B9,'6-2_算定表①(旧々・旧制度)'!$B$8:$R$65536,11,FALSE))</f>
      </c>
      <c r="M9" s="264">
        <f>IF($B9="","",VLOOKUP($B9,'6-2_算定表①(旧々・旧制度)'!$B$8:$R$65536,11,FALSE))</f>
      </c>
      <c r="N9" s="83">
        <f>IF($B9="","",VLOOKUP($B9,'6-2_算定表①(旧々・旧制度)'!$B$8:$R$65536,14,FALSE))</f>
      </c>
      <c r="O9" s="84">
        <f>IF($B9="","",VLOOKUP($B9,'6-2_算定表①(旧々・旧制度)'!$B$8:$R$65536,14,FALSE))</f>
      </c>
      <c r="P9" s="84">
        <f>IF($B9="","",VLOOKUP($B9,'6-2_算定表①(旧々・旧制度)'!$B$8:$R$65536,14,FALSE))</f>
      </c>
      <c r="Q9" s="84">
        <f>IF($B9="","",VLOOKUP($B9,'6-2_算定表①(旧々・旧制度)'!$B$8:$R$65536,14,FALSE))</f>
      </c>
      <c r="R9" s="84">
        <f>IF($B9="","",VLOOKUP($B9,'6-2_算定表①(旧々・旧制度)'!$B$8:$R$65536,14,FALSE))</f>
      </c>
      <c r="S9" s="84">
        <f>IF($B9="","",VLOOKUP($B9,'6-2_算定表①(旧々・旧制度)'!$B$8:$R$65536,14,FALSE))</f>
      </c>
      <c r="T9" s="84">
        <f>IF($B9="","",VLOOKUP($B9,'6-2_算定表①(旧々・旧制度)'!$B$8:$R$65536,14,FALSE))</f>
      </c>
      <c r="U9" s="84">
        <f>IF($B9="","",VLOOKUP($B9,'6-2_算定表①(旧々・旧制度)'!$B$8:$R$65536,14,FALSE))</f>
      </c>
      <c r="V9" s="264">
        <f>IF($B9="","",VLOOKUP($B9,'6-2_算定表①(旧々・旧制度)'!$B$8:$R$65536,14,FALSE))</f>
      </c>
      <c r="W9" s="85">
        <f aca="true" t="shared" si="0" ref="W9:W38">IF($B9="","",COUNTIF($K9:$M9,W$6))</f>
      </c>
      <c r="X9" s="105">
        <f aca="true" t="shared" si="1" ref="X9:X38">IF($B9="","",COUNTIF($N9:$V9,X$6))</f>
      </c>
      <c r="Y9" s="85">
        <f aca="true" t="shared" si="2" ref="Y9:Y38">IF($B9="","",COUNTIF($K9:$M9,Y$6))</f>
      </c>
      <c r="Z9" s="114">
        <f aca="true" t="shared" si="3" ref="Z9:Z38">IF($B9="","",COUNTIF($N9:$V9,Z$6))</f>
      </c>
      <c r="AA9" s="111">
        <f aca="true" t="shared" si="4" ref="AA9:AA38">IF($B9="","",COUNTIF($K9:$M9,AA$6))</f>
      </c>
      <c r="AB9" s="108">
        <f aca="true" t="shared" si="5" ref="AB9:AB38">IF($B9="","",COUNTIF($N9:$V9,AB$6))</f>
      </c>
      <c r="AC9" s="82">
        <f>IF(B9="","",(G9/12*W9)+(I9/12*X9)+(G9/12*Y9)+(I9/12*Z9))</f>
      </c>
      <c r="AD9" s="86">
        <f aca="true" t="shared" si="6" ref="AD9:AD38">IF(B9="","",AC9-J9)</f>
      </c>
      <c r="AE9" s="835">
        <f>IF(B9="","",VLOOKUP($B9,'6-2_算定表①(旧々・旧制度)'!$B$8:$AB$65536,27,FALSE))</f>
      </c>
      <c r="AF9" s="836">
        <f>IF(AD9="","",VLOOKUP($B9,'6-2_算定表③(旧・旧制度)'!$B$8:$R$65536,3,FALSE))</f>
      </c>
      <c r="AG9" s="837">
        <f>IF(AE9="","",VLOOKUP($B9,'6-2_算定表③(旧・旧制度)'!$B$8:$R$65536,3,FALSE))</f>
      </c>
      <c r="AI9" s="63">
        <f>IF(A9&gt;0,ASC(C9&amp;H9),"")</f>
      </c>
      <c r="AJ9" s="63">
        <f aca="true" t="shared" si="7" ref="AJ9:AJ38">IF(B9="","",IF(AD9=0,0,1))</f>
      </c>
    </row>
    <row r="10" spans="1:36" s="54" customFormat="1" ht="18.75" customHeight="1">
      <c r="A10" s="34">
        <f aca="true" t="shared" si="8" ref="A10:A38">IF(B10="","",ROW($A10)-ROW($A$8))</f>
      </c>
      <c r="B10" s="277"/>
      <c r="C10" s="87">
        <f>IF($B10="","",VLOOKUP($B10,'6-2_算定表①(旧々・旧制度)'!$B$8:$R$65536,2,FALSE))</f>
      </c>
      <c r="D10" s="88">
        <f>IF($B10="","",VLOOKUP($B10,'6-2_算定表①(旧々・旧制度)'!$B$8:$R$65536,3,FALSE))</f>
      </c>
      <c r="E10" s="88">
        <f>IF($B10="","",VLOOKUP($B10,'6-2_算定表①(旧々・旧制度)'!$B$8:$R$65536,4,FALSE))</f>
      </c>
      <c r="F10" s="89">
        <f>IF(B10="","",VLOOKUP($B10,'6-2_算定表①(旧々・旧制度)'!$B$8:$R$65536,11,FALSE))</f>
      </c>
      <c r="G10" s="90">
        <f>IF(B10="","",VLOOKUP($B10,'6-2_算定表①(旧々・旧制度)'!$B$8:$R$65536,13,FALSE))</f>
      </c>
      <c r="H10" s="89">
        <f>IF(B10="","",VLOOKUP($B10,'6-2_算定表①(旧々・旧制度)'!$B$8:$R$65536,14,FALSE))</f>
      </c>
      <c r="I10" s="90">
        <f>IF(B10="","",VLOOKUP($B10,'6-2_算定表①(旧々・旧制度)'!$B$8:$R$65536,16,FALSE))</f>
      </c>
      <c r="J10" s="91">
        <f>IF(B10="","",VLOOKUP($B10,'6-2_算定表①(旧々・旧制度)'!$B$8:$R$65536,17,FALSE))</f>
      </c>
      <c r="K10" s="92">
        <f>IF($B10="","",VLOOKUP($B10,'6-2_算定表①(旧々・旧制度)'!$B$8:$R$65536,11,FALSE))</f>
      </c>
      <c r="L10" s="93">
        <f>IF($B10="","",VLOOKUP($B10,'6-2_算定表①(旧々・旧制度)'!$B$8:$R$65536,11,FALSE))</f>
      </c>
      <c r="M10" s="94">
        <f>IF($B10="","",VLOOKUP($B10,'6-2_算定表①(旧々・旧制度)'!$B$8:$R$65536,11,FALSE))</f>
      </c>
      <c r="N10" s="92">
        <f>IF($B10="","",VLOOKUP($B10,'6-2_算定表①(旧々・旧制度)'!$B$8:$R$65536,14,FALSE))</f>
      </c>
      <c r="O10" s="93">
        <f>IF($B10="","",VLOOKUP($B10,'6-2_算定表①(旧々・旧制度)'!$B$8:$R$65536,14,FALSE))</f>
      </c>
      <c r="P10" s="93">
        <f>IF($B10="","",VLOOKUP($B10,'6-2_算定表①(旧々・旧制度)'!$B$8:$R$65536,14,FALSE))</f>
      </c>
      <c r="Q10" s="93">
        <f>IF($B10="","",VLOOKUP($B10,'6-2_算定表①(旧々・旧制度)'!$B$8:$R$65536,14,FALSE))</f>
      </c>
      <c r="R10" s="93">
        <f>IF($B10="","",VLOOKUP($B10,'6-2_算定表①(旧々・旧制度)'!$B$8:$R$65536,14,FALSE))</f>
      </c>
      <c r="S10" s="93">
        <f>IF($B10="","",VLOOKUP($B10,'6-2_算定表①(旧々・旧制度)'!$B$8:$R$65536,14,FALSE))</f>
      </c>
      <c r="T10" s="93">
        <f>IF($B10="","",VLOOKUP($B10,'6-2_算定表①(旧々・旧制度)'!$B$8:$R$65536,14,FALSE))</f>
      </c>
      <c r="U10" s="93">
        <f>IF($B10="","",VLOOKUP($B10,'6-2_算定表①(旧々・旧制度)'!$B$8:$R$65536,14,FALSE))</f>
      </c>
      <c r="V10" s="94">
        <f>IF($B10="","",VLOOKUP($B10,'6-2_算定表①(旧々・旧制度)'!$B$8:$R$65536,14,FALSE))</f>
      </c>
      <c r="W10" s="95">
        <f t="shared" si="0"/>
      </c>
      <c r="X10" s="106">
        <f t="shared" si="1"/>
      </c>
      <c r="Y10" s="95">
        <f t="shared" si="2"/>
      </c>
      <c r="Z10" s="115">
        <f t="shared" si="3"/>
      </c>
      <c r="AA10" s="112">
        <f t="shared" si="4"/>
      </c>
      <c r="AB10" s="109">
        <f t="shared" si="5"/>
      </c>
      <c r="AC10" s="91">
        <f aca="true" t="shared" si="9" ref="AC10:AC38">IF(B10="","",(G10/12*W10)+(I10/12*X10)+(G10/12*Y10)+(I10/12*Z10))</f>
      </c>
      <c r="AD10" s="96">
        <f t="shared" si="6"/>
      </c>
      <c r="AE10" s="838">
        <f>IF(B10="","",VLOOKUP($B10,'6-2_算定表①(旧々・旧制度)'!$B$8:$AB$65536,27,FALSE))</f>
      </c>
      <c r="AF10" s="839">
        <f>IF(AD10="","",VLOOKUP($B10,'6-2_算定表③(旧・旧制度)'!$B$8:$R$65536,3,FALSE))</f>
      </c>
      <c r="AG10" s="840">
        <f>IF(AE10="","",VLOOKUP($B10,'6-2_算定表③(旧・旧制度)'!$B$8:$R$65536,3,FALSE))</f>
      </c>
      <c r="AI10" s="55">
        <f>IF(A10&gt;0,ASC(C10&amp;H10),"")</f>
      </c>
      <c r="AJ10" s="55">
        <f t="shared" si="7"/>
      </c>
    </row>
    <row r="11" spans="1:36" s="54" customFormat="1" ht="18.75" customHeight="1">
      <c r="A11" s="27">
        <f t="shared" si="8"/>
      </c>
      <c r="B11" s="277"/>
      <c r="C11" s="97">
        <f>IF($B11="","",VLOOKUP($B11,'6-2_算定表①(旧々・旧制度)'!$B$8:$R$65536,2,FALSE))</f>
      </c>
      <c r="D11" s="98">
        <f>IF($B11="","",VLOOKUP($B11,'6-2_算定表①(旧々・旧制度)'!$B$8:$R$65536,3,FALSE))</f>
      </c>
      <c r="E11" s="98">
        <f>IF($B11="","",VLOOKUP($B11,'6-2_算定表①(旧々・旧制度)'!$B$8:$R$65536,4,FALSE))</f>
      </c>
      <c r="F11" s="99">
        <f>IF(B11="","",VLOOKUP($B11,'6-2_算定表①(旧々・旧制度)'!$B$8:$R$65536,11,FALSE))</f>
      </c>
      <c r="G11" s="60">
        <f>IF(B11="","",VLOOKUP($B11,'6-2_算定表①(旧々・旧制度)'!$B$8:$R$65536,13,FALSE))</f>
      </c>
      <c r="H11" s="99">
        <f>IF(B11="","",VLOOKUP($B11,'6-2_算定表①(旧々・旧制度)'!$B$8:$R$65536,14,FALSE))</f>
      </c>
      <c r="I11" s="60">
        <f>IF(B11="","",VLOOKUP($B11,'6-2_算定表①(旧々・旧制度)'!$B$8:$R$65536,16,FALSE))</f>
      </c>
      <c r="J11" s="61">
        <f>IF(B11="","",VLOOKUP($B11,'6-2_算定表①(旧々・旧制度)'!$B$8:$R$65536,17,FALSE))</f>
      </c>
      <c r="K11" s="100">
        <f>IF($B11="","",VLOOKUP($B11,'6-2_算定表①(旧々・旧制度)'!$B$8:$R$65536,11,FALSE))</f>
      </c>
      <c r="L11" s="101">
        <f>IF($B11="","",VLOOKUP($B11,'6-2_算定表①(旧々・旧制度)'!$B$8:$R$65536,11,FALSE))</f>
      </c>
      <c r="M11" s="102">
        <f>IF($B11="","",VLOOKUP($B11,'6-2_算定表①(旧々・旧制度)'!$B$8:$R$65536,11,FALSE))</f>
      </c>
      <c r="N11" s="100">
        <f>IF($B11="","",VLOOKUP($B11,'6-2_算定表①(旧々・旧制度)'!$B$8:$R$65536,14,FALSE))</f>
      </c>
      <c r="O11" s="101">
        <f>IF($B11="","",VLOOKUP($B11,'6-2_算定表①(旧々・旧制度)'!$B$8:$R$65536,14,FALSE))</f>
      </c>
      <c r="P11" s="101">
        <f>IF($B11="","",VLOOKUP($B11,'6-2_算定表①(旧々・旧制度)'!$B$8:$R$65536,14,FALSE))</f>
      </c>
      <c r="Q11" s="101">
        <f>IF($B11="","",VLOOKUP($B11,'6-2_算定表①(旧々・旧制度)'!$B$8:$R$65536,14,FALSE))</f>
      </c>
      <c r="R11" s="101">
        <f>IF($B11="","",VLOOKUP($B11,'6-2_算定表①(旧々・旧制度)'!$B$8:$R$65536,14,FALSE))</f>
      </c>
      <c r="S11" s="101">
        <f>IF($B11="","",VLOOKUP($B11,'6-2_算定表①(旧々・旧制度)'!$B$8:$R$65536,14,FALSE))</f>
      </c>
      <c r="T11" s="101">
        <f>IF($B11="","",VLOOKUP($B11,'6-2_算定表①(旧々・旧制度)'!$B$8:$R$65536,14,FALSE))</f>
      </c>
      <c r="U11" s="101">
        <f>IF($B11="","",VLOOKUP($B11,'6-2_算定表①(旧々・旧制度)'!$B$8:$R$65536,14,FALSE))</f>
      </c>
      <c r="V11" s="102">
        <f>IF($B11="","",VLOOKUP($B11,'6-2_算定表①(旧々・旧制度)'!$B$8:$R$65536,14,FALSE))</f>
      </c>
      <c r="W11" s="95">
        <f t="shared" si="0"/>
      </c>
      <c r="X11" s="106">
        <f t="shared" si="1"/>
      </c>
      <c r="Y11" s="95">
        <f t="shared" si="2"/>
      </c>
      <c r="Z11" s="115">
        <f t="shared" si="3"/>
      </c>
      <c r="AA11" s="112">
        <f t="shared" si="4"/>
      </c>
      <c r="AB11" s="109">
        <f t="shared" si="5"/>
      </c>
      <c r="AC11" s="61">
        <f t="shared" si="9"/>
      </c>
      <c r="AD11" s="62">
        <f t="shared" si="6"/>
      </c>
      <c r="AE11" s="847">
        <f>IF(B11="","",VLOOKUP($B11,'6-2_算定表①(旧々・旧制度)'!$B$8:$AB$65536,27,FALSE))</f>
      </c>
      <c r="AF11" s="848">
        <f>IF(AD11="","",VLOOKUP($B11,'6-2_算定表③(旧・旧制度)'!$B$8:$R$65536,3,FALSE))</f>
      </c>
      <c r="AG11" s="849">
        <f>IF(AE11="","",VLOOKUP($B11,'6-2_算定表③(旧・旧制度)'!$B$8:$R$65536,3,FALSE))</f>
      </c>
      <c r="AI11" s="63">
        <f aca="true" t="shared" si="10" ref="AI11:AI38">IF(A11&gt;0,ASC(C11&amp;H11),"")</f>
      </c>
      <c r="AJ11" s="63">
        <f t="shared" si="7"/>
      </c>
    </row>
    <row r="12" spans="1:36" s="54" customFormat="1" ht="18.75" customHeight="1">
      <c r="A12" s="27">
        <f t="shared" si="8"/>
      </c>
      <c r="B12" s="277"/>
      <c r="C12" s="97">
        <f>IF($B12="","",VLOOKUP($B12,'6-2_算定表①(旧々・旧制度)'!$B$8:$R$65536,2,FALSE))</f>
      </c>
      <c r="D12" s="98">
        <f>IF($B12="","",VLOOKUP($B12,'6-2_算定表①(旧々・旧制度)'!$B$8:$R$65536,3,FALSE))</f>
      </c>
      <c r="E12" s="98">
        <f>IF($B12="","",VLOOKUP($B12,'6-2_算定表①(旧々・旧制度)'!$B$8:$R$65536,4,FALSE))</f>
      </c>
      <c r="F12" s="99">
        <f>IF(B12="","",VLOOKUP($B12,'6-2_算定表①(旧々・旧制度)'!$B$8:$R$65536,11,FALSE))</f>
      </c>
      <c r="G12" s="60">
        <f>IF(B12="","",VLOOKUP($B12,'6-2_算定表①(旧々・旧制度)'!$B$8:$R$65536,13,FALSE))</f>
      </c>
      <c r="H12" s="99">
        <f>IF(B12="","",VLOOKUP($B12,'6-2_算定表①(旧々・旧制度)'!$B$8:$R$65536,14,FALSE))</f>
      </c>
      <c r="I12" s="60">
        <f>IF(B12="","",VLOOKUP($B12,'6-2_算定表①(旧々・旧制度)'!$B$8:$R$65536,16,FALSE))</f>
      </c>
      <c r="J12" s="61">
        <f>IF(B12="","",VLOOKUP($B12,'6-2_算定表①(旧々・旧制度)'!$B$8:$R$65536,17,FALSE))</f>
      </c>
      <c r="K12" s="100">
        <f>IF($B12="","",VLOOKUP($B12,'6-2_算定表①(旧々・旧制度)'!$B$8:$R$65536,11,FALSE))</f>
      </c>
      <c r="L12" s="101">
        <f>IF($B12="","",VLOOKUP($B12,'6-2_算定表①(旧々・旧制度)'!$B$8:$R$65536,11,FALSE))</f>
      </c>
      <c r="M12" s="102">
        <f>IF($B12="","",VLOOKUP($B12,'6-2_算定表①(旧々・旧制度)'!$B$8:$R$65536,11,FALSE))</f>
      </c>
      <c r="N12" s="100">
        <f>IF($B12="","",VLOOKUP($B12,'6-2_算定表①(旧々・旧制度)'!$B$8:$R$65536,14,FALSE))</f>
      </c>
      <c r="O12" s="101">
        <f>IF($B12="","",VLOOKUP($B12,'6-2_算定表①(旧々・旧制度)'!$B$8:$R$65536,14,FALSE))</f>
      </c>
      <c r="P12" s="101">
        <f>IF($B12="","",VLOOKUP($B12,'6-2_算定表①(旧々・旧制度)'!$B$8:$R$65536,14,FALSE))</f>
      </c>
      <c r="Q12" s="101">
        <f>IF($B12="","",VLOOKUP($B12,'6-2_算定表①(旧々・旧制度)'!$B$8:$R$65536,14,FALSE))</f>
      </c>
      <c r="R12" s="101">
        <f>IF($B12="","",VLOOKUP($B12,'6-2_算定表①(旧々・旧制度)'!$B$8:$R$65536,14,FALSE))</f>
      </c>
      <c r="S12" s="101">
        <f>IF($B12="","",VLOOKUP($B12,'6-2_算定表①(旧々・旧制度)'!$B$8:$R$65536,14,FALSE))</f>
      </c>
      <c r="T12" s="101">
        <f>IF($B12="","",VLOOKUP($B12,'6-2_算定表①(旧々・旧制度)'!$B$8:$R$65536,14,FALSE))</f>
      </c>
      <c r="U12" s="101">
        <f>IF($B12="","",VLOOKUP($B12,'6-2_算定表①(旧々・旧制度)'!$B$8:$R$65536,14,FALSE))</f>
      </c>
      <c r="V12" s="102">
        <f>IF($B12="","",VLOOKUP($B12,'6-2_算定表①(旧々・旧制度)'!$B$8:$R$65536,14,FALSE))</f>
      </c>
      <c r="W12" s="103">
        <f t="shared" si="0"/>
      </c>
      <c r="X12" s="107">
        <f t="shared" si="1"/>
      </c>
      <c r="Y12" s="103">
        <f t="shared" si="2"/>
      </c>
      <c r="Z12" s="116">
        <f t="shared" si="3"/>
      </c>
      <c r="AA12" s="113">
        <f t="shared" si="4"/>
      </c>
      <c r="AB12" s="110">
        <f t="shared" si="5"/>
      </c>
      <c r="AC12" s="61">
        <f t="shared" si="9"/>
      </c>
      <c r="AD12" s="62">
        <f t="shared" si="6"/>
      </c>
      <c r="AE12" s="847">
        <f>IF(B12="","",VLOOKUP($B12,'6-2_算定表①(旧々・旧制度)'!$B$8:$AB$65536,27,FALSE))</f>
      </c>
      <c r="AF12" s="848">
        <f>IF(AD12="","",VLOOKUP($B12,'6-2_算定表③(旧・旧制度)'!$B$8:$R$65536,3,FALSE))</f>
      </c>
      <c r="AG12" s="849">
        <f>IF(AE12="","",VLOOKUP($B12,'6-2_算定表③(旧・旧制度)'!$B$8:$R$65536,3,FALSE))</f>
      </c>
      <c r="AI12" s="63">
        <f t="shared" si="10"/>
      </c>
      <c r="AJ12" s="63">
        <f t="shared" si="7"/>
      </c>
    </row>
    <row r="13" spans="1:36" s="54" customFormat="1" ht="18.75" customHeight="1">
      <c r="A13" s="27">
        <f t="shared" si="8"/>
      </c>
      <c r="B13" s="277"/>
      <c r="C13" s="97">
        <f>IF($B13="","",VLOOKUP($B13,'6-2_算定表①(旧々・旧制度)'!$B$8:$R$65536,2,FALSE))</f>
      </c>
      <c r="D13" s="98">
        <f>IF($B13="","",VLOOKUP($B13,'6-2_算定表①(旧々・旧制度)'!$B$8:$R$65536,3,FALSE))</f>
      </c>
      <c r="E13" s="98">
        <f>IF($B13="","",VLOOKUP($B13,'6-2_算定表①(旧々・旧制度)'!$B$8:$R$65536,4,FALSE))</f>
      </c>
      <c r="F13" s="99">
        <f>IF(B13="","",VLOOKUP($B13,'6-2_算定表①(旧々・旧制度)'!$B$8:$R$65536,11,FALSE))</f>
      </c>
      <c r="G13" s="60">
        <f>IF(B13="","",VLOOKUP($B13,'6-2_算定表①(旧々・旧制度)'!$B$8:$R$65536,13,FALSE))</f>
      </c>
      <c r="H13" s="99">
        <f>IF(B13="","",VLOOKUP($B13,'6-2_算定表①(旧々・旧制度)'!$B$8:$R$65536,14,FALSE))</f>
      </c>
      <c r="I13" s="60">
        <f>IF(B13="","",VLOOKUP($B13,'6-2_算定表①(旧々・旧制度)'!$B$8:$R$65536,16,FALSE))</f>
      </c>
      <c r="J13" s="61">
        <f>IF(B13="","",VLOOKUP($B13,'6-2_算定表①(旧々・旧制度)'!$B$8:$R$65536,17,FALSE))</f>
      </c>
      <c r="K13" s="100">
        <f>IF($B13="","",VLOOKUP($B13,'6-2_算定表①(旧々・旧制度)'!$B$8:$R$65536,11,FALSE))</f>
      </c>
      <c r="L13" s="101">
        <f>IF($B13="","",VLOOKUP($B13,'6-2_算定表①(旧々・旧制度)'!$B$8:$R$65536,11,FALSE))</f>
      </c>
      <c r="M13" s="102">
        <f>IF($B13="","",VLOOKUP($B13,'6-2_算定表①(旧々・旧制度)'!$B$8:$R$65536,11,FALSE))</f>
      </c>
      <c r="N13" s="100">
        <f>IF($B13="","",VLOOKUP($B13,'6-2_算定表①(旧々・旧制度)'!$B$8:$R$65536,14,FALSE))</f>
      </c>
      <c r="O13" s="101">
        <f>IF($B13="","",VLOOKUP($B13,'6-2_算定表①(旧々・旧制度)'!$B$8:$R$65536,14,FALSE))</f>
      </c>
      <c r="P13" s="101">
        <f>IF($B13="","",VLOOKUP($B13,'6-2_算定表①(旧々・旧制度)'!$B$8:$R$65536,14,FALSE))</f>
      </c>
      <c r="Q13" s="101">
        <f>IF($B13="","",VLOOKUP($B13,'6-2_算定表①(旧々・旧制度)'!$B$8:$R$65536,14,FALSE))</f>
      </c>
      <c r="R13" s="101">
        <f>IF($B13="","",VLOOKUP($B13,'6-2_算定表①(旧々・旧制度)'!$B$8:$R$65536,14,FALSE))</f>
      </c>
      <c r="S13" s="101">
        <f>IF($B13="","",VLOOKUP($B13,'6-2_算定表①(旧々・旧制度)'!$B$8:$R$65536,14,FALSE))</f>
      </c>
      <c r="T13" s="101">
        <f>IF($B13="","",VLOOKUP($B13,'6-2_算定表①(旧々・旧制度)'!$B$8:$R$65536,14,FALSE))</f>
      </c>
      <c r="U13" s="101">
        <f>IF($B13="","",VLOOKUP($B13,'6-2_算定表①(旧々・旧制度)'!$B$8:$R$65536,14,FALSE))</f>
      </c>
      <c r="V13" s="102">
        <f>IF($B13="","",VLOOKUP($B13,'6-2_算定表①(旧々・旧制度)'!$B$8:$R$65536,14,FALSE))</f>
      </c>
      <c r="W13" s="103">
        <f t="shared" si="0"/>
      </c>
      <c r="X13" s="107">
        <f t="shared" si="1"/>
      </c>
      <c r="Y13" s="103">
        <f t="shared" si="2"/>
      </c>
      <c r="Z13" s="116">
        <f t="shared" si="3"/>
      </c>
      <c r="AA13" s="113">
        <f t="shared" si="4"/>
      </c>
      <c r="AB13" s="110">
        <f t="shared" si="5"/>
      </c>
      <c r="AC13" s="61">
        <f t="shared" si="9"/>
      </c>
      <c r="AD13" s="62">
        <f t="shared" si="6"/>
      </c>
      <c r="AE13" s="847">
        <f>IF(B13="","",VLOOKUP($B13,'6-2_算定表①(旧々・旧制度)'!$B$8:$AB$65536,27,FALSE))</f>
      </c>
      <c r="AF13" s="848">
        <f>IF(AD13="","",VLOOKUP($B13,'6-2_算定表③(旧・旧制度)'!$B$8:$R$65536,3,FALSE))</f>
      </c>
      <c r="AG13" s="849">
        <f>IF(AE13="","",VLOOKUP($B13,'6-2_算定表③(旧・旧制度)'!$B$8:$R$65536,3,FALSE))</f>
      </c>
      <c r="AI13" s="63">
        <f t="shared" si="10"/>
      </c>
      <c r="AJ13" s="63">
        <f t="shared" si="7"/>
      </c>
    </row>
    <row r="14" spans="1:36" s="54" customFormat="1" ht="18.75" customHeight="1">
      <c r="A14" s="27">
        <f t="shared" si="8"/>
      </c>
      <c r="B14" s="280"/>
      <c r="C14" s="97">
        <f>IF($B14="","",VLOOKUP($B14,'6-2_算定表①(旧々・旧制度)'!$B$8:$R$65536,2,FALSE))</f>
      </c>
      <c r="D14" s="98">
        <f>IF($B14="","",VLOOKUP($B14,'6-2_算定表①(旧々・旧制度)'!$B$8:$R$65536,3,FALSE))</f>
      </c>
      <c r="E14" s="98">
        <f>IF($B14="","",VLOOKUP($B14,'6-2_算定表①(旧々・旧制度)'!$B$8:$R$65536,4,FALSE))</f>
      </c>
      <c r="F14" s="99">
        <f>IF(B14="","",VLOOKUP($B14,'6-2_算定表①(旧々・旧制度)'!$B$8:$R$65536,11,FALSE))</f>
      </c>
      <c r="G14" s="60">
        <f>IF(B14="","",VLOOKUP($B14,'6-2_算定表①(旧々・旧制度)'!$B$8:$R$65536,13,FALSE))</f>
      </c>
      <c r="H14" s="99">
        <f>IF(B14="","",VLOOKUP($B14,'6-2_算定表①(旧々・旧制度)'!$B$8:$R$65536,14,FALSE))</f>
      </c>
      <c r="I14" s="60">
        <f>IF(B14="","",VLOOKUP($B14,'6-2_算定表①(旧々・旧制度)'!$B$8:$R$65536,16,FALSE))</f>
      </c>
      <c r="J14" s="61">
        <f>IF(B14="","",VLOOKUP($B14,'6-2_算定表①(旧々・旧制度)'!$B$8:$R$65536,17,FALSE))</f>
      </c>
      <c r="K14" s="100">
        <f>IF($B14="","",VLOOKUP($B14,'6-2_算定表①(旧々・旧制度)'!$B$8:$R$65536,11,FALSE))</f>
      </c>
      <c r="L14" s="101">
        <f>IF($B14="","",VLOOKUP($B14,'6-2_算定表①(旧々・旧制度)'!$B$8:$R$65536,11,FALSE))</f>
      </c>
      <c r="M14" s="102">
        <f>IF($B14="","",VLOOKUP($B14,'6-2_算定表①(旧々・旧制度)'!$B$8:$R$65536,11,FALSE))</f>
      </c>
      <c r="N14" s="100">
        <f>IF($B14="","",VLOOKUP($B14,'6-2_算定表①(旧々・旧制度)'!$B$8:$R$65536,14,FALSE))</f>
      </c>
      <c r="O14" s="101">
        <f>IF($B14="","",VLOOKUP($B14,'6-2_算定表①(旧々・旧制度)'!$B$8:$R$65536,14,FALSE))</f>
      </c>
      <c r="P14" s="101">
        <f>IF($B14="","",VLOOKUP($B14,'6-2_算定表①(旧々・旧制度)'!$B$8:$R$65536,14,FALSE))</f>
      </c>
      <c r="Q14" s="101">
        <f>IF($B14="","",VLOOKUP($B14,'6-2_算定表①(旧々・旧制度)'!$B$8:$R$65536,14,FALSE))</f>
      </c>
      <c r="R14" s="101">
        <f>IF($B14="","",VLOOKUP($B14,'6-2_算定表①(旧々・旧制度)'!$B$8:$R$65536,14,FALSE))</f>
      </c>
      <c r="S14" s="101">
        <f>IF($B14="","",VLOOKUP($B14,'6-2_算定表①(旧々・旧制度)'!$B$8:$R$65536,14,FALSE))</f>
      </c>
      <c r="T14" s="101">
        <f>IF($B14="","",VLOOKUP($B14,'6-2_算定表①(旧々・旧制度)'!$B$8:$R$65536,14,FALSE))</f>
      </c>
      <c r="U14" s="101">
        <f>IF($B14="","",VLOOKUP($B14,'6-2_算定表①(旧々・旧制度)'!$B$8:$R$65536,14,FALSE))</f>
      </c>
      <c r="V14" s="102">
        <f>IF($B14="","",VLOOKUP($B14,'6-2_算定表①(旧々・旧制度)'!$B$8:$R$65536,14,FALSE))</f>
      </c>
      <c r="W14" s="103">
        <f t="shared" si="0"/>
      </c>
      <c r="X14" s="107">
        <f t="shared" si="1"/>
      </c>
      <c r="Y14" s="103">
        <f t="shared" si="2"/>
      </c>
      <c r="Z14" s="116">
        <f t="shared" si="3"/>
      </c>
      <c r="AA14" s="113">
        <f t="shared" si="4"/>
      </c>
      <c r="AB14" s="110">
        <f t="shared" si="5"/>
      </c>
      <c r="AC14" s="61">
        <f t="shared" si="9"/>
      </c>
      <c r="AD14" s="62">
        <f t="shared" si="6"/>
      </c>
      <c r="AE14" s="847">
        <f>IF(B14="","",VLOOKUP($B14,'6-2_算定表①(旧々・旧制度)'!$B$8:$AB$65536,27,FALSE))</f>
      </c>
      <c r="AF14" s="848">
        <f>IF(AD14="","",VLOOKUP($B14,'6-2_算定表③(旧・旧制度)'!$B$8:$R$65536,3,FALSE))</f>
      </c>
      <c r="AG14" s="849">
        <f>IF(AE14="","",VLOOKUP($B14,'6-2_算定表③(旧・旧制度)'!$B$8:$R$65536,3,FALSE))</f>
      </c>
      <c r="AI14" s="63">
        <f t="shared" si="10"/>
      </c>
      <c r="AJ14" s="63">
        <f t="shared" si="7"/>
      </c>
    </row>
    <row r="15" spans="1:36" s="54" customFormat="1" ht="18.75" customHeight="1">
      <c r="A15" s="27">
        <f t="shared" si="8"/>
      </c>
      <c r="B15" s="280"/>
      <c r="C15" s="97">
        <f>IF($B15="","",VLOOKUP($B15,'6-2_算定表①(旧々・旧制度)'!$B$8:$R$65536,2,FALSE))</f>
      </c>
      <c r="D15" s="98">
        <f>IF($B15="","",VLOOKUP($B15,'6-2_算定表①(旧々・旧制度)'!$B$8:$R$65536,3,FALSE))</f>
      </c>
      <c r="E15" s="98">
        <f>IF($B15="","",VLOOKUP($B15,'6-2_算定表①(旧々・旧制度)'!$B$8:$R$65536,4,FALSE))</f>
      </c>
      <c r="F15" s="99">
        <f>IF(B15="","",VLOOKUP($B15,'6-2_算定表①(旧々・旧制度)'!$B$8:$R$65536,11,FALSE))</f>
      </c>
      <c r="G15" s="60">
        <f>IF(B15="","",VLOOKUP($B15,'6-2_算定表①(旧々・旧制度)'!$B$8:$R$65536,13,FALSE))</f>
      </c>
      <c r="H15" s="99">
        <f>IF(B15="","",VLOOKUP($B15,'6-2_算定表①(旧々・旧制度)'!$B$8:$R$65536,14,FALSE))</f>
      </c>
      <c r="I15" s="60">
        <f>IF(B15="","",VLOOKUP($B15,'6-2_算定表①(旧々・旧制度)'!$B$8:$R$65536,16,FALSE))</f>
      </c>
      <c r="J15" s="61">
        <f>IF(B15="","",VLOOKUP($B15,'6-2_算定表①(旧々・旧制度)'!$B$8:$R$65536,17,FALSE))</f>
      </c>
      <c r="K15" s="100">
        <f>IF($B15="","",VLOOKUP($B15,'6-2_算定表①(旧々・旧制度)'!$B$8:$R$65536,11,FALSE))</f>
      </c>
      <c r="L15" s="101">
        <f>IF($B15="","",VLOOKUP($B15,'6-2_算定表①(旧々・旧制度)'!$B$8:$R$65536,11,FALSE))</f>
      </c>
      <c r="M15" s="102">
        <f>IF($B15="","",VLOOKUP($B15,'6-2_算定表①(旧々・旧制度)'!$B$8:$R$65536,11,FALSE))</f>
      </c>
      <c r="N15" s="100">
        <f>IF($B15="","",VLOOKUP($B15,'6-2_算定表①(旧々・旧制度)'!$B$8:$R$65536,14,FALSE))</f>
      </c>
      <c r="O15" s="101">
        <f>IF($B15="","",VLOOKUP($B15,'6-2_算定表①(旧々・旧制度)'!$B$8:$R$65536,14,FALSE))</f>
      </c>
      <c r="P15" s="101">
        <f>IF($B15="","",VLOOKUP($B15,'6-2_算定表①(旧々・旧制度)'!$B$8:$R$65536,14,FALSE))</f>
      </c>
      <c r="Q15" s="101">
        <f>IF($B15="","",VLOOKUP($B15,'6-2_算定表①(旧々・旧制度)'!$B$8:$R$65536,14,FALSE))</f>
      </c>
      <c r="R15" s="101">
        <f>IF($B15="","",VLOOKUP($B15,'6-2_算定表①(旧々・旧制度)'!$B$8:$R$65536,14,FALSE))</f>
      </c>
      <c r="S15" s="101">
        <f>IF($B15="","",VLOOKUP($B15,'6-2_算定表①(旧々・旧制度)'!$B$8:$R$65536,14,FALSE))</f>
      </c>
      <c r="T15" s="101">
        <f>IF($B15="","",VLOOKUP($B15,'6-2_算定表①(旧々・旧制度)'!$B$8:$R$65536,14,FALSE))</f>
      </c>
      <c r="U15" s="101">
        <f>IF($B15="","",VLOOKUP($B15,'6-2_算定表①(旧々・旧制度)'!$B$8:$R$65536,14,FALSE))</f>
      </c>
      <c r="V15" s="102">
        <f>IF($B15="","",VLOOKUP($B15,'6-2_算定表①(旧々・旧制度)'!$B$8:$R$65536,14,FALSE))</f>
      </c>
      <c r="W15" s="103">
        <f t="shared" si="0"/>
      </c>
      <c r="X15" s="107">
        <f t="shared" si="1"/>
      </c>
      <c r="Y15" s="103">
        <f t="shared" si="2"/>
      </c>
      <c r="Z15" s="116">
        <f t="shared" si="3"/>
      </c>
      <c r="AA15" s="113">
        <f t="shared" si="4"/>
      </c>
      <c r="AB15" s="110">
        <f t="shared" si="5"/>
      </c>
      <c r="AC15" s="61">
        <f t="shared" si="9"/>
      </c>
      <c r="AD15" s="62">
        <f t="shared" si="6"/>
      </c>
      <c r="AE15" s="847">
        <f>IF(B15="","",VLOOKUP($B15,'6-2_算定表①(旧々・旧制度)'!$B$8:$AB$65536,27,FALSE))</f>
      </c>
      <c r="AF15" s="848">
        <f>IF(AD15="","",VLOOKUP($B15,'6-2_算定表③(旧・旧制度)'!$B$8:$R$65536,3,FALSE))</f>
      </c>
      <c r="AG15" s="849">
        <f>IF(AE15="","",VLOOKUP($B15,'6-2_算定表③(旧・旧制度)'!$B$8:$R$65536,3,FALSE))</f>
      </c>
      <c r="AI15" s="63">
        <f t="shared" si="10"/>
      </c>
      <c r="AJ15" s="63">
        <f t="shared" si="7"/>
      </c>
    </row>
    <row r="16" spans="1:36" s="54" customFormat="1" ht="18.75" customHeight="1">
      <c r="A16" s="27">
        <f t="shared" si="8"/>
      </c>
      <c r="B16" s="280"/>
      <c r="C16" s="97">
        <f>IF($B16="","",VLOOKUP($B16,'6-2_算定表①(旧々・旧制度)'!$B$8:$R$65536,2,FALSE))</f>
      </c>
      <c r="D16" s="98">
        <f>IF($B16="","",VLOOKUP($B16,'6-2_算定表①(旧々・旧制度)'!$B$8:$R$65536,3,FALSE))</f>
      </c>
      <c r="E16" s="98">
        <f>IF($B16="","",VLOOKUP($B16,'6-2_算定表①(旧々・旧制度)'!$B$8:$R$65536,4,FALSE))</f>
      </c>
      <c r="F16" s="99">
        <f>IF(B16="","",VLOOKUP($B16,'6-2_算定表①(旧々・旧制度)'!$B$8:$R$65536,11,FALSE))</f>
      </c>
      <c r="G16" s="60">
        <f>IF(B16="","",VLOOKUP($B16,'6-2_算定表①(旧々・旧制度)'!$B$8:$R$65536,13,FALSE))</f>
      </c>
      <c r="H16" s="99">
        <f>IF(B16="","",VLOOKUP($B16,'6-2_算定表①(旧々・旧制度)'!$B$8:$R$65536,14,FALSE))</f>
      </c>
      <c r="I16" s="60">
        <f>IF(B16="","",VLOOKUP($B16,'6-2_算定表①(旧々・旧制度)'!$B$8:$R$65536,16,FALSE))</f>
      </c>
      <c r="J16" s="61">
        <f>IF(B16="","",VLOOKUP($B16,'6-2_算定表①(旧々・旧制度)'!$B$8:$R$65536,17,FALSE))</f>
      </c>
      <c r="K16" s="100">
        <f>IF($B16="","",VLOOKUP($B16,'6-2_算定表①(旧々・旧制度)'!$B$8:$R$65536,11,FALSE))</f>
      </c>
      <c r="L16" s="101">
        <f>IF($B16="","",VLOOKUP($B16,'6-2_算定表①(旧々・旧制度)'!$B$8:$R$65536,11,FALSE))</f>
      </c>
      <c r="M16" s="102">
        <f>IF($B16="","",VLOOKUP($B16,'6-2_算定表①(旧々・旧制度)'!$B$8:$R$65536,11,FALSE))</f>
      </c>
      <c r="N16" s="100">
        <f>IF($B16="","",VLOOKUP($B16,'6-2_算定表①(旧々・旧制度)'!$B$8:$R$65536,14,FALSE))</f>
      </c>
      <c r="O16" s="101">
        <f>IF($B16="","",VLOOKUP($B16,'6-2_算定表①(旧々・旧制度)'!$B$8:$R$65536,14,FALSE))</f>
      </c>
      <c r="P16" s="101">
        <f>IF($B16="","",VLOOKUP($B16,'6-2_算定表①(旧々・旧制度)'!$B$8:$R$65536,14,FALSE))</f>
      </c>
      <c r="Q16" s="101">
        <f>IF($B16="","",VLOOKUP($B16,'6-2_算定表①(旧々・旧制度)'!$B$8:$R$65536,14,FALSE))</f>
      </c>
      <c r="R16" s="101">
        <f>IF($B16="","",VLOOKUP($B16,'6-2_算定表①(旧々・旧制度)'!$B$8:$R$65536,14,FALSE))</f>
      </c>
      <c r="S16" s="101">
        <f>IF($B16="","",VLOOKUP($B16,'6-2_算定表①(旧々・旧制度)'!$B$8:$R$65536,14,FALSE))</f>
      </c>
      <c r="T16" s="101">
        <f>IF($B16="","",VLOOKUP($B16,'6-2_算定表①(旧々・旧制度)'!$B$8:$R$65536,14,FALSE))</f>
      </c>
      <c r="U16" s="101">
        <f>IF($B16="","",VLOOKUP($B16,'6-2_算定表①(旧々・旧制度)'!$B$8:$R$65536,14,FALSE))</f>
      </c>
      <c r="V16" s="102">
        <f>IF($B16="","",VLOOKUP($B16,'6-2_算定表①(旧々・旧制度)'!$B$8:$R$65536,14,FALSE))</f>
      </c>
      <c r="W16" s="103">
        <f t="shared" si="0"/>
      </c>
      <c r="X16" s="107">
        <f t="shared" si="1"/>
      </c>
      <c r="Y16" s="103">
        <f t="shared" si="2"/>
      </c>
      <c r="Z16" s="116">
        <f t="shared" si="3"/>
      </c>
      <c r="AA16" s="113">
        <f t="shared" si="4"/>
      </c>
      <c r="AB16" s="110">
        <f t="shared" si="5"/>
      </c>
      <c r="AC16" s="61">
        <f t="shared" si="9"/>
      </c>
      <c r="AD16" s="62">
        <f t="shared" si="6"/>
      </c>
      <c r="AE16" s="847">
        <f>IF(B16="","",VLOOKUP($B16,'6-2_算定表①(旧々・旧制度)'!$B$8:$AB$65536,27,FALSE))</f>
      </c>
      <c r="AF16" s="848">
        <f>IF(AD16="","",VLOOKUP($B16,'6-2_算定表③(旧・旧制度)'!$B$8:$R$65536,3,FALSE))</f>
      </c>
      <c r="AG16" s="849">
        <f>IF(AE16="","",VLOOKUP($B16,'6-2_算定表③(旧・旧制度)'!$B$8:$R$65536,3,FALSE))</f>
      </c>
      <c r="AI16" s="63">
        <f t="shared" si="10"/>
      </c>
      <c r="AJ16" s="63">
        <f t="shared" si="7"/>
      </c>
    </row>
    <row r="17" spans="1:36" s="54" customFormat="1" ht="18.75" customHeight="1">
      <c r="A17" s="27">
        <f t="shared" si="8"/>
      </c>
      <c r="B17" s="280"/>
      <c r="C17" s="97">
        <f>IF($B17="","",VLOOKUP($B17,'6-2_算定表①(旧々・旧制度)'!$B$8:$R$65536,2,FALSE))</f>
      </c>
      <c r="D17" s="98">
        <f>IF($B17="","",VLOOKUP($B17,'6-2_算定表①(旧々・旧制度)'!$B$8:$R$65536,3,FALSE))</f>
      </c>
      <c r="E17" s="98">
        <f>IF($B17="","",VLOOKUP($B17,'6-2_算定表①(旧々・旧制度)'!$B$8:$R$65536,4,FALSE))</f>
      </c>
      <c r="F17" s="99">
        <f>IF(B17="","",VLOOKUP($B17,'6-2_算定表①(旧々・旧制度)'!$B$8:$R$65536,11,FALSE))</f>
      </c>
      <c r="G17" s="60">
        <f>IF(B17="","",VLOOKUP($B17,'6-2_算定表①(旧々・旧制度)'!$B$8:$R$65536,13,FALSE))</f>
      </c>
      <c r="H17" s="99">
        <f>IF(B17="","",VLOOKUP($B17,'6-2_算定表①(旧々・旧制度)'!$B$8:$R$65536,14,FALSE))</f>
      </c>
      <c r="I17" s="60">
        <f>IF(B17="","",VLOOKUP($B17,'6-2_算定表①(旧々・旧制度)'!$B$8:$R$65536,16,FALSE))</f>
      </c>
      <c r="J17" s="61">
        <f>IF(B17="","",VLOOKUP($B17,'6-2_算定表①(旧々・旧制度)'!$B$8:$R$65536,17,FALSE))</f>
      </c>
      <c r="K17" s="100">
        <f>IF($B17="","",VLOOKUP($B17,'6-2_算定表①(旧々・旧制度)'!$B$8:$R$65536,11,FALSE))</f>
      </c>
      <c r="L17" s="101">
        <f>IF($B17="","",VLOOKUP($B17,'6-2_算定表①(旧々・旧制度)'!$B$8:$R$65536,11,FALSE))</f>
      </c>
      <c r="M17" s="102">
        <f>IF($B17="","",VLOOKUP($B17,'6-2_算定表①(旧々・旧制度)'!$B$8:$R$65536,11,FALSE))</f>
      </c>
      <c r="N17" s="100">
        <f>IF($B17="","",VLOOKUP($B17,'6-2_算定表①(旧々・旧制度)'!$B$8:$R$65536,14,FALSE))</f>
      </c>
      <c r="O17" s="101">
        <f>IF($B17="","",VLOOKUP($B17,'6-2_算定表①(旧々・旧制度)'!$B$8:$R$65536,14,FALSE))</f>
      </c>
      <c r="P17" s="101">
        <f>IF($B17="","",VLOOKUP($B17,'6-2_算定表①(旧々・旧制度)'!$B$8:$R$65536,14,FALSE))</f>
      </c>
      <c r="Q17" s="101">
        <f>IF($B17="","",VLOOKUP($B17,'6-2_算定表①(旧々・旧制度)'!$B$8:$R$65536,14,FALSE))</f>
      </c>
      <c r="R17" s="101">
        <f>IF($B17="","",VLOOKUP($B17,'6-2_算定表①(旧々・旧制度)'!$B$8:$R$65536,14,FALSE))</f>
      </c>
      <c r="S17" s="101">
        <f>IF($B17="","",VLOOKUP($B17,'6-2_算定表①(旧々・旧制度)'!$B$8:$R$65536,14,FALSE))</f>
      </c>
      <c r="T17" s="101">
        <f>IF($B17="","",VLOOKUP($B17,'6-2_算定表①(旧々・旧制度)'!$B$8:$R$65536,14,FALSE))</f>
      </c>
      <c r="U17" s="101">
        <f>IF($B17="","",VLOOKUP($B17,'6-2_算定表①(旧々・旧制度)'!$B$8:$R$65536,14,FALSE))</f>
      </c>
      <c r="V17" s="102">
        <f>IF($B17="","",VLOOKUP($B17,'6-2_算定表①(旧々・旧制度)'!$B$8:$R$65536,14,FALSE))</f>
      </c>
      <c r="W17" s="103">
        <f t="shared" si="0"/>
      </c>
      <c r="X17" s="107">
        <f t="shared" si="1"/>
      </c>
      <c r="Y17" s="103">
        <f t="shared" si="2"/>
      </c>
      <c r="Z17" s="116">
        <f t="shared" si="3"/>
      </c>
      <c r="AA17" s="113">
        <f t="shared" si="4"/>
      </c>
      <c r="AB17" s="110">
        <f t="shared" si="5"/>
      </c>
      <c r="AC17" s="61">
        <f t="shared" si="9"/>
      </c>
      <c r="AD17" s="62">
        <f t="shared" si="6"/>
      </c>
      <c r="AE17" s="847">
        <f>IF(B17="","",VLOOKUP($B17,'6-2_算定表①(旧々・旧制度)'!$B$8:$AB$65536,27,FALSE))</f>
      </c>
      <c r="AF17" s="848">
        <f>IF(AD17="","",VLOOKUP($B17,'6-2_算定表③(旧・旧制度)'!$B$8:$R$65536,3,FALSE))</f>
      </c>
      <c r="AG17" s="849">
        <f>IF(AE17="","",VLOOKUP($B17,'6-2_算定表③(旧・旧制度)'!$B$8:$R$65536,3,FALSE))</f>
      </c>
      <c r="AI17" s="63">
        <f t="shared" si="10"/>
      </c>
      <c r="AJ17" s="63">
        <f t="shared" si="7"/>
      </c>
    </row>
    <row r="18" spans="1:36" s="54" customFormat="1" ht="18.75" customHeight="1">
      <c r="A18" s="27">
        <f t="shared" si="8"/>
      </c>
      <c r="B18" s="280"/>
      <c r="C18" s="97">
        <f>IF($B18="","",VLOOKUP($B18,'6-2_算定表①(旧々・旧制度)'!$B$8:$R$65536,2,FALSE))</f>
      </c>
      <c r="D18" s="98">
        <f>IF($B18="","",VLOOKUP($B18,'6-2_算定表①(旧々・旧制度)'!$B$8:$R$65536,3,FALSE))</f>
      </c>
      <c r="E18" s="98">
        <f>IF($B18="","",VLOOKUP($B18,'6-2_算定表①(旧々・旧制度)'!$B$8:$R$65536,4,FALSE))</f>
      </c>
      <c r="F18" s="99">
        <f>IF(B18="","",VLOOKUP($B18,'6-2_算定表①(旧々・旧制度)'!$B$8:$R$65536,11,FALSE))</f>
      </c>
      <c r="G18" s="60">
        <f>IF(B18="","",VLOOKUP($B18,'6-2_算定表①(旧々・旧制度)'!$B$8:$R$65536,13,FALSE))</f>
      </c>
      <c r="H18" s="99">
        <f>IF(B18="","",VLOOKUP($B18,'6-2_算定表①(旧々・旧制度)'!$B$8:$R$65536,14,FALSE))</f>
      </c>
      <c r="I18" s="60">
        <f>IF(B18="","",VLOOKUP($B18,'6-2_算定表①(旧々・旧制度)'!$B$8:$R$65536,16,FALSE))</f>
      </c>
      <c r="J18" s="61">
        <f>IF(B18="","",VLOOKUP($B18,'6-2_算定表①(旧々・旧制度)'!$B$8:$R$65536,17,FALSE))</f>
      </c>
      <c r="K18" s="100">
        <f>IF($B18="","",VLOOKUP($B18,'6-2_算定表①(旧々・旧制度)'!$B$8:$R$65536,11,FALSE))</f>
      </c>
      <c r="L18" s="101">
        <f>IF($B18="","",VLOOKUP($B18,'6-2_算定表①(旧々・旧制度)'!$B$8:$R$65536,11,FALSE))</f>
      </c>
      <c r="M18" s="102">
        <f>IF($B18="","",VLOOKUP($B18,'6-2_算定表①(旧々・旧制度)'!$B$8:$R$65536,11,FALSE))</f>
      </c>
      <c r="N18" s="100">
        <f>IF($B18="","",VLOOKUP($B18,'6-2_算定表①(旧々・旧制度)'!$B$8:$R$65536,14,FALSE))</f>
      </c>
      <c r="O18" s="101">
        <f>IF($B18="","",VLOOKUP($B18,'6-2_算定表①(旧々・旧制度)'!$B$8:$R$65536,14,FALSE))</f>
      </c>
      <c r="P18" s="101">
        <f>IF($B18="","",VLOOKUP($B18,'6-2_算定表①(旧々・旧制度)'!$B$8:$R$65536,14,FALSE))</f>
      </c>
      <c r="Q18" s="101">
        <f>IF($B18="","",VLOOKUP($B18,'6-2_算定表①(旧々・旧制度)'!$B$8:$R$65536,14,FALSE))</f>
      </c>
      <c r="R18" s="101">
        <f>IF($B18="","",VLOOKUP($B18,'6-2_算定表①(旧々・旧制度)'!$B$8:$R$65536,14,FALSE))</f>
      </c>
      <c r="S18" s="101">
        <f>IF($B18="","",VLOOKUP($B18,'6-2_算定表①(旧々・旧制度)'!$B$8:$R$65536,14,FALSE))</f>
      </c>
      <c r="T18" s="101">
        <f>IF($B18="","",VLOOKUP($B18,'6-2_算定表①(旧々・旧制度)'!$B$8:$R$65536,14,FALSE))</f>
      </c>
      <c r="U18" s="101">
        <f>IF($B18="","",VLOOKUP($B18,'6-2_算定表①(旧々・旧制度)'!$B$8:$R$65536,14,FALSE))</f>
      </c>
      <c r="V18" s="102">
        <f>IF($B18="","",VLOOKUP($B18,'6-2_算定表①(旧々・旧制度)'!$B$8:$R$65536,14,FALSE))</f>
      </c>
      <c r="W18" s="103">
        <f t="shared" si="0"/>
      </c>
      <c r="X18" s="107">
        <f t="shared" si="1"/>
      </c>
      <c r="Y18" s="103">
        <f t="shared" si="2"/>
      </c>
      <c r="Z18" s="116">
        <f t="shared" si="3"/>
      </c>
      <c r="AA18" s="113">
        <f t="shared" si="4"/>
      </c>
      <c r="AB18" s="110">
        <f t="shared" si="5"/>
      </c>
      <c r="AC18" s="61">
        <f>IF(B18="","",(G18/12*W18)+(I18/12*X18)+(G18/12*Y18)+(I18/12*Z18))</f>
      </c>
      <c r="AD18" s="62">
        <f t="shared" si="6"/>
      </c>
      <c r="AE18" s="847">
        <f>IF(B18="","",VLOOKUP($B18,'6-2_算定表①(旧々・旧制度)'!$B$8:$AB$65536,27,FALSE))</f>
      </c>
      <c r="AF18" s="848">
        <f>IF(AD18="","",VLOOKUP($B18,'6-2_算定表③(旧・旧制度)'!$B$8:$R$65536,3,FALSE))</f>
      </c>
      <c r="AG18" s="849">
        <f>IF(AE18="","",VLOOKUP($B18,'6-2_算定表③(旧・旧制度)'!$B$8:$R$65536,3,FALSE))</f>
      </c>
      <c r="AI18" s="63">
        <f t="shared" si="10"/>
      </c>
      <c r="AJ18" s="63">
        <f t="shared" si="7"/>
      </c>
    </row>
    <row r="19" spans="1:36" s="54" customFormat="1" ht="18.75" customHeight="1">
      <c r="A19" s="27">
        <f t="shared" si="8"/>
      </c>
      <c r="B19" s="280"/>
      <c r="C19" s="97">
        <f>IF($B19="","",VLOOKUP($B19,'6-2_算定表①(旧々・旧制度)'!$B$8:$R$65536,2,FALSE))</f>
      </c>
      <c r="D19" s="98">
        <f>IF($B19="","",VLOOKUP($B19,'6-2_算定表①(旧々・旧制度)'!$B$8:$R$65536,3,FALSE))</f>
      </c>
      <c r="E19" s="98">
        <f>IF($B19="","",VLOOKUP($B19,'6-2_算定表①(旧々・旧制度)'!$B$8:$R$65536,4,FALSE))</f>
      </c>
      <c r="F19" s="99">
        <f>IF(B19="","",VLOOKUP($B19,'6-2_算定表①(旧々・旧制度)'!$B$8:$R$65536,11,FALSE))</f>
      </c>
      <c r="G19" s="60">
        <f>IF(B19="","",VLOOKUP($B19,'6-2_算定表①(旧々・旧制度)'!$B$8:$R$65536,13,FALSE))</f>
      </c>
      <c r="H19" s="99">
        <f>IF(B19="","",VLOOKUP($B19,'6-2_算定表①(旧々・旧制度)'!$B$8:$R$65536,14,FALSE))</f>
      </c>
      <c r="I19" s="60">
        <f>IF(B19="","",VLOOKUP($B19,'6-2_算定表①(旧々・旧制度)'!$B$8:$R$65536,16,FALSE))</f>
      </c>
      <c r="J19" s="61">
        <f>IF(B19="","",VLOOKUP($B19,'6-2_算定表①(旧々・旧制度)'!$B$8:$R$65536,17,FALSE))</f>
      </c>
      <c r="K19" s="100">
        <f>IF($B19="","",VLOOKUP($B19,'6-2_算定表①(旧々・旧制度)'!$B$8:$R$65536,11,FALSE))</f>
      </c>
      <c r="L19" s="101">
        <f>IF($B19="","",VLOOKUP($B19,'6-2_算定表①(旧々・旧制度)'!$B$8:$R$65536,11,FALSE))</f>
      </c>
      <c r="M19" s="102">
        <f>IF($B19="","",VLOOKUP($B19,'6-2_算定表①(旧々・旧制度)'!$B$8:$R$65536,11,FALSE))</f>
      </c>
      <c r="N19" s="100">
        <f>IF($B19="","",VLOOKUP($B19,'6-2_算定表①(旧々・旧制度)'!$B$8:$R$65536,14,FALSE))</f>
      </c>
      <c r="O19" s="101">
        <f>IF($B19="","",VLOOKUP($B19,'6-2_算定表①(旧々・旧制度)'!$B$8:$R$65536,14,FALSE))</f>
      </c>
      <c r="P19" s="101">
        <f>IF($B19="","",VLOOKUP($B19,'6-2_算定表①(旧々・旧制度)'!$B$8:$R$65536,14,FALSE))</f>
      </c>
      <c r="Q19" s="101">
        <f>IF($B19="","",VLOOKUP($B19,'6-2_算定表①(旧々・旧制度)'!$B$8:$R$65536,14,FALSE))</f>
      </c>
      <c r="R19" s="101">
        <f>IF($B19="","",VLOOKUP($B19,'6-2_算定表①(旧々・旧制度)'!$B$8:$R$65536,14,FALSE))</f>
      </c>
      <c r="S19" s="101">
        <f>IF($B19="","",VLOOKUP($B19,'6-2_算定表①(旧々・旧制度)'!$B$8:$R$65536,14,FALSE))</f>
      </c>
      <c r="T19" s="101">
        <f>IF($B19="","",VLOOKUP($B19,'6-2_算定表①(旧々・旧制度)'!$B$8:$R$65536,14,FALSE))</f>
      </c>
      <c r="U19" s="101">
        <f>IF($B19="","",VLOOKUP($B19,'6-2_算定表①(旧々・旧制度)'!$B$8:$R$65536,14,FALSE))</f>
      </c>
      <c r="V19" s="102">
        <f>IF($B19="","",VLOOKUP($B19,'6-2_算定表①(旧々・旧制度)'!$B$8:$R$65536,14,FALSE))</f>
      </c>
      <c r="W19" s="103">
        <f t="shared" si="0"/>
      </c>
      <c r="X19" s="107">
        <f t="shared" si="1"/>
      </c>
      <c r="Y19" s="103">
        <f t="shared" si="2"/>
      </c>
      <c r="Z19" s="116">
        <f t="shared" si="3"/>
      </c>
      <c r="AA19" s="113">
        <f t="shared" si="4"/>
      </c>
      <c r="AB19" s="110">
        <f t="shared" si="5"/>
      </c>
      <c r="AC19" s="61">
        <f t="shared" si="9"/>
      </c>
      <c r="AD19" s="62">
        <f t="shared" si="6"/>
      </c>
      <c r="AE19" s="847">
        <f>IF(B19="","",VLOOKUP($B19,'6-2_算定表①(旧々・旧制度)'!$B$8:$AB$65536,27,FALSE))</f>
      </c>
      <c r="AF19" s="848">
        <f>IF(AD19="","",VLOOKUP($B19,'6-2_算定表③(旧・旧制度)'!$B$8:$R$65536,3,FALSE))</f>
      </c>
      <c r="AG19" s="849">
        <f>IF(AE19="","",VLOOKUP($B19,'6-2_算定表③(旧・旧制度)'!$B$8:$R$65536,3,FALSE))</f>
      </c>
      <c r="AI19" s="63">
        <f t="shared" si="10"/>
      </c>
      <c r="AJ19" s="63">
        <f t="shared" si="7"/>
      </c>
    </row>
    <row r="20" spans="1:36" s="54" customFormat="1" ht="18.75" customHeight="1">
      <c r="A20" s="27">
        <f t="shared" si="8"/>
      </c>
      <c r="B20" s="280"/>
      <c r="C20" s="97">
        <f>IF($B20="","",VLOOKUP($B20,'6-2_算定表①(旧々・旧制度)'!$B$8:$R$65536,2,FALSE))</f>
      </c>
      <c r="D20" s="98">
        <f>IF($B20="","",VLOOKUP($B20,'6-2_算定表①(旧々・旧制度)'!$B$8:$R$65536,3,FALSE))</f>
      </c>
      <c r="E20" s="98">
        <f>IF($B20="","",VLOOKUP($B20,'6-2_算定表①(旧々・旧制度)'!$B$8:$R$65536,4,FALSE))</f>
      </c>
      <c r="F20" s="99">
        <f>IF(B20="","",VLOOKUP($B20,'6-2_算定表①(旧々・旧制度)'!$B$8:$R$65536,11,FALSE))</f>
      </c>
      <c r="G20" s="60">
        <f>IF(B20="","",VLOOKUP($B20,'6-2_算定表①(旧々・旧制度)'!$B$8:$R$65536,13,FALSE))</f>
      </c>
      <c r="H20" s="99">
        <f>IF(B20="","",VLOOKUP($B20,'6-2_算定表①(旧々・旧制度)'!$B$8:$R$65536,14,FALSE))</f>
      </c>
      <c r="I20" s="60">
        <f>IF(B20="","",VLOOKUP($B20,'6-2_算定表①(旧々・旧制度)'!$B$8:$R$65536,16,FALSE))</f>
      </c>
      <c r="J20" s="61">
        <f>IF(B20="","",VLOOKUP($B20,'6-2_算定表①(旧々・旧制度)'!$B$8:$R$65536,17,FALSE))</f>
      </c>
      <c r="K20" s="100">
        <f>IF($B20="","",VLOOKUP($B20,'6-2_算定表①(旧々・旧制度)'!$B$8:$R$65536,11,FALSE))</f>
      </c>
      <c r="L20" s="101">
        <f>IF($B20="","",VLOOKUP($B20,'6-2_算定表①(旧々・旧制度)'!$B$8:$R$65536,11,FALSE))</f>
      </c>
      <c r="M20" s="102">
        <f>IF($B20="","",VLOOKUP($B20,'6-2_算定表①(旧々・旧制度)'!$B$8:$R$65536,11,FALSE))</f>
      </c>
      <c r="N20" s="100">
        <f>IF($B20="","",VLOOKUP($B20,'6-2_算定表①(旧々・旧制度)'!$B$8:$R$65536,14,FALSE))</f>
      </c>
      <c r="O20" s="101">
        <f>IF($B20="","",VLOOKUP($B20,'6-2_算定表①(旧々・旧制度)'!$B$8:$R$65536,14,FALSE))</f>
      </c>
      <c r="P20" s="101">
        <f>IF($B20="","",VLOOKUP($B20,'6-2_算定表①(旧々・旧制度)'!$B$8:$R$65536,14,FALSE))</f>
      </c>
      <c r="Q20" s="101">
        <f>IF($B20="","",VLOOKUP($B20,'6-2_算定表①(旧々・旧制度)'!$B$8:$R$65536,14,FALSE))</f>
      </c>
      <c r="R20" s="101">
        <f>IF($B20="","",VLOOKUP($B20,'6-2_算定表①(旧々・旧制度)'!$B$8:$R$65536,14,FALSE))</f>
      </c>
      <c r="S20" s="101">
        <f>IF($B20="","",VLOOKUP($B20,'6-2_算定表①(旧々・旧制度)'!$B$8:$R$65536,14,FALSE))</f>
      </c>
      <c r="T20" s="101">
        <f>IF($B20="","",VLOOKUP($B20,'6-2_算定表①(旧々・旧制度)'!$B$8:$R$65536,14,FALSE))</f>
      </c>
      <c r="U20" s="101">
        <f>IF($B20="","",VLOOKUP($B20,'6-2_算定表①(旧々・旧制度)'!$B$8:$R$65536,14,FALSE))</f>
      </c>
      <c r="V20" s="102">
        <f>IF($B20="","",VLOOKUP($B20,'6-2_算定表①(旧々・旧制度)'!$B$8:$R$65536,14,FALSE))</f>
      </c>
      <c r="W20" s="103">
        <f t="shared" si="0"/>
      </c>
      <c r="X20" s="107">
        <f t="shared" si="1"/>
      </c>
      <c r="Y20" s="103">
        <f t="shared" si="2"/>
      </c>
      <c r="Z20" s="116">
        <f t="shared" si="3"/>
      </c>
      <c r="AA20" s="113">
        <f t="shared" si="4"/>
      </c>
      <c r="AB20" s="110">
        <f t="shared" si="5"/>
      </c>
      <c r="AC20" s="61">
        <f t="shared" si="9"/>
      </c>
      <c r="AD20" s="62">
        <f t="shared" si="6"/>
      </c>
      <c r="AE20" s="847">
        <f>IF(B20="","",VLOOKUP($B20,'6-2_算定表①(旧々・旧制度)'!$B$8:$AB$65536,27,FALSE))</f>
      </c>
      <c r="AF20" s="848">
        <f>IF(AD20="","",VLOOKUP($B20,'6-2_算定表③(旧・旧制度)'!$B$8:$R$65536,3,FALSE))</f>
      </c>
      <c r="AG20" s="849">
        <f>IF(AE20="","",VLOOKUP($B20,'6-2_算定表③(旧・旧制度)'!$B$8:$R$65536,3,FALSE))</f>
      </c>
      <c r="AI20" s="63">
        <f t="shared" si="10"/>
      </c>
      <c r="AJ20" s="63">
        <f t="shared" si="7"/>
      </c>
    </row>
    <row r="21" spans="1:36" s="54" customFormat="1" ht="18.75" customHeight="1">
      <c r="A21" s="27">
        <f t="shared" si="8"/>
      </c>
      <c r="B21" s="280"/>
      <c r="C21" s="97">
        <f>IF($B21="","",VLOOKUP($B21,'6-2_算定表①(旧々・旧制度)'!$B$8:$R$65536,2,FALSE))</f>
      </c>
      <c r="D21" s="98">
        <f>IF($B21="","",VLOOKUP($B21,'6-2_算定表①(旧々・旧制度)'!$B$8:$R$65536,3,FALSE))</f>
      </c>
      <c r="E21" s="98">
        <f>IF($B21="","",VLOOKUP($B21,'6-2_算定表①(旧々・旧制度)'!$B$8:$R$65536,4,FALSE))</f>
      </c>
      <c r="F21" s="99">
        <f>IF(B21="","",VLOOKUP($B21,'6-2_算定表①(旧々・旧制度)'!$B$8:$R$65536,11,FALSE))</f>
      </c>
      <c r="G21" s="60">
        <f>IF(B21="","",VLOOKUP($B21,'6-2_算定表①(旧々・旧制度)'!$B$8:$R$65536,13,FALSE))</f>
      </c>
      <c r="H21" s="99">
        <f>IF(B21="","",VLOOKUP($B21,'6-2_算定表①(旧々・旧制度)'!$B$8:$R$65536,14,FALSE))</f>
      </c>
      <c r="I21" s="60">
        <f>IF(B21="","",VLOOKUP($B21,'6-2_算定表①(旧々・旧制度)'!$B$8:$R$65536,16,FALSE))</f>
      </c>
      <c r="J21" s="61">
        <f>IF(B21="","",VLOOKUP($B21,'6-2_算定表①(旧々・旧制度)'!$B$8:$R$65536,17,FALSE))</f>
      </c>
      <c r="K21" s="100">
        <f>IF($B21="","",VLOOKUP($B21,'6-2_算定表①(旧々・旧制度)'!$B$8:$R$65536,11,FALSE))</f>
      </c>
      <c r="L21" s="101">
        <f>IF($B21="","",VLOOKUP($B21,'6-2_算定表①(旧々・旧制度)'!$B$8:$R$65536,11,FALSE))</f>
      </c>
      <c r="M21" s="102">
        <f>IF($B21="","",VLOOKUP($B21,'6-2_算定表①(旧々・旧制度)'!$B$8:$R$65536,11,FALSE))</f>
      </c>
      <c r="N21" s="100">
        <f>IF($B21="","",VLOOKUP($B21,'6-2_算定表①(旧々・旧制度)'!$B$8:$R$65536,14,FALSE))</f>
      </c>
      <c r="O21" s="101">
        <f>IF($B21="","",VLOOKUP($B21,'6-2_算定表①(旧々・旧制度)'!$B$8:$R$65536,14,FALSE))</f>
      </c>
      <c r="P21" s="101">
        <f>IF($B21="","",VLOOKUP($B21,'6-2_算定表①(旧々・旧制度)'!$B$8:$R$65536,14,FALSE))</f>
      </c>
      <c r="Q21" s="101">
        <f>IF($B21="","",VLOOKUP($B21,'6-2_算定表①(旧々・旧制度)'!$B$8:$R$65536,14,FALSE))</f>
      </c>
      <c r="R21" s="101">
        <f>IF($B21="","",VLOOKUP($B21,'6-2_算定表①(旧々・旧制度)'!$B$8:$R$65536,14,FALSE))</f>
      </c>
      <c r="S21" s="101">
        <f>IF($B21="","",VLOOKUP($B21,'6-2_算定表①(旧々・旧制度)'!$B$8:$R$65536,14,FALSE))</f>
      </c>
      <c r="T21" s="101">
        <f>IF($B21="","",VLOOKUP($B21,'6-2_算定表①(旧々・旧制度)'!$B$8:$R$65536,14,FALSE))</f>
      </c>
      <c r="U21" s="101">
        <f>IF($B21="","",VLOOKUP($B21,'6-2_算定表①(旧々・旧制度)'!$B$8:$R$65536,14,FALSE))</f>
      </c>
      <c r="V21" s="102">
        <f>IF($B21="","",VLOOKUP($B21,'6-2_算定表①(旧々・旧制度)'!$B$8:$R$65536,14,FALSE))</f>
      </c>
      <c r="W21" s="103">
        <f t="shared" si="0"/>
      </c>
      <c r="X21" s="107">
        <f t="shared" si="1"/>
      </c>
      <c r="Y21" s="103">
        <f t="shared" si="2"/>
      </c>
      <c r="Z21" s="116">
        <f t="shared" si="3"/>
      </c>
      <c r="AA21" s="113">
        <f t="shared" si="4"/>
      </c>
      <c r="AB21" s="110">
        <f t="shared" si="5"/>
      </c>
      <c r="AC21" s="61">
        <f t="shared" si="9"/>
      </c>
      <c r="AD21" s="62">
        <f t="shared" si="6"/>
      </c>
      <c r="AE21" s="847">
        <f>IF(B21="","",VLOOKUP($B21,'6-2_算定表①(旧々・旧制度)'!$B$8:$AB$65536,27,FALSE))</f>
      </c>
      <c r="AF21" s="848">
        <f>IF(AD21="","",VLOOKUP($B21,'6-2_算定表③(旧・旧制度)'!$B$8:$R$65536,3,FALSE))</f>
      </c>
      <c r="AG21" s="849">
        <f>IF(AE21="","",VLOOKUP($B21,'6-2_算定表③(旧・旧制度)'!$B$8:$R$65536,3,FALSE))</f>
      </c>
      <c r="AI21" s="63">
        <f t="shared" si="10"/>
      </c>
      <c r="AJ21" s="63">
        <f t="shared" si="7"/>
      </c>
    </row>
    <row r="22" spans="1:36" s="54" customFormat="1" ht="18.75" customHeight="1">
      <c r="A22" s="27">
        <f t="shared" si="8"/>
      </c>
      <c r="B22" s="280"/>
      <c r="C22" s="97">
        <f>IF($B22="","",VLOOKUP($B22,'6-2_算定表①(旧々・旧制度)'!$B$8:$R$65536,2,FALSE))</f>
      </c>
      <c r="D22" s="98">
        <f>IF($B22="","",VLOOKUP($B22,'6-2_算定表①(旧々・旧制度)'!$B$8:$R$65536,3,FALSE))</f>
      </c>
      <c r="E22" s="98">
        <f>IF($B22="","",VLOOKUP($B22,'6-2_算定表①(旧々・旧制度)'!$B$8:$R$65536,4,FALSE))</f>
      </c>
      <c r="F22" s="99">
        <f>IF(B22="","",VLOOKUP($B22,'6-2_算定表①(旧々・旧制度)'!$B$8:$R$65536,11,FALSE))</f>
      </c>
      <c r="G22" s="60">
        <f>IF(B22="","",VLOOKUP($B22,'6-2_算定表①(旧々・旧制度)'!$B$8:$R$65536,13,FALSE))</f>
      </c>
      <c r="H22" s="99">
        <f>IF(B22="","",VLOOKUP($B22,'6-2_算定表①(旧々・旧制度)'!$B$8:$R$65536,14,FALSE))</f>
      </c>
      <c r="I22" s="60">
        <f>IF(B22="","",VLOOKUP($B22,'6-2_算定表①(旧々・旧制度)'!$B$8:$R$65536,16,FALSE))</f>
      </c>
      <c r="J22" s="61">
        <f>IF(B22="","",VLOOKUP($B22,'6-2_算定表①(旧々・旧制度)'!$B$8:$R$65536,17,FALSE))</f>
      </c>
      <c r="K22" s="100">
        <f>IF($B22="","",VLOOKUP($B22,'6-2_算定表①(旧々・旧制度)'!$B$8:$R$65536,11,FALSE))</f>
      </c>
      <c r="L22" s="101">
        <f>IF($B22="","",VLOOKUP($B22,'6-2_算定表①(旧々・旧制度)'!$B$8:$R$65536,11,FALSE))</f>
      </c>
      <c r="M22" s="102">
        <f>IF($B22="","",VLOOKUP($B22,'6-2_算定表①(旧々・旧制度)'!$B$8:$R$65536,11,FALSE))</f>
      </c>
      <c r="N22" s="100">
        <f>IF($B22="","",VLOOKUP($B22,'6-2_算定表①(旧々・旧制度)'!$B$8:$R$65536,14,FALSE))</f>
      </c>
      <c r="O22" s="101">
        <f>IF($B22="","",VLOOKUP($B22,'6-2_算定表①(旧々・旧制度)'!$B$8:$R$65536,14,FALSE))</f>
      </c>
      <c r="P22" s="101">
        <f>IF($B22="","",VLOOKUP($B22,'6-2_算定表①(旧々・旧制度)'!$B$8:$R$65536,14,FALSE))</f>
      </c>
      <c r="Q22" s="101">
        <f>IF($B22="","",VLOOKUP($B22,'6-2_算定表①(旧々・旧制度)'!$B$8:$R$65536,14,FALSE))</f>
      </c>
      <c r="R22" s="101">
        <f>IF($B22="","",VLOOKUP($B22,'6-2_算定表①(旧々・旧制度)'!$B$8:$R$65536,14,FALSE))</f>
      </c>
      <c r="S22" s="101">
        <f>IF($B22="","",VLOOKUP($B22,'6-2_算定表①(旧々・旧制度)'!$B$8:$R$65536,14,FALSE))</f>
      </c>
      <c r="T22" s="101">
        <f>IF($B22="","",VLOOKUP($B22,'6-2_算定表①(旧々・旧制度)'!$B$8:$R$65536,14,FALSE))</f>
      </c>
      <c r="U22" s="101">
        <f>IF($B22="","",VLOOKUP($B22,'6-2_算定表①(旧々・旧制度)'!$B$8:$R$65536,14,FALSE))</f>
      </c>
      <c r="V22" s="102">
        <f>IF($B22="","",VLOOKUP($B22,'6-2_算定表①(旧々・旧制度)'!$B$8:$R$65536,14,FALSE))</f>
      </c>
      <c r="W22" s="103">
        <f t="shared" si="0"/>
      </c>
      <c r="X22" s="107">
        <f t="shared" si="1"/>
      </c>
      <c r="Y22" s="103">
        <f t="shared" si="2"/>
      </c>
      <c r="Z22" s="116">
        <f t="shared" si="3"/>
      </c>
      <c r="AA22" s="113">
        <f t="shared" si="4"/>
      </c>
      <c r="AB22" s="110">
        <f t="shared" si="5"/>
      </c>
      <c r="AC22" s="61">
        <f>IF(B22="","",(G22/12*W22)+(I22/12*X22)+(G22/12*Y22)+(I22/12*Z22))</f>
      </c>
      <c r="AD22" s="62">
        <f t="shared" si="6"/>
      </c>
      <c r="AE22" s="847">
        <f>IF(B22="","",VLOOKUP($B22,'6-2_算定表①(旧々・旧制度)'!$B$8:$AB$65536,27,FALSE))</f>
      </c>
      <c r="AF22" s="848">
        <f>IF(AD22="","",VLOOKUP($B22,'6-2_算定表③(旧・旧制度)'!$B$8:$R$65536,3,FALSE))</f>
      </c>
      <c r="AG22" s="849">
        <f>IF(AE22="","",VLOOKUP($B22,'6-2_算定表③(旧・旧制度)'!$B$8:$R$65536,3,FALSE))</f>
      </c>
      <c r="AI22" s="63">
        <f t="shared" si="10"/>
      </c>
      <c r="AJ22" s="63">
        <f t="shared" si="7"/>
      </c>
    </row>
    <row r="23" spans="1:36" s="54" customFormat="1" ht="18.75" customHeight="1">
      <c r="A23" s="27">
        <f t="shared" si="8"/>
      </c>
      <c r="B23" s="280"/>
      <c r="C23" s="97">
        <f>IF($B23="","",VLOOKUP($B23,'6-2_算定表①(旧々・旧制度)'!$B$8:$R$65536,2,FALSE))</f>
      </c>
      <c r="D23" s="98">
        <f>IF($B23="","",VLOOKUP($B23,'6-2_算定表①(旧々・旧制度)'!$B$8:$R$65536,3,FALSE))</f>
      </c>
      <c r="E23" s="98">
        <f>IF($B23="","",VLOOKUP($B23,'6-2_算定表①(旧々・旧制度)'!$B$8:$R$65536,4,FALSE))</f>
      </c>
      <c r="F23" s="99">
        <f>IF(B23="","",VLOOKUP($B23,'6-2_算定表①(旧々・旧制度)'!$B$8:$R$65536,11,FALSE))</f>
      </c>
      <c r="G23" s="60">
        <f>IF(B23="","",VLOOKUP($B23,'6-2_算定表①(旧々・旧制度)'!$B$8:$R$65536,13,FALSE))</f>
      </c>
      <c r="H23" s="99">
        <f>IF(B23="","",VLOOKUP($B23,'6-2_算定表①(旧々・旧制度)'!$B$8:$R$65536,14,FALSE))</f>
      </c>
      <c r="I23" s="60">
        <f>IF(B23="","",VLOOKUP($B23,'6-2_算定表①(旧々・旧制度)'!$B$8:$R$65536,16,FALSE))</f>
      </c>
      <c r="J23" s="61">
        <f>IF(B23="","",VLOOKUP($B23,'6-2_算定表①(旧々・旧制度)'!$B$8:$R$65536,17,FALSE))</f>
      </c>
      <c r="K23" s="100">
        <f>IF($B23="","",VLOOKUP($B23,'6-2_算定表①(旧々・旧制度)'!$B$8:$R$65536,11,FALSE))</f>
      </c>
      <c r="L23" s="101">
        <f>IF($B23="","",VLOOKUP($B23,'6-2_算定表①(旧々・旧制度)'!$B$8:$R$65536,11,FALSE))</f>
      </c>
      <c r="M23" s="102">
        <f>IF($B23="","",VLOOKUP($B23,'6-2_算定表①(旧々・旧制度)'!$B$8:$R$65536,11,FALSE))</f>
      </c>
      <c r="N23" s="100">
        <f>IF($B23="","",VLOOKUP($B23,'6-2_算定表①(旧々・旧制度)'!$B$8:$R$65536,14,FALSE))</f>
      </c>
      <c r="O23" s="101">
        <f>IF($B23="","",VLOOKUP($B23,'6-2_算定表①(旧々・旧制度)'!$B$8:$R$65536,14,FALSE))</f>
      </c>
      <c r="P23" s="101">
        <f>IF($B23="","",VLOOKUP($B23,'6-2_算定表①(旧々・旧制度)'!$B$8:$R$65536,14,FALSE))</f>
      </c>
      <c r="Q23" s="101">
        <f>IF($B23="","",VLOOKUP($B23,'6-2_算定表①(旧々・旧制度)'!$B$8:$R$65536,14,FALSE))</f>
      </c>
      <c r="R23" s="101">
        <f>IF($B23="","",VLOOKUP($B23,'6-2_算定表①(旧々・旧制度)'!$B$8:$R$65536,14,FALSE))</f>
      </c>
      <c r="S23" s="101">
        <f>IF($B23="","",VLOOKUP($B23,'6-2_算定表①(旧々・旧制度)'!$B$8:$R$65536,14,FALSE))</f>
      </c>
      <c r="T23" s="101">
        <f>IF($B23="","",VLOOKUP($B23,'6-2_算定表①(旧々・旧制度)'!$B$8:$R$65536,14,FALSE))</f>
      </c>
      <c r="U23" s="101">
        <f>IF($B23="","",VLOOKUP($B23,'6-2_算定表①(旧々・旧制度)'!$B$8:$R$65536,14,FALSE))</f>
      </c>
      <c r="V23" s="102">
        <f>IF($B23="","",VLOOKUP($B23,'6-2_算定表①(旧々・旧制度)'!$B$8:$R$65536,14,FALSE))</f>
      </c>
      <c r="W23" s="103">
        <f t="shared" si="0"/>
      </c>
      <c r="X23" s="107">
        <f t="shared" si="1"/>
      </c>
      <c r="Y23" s="103">
        <f t="shared" si="2"/>
      </c>
      <c r="Z23" s="116">
        <f t="shared" si="3"/>
      </c>
      <c r="AA23" s="113">
        <f t="shared" si="4"/>
      </c>
      <c r="AB23" s="110">
        <f t="shared" si="5"/>
      </c>
      <c r="AC23" s="61">
        <f t="shared" si="9"/>
      </c>
      <c r="AD23" s="62">
        <f t="shared" si="6"/>
      </c>
      <c r="AE23" s="847">
        <f>IF(B23="","",VLOOKUP($B23,'6-2_算定表①(旧々・旧制度)'!$B$8:$AB$65536,27,FALSE))</f>
      </c>
      <c r="AF23" s="848">
        <f>IF(AD23="","",VLOOKUP($B23,'6-2_算定表③(旧・旧制度)'!$B$8:$R$65536,3,FALSE))</f>
      </c>
      <c r="AG23" s="849">
        <f>IF(AE23="","",VLOOKUP($B23,'6-2_算定表③(旧・旧制度)'!$B$8:$R$65536,3,FALSE))</f>
      </c>
      <c r="AI23" s="63">
        <f t="shared" si="10"/>
      </c>
      <c r="AJ23" s="63">
        <f t="shared" si="7"/>
      </c>
    </row>
    <row r="24" spans="1:36" s="54" customFormat="1" ht="18.75" customHeight="1">
      <c r="A24" s="27">
        <f t="shared" si="8"/>
      </c>
      <c r="B24" s="280"/>
      <c r="C24" s="97">
        <f>IF($B24="","",VLOOKUP($B24,'6-2_算定表①(旧々・旧制度)'!$B$8:$R$65536,2,FALSE))</f>
      </c>
      <c r="D24" s="98">
        <f>IF($B24="","",VLOOKUP($B24,'6-2_算定表①(旧々・旧制度)'!$B$8:$R$65536,3,FALSE))</f>
      </c>
      <c r="E24" s="98">
        <f>IF($B24="","",VLOOKUP($B24,'6-2_算定表①(旧々・旧制度)'!$B$8:$R$65536,4,FALSE))</f>
      </c>
      <c r="F24" s="99">
        <f>IF(B24="","",VLOOKUP($B24,'6-2_算定表①(旧々・旧制度)'!$B$8:$R$65536,11,FALSE))</f>
      </c>
      <c r="G24" s="60">
        <f>IF(B24="","",VLOOKUP($B24,'6-2_算定表①(旧々・旧制度)'!$B$8:$R$65536,13,FALSE))</f>
      </c>
      <c r="H24" s="99">
        <f>IF(B24="","",VLOOKUP($B24,'6-2_算定表①(旧々・旧制度)'!$B$8:$R$65536,14,FALSE))</f>
      </c>
      <c r="I24" s="60">
        <f>IF(B24="","",VLOOKUP($B24,'6-2_算定表①(旧々・旧制度)'!$B$8:$R$65536,16,FALSE))</f>
      </c>
      <c r="J24" s="61">
        <f>IF(B24="","",VLOOKUP($B24,'6-2_算定表①(旧々・旧制度)'!$B$8:$R$65536,17,FALSE))</f>
      </c>
      <c r="K24" s="100">
        <f>IF($B24="","",VLOOKUP($B24,'6-2_算定表①(旧々・旧制度)'!$B$8:$R$65536,11,FALSE))</f>
      </c>
      <c r="L24" s="101">
        <f>IF($B24="","",VLOOKUP($B24,'6-2_算定表①(旧々・旧制度)'!$B$8:$R$65536,11,FALSE))</f>
      </c>
      <c r="M24" s="102">
        <f>IF($B24="","",VLOOKUP($B24,'6-2_算定表①(旧々・旧制度)'!$B$8:$R$65536,11,FALSE))</f>
      </c>
      <c r="N24" s="100">
        <f>IF($B24="","",VLOOKUP($B24,'6-2_算定表①(旧々・旧制度)'!$B$8:$R$65536,14,FALSE))</f>
      </c>
      <c r="O24" s="101">
        <f>IF($B24="","",VLOOKUP($B24,'6-2_算定表①(旧々・旧制度)'!$B$8:$R$65536,14,FALSE))</f>
      </c>
      <c r="P24" s="101">
        <f>IF($B24="","",VLOOKUP($B24,'6-2_算定表①(旧々・旧制度)'!$B$8:$R$65536,14,FALSE))</f>
      </c>
      <c r="Q24" s="101">
        <f>IF($B24="","",VLOOKUP($B24,'6-2_算定表①(旧々・旧制度)'!$B$8:$R$65536,14,FALSE))</f>
      </c>
      <c r="R24" s="101">
        <f>IF($B24="","",VLOOKUP($B24,'6-2_算定表①(旧々・旧制度)'!$B$8:$R$65536,14,FALSE))</f>
      </c>
      <c r="S24" s="101">
        <f>IF($B24="","",VLOOKUP($B24,'6-2_算定表①(旧々・旧制度)'!$B$8:$R$65536,14,FALSE))</f>
      </c>
      <c r="T24" s="101">
        <f>IF($B24="","",VLOOKUP($B24,'6-2_算定表①(旧々・旧制度)'!$B$8:$R$65536,14,FALSE))</f>
      </c>
      <c r="U24" s="101">
        <f>IF($B24="","",VLOOKUP($B24,'6-2_算定表①(旧々・旧制度)'!$B$8:$R$65536,14,FALSE))</f>
      </c>
      <c r="V24" s="102">
        <f>IF($B24="","",VLOOKUP($B24,'6-2_算定表①(旧々・旧制度)'!$B$8:$R$65536,14,FALSE))</f>
      </c>
      <c r="W24" s="103">
        <f t="shared" si="0"/>
      </c>
      <c r="X24" s="107">
        <f t="shared" si="1"/>
      </c>
      <c r="Y24" s="103">
        <f t="shared" si="2"/>
      </c>
      <c r="Z24" s="116">
        <f t="shared" si="3"/>
      </c>
      <c r="AA24" s="113">
        <f t="shared" si="4"/>
      </c>
      <c r="AB24" s="110">
        <f t="shared" si="5"/>
      </c>
      <c r="AC24" s="61">
        <f t="shared" si="9"/>
      </c>
      <c r="AD24" s="62">
        <f t="shared" si="6"/>
      </c>
      <c r="AE24" s="847">
        <f>IF(B24="","",VLOOKUP($B24,'6-2_算定表①(旧々・旧制度)'!$B$8:$AB$65536,27,FALSE))</f>
      </c>
      <c r="AF24" s="848">
        <f>IF(AD24="","",VLOOKUP($B24,'6-2_算定表③(旧・旧制度)'!$B$8:$R$65536,3,FALSE))</f>
      </c>
      <c r="AG24" s="849">
        <f>IF(AE24="","",VLOOKUP($B24,'6-2_算定表③(旧・旧制度)'!$B$8:$R$65536,3,FALSE))</f>
      </c>
      <c r="AI24" s="63">
        <f t="shared" si="10"/>
      </c>
      <c r="AJ24" s="63">
        <f t="shared" si="7"/>
      </c>
    </row>
    <row r="25" spans="1:36" s="54" customFormat="1" ht="18.75" customHeight="1">
      <c r="A25" s="27">
        <f t="shared" si="8"/>
      </c>
      <c r="B25" s="280"/>
      <c r="C25" s="97">
        <f>IF($B25="","",VLOOKUP($B25,'6-2_算定表①(旧々・旧制度)'!$B$8:$R$65536,2,FALSE))</f>
      </c>
      <c r="D25" s="98">
        <f>IF($B25="","",VLOOKUP($B25,'6-2_算定表①(旧々・旧制度)'!$B$8:$R$65536,3,FALSE))</f>
      </c>
      <c r="E25" s="98">
        <f>IF($B25="","",VLOOKUP($B25,'6-2_算定表①(旧々・旧制度)'!$B$8:$R$65536,4,FALSE))</f>
      </c>
      <c r="F25" s="99">
        <f>IF(B25="","",VLOOKUP($B25,'6-2_算定表①(旧々・旧制度)'!$B$8:$R$65536,11,FALSE))</f>
      </c>
      <c r="G25" s="60">
        <f>IF(B25="","",VLOOKUP($B25,'6-2_算定表①(旧々・旧制度)'!$B$8:$R$65536,13,FALSE))</f>
      </c>
      <c r="H25" s="99">
        <f>IF(B25="","",VLOOKUP($B25,'6-2_算定表①(旧々・旧制度)'!$B$8:$R$65536,14,FALSE))</f>
      </c>
      <c r="I25" s="60">
        <f>IF(B25="","",VLOOKUP($B25,'6-2_算定表①(旧々・旧制度)'!$B$8:$R$65536,16,FALSE))</f>
      </c>
      <c r="J25" s="61">
        <f>IF(B25="","",VLOOKUP($B25,'6-2_算定表①(旧々・旧制度)'!$B$8:$R$65536,17,FALSE))</f>
      </c>
      <c r="K25" s="100">
        <f>IF($B25="","",VLOOKUP($B25,'6-2_算定表①(旧々・旧制度)'!$B$8:$R$65536,11,FALSE))</f>
      </c>
      <c r="L25" s="101">
        <f>IF($B25="","",VLOOKUP($B25,'6-2_算定表①(旧々・旧制度)'!$B$8:$R$65536,11,FALSE))</f>
      </c>
      <c r="M25" s="102">
        <f>IF($B25="","",VLOOKUP($B25,'6-2_算定表①(旧々・旧制度)'!$B$8:$R$65536,11,FALSE))</f>
      </c>
      <c r="N25" s="100">
        <f>IF($B25="","",VLOOKUP($B25,'6-2_算定表①(旧々・旧制度)'!$B$8:$R$65536,14,FALSE))</f>
      </c>
      <c r="O25" s="101">
        <f>IF($B25="","",VLOOKUP($B25,'6-2_算定表①(旧々・旧制度)'!$B$8:$R$65536,14,FALSE))</f>
      </c>
      <c r="P25" s="101">
        <f>IF($B25="","",VLOOKUP($B25,'6-2_算定表①(旧々・旧制度)'!$B$8:$R$65536,14,FALSE))</f>
      </c>
      <c r="Q25" s="101">
        <f>IF($B25="","",VLOOKUP($B25,'6-2_算定表①(旧々・旧制度)'!$B$8:$R$65536,14,FALSE))</f>
      </c>
      <c r="R25" s="101">
        <f>IF($B25="","",VLOOKUP($B25,'6-2_算定表①(旧々・旧制度)'!$B$8:$R$65536,14,FALSE))</f>
      </c>
      <c r="S25" s="101">
        <f>IF($B25="","",VLOOKUP($B25,'6-2_算定表①(旧々・旧制度)'!$B$8:$R$65536,14,FALSE))</f>
      </c>
      <c r="T25" s="101">
        <f>IF($B25="","",VLOOKUP($B25,'6-2_算定表①(旧々・旧制度)'!$B$8:$R$65536,14,FALSE))</f>
      </c>
      <c r="U25" s="101">
        <f>IF($B25="","",VLOOKUP($B25,'6-2_算定表①(旧々・旧制度)'!$B$8:$R$65536,14,FALSE))</f>
      </c>
      <c r="V25" s="102">
        <f>IF($B25="","",VLOOKUP($B25,'6-2_算定表①(旧々・旧制度)'!$B$8:$R$65536,14,FALSE))</f>
      </c>
      <c r="W25" s="103">
        <f t="shared" si="0"/>
      </c>
      <c r="X25" s="107">
        <f t="shared" si="1"/>
      </c>
      <c r="Y25" s="103">
        <f t="shared" si="2"/>
      </c>
      <c r="Z25" s="116">
        <f t="shared" si="3"/>
      </c>
      <c r="AA25" s="113">
        <f t="shared" si="4"/>
      </c>
      <c r="AB25" s="110">
        <f t="shared" si="5"/>
      </c>
      <c r="AC25" s="61">
        <f t="shared" si="9"/>
      </c>
      <c r="AD25" s="62">
        <f t="shared" si="6"/>
      </c>
      <c r="AE25" s="847">
        <f>IF(B25="","",VLOOKUP($B25,'6-2_算定表①(旧々・旧制度)'!$B$8:$AB$65536,27,FALSE))</f>
      </c>
      <c r="AF25" s="848">
        <f>IF(AD25="","",VLOOKUP($B25,'6-2_算定表③(旧・旧制度)'!$B$8:$R$65536,3,FALSE))</f>
      </c>
      <c r="AG25" s="849">
        <f>IF(AE25="","",VLOOKUP($B25,'6-2_算定表③(旧・旧制度)'!$B$8:$R$65536,3,FALSE))</f>
      </c>
      <c r="AI25" s="63">
        <f t="shared" si="10"/>
      </c>
      <c r="AJ25" s="63">
        <f t="shared" si="7"/>
      </c>
    </row>
    <row r="26" spans="1:36" s="54" customFormat="1" ht="18.75" customHeight="1">
      <c r="A26" s="27">
        <f t="shared" si="8"/>
      </c>
      <c r="B26" s="280"/>
      <c r="C26" s="97">
        <f>IF($B26="","",VLOOKUP($B26,'6-2_算定表①(旧々・旧制度)'!$B$8:$R$65536,2,FALSE))</f>
      </c>
      <c r="D26" s="98">
        <f>IF($B26="","",VLOOKUP($B26,'6-2_算定表①(旧々・旧制度)'!$B$8:$R$65536,3,FALSE))</f>
      </c>
      <c r="E26" s="98">
        <f>IF($B26="","",VLOOKUP($B26,'6-2_算定表①(旧々・旧制度)'!$B$8:$R$65536,4,FALSE))</f>
      </c>
      <c r="F26" s="99">
        <f>IF(B26="","",VLOOKUP($B26,'6-2_算定表①(旧々・旧制度)'!$B$8:$R$65536,11,FALSE))</f>
      </c>
      <c r="G26" s="60">
        <f>IF(B26="","",VLOOKUP($B26,'6-2_算定表①(旧々・旧制度)'!$B$8:$R$65536,13,FALSE))</f>
      </c>
      <c r="H26" s="99">
        <f>IF(B26="","",VLOOKUP($B26,'6-2_算定表①(旧々・旧制度)'!$B$8:$R$65536,14,FALSE))</f>
      </c>
      <c r="I26" s="60">
        <f>IF(B26="","",VLOOKUP($B26,'6-2_算定表①(旧々・旧制度)'!$B$8:$R$65536,16,FALSE))</f>
      </c>
      <c r="J26" s="61">
        <f>IF(B26="","",VLOOKUP($B26,'6-2_算定表①(旧々・旧制度)'!$B$8:$R$65536,17,FALSE))</f>
      </c>
      <c r="K26" s="100">
        <f>IF($B26="","",VLOOKUP($B26,'6-2_算定表①(旧々・旧制度)'!$B$8:$R$65536,11,FALSE))</f>
      </c>
      <c r="L26" s="101">
        <f>IF($B26="","",VLOOKUP($B26,'6-2_算定表①(旧々・旧制度)'!$B$8:$R$65536,11,FALSE))</f>
      </c>
      <c r="M26" s="102">
        <f>IF($B26="","",VLOOKUP($B26,'6-2_算定表①(旧々・旧制度)'!$B$8:$R$65536,11,FALSE))</f>
      </c>
      <c r="N26" s="100">
        <f>IF($B26="","",VLOOKUP($B26,'6-2_算定表①(旧々・旧制度)'!$B$8:$R$65536,14,FALSE))</f>
      </c>
      <c r="O26" s="101">
        <f>IF($B26="","",VLOOKUP($B26,'6-2_算定表①(旧々・旧制度)'!$B$8:$R$65536,14,FALSE))</f>
      </c>
      <c r="P26" s="101">
        <f>IF($B26="","",VLOOKUP($B26,'6-2_算定表①(旧々・旧制度)'!$B$8:$R$65536,14,FALSE))</f>
      </c>
      <c r="Q26" s="101">
        <f>IF($B26="","",VLOOKUP($B26,'6-2_算定表①(旧々・旧制度)'!$B$8:$R$65536,14,FALSE))</f>
      </c>
      <c r="R26" s="101">
        <f>IF($B26="","",VLOOKUP($B26,'6-2_算定表①(旧々・旧制度)'!$B$8:$R$65536,14,FALSE))</f>
      </c>
      <c r="S26" s="101">
        <f>IF($B26="","",VLOOKUP($B26,'6-2_算定表①(旧々・旧制度)'!$B$8:$R$65536,14,FALSE))</f>
      </c>
      <c r="T26" s="101">
        <f>IF($B26="","",VLOOKUP($B26,'6-2_算定表①(旧々・旧制度)'!$B$8:$R$65536,14,FALSE))</f>
      </c>
      <c r="U26" s="101">
        <f>IF($B26="","",VLOOKUP($B26,'6-2_算定表①(旧々・旧制度)'!$B$8:$R$65536,14,FALSE))</f>
      </c>
      <c r="V26" s="102">
        <f>IF($B26="","",VLOOKUP($B26,'6-2_算定表①(旧々・旧制度)'!$B$8:$R$65536,14,FALSE))</f>
      </c>
      <c r="W26" s="103">
        <f t="shared" si="0"/>
      </c>
      <c r="X26" s="107">
        <f t="shared" si="1"/>
      </c>
      <c r="Y26" s="103">
        <f t="shared" si="2"/>
      </c>
      <c r="Z26" s="116">
        <f t="shared" si="3"/>
      </c>
      <c r="AA26" s="113">
        <f t="shared" si="4"/>
      </c>
      <c r="AB26" s="110">
        <f t="shared" si="5"/>
      </c>
      <c r="AC26" s="61">
        <f t="shared" si="9"/>
      </c>
      <c r="AD26" s="62">
        <f t="shared" si="6"/>
      </c>
      <c r="AE26" s="847">
        <f>IF(B26="","",VLOOKUP($B26,'6-2_算定表①(旧々・旧制度)'!$B$8:$AB$65536,27,FALSE))</f>
      </c>
      <c r="AF26" s="848">
        <f>IF(AD26="","",VLOOKUP($B26,'6-2_算定表③(旧・旧制度)'!$B$8:$R$65536,3,FALSE))</f>
      </c>
      <c r="AG26" s="849">
        <f>IF(AE26="","",VLOOKUP($B26,'6-2_算定表③(旧・旧制度)'!$B$8:$R$65536,3,FALSE))</f>
      </c>
      <c r="AI26" s="63">
        <f t="shared" si="10"/>
      </c>
      <c r="AJ26" s="63">
        <f t="shared" si="7"/>
      </c>
    </row>
    <row r="27" spans="1:36" s="54" customFormat="1" ht="18.75" customHeight="1">
      <c r="A27" s="27">
        <f t="shared" si="8"/>
      </c>
      <c r="B27" s="280"/>
      <c r="C27" s="97">
        <f>IF($B27="","",VLOOKUP($B27,'6-2_算定表①(旧々・旧制度)'!$B$8:$R$65536,2,FALSE))</f>
      </c>
      <c r="D27" s="98">
        <f>IF($B27="","",VLOOKUP($B27,'6-2_算定表①(旧々・旧制度)'!$B$8:$R$65536,3,FALSE))</f>
      </c>
      <c r="E27" s="98">
        <f>IF($B27="","",VLOOKUP($B27,'6-2_算定表①(旧々・旧制度)'!$B$8:$R$65536,4,FALSE))</f>
      </c>
      <c r="F27" s="99">
        <f>IF(B27="","",VLOOKUP($B27,'6-2_算定表①(旧々・旧制度)'!$B$8:$R$65536,11,FALSE))</f>
      </c>
      <c r="G27" s="60">
        <f>IF(B27="","",VLOOKUP($B27,'6-2_算定表①(旧々・旧制度)'!$B$8:$R$65536,13,FALSE))</f>
      </c>
      <c r="H27" s="99">
        <f>IF(B27="","",VLOOKUP($B27,'6-2_算定表①(旧々・旧制度)'!$B$8:$R$65536,14,FALSE))</f>
      </c>
      <c r="I27" s="60">
        <f>IF(B27="","",VLOOKUP($B27,'6-2_算定表①(旧々・旧制度)'!$B$8:$R$65536,16,FALSE))</f>
      </c>
      <c r="J27" s="61">
        <f>IF(B27="","",VLOOKUP($B27,'6-2_算定表①(旧々・旧制度)'!$B$8:$R$65536,17,FALSE))</f>
      </c>
      <c r="K27" s="100">
        <f>IF($B27="","",VLOOKUP($B27,'6-2_算定表①(旧々・旧制度)'!$B$8:$R$65536,11,FALSE))</f>
      </c>
      <c r="L27" s="101">
        <f>IF($B27="","",VLOOKUP($B27,'6-2_算定表①(旧々・旧制度)'!$B$8:$R$65536,11,FALSE))</f>
      </c>
      <c r="M27" s="102">
        <f>IF($B27="","",VLOOKUP($B27,'6-2_算定表①(旧々・旧制度)'!$B$8:$R$65536,11,FALSE))</f>
      </c>
      <c r="N27" s="100">
        <f>IF($B27="","",VLOOKUP($B27,'6-2_算定表①(旧々・旧制度)'!$B$8:$R$65536,14,FALSE))</f>
      </c>
      <c r="O27" s="101">
        <f>IF($B27="","",VLOOKUP($B27,'6-2_算定表①(旧々・旧制度)'!$B$8:$R$65536,14,FALSE))</f>
      </c>
      <c r="P27" s="101">
        <f>IF($B27="","",VLOOKUP($B27,'6-2_算定表①(旧々・旧制度)'!$B$8:$R$65536,14,FALSE))</f>
      </c>
      <c r="Q27" s="101">
        <f>IF($B27="","",VLOOKUP($B27,'6-2_算定表①(旧々・旧制度)'!$B$8:$R$65536,14,FALSE))</f>
      </c>
      <c r="R27" s="101">
        <f>IF($B27="","",VLOOKUP($B27,'6-2_算定表①(旧々・旧制度)'!$B$8:$R$65536,14,FALSE))</f>
      </c>
      <c r="S27" s="101">
        <f>IF($B27="","",VLOOKUP($B27,'6-2_算定表①(旧々・旧制度)'!$B$8:$R$65536,14,FALSE))</f>
      </c>
      <c r="T27" s="101">
        <f>IF($B27="","",VLOOKUP($B27,'6-2_算定表①(旧々・旧制度)'!$B$8:$R$65536,14,FALSE))</f>
      </c>
      <c r="U27" s="101">
        <f>IF($B27="","",VLOOKUP($B27,'6-2_算定表①(旧々・旧制度)'!$B$8:$R$65536,14,FALSE))</f>
      </c>
      <c r="V27" s="102">
        <f>IF($B27="","",VLOOKUP($B27,'6-2_算定表①(旧々・旧制度)'!$B$8:$R$65536,14,FALSE))</f>
      </c>
      <c r="W27" s="103">
        <f t="shared" si="0"/>
      </c>
      <c r="X27" s="107">
        <f t="shared" si="1"/>
      </c>
      <c r="Y27" s="103">
        <f t="shared" si="2"/>
      </c>
      <c r="Z27" s="116">
        <f t="shared" si="3"/>
      </c>
      <c r="AA27" s="113">
        <f t="shared" si="4"/>
      </c>
      <c r="AB27" s="110">
        <f t="shared" si="5"/>
      </c>
      <c r="AC27" s="61">
        <f t="shared" si="9"/>
      </c>
      <c r="AD27" s="62">
        <f t="shared" si="6"/>
      </c>
      <c r="AE27" s="847">
        <f>IF(B27="","",VLOOKUP($B27,'6-2_算定表①(旧々・旧制度)'!$B$8:$AB$65536,27,FALSE))</f>
      </c>
      <c r="AF27" s="848">
        <f>IF(AD27="","",VLOOKUP($B27,'6-2_算定表③(旧・旧制度)'!$B$8:$R$65536,3,FALSE))</f>
      </c>
      <c r="AG27" s="849">
        <f>IF(AE27="","",VLOOKUP($B27,'6-2_算定表③(旧・旧制度)'!$B$8:$R$65536,3,FALSE))</f>
      </c>
      <c r="AI27" s="63">
        <f t="shared" si="10"/>
      </c>
      <c r="AJ27" s="63">
        <f t="shared" si="7"/>
      </c>
    </row>
    <row r="28" spans="1:36" s="54" customFormat="1" ht="18.75" customHeight="1">
      <c r="A28" s="27">
        <f t="shared" si="8"/>
      </c>
      <c r="B28" s="280"/>
      <c r="C28" s="97">
        <f>IF($B28="","",VLOOKUP($B28,'6-2_算定表①(旧々・旧制度)'!$B$8:$R$65536,2,FALSE))</f>
      </c>
      <c r="D28" s="98">
        <f>IF($B28="","",VLOOKUP($B28,'6-2_算定表①(旧々・旧制度)'!$B$8:$R$65536,3,FALSE))</f>
      </c>
      <c r="E28" s="98">
        <f>IF($B28="","",VLOOKUP($B28,'6-2_算定表①(旧々・旧制度)'!$B$8:$R$65536,4,FALSE))</f>
      </c>
      <c r="F28" s="99">
        <f>IF(B28="","",VLOOKUP($B28,'6-2_算定表①(旧々・旧制度)'!$B$8:$R$65536,11,FALSE))</f>
      </c>
      <c r="G28" s="60">
        <f>IF(B28="","",VLOOKUP($B28,'6-2_算定表①(旧々・旧制度)'!$B$8:$R$65536,13,FALSE))</f>
      </c>
      <c r="H28" s="99">
        <f>IF(B28="","",VLOOKUP($B28,'6-2_算定表①(旧々・旧制度)'!$B$8:$R$65536,14,FALSE))</f>
      </c>
      <c r="I28" s="60">
        <f>IF(B28="","",VLOOKUP($B28,'6-2_算定表①(旧々・旧制度)'!$B$8:$R$65536,16,FALSE))</f>
      </c>
      <c r="J28" s="61">
        <f>IF(B28="","",VLOOKUP($B28,'6-2_算定表①(旧々・旧制度)'!$B$8:$R$65536,17,FALSE))</f>
      </c>
      <c r="K28" s="100">
        <f>IF($B28="","",VLOOKUP($B28,'6-2_算定表①(旧々・旧制度)'!$B$8:$R$65536,11,FALSE))</f>
      </c>
      <c r="L28" s="101">
        <f>IF($B28="","",VLOOKUP($B28,'6-2_算定表①(旧々・旧制度)'!$B$8:$R$65536,11,FALSE))</f>
      </c>
      <c r="M28" s="102">
        <f>IF($B28="","",VLOOKUP($B28,'6-2_算定表①(旧々・旧制度)'!$B$8:$R$65536,11,FALSE))</f>
      </c>
      <c r="N28" s="100">
        <f>IF($B28="","",VLOOKUP($B28,'6-2_算定表①(旧々・旧制度)'!$B$8:$R$65536,14,FALSE))</f>
      </c>
      <c r="O28" s="101">
        <f>IF($B28="","",VLOOKUP($B28,'6-2_算定表①(旧々・旧制度)'!$B$8:$R$65536,14,FALSE))</f>
      </c>
      <c r="P28" s="101">
        <f>IF($B28="","",VLOOKUP($B28,'6-2_算定表①(旧々・旧制度)'!$B$8:$R$65536,14,FALSE))</f>
      </c>
      <c r="Q28" s="101">
        <f>IF($B28="","",VLOOKUP($B28,'6-2_算定表①(旧々・旧制度)'!$B$8:$R$65536,14,FALSE))</f>
      </c>
      <c r="R28" s="101">
        <f>IF($B28="","",VLOOKUP($B28,'6-2_算定表①(旧々・旧制度)'!$B$8:$R$65536,14,FALSE))</f>
      </c>
      <c r="S28" s="101">
        <f>IF($B28="","",VLOOKUP($B28,'6-2_算定表①(旧々・旧制度)'!$B$8:$R$65536,14,FALSE))</f>
      </c>
      <c r="T28" s="101">
        <f>IF($B28="","",VLOOKUP($B28,'6-2_算定表①(旧々・旧制度)'!$B$8:$R$65536,14,FALSE))</f>
      </c>
      <c r="U28" s="101">
        <f>IF($B28="","",VLOOKUP($B28,'6-2_算定表①(旧々・旧制度)'!$B$8:$R$65536,14,FALSE))</f>
      </c>
      <c r="V28" s="102">
        <f>IF($B28="","",VLOOKUP($B28,'6-2_算定表①(旧々・旧制度)'!$B$8:$R$65536,14,FALSE))</f>
      </c>
      <c r="W28" s="103">
        <f t="shared" si="0"/>
      </c>
      <c r="X28" s="107">
        <f t="shared" si="1"/>
      </c>
      <c r="Y28" s="103">
        <f t="shared" si="2"/>
      </c>
      <c r="Z28" s="116">
        <f t="shared" si="3"/>
      </c>
      <c r="AA28" s="113">
        <f t="shared" si="4"/>
      </c>
      <c r="AB28" s="110">
        <f t="shared" si="5"/>
      </c>
      <c r="AC28" s="61">
        <f>IF(B28="","",(G28/12*W28)+(I28/12*X28)+(G28/12*Y28)+(I28/12*Z28))</f>
      </c>
      <c r="AD28" s="62">
        <f t="shared" si="6"/>
      </c>
      <c r="AE28" s="847">
        <f>IF(B28="","",VLOOKUP($B28,'6-2_算定表①(旧々・旧制度)'!$B$8:$AB$65536,27,FALSE))</f>
      </c>
      <c r="AF28" s="848">
        <f>IF(AD28="","",VLOOKUP($B28,'6-2_算定表③(旧・旧制度)'!$B$8:$R$65536,3,FALSE))</f>
      </c>
      <c r="AG28" s="849">
        <f>IF(AE28="","",VLOOKUP($B28,'6-2_算定表③(旧・旧制度)'!$B$8:$R$65536,3,FALSE))</f>
      </c>
      <c r="AI28" s="63">
        <f t="shared" si="10"/>
      </c>
      <c r="AJ28" s="63">
        <f t="shared" si="7"/>
      </c>
    </row>
    <row r="29" spans="1:36" s="54" customFormat="1" ht="18.75" customHeight="1">
      <c r="A29" s="27">
        <f t="shared" si="8"/>
      </c>
      <c r="B29" s="280"/>
      <c r="C29" s="97">
        <f>IF($B29="","",VLOOKUP($B29,'6-2_算定表①(旧々・旧制度)'!$B$8:$R$65536,2,FALSE))</f>
      </c>
      <c r="D29" s="98">
        <f>IF($B29="","",VLOOKUP($B29,'6-2_算定表①(旧々・旧制度)'!$B$8:$R$65536,3,FALSE))</f>
      </c>
      <c r="E29" s="98">
        <f>IF($B29="","",VLOOKUP($B29,'6-2_算定表①(旧々・旧制度)'!$B$8:$R$65536,4,FALSE))</f>
      </c>
      <c r="F29" s="99">
        <f>IF(B29="","",VLOOKUP($B29,'6-2_算定表①(旧々・旧制度)'!$B$8:$R$65536,11,FALSE))</f>
      </c>
      <c r="G29" s="60">
        <f>IF(B29="","",VLOOKUP($B29,'6-2_算定表①(旧々・旧制度)'!$B$8:$R$65536,13,FALSE))</f>
      </c>
      <c r="H29" s="99">
        <f>IF(B29="","",VLOOKUP($B29,'6-2_算定表①(旧々・旧制度)'!$B$8:$R$65536,14,FALSE))</f>
      </c>
      <c r="I29" s="60">
        <f>IF(B29="","",VLOOKUP($B29,'6-2_算定表①(旧々・旧制度)'!$B$8:$R$65536,16,FALSE))</f>
      </c>
      <c r="J29" s="61">
        <f>IF(B29="","",VLOOKUP($B29,'6-2_算定表①(旧々・旧制度)'!$B$8:$R$65536,17,FALSE))</f>
      </c>
      <c r="K29" s="100">
        <f>IF($B29="","",VLOOKUP($B29,'6-2_算定表①(旧々・旧制度)'!$B$8:$R$65536,11,FALSE))</f>
      </c>
      <c r="L29" s="101">
        <f>IF($B29="","",VLOOKUP($B29,'6-2_算定表①(旧々・旧制度)'!$B$8:$R$65536,11,FALSE))</f>
      </c>
      <c r="M29" s="102">
        <f>IF($B29="","",VLOOKUP($B29,'6-2_算定表①(旧々・旧制度)'!$B$8:$R$65536,11,FALSE))</f>
      </c>
      <c r="N29" s="100">
        <f>IF($B29="","",VLOOKUP($B29,'6-2_算定表①(旧々・旧制度)'!$B$8:$R$65536,14,FALSE))</f>
      </c>
      <c r="O29" s="101">
        <f>IF($B29="","",VLOOKUP($B29,'6-2_算定表①(旧々・旧制度)'!$B$8:$R$65536,14,FALSE))</f>
      </c>
      <c r="P29" s="101">
        <f>IF($B29="","",VLOOKUP($B29,'6-2_算定表①(旧々・旧制度)'!$B$8:$R$65536,14,FALSE))</f>
      </c>
      <c r="Q29" s="101">
        <f>IF($B29="","",VLOOKUP($B29,'6-2_算定表①(旧々・旧制度)'!$B$8:$R$65536,14,FALSE))</f>
      </c>
      <c r="R29" s="101">
        <f>IF($B29="","",VLOOKUP($B29,'6-2_算定表①(旧々・旧制度)'!$B$8:$R$65536,14,FALSE))</f>
      </c>
      <c r="S29" s="101">
        <f>IF($B29="","",VLOOKUP($B29,'6-2_算定表①(旧々・旧制度)'!$B$8:$R$65536,14,FALSE))</f>
      </c>
      <c r="T29" s="101">
        <f>IF($B29="","",VLOOKUP($B29,'6-2_算定表①(旧々・旧制度)'!$B$8:$R$65536,14,FALSE))</f>
      </c>
      <c r="U29" s="101">
        <f>IF($B29="","",VLOOKUP($B29,'6-2_算定表①(旧々・旧制度)'!$B$8:$R$65536,14,FALSE))</f>
      </c>
      <c r="V29" s="102">
        <f>IF($B29="","",VLOOKUP($B29,'6-2_算定表①(旧々・旧制度)'!$B$8:$R$65536,14,FALSE))</f>
      </c>
      <c r="W29" s="103">
        <f t="shared" si="0"/>
      </c>
      <c r="X29" s="107">
        <f t="shared" si="1"/>
      </c>
      <c r="Y29" s="103">
        <f t="shared" si="2"/>
      </c>
      <c r="Z29" s="116">
        <f t="shared" si="3"/>
      </c>
      <c r="AA29" s="113">
        <f t="shared" si="4"/>
      </c>
      <c r="AB29" s="110">
        <f t="shared" si="5"/>
      </c>
      <c r="AC29" s="61">
        <f t="shared" si="9"/>
      </c>
      <c r="AD29" s="62">
        <f t="shared" si="6"/>
      </c>
      <c r="AE29" s="847">
        <f>IF(B29="","",VLOOKUP($B29,'6-2_算定表①(旧々・旧制度)'!$B$8:$AB$65536,27,FALSE))</f>
      </c>
      <c r="AF29" s="848">
        <f>IF(AD29="","",VLOOKUP($B29,'6-2_算定表③(旧・旧制度)'!$B$8:$R$65536,3,FALSE))</f>
      </c>
      <c r="AG29" s="849">
        <f>IF(AE29="","",VLOOKUP($B29,'6-2_算定表③(旧・旧制度)'!$B$8:$R$65536,3,FALSE))</f>
      </c>
      <c r="AI29" s="63">
        <f t="shared" si="10"/>
      </c>
      <c r="AJ29" s="63">
        <f t="shared" si="7"/>
      </c>
    </row>
    <row r="30" spans="1:36" s="54" customFormat="1" ht="18.75" customHeight="1">
      <c r="A30" s="27">
        <f t="shared" si="8"/>
      </c>
      <c r="B30" s="280"/>
      <c r="C30" s="97">
        <f>IF($B30="","",VLOOKUP($B30,'6-2_算定表①(旧々・旧制度)'!$B$8:$R$65536,2,FALSE))</f>
      </c>
      <c r="D30" s="98">
        <f>IF($B30="","",VLOOKUP($B30,'6-2_算定表①(旧々・旧制度)'!$B$8:$R$65536,3,FALSE))</f>
      </c>
      <c r="E30" s="98">
        <f>IF($B30="","",VLOOKUP($B30,'6-2_算定表①(旧々・旧制度)'!$B$8:$R$65536,4,FALSE))</f>
      </c>
      <c r="F30" s="99">
        <f>IF(B30="","",VLOOKUP($B30,'6-2_算定表①(旧々・旧制度)'!$B$8:$R$65536,11,FALSE))</f>
      </c>
      <c r="G30" s="60">
        <f>IF(B30="","",VLOOKUP($B30,'6-2_算定表①(旧々・旧制度)'!$B$8:$R$65536,13,FALSE))</f>
      </c>
      <c r="H30" s="99">
        <f>IF(B30="","",VLOOKUP($B30,'6-2_算定表①(旧々・旧制度)'!$B$8:$R$65536,14,FALSE))</f>
      </c>
      <c r="I30" s="60">
        <f>IF(B30="","",VLOOKUP($B30,'6-2_算定表①(旧々・旧制度)'!$B$8:$R$65536,16,FALSE))</f>
      </c>
      <c r="J30" s="61">
        <f>IF(B30="","",VLOOKUP($B30,'6-2_算定表①(旧々・旧制度)'!$B$8:$R$65536,17,FALSE))</f>
      </c>
      <c r="K30" s="100">
        <f>IF($B30="","",VLOOKUP($B30,'6-2_算定表①(旧々・旧制度)'!$B$8:$R$65536,11,FALSE))</f>
      </c>
      <c r="L30" s="101">
        <f>IF($B30="","",VLOOKUP($B30,'6-2_算定表①(旧々・旧制度)'!$B$8:$R$65536,11,FALSE))</f>
      </c>
      <c r="M30" s="102">
        <f>IF($B30="","",VLOOKUP($B30,'6-2_算定表①(旧々・旧制度)'!$B$8:$R$65536,11,FALSE))</f>
      </c>
      <c r="N30" s="100">
        <f>IF($B30="","",VLOOKUP($B30,'6-2_算定表①(旧々・旧制度)'!$B$8:$R$65536,14,FALSE))</f>
      </c>
      <c r="O30" s="101">
        <f>IF($B30="","",VLOOKUP($B30,'6-2_算定表①(旧々・旧制度)'!$B$8:$R$65536,14,FALSE))</f>
      </c>
      <c r="P30" s="101">
        <f>IF($B30="","",VLOOKUP($B30,'6-2_算定表①(旧々・旧制度)'!$B$8:$R$65536,14,FALSE))</f>
      </c>
      <c r="Q30" s="101">
        <f>IF($B30="","",VLOOKUP($B30,'6-2_算定表①(旧々・旧制度)'!$B$8:$R$65536,14,FALSE))</f>
      </c>
      <c r="R30" s="101">
        <f>IF($B30="","",VLOOKUP($B30,'6-2_算定表①(旧々・旧制度)'!$B$8:$R$65536,14,FALSE))</f>
      </c>
      <c r="S30" s="101">
        <f>IF($B30="","",VLOOKUP($B30,'6-2_算定表①(旧々・旧制度)'!$B$8:$R$65536,14,FALSE))</f>
      </c>
      <c r="T30" s="101">
        <f>IF($B30="","",VLOOKUP($B30,'6-2_算定表①(旧々・旧制度)'!$B$8:$R$65536,14,FALSE))</f>
      </c>
      <c r="U30" s="101">
        <f>IF($B30="","",VLOOKUP($B30,'6-2_算定表①(旧々・旧制度)'!$B$8:$R$65536,14,FALSE))</f>
      </c>
      <c r="V30" s="102">
        <f>IF($B30="","",VLOOKUP($B30,'6-2_算定表①(旧々・旧制度)'!$B$8:$R$65536,14,FALSE))</f>
      </c>
      <c r="W30" s="103">
        <f t="shared" si="0"/>
      </c>
      <c r="X30" s="107">
        <f t="shared" si="1"/>
      </c>
      <c r="Y30" s="103">
        <f t="shared" si="2"/>
      </c>
      <c r="Z30" s="116">
        <f t="shared" si="3"/>
      </c>
      <c r="AA30" s="113">
        <f t="shared" si="4"/>
      </c>
      <c r="AB30" s="110">
        <f t="shared" si="5"/>
      </c>
      <c r="AC30" s="61">
        <f t="shared" si="9"/>
      </c>
      <c r="AD30" s="62">
        <f t="shared" si="6"/>
      </c>
      <c r="AE30" s="847">
        <f>IF(B30="","",VLOOKUP($B30,'6-2_算定表①(旧々・旧制度)'!$B$8:$AB$65536,27,FALSE))</f>
      </c>
      <c r="AF30" s="848">
        <f>IF(AD30="","",VLOOKUP($B30,'6-2_算定表③(旧・旧制度)'!$B$8:$R$65536,3,FALSE))</f>
      </c>
      <c r="AG30" s="849">
        <f>IF(AE30="","",VLOOKUP($B30,'6-2_算定表③(旧・旧制度)'!$B$8:$R$65536,3,FALSE))</f>
      </c>
      <c r="AI30" s="63">
        <f>IF(A30&gt;0,ASC(C30&amp;H30),"")</f>
      </c>
      <c r="AJ30" s="63">
        <f t="shared" si="7"/>
      </c>
    </row>
    <row r="31" spans="1:36" s="54" customFormat="1" ht="18.75" customHeight="1">
      <c r="A31" s="27">
        <f t="shared" si="8"/>
      </c>
      <c r="B31" s="280"/>
      <c r="C31" s="97">
        <f>IF($B31="","",VLOOKUP($B31,'6-2_算定表①(旧々・旧制度)'!$B$8:$R$65536,2,FALSE))</f>
      </c>
      <c r="D31" s="98">
        <f>IF($B31="","",VLOOKUP($B31,'6-2_算定表①(旧々・旧制度)'!$B$8:$R$65536,3,FALSE))</f>
      </c>
      <c r="E31" s="98">
        <f>IF($B31="","",VLOOKUP($B31,'6-2_算定表①(旧々・旧制度)'!$B$8:$R$65536,4,FALSE))</f>
      </c>
      <c r="F31" s="99">
        <f>IF(B31="","",VLOOKUP($B31,'6-2_算定表①(旧々・旧制度)'!$B$8:$R$65536,11,FALSE))</f>
      </c>
      <c r="G31" s="60">
        <f>IF(B31="","",VLOOKUP($B31,'6-2_算定表①(旧々・旧制度)'!$B$8:$R$65536,13,FALSE))</f>
      </c>
      <c r="H31" s="99">
        <f>IF(B31="","",VLOOKUP($B31,'6-2_算定表①(旧々・旧制度)'!$B$8:$R$65536,14,FALSE))</f>
      </c>
      <c r="I31" s="60">
        <f>IF(B31="","",VLOOKUP($B31,'6-2_算定表①(旧々・旧制度)'!$B$8:$R$65536,16,FALSE))</f>
      </c>
      <c r="J31" s="61">
        <f>IF(B31="","",VLOOKUP($B31,'6-2_算定表①(旧々・旧制度)'!$B$8:$R$65536,17,FALSE))</f>
      </c>
      <c r="K31" s="100">
        <f>IF($B31="","",VLOOKUP($B31,'6-2_算定表①(旧々・旧制度)'!$B$8:$R$65536,11,FALSE))</f>
      </c>
      <c r="L31" s="101">
        <f>IF($B31="","",VLOOKUP($B31,'6-2_算定表①(旧々・旧制度)'!$B$8:$R$65536,11,FALSE))</f>
      </c>
      <c r="M31" s="102">
        <f>IF($B31="","",VLOOKUP($B31,'6-2_算定表①(旧々・旧制度)'!$B$8:$R$65536,11,FALSE))</f>
      </c>
      <c r="N31" s="100">
        <f>IF($B31="","",VLOOKUP($B31,'6-2_算定表①(旧々・旧制度)'!$B$8:$R$65536,14,FALSE))</f>
      </c>
      <c r="O31" s="101">
        <f>IF($B31="","",VLOOKUP($B31,'6-2_算定表①(旧々・旧制度)'!$B$8:$R$65536,14,FALSE))</f>
      </c>
      <c r="P31" s="101">
        <f>IF($B31="","",VLOOKUP($B31,'6-2_算定表①(旧々・旧制度)'!$B$8:$R$65536,14,FALSE))</f>
      </c>
      <c r="Q31" s="101">
        <f>IF($B31="","",VLOOKUP($B31,'6-2_算定表①(旧々・旧制度)'!$B$8:$R$65536,14,FALSE))</f>
      </c>
      <c r="R31" s="101">
        <f>IF($B31="","",VLOOKUP($B31,'6-2_算定表①(旧々・旧制度)'!$B$8:$R$65536,14,FALSE))</f>
      </c>
      <c r="S31" s="101">
        <f>IF($B31="","",VLOOKUP($B31,'6-2_算定表①(旧々・旧制度)'!$B$8:$R$65536,14,FALSE))</f>
      </c>
      <c r="T31" s="101">
        <f>IF($B31="","",VLOOKUP($B31,'6-2_算定表①(旧々・旧制度)'!$B$8:$R$65536,14,FALSE))</f>
      </c>
      <c r="U31" s="101">
        <f>IF($B31="","",VLOOKUP($B31,'6-2_算定表①(旧々・旧制度)'!$B$8:$R$65536,14,FALSE))</f>
      </c>
      <c r="V31" s="102">
        <f>IF($B31="","",VLOOKUP($B31,'6-2_算定表①(旧々・旧制度)'!$B$8:$R$65536,14,FALSE))</f>
      </c>
      <c r="W31" s="103">
        <f t="shared" si="0"/>
      </c>
      <c r="X31" s="107">
        <f t="shared" si="1"/>
      </c>
      <c r="Y31" s="103">
        <f t="shared" si="2"/>
      </c>
      <c r="Z31" s="116">
        <f t="shared" si="3"/>
      </c>
      <c r="AA31" s="113">
        <f t="shared" si="4"/>
      </c>
      <c r="AB31" s="110">
        <f t="shared" si="5"/>
      </c>
      <c r="AC31" s="61">
        <f t="shared" si="9"/>
      </c>
      <c r="AD31" s="62">
        <f t="shared" si="6"/>
      </c>
      <c r="AE31" s="847">
        <f>IF(B31="","",VLOOKUP($B31,'6-2_算定表①(旧々・旧制度)'!$B$8:$AB$65536,27,FALSE))</f>
      </c>
      <c r="AF31" s="848">
        <f>IF(AD31="","",VLOOKUP($B31,'6-2_算定表③(旧・旧制度)'!$B$8:$R$65536,3,FALSE))</f>
      </c>
      <c r="AG31" s="849">
        <f>IF(AE31="","",VLOOKUP($B31,'6-2_算定表③(旧・旧制度)'!$B$8:$R$65536,3,FALSE))</f>
      </c>
      <c r="AI31" s="63">
        <f>IF(A31&gt;0,ASC(C31&amp;H31),"")</f>
      </c>
      <c r="AJ31" s="63">
        <f t="shared" si="7"/>
      </c>
    </row>
    <row r="32" spans="1:36" s="54" customFormat="1" ht="18.75" customHeight="1">
      <c r="A32" s="27">
        <f t="shared" si="8"/>
      </c>
      <c r="B32" s="280"/>
      <c r="C32" s="97">
        <f>IF($B32="","",VLOOKUP($B32,'6-2_算定表①(旧々・旧制度)'!$B$8:$R$65536,2,FALSE))</f>
      </c>
      <c r="D32" s="98">
        <f>IF($B32="","",VLOOKUP($B32,'6-2_算定表①(旧々・旧制度)'!$B$8:$R$65536,3,FALSE))</f>
      </c>
      <c r="E32" s="98">
        <f>IF($B32="","",VLOOKUP($B32,'6-2_算定表①(旧々・旧制度)'!$B$8:$R$65536,4,FALSE))</f>
      </c>
      <c r="F32" s="99">
        <f>IF(B32="","",VLOOKUP($B32,'6-2_算定表①(旧々・旧制度)'!$B$8:$R$65536,11,FALSE))</f>
      </c>
      <c r="G32" s="60">
        <f>IF(B32="","",VLOOKUP($B32,'6-2_算定表①(旧々・旧制度)'!$B$8:$R$65536,13,FALSE))</f>
      </c>
      <c r="H32" s="99">
        <f>IF(B32="","",VLOOKUP($B32,'6-2_算定表①(旧々・旧制度)'!$B$8:$R$65536,14,FALSE))</f>
      </c>
      <c r="I32" s="60">
        <f>IF(B32="","",VLOOKUP($B32,'6-2_算定表①(旧々・旧制度)'!$B$8:$R$65536,16,FALSE))</f>
      </c>
      <c r="J32" s="61">
        <f>IF(B32="","",VLOOKUP($B32,'6-2_算定表①(旧々・旧制度)'!$B$8:$R$65536,17,FALSE))</f>
      </c>
      <c r="K32" s="100">
        <f>IF($B32="","",VLOOKUP($B32,'6-2_算定表①(旧々・旧制度)'!$B$8:$R$65536,11,FALSE))</f>
      </c>
      <c r="L32" s="101">
        <f>IF($B32="","",VLOOKUP($B32,'6-2_算定表①(旧々・旧制度)'!$B$8:$R$65536,11,FALSE))</f>
      </c>
      <c r="M32" s="102">
        <f>IF($B32="","",VLOOKUP($B32,'6-2_算定表①(旧々・旧制度)'!$B$8:$R$65536,11,FALSE))</f>
      </c>
      <c r="N32" s="100">
        <f>IF($B32="","",VLOOKUP($B32,'6-2_算定表①(旧々・旧制度)'!$B$8:$R$65536,14,FALSE))</f>
      </c>
      <c r="O32" s="101">
        <f>IF($B32="","",VLOOKUP($B32,'6-2_算定表①(旧々・旧制度)'!$B$8:$R$65536,14,FALSE))</f>
      </c>
      <c r="P32" s="101">
        <f>IF($B32="","",VLOOKUP($B32,'6-2_算定表①(旧々・旧制度)'!$B$8:$R$65536,14,FALSE))</f>
      </c>
      <c r="Q32" s="101">
        <f>IF($B32="","",VLOOKUP($B32,'6-2_算定表①(旧々・旧制度)'!$B$8:$R$65536,14,FALSE))</f>
      </c>
      <c r="R32" s="101">
        <f>IF($B32="","",VLOOKUP($B32,'6-2_算定表①(旧々・旧制度)'!$B$8:$R$65536,14,FALSE))</f>
      </c>
      <c r="S32" s="101">
        <f>IF($B32="","",VLOOKUP($B32,'6-2_算定表①(旧々・旧制度)'!$B$8:$R$65536,14,FALSE))</f>
      </c>
      <c r="T32" s="101">
        <f>IF($B32="","",VLOOKUP($B32,'6-2_算定表①(旧々・旧制度)'!$B$8:$R$65536,14,FALSE))</f>
      </c>
      <c r="U32" s="101">
        <f>IF($B32="","",VLOOKUP($B32,'6-2_算定表①(旧々・旧制度)'!$B$8:$R$65536,14,FALSE))</f>
      </c>
      <c r="V32" s="102">
        <f>IF($B32="","",VLOOKUP($B32,'6-2_算定表①(旧々・旧制度)'!$B$8:$R$65536,14,FALSE))</f>
      </c>
      <c r="W32" s="103">
        <f t="shared" si="0"/>
      </c>
      <c r="X32" s="107">
        <f t="shared" si="1"/>
      </c>
      <c r="Y32" s="103">
        <f t="shared" si="2"/>
      </c>
      <c r="Z32" s="116">
        <f t="shared" si="3"/>
      </c>
      <c r="AA32" s="113">
        <f t="shared" si="4"/>
      </c>
      <c r="AB32" s="110">
        <f t="shared" si="5"/>
      </c>
      <c r="AC32" s="61">
        <f t="shared" si="9"/>
      </c>
      <c r="AD32" s="62">
        <f t="shared" si="6"/>
      </c>
      <c r="AE32" s="847">
        <f>IF(B32="","",VLOOKUP($B32,'6-2_算定表①(旧々・旧制度)'!$B$8:$AB$65536,27,FALSE))</f>
      </c>
      <c r="AF32" s="848">
        <f>IF(AD32="","",VLOOKUP($B32,'6-2_算定表③(旧・旧制度)'!$B$8:$R$65536,3,FALSE))</f>
      </c>
      <c r="AG32" s="849">
        <f>IF(AE32="","",VLOOKUP($B32,'6-2_算定表③(旧・旧制度)'!$B$8:$R$65536,3,FALSE))</f>
      </c>
      <c r="AI32" s="63">
        <f>IF(A32&gt;0,ASC(C32&amp;H32),"")</f>
      </c>
      <c r="AJ32" s="63">
        <f t="shared" si="7"/>
      </c>
    </row>
    <row r="33" spans="1:36" s="54" customFormat="1" ht="18.75" customHeight="1">
      <c r="A33" s="27">
        <f t="shared" si="8"/>
      </c>
      <c r="B33" s="280"/>
      <c r="C33" s="97">
        <f>IF($B33="","",VLOOKUP($B33,'6-2_算定表①(旧々・旧制度)'!$B$8:$R$65536,2,FALSE))</f>
      </c>
      <c r="D33" s="98">
        <f>IF($B33="","",VLOOKUP($B33,'6-2_算定表①(旧々・旧制度)'!$B$8:$R$65536,3,FALSE))</f>
      </c>
      <c r="E33" s="98">
        <f>IF($B33="","",VLOOKUP($B33,'6-2_算定表①(旧々・旧制度)'!$B$8:$R$65536,4,FALSE))</f>
      </c>
      <c r="F33" s="99">
        <f>IF(B33="","",VLOOKUP($B33,'6-2_算定表①(旧々・旧制度)'!$B$8:$R$65536,11,FALSE))</f>
      </c>
      <c r="G33" s="60">
        <f>IF(B33="","",VLOOKUP($B33,'6-2_算定表①(旧々・旧制度)'!$B$8:$R$65536,13,FALSE))</f>
      </c>
      <c r="H33" s="99">
        <f>IF(B33="","",VLOOKUP($B33,'6-2_算定表①(旧々・旧制度)'!$B$8:$R$65536,14,FALSE))</f>
      </c>
      <c r="I33" s="60">
        <f>IF(B33="","",VLOOKUP($B33,'6-2_算定表①(旧々・旧制度)'!$B$8:$R$65536,16,FALSE))</f>
      </c>
      <c r="J33" s="61">
        <f>IF(B33="","",VLOOKUP($B33,'6-2_算定表①(旧々・旧制度)'!$B$8:$R$65536,17,FALSE))</f>
      </c>
      <c r="K33" s="100">
        <f>IF($B33="","",VLOOKUP($B33,'6-2_算定表①(旧々・旧制度)'!$B$8:$R$65536,11,FALSE))</f>
      </c>
      <c r="L33" s="101">
        <f>IF($B33="","",VLOOKUP($B33,'6-2_算定表①(旧々・旧制度)'!$B$8:$R$65536,11,FALSE))</f>
      </c>
      <c r="M33" s="102">
        <f>IF($B33="","",VLOOKUP($B33,'6-2_算定表①(旧々・旧制度)'!$B$8:$R$65536,11,FALSE))</f>
      </c>
      <c r="N33" s="100">
        <f>IF($B33="","",VLOOKUP($B33,'6-2_算定表①(旧々・旧制度)'!$B$8:$R$65536,14,FALSE))</f>
      </c>
      <c r="O33" s="101">
        <f>IF($B33="","",VLOOKUP($B33,'6-2_算定表①(旧々・旧制度)'!$B$8:$R$65536,14,FALSE))</f>
      </c>
      <c r="P33" s="101">
        <f>IF($B33="","",VLOOKUP($B33,'6-2_算定表①(旧々・旧制度)'!$B$8:$R$65536,14,FALSE))</f>
      </c>
      <c r="Q33" s="101">
        <f>IF($B33="","",VLOOKUP($B33,'6-2_算定表①(旧々・旧制度)'!$B$8:$R$65536,14,FALSE))</f>
      </c>
      <c r="R33" s="101">
        <f>IF($B33="","",VLOOKUP($B33,'6-2_算定表①(旧々・旧制度)'!$B$8:$R$65536,14,FALSE))</f>
      </c>
      <c r="S33" s="101">
        <f>IF($B33="","",VLOOKUP($B33,'6-2_算定表①(旧々・旧制度)'!$B$8:$R$65536,14,FALSE))</f>
      </c>
      <c r="T33" s="101">
        <f>IF($B33="","",VLOOKUP($B33,'6-2_算定表①(旧々・旧制度)'!$B$8:$R$65536,14,FALSE))</f>
      </c>
      <c r="U33" s="101">
        <f>IF($B33="","",VLOOKUP($B33,'6-2_算定表①(旧々・旧制度)'!$B$8:$R$65536,14,FALSE))</f>
      </c>
      <c r="V33" s="102">
        <f>IF($B33="","",VLOOKUP($B33,'6-2_算定表①(旧々・旧制度)'!$B$8:$R$65536,14,FALSE))</f>
      </c>
      <c r="W33" s="103">
        <f t="shared" si="0"/>
      </c>
      <c r="X33" s="107">
        <f t="shared" si="1"/>
      </c>
      <c r="Y33" s="103">
        <f t="shared" si="2"/>
      </c>
      <c r="Z33" s="116">
        <f t="shared" si="3"/>
      </c>
      <c r="AA33" s="113">
        <f t="shared" si="4"/>
      </c>
      <c r="AB33" s="110">
        <f t="shared" si="5"/>
      </c>
      <c r="AC33" s="61">
        <f t="shared" si="9"/>
      </c>
      <c r="AD33" s="62">
        <f t="shared" si="6"/>
      </c>
      <c r="AE33" s="847">
        <f>IF(B33="","",VLOOKUP($B33,'6-2_算定表①(旧々・旧制度)'!$B$8:$AB$65536,27,FALSE))</f>
      </c>
      <c r="AF33" s="848">
        <f>IF(AD33="","",VLOOKUP($B33,'6-2_算定表③(旧・旧制度)'!$B$8:$R$65536,3,FALSE))</f>
      </c>
      <c r="AG33" s="849">
        <f>IF(AE33="","",VLOOKUP($B33,'6-2_算定表③(旧・旧制度)'!$B$8:$R$65536,3,FALSE))</f>
      </c>
      <c r="AI33" s="63">
        <f t="shared" si="10"/>
      </c>
      <c r="AJ33" s="63">
        <f t="shared" si="7"/>
      </c>
    </row>
    <row r="34" spans="1:36" s="54" customFormat="1" ht="18.75" customHeight="1">
      <c r="A34" s="27">
        <f t="shared" si="8"/>
      </c>
      <c r="B34" s="280"/>
      <c r="C34" s="97">
        <f>IF($B34="","",VLOOKUP($B34,'6-2_算定表①(旧々・旧制度)'!$B$8:$R$65536,2,FALSE))</f>
      </c>
      <c r="D34" s="98">
        <f>IF($B34="","",VLOOKUP($B34,'6-2_算定表①(旧々・旧制度)'!$B$8:$R$65536,3,FALSE))</f>
      </c>
      <c r="E34" s="98">
        <f>IF($B34="","",VLOOKUP($B34,'6-2_算定表①(旧々・旧制度)'!$B$8:$R$65536,4,FALSE))</f>
      </c>
      <c r="F34" s="99">
        <f>IF(B34="","",VLOOKUP($B34,'6-2_算定表①(旧々・旧制度)'!$B$8:$R$65536,11,FALSE))</f>
      </c>
      <c r="G34" s="60">
        <f>IF(B34="","",VLOOKUP($B34,'6-2_算定表①(旧々・旧制度)'!$B$8:$R$65536,13,FALSE))</f>
      </c>
      <c r="H34" s="99">
        <f>IF(B34="","",VLOOKUP($B34,'6-2_算定表①(旧々・旧制度)'!$B$8:$R$65536,14,FALSE))</f>
      </c>
      <c r="I34" s="60">
        <f>IF(B34="","",VLOOKUP($B34,'6-2_算定表①(旧々・旧制度)'!$B$8:$R$65536,16,FALSE))</f>
      </c>
      <c r="J34" s="61">
        <f>IF(B34="","",VLOOKUP($B34,'6-2_算定表①(旧々・旧制度)'!$B$8:$R$65536,17,FALSE))</f>
      </c>
      <c r="K34" s="100">
        <f>IF($B34="","",VLOOKUP($B34,'6-2_算定表①(旧々・旧制度)'!$B$8:$R$65536,11,FALSE))</f>
      </c>
      <c r="L34" s="101">
        <f>IF($B34="","",VLOOKUP($B34,'6-2_算定表①(旧々・旧制度)'!$B$8:$R$65536,11,FALSE))</f>
      </c>
      <c r="M34" s="102">
        <f>IF($B34="","",VLOOKUP($B34,'6-2_算定表①(旧々・旧制度)'!$B$8:$R$65536,11,FALSE))</f>
      </c>
      <c r="N34" s="100">
        <f>IF($B34="","",VLOOKUP($B34,'6-2_算定表①(旧々・旧制度)'!$B$8:$R$65536,14,FALSE))</f>
      </c>
      <c r="O34" s="101">
        <f>IF($B34="","",VLOOKUP($B34,'6-2_算定表①(旧々・旧制度)'!$B$8:$R$65536,14,FALSE))</f>
      </c>
      <c r="P34" s="101">
        <f>IF($B34="","",VLOOKUP($B34,'6-2_算定表①(旧々・旧制度)'!$B$8:$R$65536,14,FALSE))</f>
      </c>
      <c r="Q34" s="101">
        <f>IF($B34="","",VLOOKUP($B34,'6-2_算定表①(旧々・旧制度)'!$B$8:$R$65536,14,FALSE))</f>
      </c>
      <c r="R34" s="101">
        <f>IF($B34="","",VLOOKUP($B34,'6-2_算定表①(旧々・旧制度)'!$B$8:$R$65536,14,FALSE))</f>
      </c>
      <c r="S34" s="101">
        <f>IF($B34="","",VLOOKUP($B34,'6-2_算定表①(旧々・旧制度)'!$B$8:$R$65536,14,FALSE))</f>
      </c>
      <c r="T34" s="101">
        <f>IF($B34="","",VLOOKUP($B34,'6-2_算定表①(旧々・旧制度)'!$B$8:$R$65536,14,FALSE))</f>
      </c>
      <c r="U34" s="101">
        <f>IF($B34="","",VLOOKUP($B34,'6-2_算定表①(旧々・旧制度)'!$B$8:$R$65536,14,FALSE))</f>
      </c>
      <c r="V34" s="102">
        <f>IF($B34="","",VLOOKUP($B34,'6-2_算定表①(旧々・旧制度)'!$B$8:$R$65536,14,FALSE))</f>
      </c>
      <c r="W34" s="103">
        <f t="shared" si="0"/>
      </c>
      <c r="X34" s="107">
        <f t="shared" si="1"/>
      </c>
      <c r="Y34" s="103">
        <f t="shared" si="2"/>
      </c>
      <c r="Z34" s="116">
        <f t="shared" si="3"/>
      </c>
      <c r="AA34" s="113">
        <f t="shared" si="4"/>
      </c>
      <c r="AB34" s="110">
        <f t="shared" si="5"/>
      </c>
      <c r="AC34" s="61">
        <f t="shared" si="9"/>
      </c>
      <c r="AD34" s="62">
        <f t="shared" si="6"/>
      </c>
      <c r="AE34" s="847">
        <f>IF(B34="","",VLOOKUP($B34,'6-2_算定表①(旧々・旧制度)'!$B$8:$AB$65536,27,FALSE))</f>
      </c>
      <c r="AF34" s="848">
        <f>IF(AD34="","",VLOOKUP($B34,'6-2_算定表③(旧・旧制度)'!$B$8:$R$65536,3,FALSE))</f>
      </c>
      <c r="AG34" s="849">
        <f>IF(AE34="","",VLOOKUP($B34,'6-2_算定表③(旧・旧制度)'!$B$8:$R$65536,3,FALSE))</f>
      </c>
      <c r="AI34" s="63">
        <f t="shared" si="10"/>
      </c>
      <c r="AJ34" s="63">
        <f t="shared" si="7"/>
      </c>
    </row>
    <row r="35" spans="1:36" s="54" customFormat="1" ht="18.75" customHeight="1">
      <c r="A35" s="27">
        <f t="shared" si="8"/>
      </c>
      <c r="B35" s="280"/>
      <c r="C35" s="97">
        <f>IF($B35="","",VLOOKUP($B35,'6-2_算定表①(旧々・旧制度)'!$B$8:$R$65536,2,FALSE))</f>
      </c>
      <c r="D35" s="98">
        <f>IF($B35="","",VLOOKUP($B35,'6-2_算定表①(旧々・旧制度)'!$B$8:$R$65536,3,FALSE))</f>
      </c>
      <c r="E35" s="348">
        <f>IF($B35="","",VLOOKUP($B35,'6-2_算定表①(旧々・旧制度)'!$B$8:$R$65536,4,FALSE))</f>
      </c>
      <c r="F35" s="349">
        <f>IF(B35="","",VLOOKUP($B35,'6-2_算定表①(旧々・旧制度)'!$B$8:$R$65536,11,FALSE))</f>
      </c>
      <c r="G35" s="354">
        <f>IF(B35="","",VLOOKUP($B35,'6-2_算定表①(旧々・旧制度)'!$B$8:$R$65536,13,FALSE))</f>
      </c>
      <c r="H35" s="349">
        <f>IF(B35="","",VLOOKUP($B35,'6-2_算定表①(旧々・旧制度)'!$B$8:$R$65536,14,FALSE))</f>
      </c>
      <c r="I35" s="354">
        <f>IF(B35="","",VLOOKUP($B35,'6-2_算定表①(旧々・旧制度)'!$B$8:$R$65536,16,FALSE))</f>
      </c>
      <c r="J35" s="61">
        <f>IF(B35="","",VLOOKUP($B35,'6-2_算定表①(旧々・旧制度)'!$B$8:$R$65536,17,FALSE))</f>
      </c>
      <c r="K35" s="100">
        <f>IF($B35="","",VLOOKUP($B35,'6-2_算定表①(旧々・旧制度)'!$B$8:$R$65536,11,FALSE))</f>
      </c>
      <c r="L35" s="101">
        <f>IF($B35="","",VLOOKUP($B35,'6-2_算定表①(旧々・旧制度)'!$B$8:$R$65536,11,FALSE))</f>
      </c>
      <c r="M35" s="102">
        <f>IF($B35="","",VLOOKUP($B35,'6-2_算定表①(旧々・旧制度)'!$B$8:$R$65536,11,FALSE))</f>
      </c>
      <c r="N35" s="100">
        <f>IF($B35="","",VLOOKUP($B35,'6-2_算定表①(旧々・旧制度)'!$B$8:$R$65536,14,FALSE))</f>
      </c>
      <c r="O35" s="101">
        <f>IF($B35="","",VLOOKUP($B35,'6-2_算定表①(旧々・旧制度)'!$B$8:$R$65536,14,FALSE))</f>
      </c>
      <c r="P35" s="101">
        <f>IF($B35="","",VLOOKUP($B35,'6-2_算定表①(旧々・旧制度)'!$B$8:$R$65536,14,FALSE))</f>
      </c>
      <c r="Q35" s="101">
        <f>IF($B35="","",VLOOKUP($B35,'6-2_算定表①(旧々・旧制度)'!$B$8:$R$65536,14,FALSE))</f>
      </c>
      <c r="R35" s="101">
        <f>IF($B35="","",VLOOKUP($B35,'6-2_算定表①(旧々・旧制度)'!$B$8:$R$65536,14,FALSE))</f>
      </c>
      <c r="S35" s="101">
        <f>IF($B35="","",VLOOKUP($B35,'6-2_算定表①(旧々・旧制度)'!$B$8:$R$65536,14,FALSE))</f>
      </c>
      <c r="T35" s="101">
        <f>IF($B35="","",VLOOKUP($B35,'6-2_算定表①(旧々・旧制度)'!$B$8:$R$65536,14,FALSE))</f>
      </c>
      <c r="U35" s="101">
        <f>IF($B35="","",VLOOKUP($B35,'6-2_算定表①(旧々・旧制度)'!$B$8:$R$65536,14,FALSE))</f>
      </c>
      <c r="V35" s="102">
        <f>IF($B35="","",VLOOKUP($B35,'6-2_算定表①(旧々・旧制度)'!$B$8:$R$65536,14,FALSE))</f>
      </c>
      <c r="W35" s="103">
        <f t="shared" si="0"/>
      </c>
      <c r="X35" s="107">
        <f t="shared" si="1"/>
      </c>
      <c r="Y35" s="103">
        <f t="shared" si="2"/>
      </c>
      <c r="Z35" s="116">
        <f t="shared" si="3"/>
      </c>
      <c r="AA35" s="113">
        <f t="shared" si="4"/>
      </c>
      <c r="AB35" s="110">
        <f t="shared" si="5"/>
      </c>
      <c r="AC35" s="61">
        <f t="shared" si="9"/>
      </c>
      <c r="AD35" s="62">
        <f t="shared" si="6"/>
      </c>
      <c r="AE35" s="847">
        <f>IF(B35="","",VLOOKUP($B35,'6-2_算定表①(旧々・旧制度)'!$B$8:$AB$65536,27,FALSE))</f>
      </c>
      <c r="AF35" s="848">
        <f>IF(AD35="","",VLOOKUP($B35,'6-2_算定表③(旧・旧制度)'!$B$8:$R$65536,3,FALSE))</f>
      </c>
      <c r="AG35" s="849">
        <f>IF(AE35="","",VLOOKUP($B35,'6-2_算定表③(旧・旧制度)'!$B$8:$R$65536,3,FALSE))</f>
      </c>
      <c r="AI35" s="63">
        <f t="shared" si="10"/>
      </c>
      <c r="AJ35" s="63">
        <f t="shared" si="7"/>
      </c>
    </row>
    <row r="36" spans="1:36" s="54" customFormat="1" ht="18.75" customHeight="1">
      <c r="A36" s="27">
        <f t="shared" si="8"/>
      </c>
      <c r="B36" s="280"/>
      <c r="C36" s="97">
        <f>IF($B36="","",VLOOKUP($B36,'6-2_算定表①(旧々・旧制度)'!$B$8:$R$65536,2,FALSE))</f>
      </c>
      <c r="D36" s="98">
        <f>IF($B36="","",VLOOKUP($B36,'6-2_算定表①(旧々・旧制度)'!$B$8:$R$65536,3,FALSE))</f>
      </c>
      <c r="E36" s="98">
        <f>IF($B36="","",VLOOKUP($B36,'6-2_算定表①(旧々・旧制度)'!$B$8:$R$65536,4,FALSE))</f>
      </c>
      <c r="F36" s="99">
        <f>IF(B36="","",VLOOKUP($B36,'6-2_算定表①(旧々・旧制度)'!$B$8:$R$65536,11,FALSE))</f>
      </c>
      <c r="G36" s="60">
        <f>IF(B36="","",VLOOKUP($B36,'6-2_算定表①(旧々・旧制度)'!$B$8:$R$65536,13,FALSE))</f>
      </c>
      <c r="H36" s="99">
        <f>IF(B36="","",VLOOKUP($B36,'6-2_算定表①(旧々・旧制度)'!$B$8:$R$65536,14,FALSE))</f>
      </c>
      <c r="I36" s="60">
        <f>IF(B36="","",VLOOKUP($B36,'6-2_算定表①(旧々・旧制度)'!$B$8:$R$65536,16,FALSE))</f>
      </c>
      <c r="J36" s="61">
        <f>IF(B36="","",VLOOKUP($B36,'6-2_算定表①(旧々・旧制度)'!$B$8:$R$65536,17,FALSE))</f>
      </c>
      <c r="K36" s="100">
        <f>IF($B36="","",VLOOKUP($B36,'6-2_算定表①(旧々・旧制度)'!$B$8:$R$65536,11,FALSE))</f>
      </c>
      <c r="L36" s="101">
        <f>IF($B36="","",VLOOKUP($B36,'6-2_算定表①(旧々・旧制度)'!$B$8:$R$65536,11,FALSE))</f>
      </c>
      <c r="M36" s="102">
        <f>IF($B36="","",VLOOKUP($B36,'6-2_算定表①(旧々・旧制度)'!$B$8:$R$65536,11,FALSE))</f>
      </c>
      <c r="N36" s="100">
        <f>IF($B36="","",VLOOKUP($B36,'6-2_算定表①(旧々・旧制度)'!$B$8:$R$65536,14,FALSE))</f>
      </c>
      <c r="O36" s="101">
        <f>IF($B36="","",VLOOKUP($B36,'6-2_算定表①(旧々・旧制度)'!$B$8:$R$65536,14,FALSE))</f>
      </c>
      <c r="P36" s="101">
        <f>IF($B36="","",VLOOKUP($B36,'6-2_算定表①(旧々・旧制度)'!$B$8:$R$65536,14,FALSE))</f>
      </c>
      <c r="Q36" s="101">
        <f>IF($B36="","",VLOOKUP($B36,'6-2_算定表①(旧々・旧制度)'!$B$8:$R$65536,14,FALSE))</f>
      </c>
      <c r="R36" s="101">
        <f>IF($B36="","",VLOOKUP($B36,'6-2_算定表①(旧々・旧制度)'!$B$8:$R$65536,14,FALSE))</f>
      </c>
      <c r="S36" s="101">
        <f>IF($B36="","",VLOOKUP($B36,'6-2_算定表①(旧々・旧制度)'!$B$8:$R$65536,14,FALSE))</f>
      </c>
      <c r="T36" s="101">
        <f>IF($B36="","",VLOOKUP($B36,'6-2_算定表①(旧々・旧制度)'!$B$8:$R$65536,14,FALSE))</f>
      </c>
      <c r="U36" s="101">
        <f>IF($B36="","",VLOOKUP($B36,'6-2_算定表①(旧々・旧制度)'!$B$8:$R$65536,14,FALSE))</f>
      </c>
      <c r="V36" s="102">
        <f>IF($B36="","",VLOOKUP($B36,'6-2_算定表①(旧々・旧制度)'!$B$8:$R$65536,14,FALSE))</f>
      </c>
      <c r="W36" s="103">
        <f t="shared" si="0"/>
      </c>
      <c r="X36" s="107">
        <f t="shared" si="1"/>
      </c>
      <c r="Y36" s="103">
        <f t="shared" si="2"/>
      </c>
      <c r="Z36" s="116">
        <f t="shared" si="3"/>
      </c>
      <c r="AA36" s="113">
        <f t="shared" si="4"/>
      </c>
      <c r="AB36" s="110">
        <f t="shared" si="5"/>
      </c>
      <c r="AC36" s="61">
        <f>IF(B36="","",(G36/12*W36)+(I36/12*X36)+(G36/12*Y36)+(I36/12*Z36))</f>
      </c>
      <c r="AD36" s="62">
        <f t="shared" si="6"/>
      </c>
      <c r="AE36" s="847">
        <f>IF(B36="","",VLOOKUP($B36,'6-2_算定表①(旧々・旧制度)'!$B$8:$AB$65536,27,FALSE))</f>
      </c>
      <c r="AF36" s="848">
        <f>IF(AD36="","",VLOOKUP($B36,'6-2_算定表③(旧・旧制度)'!$B$8:$R$65536,3,FALSE))</f>
      </c>
      <c r="AG36" s="849">
        <f>IF(AE36="","",VLOOKUP($B36,'6-2_算定表③(旧・旧制度)'!$B$8:$R$65536,3,FALSE))</f>
      </c>
      <c r="AI36" s="63">
        <f t="shared" si="10"/>
      </c>
      <c r="AJ36" s="63">
        <f t="shared" si="7"/>
      </c>
    </row>
    <row r="37" spans="1:36" s="54" customFormat="1" ht="18.75" customHeight="1">
      <c r="A37" s="27">
        <f t="shared" si="8"/>
      </c>
      <c r="B37" s="280"/>
      <c r="C37" s="97">
        <f>IF($B37="","",VLOOKUP($B37,'6-2_算定表①(旧々・旧制度)'!$B$8:$R$65536,2,FALSE))</f>
      </c>
      <c r="D37" s="98">
        <f>IF($B37="","",VLOOKUP($B37,'6-2_算定表①(旧々・旧制度)'!$B$8:$R$65536,3,FALSE))</f>
      </c>
      <c r="E37" s="98">
        <f>IF($B37="","",VLOOKUP($B37,'6-2_算定表①(旧々・旧制度)'!$B$8:$R$65536,4,FALSE))</f>
      </c>
      <c r="F37" s="99">
        <f>IF(B37="","",VLOOKUP($B37,'6-2_算定表①(旧々・旧制度)'!$B$8:$R$65536,11,FALSE))</f>
      </c>
      <c r="G37" s="60">
        <f>IF(B37="","",VLOOKUP($B37,'6-2_算定表①(旧々・旧制度)'!$B$8:$R$65536,13,FALSE))</f>
      </c>
      <c r="H37" s="99">
        <f>IF(B37="","",VLOOKUP($B37,'6-2_算定表①(旧々・旧制度)'!$B$8:$R$65536,14,FALSE))</f>
      </c>
      <c r="I37" s="60">
        <f>IF(B37="","",VLOOKUP($B37,'6-2_算定表①(旧々・旧制度)'!$B$8:$R$65536,16,FALSE))</f>
      </c>
      <c r="J37" s="61">
        <f>IF(B37="","",VLOOKUP($B37,'6-2_算定表①(旧々・旧制度)'!$B$8:$R$65536,17,FALSE))</f>
      </c>
      <c r="K37" s="100">
        <f>IF($B37="","",VLOOKUP($B37,'6-2_算定表①(旧々・旧制度)'!$B$8:$R$65536,11,FALSE))</f>
      </c>
      <c r="L37" s="101">
        <f>IF($B37="","",VLOOKUP($B37,'6-2_算定表①(旧々・旧制度)'!$B$8:$R$65536,11,FALSE))</f>
      </c>
      <c r="M37" s="102">
        <f>IF($B37="","",VLOOKUP($B37,'6-2_算定表①(旧々・旧制度)'!$B$8:$R$65536,11,FALSE))</f>
      </c>
      <c r="N37" s="100">
        <f>IF($B37="","",VLOOKUP($B37,'6-2_算定表①(旧々・旧制度)'!$B$8:$R$65536,14,FALSE))</f>
      </c>
      <c r="O37" s="101">
        <f>IF($B37="","",VLOOKUP($B37,'6-2_算定表①(旧々・旧制度)'!$B$8:$R$65536,14,FALSE))</f>
      </c>
      <c r="P37" s="101">
        <f>IF($B37="","",VLOOKUP($B37,'6-2_算定表①(旧々・旧制度)'!$B$8:$R$65536,14,FALSE))</f>
      </c>
      <c r="Q37" s="101">
        <f>IF($B37="","",VLOOKUP($B37,'6-2_算定表①(旧々・旧制度)'!$B$8:$R$65536,14,FALSE))</f>
      </c>
      <c r="R37" s="101">
        <f>IF($B37="","",VLOOKUP($B37,'6-2_算定表①(旧々・旧制度)'!$B$8:$R$65536,14,FALSE))</f>
      </c>
      <c r="S37" s="101">
        <f>IF($B37="","",VLOOKUP($B37,'6-2_算定表①(旧々・旧制度)'!$B$8:$R$65536,14,FALSE))</f>
      </c>
      <c r="T37" s="101">
        <f>IF($B37="","",VLOOKUP($B37,'6-2_算定表①(旧々・旧制度)'!$B$8:$R$65536,14,FALSE))</f>
      </c>
      <c r="U37" s="101">
        <f>IF($B37="","",VLOOKUP($B37,'6-2_算定表①(旧々・旧制度)'!$B$8:$R$65536,14,FALSE))</f>
      </c>
      <c r="V37" s="102">
        <f>IF($B37="","",VLOOKUP($B37,'6-2_算定表①(旧々・旧制度)'!$B$8:$R$65536,14,FALSE))</f>
      </c>
      <c r="W37" s="103">
        <f t="shared" si="0"/>
      </c>
      <c r="X37" s="107">
        <f t="shared" si="1"/>
      </c>
      <c r="Y37" s="103">
        <f t="shared" si="2"/>
      </c>
      <c r="Z37" s="116">
        <f t="shared" si="3"/>
      </c>
      <c r="AA37" s="113">
        <f t="shared" si="4"/>
      </c>
      <c r="AB37" s="110">
        <f t="shared" si="5"/>
      </c>
      <c r="AC37" s="61">
        <f t="shared" si="9"/>
      </c>
      <c r="AD37" s="62">
        <f t="shared" si="6"/>
      </c>
      <c r="AE37" s="847">
        <f>IF(B37="","",VLOOKUP($B37,'6-2_算定表①(旧々・旧制度)'!$B$8:$AB$65536,27,FALSE))</f>
      </c>
      <c r="AF37" s="848">
        <f>IF(AD37="","",VLOOKUP($B37,'6-2_算定表③(旧・旧制度)'!$B$8:$R$65536,3,FALSE))</f>
      </c>
      <c r="AG37" s="849">
        <f>IF(AE37="","",VLOOKUP($B37,'6-2_算定表③(旧・旧制度)'!$B$8:$R$65536,3,FALSE))</f>
      </c>
      <c r="AI37" s="63">
        <f t="shared" si="10"/>
      </c>
      <c r="AJ37" s="63">
        <f t="shared" si="7"/>
      </c>
    </row>
    <row r="38" spans="1:36" s="54" customFormat="1" ht="18.75" customHeight="1" thickBot="1">
      <c r="A38" s="27">
        <f t="shared" si="8"/>
      </c>
      <c r="B38" s="280"/>
      <c r="C38" s="97">
        <f>IF($B38="","",VLOOKUP($B38,'6-2_算定表①(旧々・旧制度)'!$B$8:$R$65536,2,FALSE))</f>
      </c>
      <c r="D38" s="98">
        <f>IF($B38="","",VLOOKUP($B38,'6-2_算定表①(旧々・旧制度)'!$B$8:$R$65536,3,FALSE))</f>
      </c>
      <c r="E38" s="98">
        <f>IF($B38="","",VLOOKUP($B38,'6-2_算定表①(旧々・旧制度)'!$B$8:$R$65536,4,FALSE))</f>
      </c>
      <c r="F38" s="99">
        <f>IF(B38="","",VLOOKUP($B38,'6-2_算定表①(旧々・旧制度)'!$B$8:$R$65536,11,FALSE))</f>
      </c>
      <c r="G38" s="60">
        <f>IF(B38="","",VLOOKUP($B38,'6-2_算定表①(旧々・旧制度)'!$B$8:$R$65536,13,FALSE))</f>
      </c>
      <c r="H38" s="99">
        <f>IF(B38="","",VLOOKUP($B38,'6-2_算定表①(旧々・旧制度)'!$B$8:$R$65536,14,FALSE))</f>
      </c>
      <c r="I38" s="60">
        <f>IF(B38="","",VLOOKUP($B38,'6-2_算定表①(旧々・旧制度)'!$B$8:$R$65536,16,FALSE))</f>
      </c>
      <c r="J38" s="61">
        <f>IF(B38="","",VLOOKUP($B38,'6-2_算定表①(旧々・旧制度)'!$B$8:$R$65536,17,FALSE))</f>
      </c>
      <c r="K38" s="100">
        <f>IF($B38="","",VLOOKUP($B38,'6-2_算定表①(旧々・旧制度)'!$B$8:$R$65536,11,FALSE))</f>
      </c>
      <c r="L38" s="101">
        <f>IF($B38="","",VLOOKUP($B38,'6-2_算定表①(旧々・旧制度)'!$B$8:$R$65536,11,FALSE))</f>
      </c>
      <c r="M38" s="102">
        <f>IF($B38="","",VLOOKUP($B38,'6-2_算定表①(旧々・旧制度)'!$B$8:$R$65536,11,FALSE))</f>
      </c>
      <c r="N38" s="100">
        <f>IF($B38="","",VLOOKUP($B38,'6-2_算定表①(旧々・旧制度)'!$B$8:$R$65536,14,FALSE))</f>
      </c>
      <c r="O38" s="101">
        <f>IF($B38="","",VLOOKUP($B38,'6-2_算定表①(旧々・旧制度)'!$B$8:$R$65536,14,FALSE))</f>
      </c>
      <c r="P38" s="101">
        <f>IF($B38="","",VLOOKUP($B38,'6-2_算定表①(旧々・旧制度)'!$B$8:$R$65536,14,FALSE))</f>
      </c>
      <c r="Q38" s="101">
        <f>IF($B38="","",VLOOKUP($B38,'6-2_算定表①(旧々・旧制度)'!$B$8:$R$65536,14,FALSE))</f>
      </c>
      <c r="R38" s="101">
        <f>IF($B38="","",VLOOKUP($B38,'6-2_算定表①(旧々・旧制度)'!$B$8:$R$65536,14,FALSE))</f>
      </c>
      <c r="S38" s="101">
        <f>IF($B38="","",VLOOKUP($B38,'6-2_算定表①(旧々・旧制度)'!$B$8:$R$65536,14,FALSE))</f>
      </c>
      <c r="T38" s="101">
        <f>IF($B38="","",VLOOKUP($B38,'6-2_算定表①(旧々・旧制度)'!$B$8:$R$65536,14,FALSE))</f>
      </c>
      <c r="U38" s="101">
        <f>IF($B38="","",VLOOKUP($B38,'6-2_算定表①(旧々・旧制度)'!$B$8:$R$65536,14,FALSE))</f>
      </c>
      <c r="V38" s="102">
        <f>IF($B38="","",VLOOKUP($B38,'6-2_算定表①(旧々・旧制度)'!$B$8:$R$65536,14,FALSE))</f>
      </c>
      <c r="W38" s="103">
        <f t="shared" si="0"/>
      </c>
      <c r="X38" s="107">
        <f t="shared" si="1"/>
      </c>
      <c r="Y38" s="103">
        <f t="shared" si="2"/>
      </c>
      <c r="Z38" s="116">
        <f t="shared" si="3"/>
      </c>
      <c r="AA38" s="113">
        <f t="shared" si="4"/>
      </c>
      <c r="AB38" s="110">
        <f t="shared" si="5"/>
      </c>
      <c r="AC38" s="61">
        <f t="shared" si="9"/>
      </c>
      <c r="AD38" s="62">
        <f t="shared" si="6"/>
      </c>
      <c r="AE38" s="847">
        <f>IF(B38="","",VLOOKUP($B38,'6-2_算定表①(旧々・旧制度)'!$B$8:$AB$65536,27,FALSE))</f>
      </c>
      <c r="AF38" s="848">
        <f>IF(AD38="","",VLOOKUP($B38,'6-2_算定表③(旧・旧制度)'!$B$8:$R$65536,3,FALSE))</f>
      </c>
      <c r="AG38" s="849">
        <f>IF(AE38="","",VLOOKUP($B38,'6-2_算定表③(旧・旧制度)'!$B$8:$R$65536,3,FALSE))</f>
      </c>
      <c r="AI38" s="63">
        <f t="shared" si="10"/>
      </c>
      <c r="AJ38" s="63">
        <f t="shared" si="7"/>
      </c>
    </row>
    <row r="39" spans="1:36" s="69" customFormat="1" ht="18.75" customHeight="1" thickBot="1">
      <c r="A39" s="715" t="s">
        <v>27</v>
      </c>
      <c r="B39" s="850"/>
      <c r="C39" s="850"/>
      <c r="D39" s="850"/>
      <c r="E39" s="850"/>
      <c r="F39" s="850"/>
      <c r="G39" s="850"/>
      <c r="H39" s="850"/>
      <c r="I39" s="850"/>
      <c r="J39" s="66">
        <f>SUM(J9:J38)</f>
        <v>0</v>
      </c>
      <c r="K39" s="197" t="s">
        <v>155</v>
      </c>
      <c r="L39" s="198" t="s">
        <v>155</v>
      </c>
      <c r="M39" s="199" t="s">
        <v>155</v>
      </c>
      <c r="N39" s="197" t="s">
        <v>155</v>
      </c>
      <c r="O39" s="198" t="s">
        <v>155</v>
      </c>
      <c r="P39" s="198" t="s">
        <v>155</v>
      </c>
      <c r="Q39" s="198" t="s">
        <v>155</v>
      </c>
      <c r="R39" s="198" t="s">
        <v>155</v>
      </c>
      <c r="S39" s="198" t="s">
        <v>155</v>
      </c>
      <c r="T39" s="198" t="s">
        <v>155</v>
      </c>
      <c r="U39" s="198" t="s">
        <v>155</v>
      </c>
      <c r="V39" s="199" t="s">
        <v>155</v>
      </c>
      <c r="W39" s="197" t="s">
        <v>155</v>
      </c>
      <c r="X39" s="200" t="s">
        <v>155</v>
      </c>
      <c r="Y39" s="197" t="s">
        <v>155</v>
      </c>
      <c r="Z39" s="201" t="s">
        <v>155</v>
      </c>
      <c r="AA39" s="202" t="s">
        <v>155</v>
      </c>
      <c r="AB39" s="203" t="s">
        <v>155</v>
      </c>
      <c r="AC39" s="67">
        <f>SUM(AC9:AC38)</f>
        <v>0</v>
      </c>
      <c r="AD39" s="67">
        <f>SUM(AD9:AD38)</f>
        <v>0</v>
      </c>
      <c r="AE39" s="718"/>
      <c r="AF39" s="719"/>
      <c r="AG39" s="720"/>
      <c r="AI39" s="70"/>
      <c r="AJ39" s="70"/>
    </row>
    <row r="40" spans="1:36" s="71" customFormat="1" ht="16.5" customHeight="1">
      <c r="A40" s="71" t="s">
        <v>29</v>
      </c>
      <c r="AI40" s="72"/>
      <c r="AJ40" s="72"/>
    </row>
    <row r="41" ht="18.75" customHeight="1">
      <c r="A41" s="283" t="s">
        <v>254</v>
      </c>
    </row>
    <row r="42" ht="18.75" customHeight="1">
      <c r="A42" s="283" t="s">
        <v>71</v>
      </c>
    </row>
    <row r="43" ht="18.75" customHeight="1">
      <c r="A43" s="283" t="s">
        <v>179</v>
      </c>
    </row>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sheetData>
  <sheetProtection selectLockedCells="1" selectUnlockedCells="1"/>
  <mergeCells count="78">
    <mergeCell ref="AE35:AG35"/>
    <mergeCell ref="AE36:AG36"/>
    <mergeCell ref="AE37:AG37"/>
    <mergeCell ref="AE38:AG38"/>
    <mergeCell ref="A39:I39"/>
    <mergeCell ref="AE39:AG39"/>
    <mergeCell ref="AE29:AG29"/>
    <mergeCell ref="AE30:AG30"/>
    <mergeCell ref="AE31:AG31"/>
    <mergeCell ref="AE32:AG32"/>
    <mergeCell ref="AE33:AG33"/>
    <mergeCell ref="AE34:AG34"/>
    <mergeCell ref="AE23:AG23"/>
    <mergeCell ref="AE24:AG24"/>
    <mergeCell ref="AE25:AG25"/>
    <mergeCell ref="AE26:AG26"/>
    <mergeCell ref="AE27:AG27"/>
    <mergeCell ref="AE28:AG28"/>
    <mergeCell ref="AE17:AG17"/>
    <mergeCell ref="AE18:AG18"/>
    <mergeCell ref="AE19:AG19"/>
    <mergeCell ref="AE20:AG20"/>
    <mergeCell ref="AE21:AG21"/>
    <mergeCell ref="AE22:AG22"/>
    <mergeCell ref="AE11:AG11"/>
    <mergeCell ref="AE12:AG12"/>
    <mergeCell ref="AE13:AG13"/>
    <mergeCell ref="AE14:AG14"/>
    <mergeCell ref="AE15:AG15"/>
    <mergeCell ref="AE16:AG16"/>
    <mergeCell ref="U7:U8"/>
    <mergeCell ref="V7:V8"/>
    <mergeCell ref="AI7:AI8"/>
    <mergeCell ref="AJ7:AJ8"/>
    <mergeCell ref="AE9:AG9"/>
    <mergeCell ref="AE10:AG10"/>
    <mergeCell ref="AA6:AA8"/>
    <mergeCell ref="AB6:AB8"/>
    <mergeCell ref="K7:K8"/>
    <mergeCell ref="L7:L8"/>
    <mergeCell ref="M7:M8"/>
    <mergeCell ref="N7:N8"/>
    <mergeCell ref="O7:O8"/>
    <mergeCell ref="P7:P8"/>
    <mergeCell ref="K6:M6"/>
    <mergeCell ref="N6:V6"/>
    <mergeCell ref="W6:W8"/>
    <mergeCell ref="X6:X8"/>
    <mergeCell ref="Y6:Y8"/>
    <mergeCell ref="Z6:Z8"/>
    <mergeCell ref="Q7:Q8"/>
    <mergeCell ref="R7:R8"/>
    <mergeCell ref="S7:S8"/>
    <mergeCell ref="T7:T8"/>
    <mergeCell ref="K4:AB4"/>
    <mergeCell ref="AC4:AC7"/>
    <mergeCell ref="AD4:AD7"/>
    <mergeCell ref="AE4:AG8"/>
    <mergeCell ref="F5:J5"/>
    <mergeCell ref="K5:V5"/>
    <mergeCell ref="W5:AB5"/>
    <mergeCell ref="F6:F8"/>
    <mergeCell ref="G6:G7"/>
    <mergeCell ref="H6:H8"/>
    <mergeCell ref="A4:A8"/>
    <mergeCell ref="B4:B8"/>
    <mergeCell ref="C4:C8"/>
    <mergeCell ref="D4:D8"/>
    <mergeCell ref="E4:E8"/>
    <mergeCell ref="F4:J4"/>
    <mergeCell ref="I6:I7"/>
    <mergeCell ref="J6:J7"/>
    <mergeCell ref="W1:Y1"/>
    <mergeCell ref="Z1:AD1"/>
    <mergeCell ref="AF1:AG1"/>
    <mergeCell ref="W2:Y2"/>
    <mergeCell ref="Z2:AD2"/>
    <mergeCell ref="AF2:AG2"/>
  </mergeCells>
  <dataValidations count="2">
    <dataValidation type="whole" allowBlank="1" showInputMessage="1" showErrorMessage="1" sqref="B14:B38">
      <formula1>1</formula1>
      <formula2>999999</formula2>
    </dataValidation>
    <dataValidation type="list" allowBlank="1" showInputMessage="1" showErrorMessage="1" sqref="K9:V38">
      <formula1>"Ａ,Ｂ,Ｄ"</formula1>
    </dataValidation>
  </dataValidations>
  <printOptions/>
  <pageMargins left="0.7480314960629921" right="0.7480314960629921" top="0.984251968503937" bottom="0.984251968503937" header="0.5118110236220472" footer="0.5118110236220472"/>
  <pageSetup cellComments="asDisplayed" fitToHeight="0" fitToWidth="0"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sheetPr>
    <tabColor rgb="FF92D050"/>
  </sheetPr>
  <dimension ref="A1:W37"/>
  <sheetViews>
    <sheetView view="pageBreakPreview" zoomScaleNormal="75" zoomScaleSheetLayoutView="100" zoomScalePageLayoutView="0" workbookViewId="0" topLeftCell="A1">
      <pane xSplit="1" ySplit="8" topLeftCell="B9" activePane="bottomRight" state="frozen"/>
      <selection pane="topLeft" activeCell="M24" sqref="M24"/>
      <selection pane="topRight" activeCell="M24" sqref="M24"/>
      <selection pane="bottomLeft" activeCell="M24" sqref="M24"/>
      <selection pane="bottomRight" activeCell="A1" sqref="A1"/>
    </sheetView>
  </sheetViews>
  <sheetFormatPr defaultColWidth="9.625" defaultRowHeight="13.5"/>
  <cols>
    <col min="1" max="1" width="6.875" style="40" customWidth="1"/>
    <col min="2" max="4" width="12.50390625" style="40" customWidth="1"/>
    <col min="5" max="5" width="10.25390625" style="40" bestFit="1" customWidth="1"/>
    <col min="6" max="6" width="13.625" style="40" customWidth="1"/>
    <col min="7" max="7" width="13.00390625" style="40" customWidth="1"/>
    <col min="8" max="8" width="11.25390625" style="40" bestFit="1" customWidth="1"/>
    <col min="9" max="10" width="12.25390625" style="40" bestFit="1" customWidth="1"/>
    <col min="11" max="11" width="5.125" style="40" customWidth="1"/>
    <col min="12" max="12" width="10.00390625" style="40" customWidth="1"/>
    <col min="13" max="13" width="8.25390625" style="40" customWidth="1"/>
    <col min="14" max="14" width="14.875" style="344" customWidth="1"/>
    <col min="15" max="15" width="8.25390625" style="40" customWidth="1"/>
    <col min="16" max="16" width="14.875" style="40" customWidth="1"/>
    <col min="17" max="17" width="8.25390625" style="344" customWidth="1"/>
    <col min="18" max="18" width="14.875" style="344" customWidth="1"/>
    <col min="19" max="19" width="3.125" style="40" customWidth="1"/>
    <col min="20" max="21" width="5.625" style="40" customWidth="1"/>
    <col min="22" max="22" width="8.25390625" style="40" customWidth="1"/>
    <col min="23" max="16384" width="9.625" style="40" customWidth="1"/>
  </cols>
  <sheetData>
    <row r="1" ht="18.75" customHeight="1" thickBot="1">
      <c r="A1" s="38" t="s">
        <v>244</v>
      </c>
    </row>
    <row r="2" spans="8:18" ht="24.75" customHeight="1" thickBot="1">
      <c r="H2" s="416"/>
      <c r="I2" s="417"/>
      <c r="J2" s="413"/>
      <c r="K2" s="413"/>
      <c r="L2" s="703" t="s">
        <v>25</v>
      </c>
      <c r="M2" s="704"/>
      <c r="N2" s="707">
        <f>'5_総括表'!E3</f>
        <v>0</v>
      </c>
      <c r="O2" s="708"/>
      <c r="P2" s="703" t="s">
        <v>26</v>
      </c>
      <c r="Q2" s="704"/>
      <c r="R2" s="180">
        <f>'5_総括表'!Z3</f>
        <v>0</v>
      </c>
    </row>
    <row r="3" spans="1:18" ht="24.75" customHeight="1" thickBot="1">
      <c r="A3" s="38"/>
      <c r="F3" s="130"/>
      <c r="G3" s="130"/>
      <c r="H3" s="416"/>
      <c r="I3" s="417"/>
      <c r="J3" s="413"/>
      <c r="K3" s="413"/>
      <c r="L3" s="705" t="s">
        <v>23</v>
      </c>
      <c r="M3" s="706"/>
      <c r="N3" s="707">
        <f>'5_総括表'!E4</f>
        <v>0</v>
      </c>
      <c r="O3" s="708"/>
      <c r="P3" s="705" t="s">
        <v>24</v>
      </c>
      <c r="Q3" s="706"/>
      <c r="R3" s="414">
        <f>'5_総括表'!Z4</f>
        <v>0</v>
      </c>
    </row>
    <row r="4" spans="1:9" ht="18.75" customHeight="1" thickBot="1">
      <c r="A4" s="330" t="s">
        <v>222</v>
      </c>
      <c r="F4" s="131"/>
      <c r="G4" s="131"/>
      <c r="H4" s="131"/>
      <c r="I4" s="131"/>
    </row>
    <row r="5" spans="1:18" s="44" customFormat="1" ht="19.5" customHeight="1" thickBot="1">
      <c r="A5" s="132" t="s">
        <v>17</v>
      </c>
      <c r="B5" s="669" t="s">
        <v>125</v>
      </c>
      <c r="C5" s="334"/>
      <c r="D5" s="335"/>
      <c r="E5" s="670" t="s">
        <v>160</v>
      </c>
      <c r="F5" s="174"/>
      <c r="G5" s="175"/>
      <c r="H5" s="672" t="s">
        <v>147</v>
      </c>
      <c r="I5" s="674" t="s">
        <v>148</v>
      </c>
      <c r="J5" s="674" t="s">
        <v>149</v>
      </c>
      <c r="K5" s="664" t="s">
        <v>245</v>
      </c>
      <c r="L5" s="665"/>
      <c r="M5" s="665"/>
      <c r="N5" s="666"/>
      <c r="O5" s="667" t="s">
        <v>246</v>
      </c>
      <c r="P5" s="668"/>
      <c r="Q5" s="667" t="s">
        <v>247</v>
      </c>
      <c r="R5" s="668"/>
    </row>
    <row r="6" spans="1:20" s="44" customFormat="1" ht="38.25" customHeight="1" thickBot="1">
      <c r="A6" s="676" t="s">
        <v>119</v>
      </c>
      <c r="B6" s="670"/>
      <c r="C6" s="336" t="s">
        <v>211</v>
      </c>
      <c r="D6" s="336" t="s">
        <v>67</v>
      </c>
      <c r="E6" s="671"/>
      <c r="F6" s="133" t="s">
        <v>141</v>
      </c>
      <c r="G6" s="135" t="s">
        <v>124</v>
      </c>
      <c r="H6" s="673"/>
      <c r="I6" s="670"/>
      <c r="J6" s="675"/>
      <c r="K6" s="133" t="s">
        <v>21</v>
      </c>
      <c r="L6" s="134" t="s">
        <v>50</v>
      </c>
      <c r="M6" s="400" t="s">
        <v>49</v>
      </c>
      <c r="N6" s="398" t="s">
        <v>68</v>
      </c>
      <c r="O6" s="407" t="s">
        <v>49</v>
      </c>
      <c r="P6" s="136" t="s">
        <v>68</v>
      </c>
      <c r="Q6" s="401" t="s">
        <v>49</v>
      </c>
      <c r="R6" s="402" t="s">
        <v>68</v>
      </c>
      <c r="T6" s="137" t="s">
        <v>70</v>
      </c>
    </row>
    <row r="7" spans="1:20" s="44" customFormat="1" ht="20.25" customHeight="1" thickBot="1">
      <c r="A7" s="677"/>
      <c r="B7" s="48" t="s">
        <v>126</v>
      </c>
      <c r="C7" s="48" t="s">
        <v>127</v>
      </c>
      <c r="D7" s="48" t="s">
        <v>128</v>
      </c>
      <c r="E7" s="48" t="s">
        <v>144</v>
      </c>
      <c r="F7" s="138" t="s">
        <v>129</v>
      </c>
      <c r="G7" s="140" t="s">
        <v>130</v>
      </c>
      <c r="H7" s="170" t="s">
        <v>131</v>
      </c>
      <c r="I7" s="48" t="s">
        <v>132</v>
      </c>
      <c r="J7" s="47" t="s">
        <v>133</v>
      </c>
      <c r="K7" s="138"/>
      <c r="L7" s="139"/>
      <c r="M7" s="140"/>
      <c r="N7" s="393"/>
      <c r="O7" s="140"/>
      <c r="P7" s="141" t="s">
        <v>102</v>
      </c>
      <c r="Q7" s="403"/>
      <c r="R7" s="404"/>
      <c r="T7" s="142"/>
    </row>
    <row r="8" spans="1:18" s="149" customFormat="1" ht="20.25" customHeight="1" thickBot="1">
      <c r="A8" s="143"/>
      <c r="B8" s="144" t="s">
        <v>19</v>
      </c>
      <c r="C8" s="144" t="s">
        <v>19</v>
      </c>
      <c r="D8" s="144" t="s">
        <v>19</v>
      </c>
      <c r="E8" s="144" t="s">
        <v>145</v>
      </c>
      <c r="F8" s="145" t="s">
        <v>142</v>
      </c>
      <c r="G8" s="147" t="s">
        <v>143</v>
      </c>
      <c r="H8" s="171" t="s">
        <v>22</v>
      </c>
      <c r="I8" s="144" t="s">
        <v>22</v>
      </c>
      <c r="J8" s="144" t="s">
        <v>22</v>
      </c>
      <c r="K8" s="145"/>
      <c r="L8" s="146" t="s">
        <v>20</v>
      </c>
      <c r="M8" s="147" t="s">
        <v>19</v>
      </c>
      <c r="N8" s="395" t="s">
        <v>20</v>
      </c>
      <c r="O8" s="147" t="s">
        <v>19</v>
      </c>
      <c r="P8" s="148" t="s">
        <v>20</v>
      </c>
      <c r="Q8" s="405" t="s">
        <v>19</v>
      </c>
      <c r="R8" s="406" t="s">
        <v>20</v>
      </c>
    </row>
    <row r="9" spans="1:20" s="44" customFormat="1" ht="18" customHeight="1" thickBot="1">
      <c r="A9" s="678">
        <v>1</v>
      </c>
      <c r="B9" s="679"/>
      <c r="C9" s="679"/>
      <c r="D9" s="679"/>
      <c r="E9" s="681"/>
      <c r="F9" s="176"/>
      <c r="G9" s="177"/>
      <c r="H9" s="172">
        <f>IF(F9="","",IF(ISERROR(F9+ROUNDDOWN(G9*3/74,0)),"",F9+ROUNDDOWN(G9*3/74,0)))</f>
      </c>
      <c r="I9" s="151">
        <f>IF(H9="","",IF(H9&gt;10032,10032,H9))</f>
      </c>
      <c r="J9" s="150">
        <f>IF(H9="","",MIN(H9,I9))</f>
      </c>
      <c r="K9" s="152" t="s">
        <v>84</v>
      </c>
      <c r="L9" s="74">
        <v>408</v>
      </c>
      <c r="M9" s="444"/>
      <c r="N9" s="445"/>
      <c r="O9" s="425">
        <f>SUMIF('6-2_算定表②(旧々・新制度)'!$AF:$AF,$T9,'6-2_算定表②(旧々・新制度)'!$AG:$AG)</f>
        <v>0</v>
      </c>
      <c r="P9" s="153">
        <f>SUMIF('6-2_算定表②(旧々・新制度)'!$AF:$AF,$T9,'6-2_算定表②(旧々・新制度)'!$AA:$AA)</f>
        <v>0</v>
      </c>
      <c r="Q9" s="427">
        <f>O9-M9</f>
        <v>0</v>
      </c>
      <c r="R9" s="428">
        <f>P9-N9</f>
        <v>0</v>
      </c>
      <c r="T9" s="154" t="str">
        <f>ASC($A$9&amp;$K9)</f>
        <v>1A</v>
      </c>
    </row>
    <row r="10" spans="1:22" s="44" customFormat="1" ht="18" customHeight="1" thickBot="1">
      <c r="A10" s="678"/>
      <c r="B10" s="680"/>
      <c r="C10" s="680"/>
      <c r="D10" s="680"/>
      <c r="E10" s="682"/>
      <c r="F10" s="176"/>
      <c r="G10" s="177"/>
      <c r="H10" s="172">
        <f>IF(F10="","",IF(ISERROR(F10+ROUNDDOWN(G10*3/74,0)),"",F10+ROUNDDOWN(G10*3/74,0)))</f>
      </c>
      <c r="I10" s="151">
        <f aca="true" t="shared" si="0" ref="I10:I24">IF(H10="","",IF(H10&gt;10032,10032,H10))</f>
      </c>
      <c r="J10" s="150">
        <f>IF(H10="","",MIN(H10,I10))</f>
      </c>
      <c r="K10" s="155" t="s">
        <v>90</v>
      </c>
      <c r="L10" s="156">
        <v>2814</v>
      </c>
      <c r="M10" s="446"/>
      <c r="N10" s="447"/>
      <c r="O10" s="429">
        <f>SUMIF('6-2_算定表②(旧々・新制度)'!$AF:$AF,$T10,'6-2_算定表②(旧々・新制度)'!$AG:$AG)</f>
        <v>0</v>
      </c>
      <c r="P10" s="157">
        <f>SUMIF('6-2_算定表②(旧々・新制度)'!$AF:$AF,$T10,'6-2_算定表②(旧々・新制度)'!$AA:$AA)</f>
        <v>0</v>
      </c>
      <c r="Q10" s="427">
        <f aca="true" t="shared" si="1" ref="Q10:R27">O10-M10</f>
        <v>0</v>
      </c>
      <c r="R10" s="428">
        <f t="shared" si="1"/>
        <v>0</v>
      </c>
      <c r="T10" s="158" t="str">
        <f>ASC($A$9&amp;$K10)</f>
        <v>1B</v>
      </c>
      <c r="V10" s="56" t="s">
        <v>8</v>
      </c>
    </row>
    <row r="11" spans="1:20" s="44" customFormat="1" ht="18" customHeight="1" thickBot="1">
      <c r="A11" s="678"/>
      <c r="B11" s="680"/>
      <c r="C11" s="680"/>
      <c r="D11" s="680"/>
      <c r="E11" s="682"/>
      <c r="F11" s="176"/>
      <c r="G11" s="177"/>
      <c r="H11" s="172">
        <f aca="true" t="shared" si="2" ref="H11:H24">IF(F11="","",IF(ISERROR(F11+ROUNDDOWN(G11*3/74,0)),"",F11+ROUNDDOWN(G11*3/74,0)))</f>
      </c>
      <c r="I11" s="151">
        <f t="shared" si="0"/>
      </c>
      <c r="J11" s="150">
        <f>IF(H11="","",MIN(H11,I11))</f>
      </c>
      <c r="K11" s="155" t="s">
        <v>174</v>
      </c>
      <c r="L11" s="195" t="s">
        <v>155</v>
      </c>
      <c r="M11" s="446"/>
      <c r="N11" s="447"/>
      <c r="O11" s="429">
        <f>SUMIF('6-2_算定表②(旧々・新制度)'!$AF:$AF,$T11,'6-2_算定表②(旧々・新制度)'!$AG:$AG)</f>
        <v>0</v>
      </c>
      <c r="P11" s="157">
        <f>SUMIF('6-2_算定表②(旧々・新制度)'!$AF:$AF,$T11,'6-2_算定表②(旧々・新制度)'!$AA:$AA)</f>
        <v>0</v>
      </c>
      <c r="Q11" s="431">
        <f t="shared" si="1"/>
        <v>0</v>
      </c>
      <c r="R11" s="432">
        <f t="shared" si="1"/>
        <v>0</v>
      </c>
      <c r="T11" s="158" t="str">
        <f>ASC($A$9&amp;$K11)</f>
        <v>1D</v>
      </c>
    </row>
    <row r="12" spans="1:23" s="44" customFormat="1" ht="18" customHeight="1" thickBot="1" thickTop="1">
      <c r="A12" s="678"/>
      <c r="B12" s="680"/>
      <c r="C12" s="680"/>
      <c r="D12" s="680"/>
      <c r="E12" s="683"/>
      <c r="F12" s="178"/>
      <c r="G12" s="179"/>
      <c r="H12" s="173">
        <f t="shared" si="2"/>
      </c>
      <c r="I12" s="160">
        <f t="shared" si="0"/>
      </c>
      <c r="J12" s="159">
        <f>IF(H12="","",MIN(H12,I12))</f>
      </c>
      <c r="K12" s="684" t="s">
        <v>120</v>
      </c>
      <c r="L12" s="685"/>
      <c r="M12" s="433">
        <f aca="true" t="shared" si="3" ref="M12:R12">SUM(M9:M11)</f>
        <v>0</v>
      </c>
      <c r="N12" s="434">
        <f t="shared" si="3"/>
        <v>0</v>
      </c>
      <c r="O12" s="433">
        <f t="shared" si="3"/>
        <v>0</v>
      </c>
      <c r="P12" s="161">
        <f t="shared" si="3"/>
        <v>0</v>
      </c>
      <c r="Q12" s="436">
        <f t="shared" si="3"/>
        <v>0</v>
      </c>
      <c r="R12" s="437">
        <f t="shared" si="3"/>
        <v>0</v>
      </c>
      <c r="V12" s="162" t="s">
        <v>9</v>
      </c>
      <c r="W12" s="64" t="str">
        <f>IF(D9&gt;=O12,"OK","ERR")</f>
        <v>OK</v>
      </c>
    </row>
    <row r="13" spans="1:23" s="44" customFormat="1" ht="18" customHeight="1" thickBot="1" thickTop="1">
      <c r="A13" s="686">
        <v>2</v>
      </c>
      <c r="B13" s="680"/>
      <c r="C13" s="680"/>
      <c r="D13" s="680"/>
      <c r="E13" s="688"/>
      <c r="F13" s="176"/>
      <c r="G13" s="177"/>
      <c r="H13" s="172">
        <f t="shared" si="2"/>
      </c>
      <c r="I13" s="151">
        <f t="shared" si="0"/>
      </c>
      <c r="J13" s="150">
        <f>IF(H13="","",MIN(H13,I13))</f>
      </c>
      <c r="K13" s="163" t="s">
        <v>84</v>
      </c>
      <c r="L13" s="164">
        <v>408</v>
      </c>
      <c r="M13" s="444"/>
      <c r="N13" s="445"/>
      <c r="O13" s="425">
        <f>SUMIF('6-2_算定表②(旧々・新制度)'!$AF:$AF,$T13,'6-2_算定表②(旧々・新制度)'!$AG:$AG)</f>
        <v>0</v>
      </c>
      <c r="P13" s="153">
        <f>SUMIF('6-2_算定表②(旧々・新制度)'!$AF:$AF,$T13,'6-2_算定表②(旧々・新制度)'!$AA:$AA)</f>
        <v>0</v>
      </c>
      <c r="Q13" s="438">
        <f t="shared" si="1"/>
        <v>0</v>
      </c>
      <c r="R13" s="439">
        <f t="shared" si="1"/>
        <v>0</v>
      </c>
      <c r="T13" s="154" t="str">
        <f>ASC($A$13&amp;$K13)</f>
        <v>2A</v>
      </c>
      <c r="V13" s="162" t="s">
        <v>10</v>
      </c>
      <c r="W13" s="64" t="str">
        <f>IF(D13&gt;=O16,"OK","ERR")</f>
        <v>OK</v>
      </c>
    </row>
    <row r="14" spans="1:23" s="44" customFormat="1" ht="18" customHeight="1" thickBot="1" thickTop="1">
      <c r="A14" s="678"/>
      <c r="B14" s="680"/>
      <c r="C14" s="680"/>
      <c r="D14" s="680"/>
      <c r="E14" s="682"/>
      <c r="F14" s="176"/>
      <c r="G14" s="177"/>
      <c r="H14" s="172">
        <f t="shared" si="2"/>
      </c>
      <c r="I14" s="151">
        <f t="shared" si="0"/>
      </c>
      <c r="J14" s="150">
        <f aca="true" t="shared" si="4" ref="J14:J20">IF(H14="","",MIN(H14,I14))</f>
      </c>
      <c r="K14" s="165" t="s">
        <v>90</v>
      </c>
      <c r="L14" s="166">
        <v>2814</v>
      </c>
      <c r="M14" s="446"/>
      <c r="N14" s="447"/>
      <c r="O14" s="429">
        <f>SUMIF('6-2_算定表②(旧々・新制度)'!$AF:$AF,$T14,'6-2_算定表②(旧々・新制度)'!$AG:$AG)</f>
        <v>0</v>
      </c>
      <c r="P14" s="157">
        <f>SUMIF('6-2_算定表②(旧々・新制度)'!$AF:$AF,$T14,'6-2_算定表②(旧々・新制度)'!$AA:$AA)</f>
        <v>0</v>
      </c>
      <c r="Q14" s="427">
        <f t="shared" si="1"/>
        <v>0</v>
      </c>
      <c r="R14" s="428">
        <f t="shared" si="1"/>
        <v>0</v>
      </c>
      <c r="T14" s="158" t="str">
        <f>ASC($A$13&amp;$K14)</f>
        <v>2B</v>
      </c>
      <c r="V14" s="162" t="s">
        <v>11</v>
      </c>
      <c r="W14" s="64" t="str">
        <f>IF(D17&gt;=O20,"OK","ERR")</f>
        <v>OK</v>
      </c>
    </row>
    <row r="15" spans="1:23" s="44" customFormat="1" ht="18" customHeight="1" thickBot="1" thickTop="1">
      <c r="A15" s="678"/>
      <c r="B15" s="680"/>
      <c r="C15" s="680"/>
      <c r="D15" s="680"/>
      <c r="E15" s="682"/>
      <c r="F15" s="176"/>
      <c r="G15" s="177"/>
      <c r="H15" s="172">
        <f t="shared" si="2"/>
      </c>
      <c r="I15" s="151">
        <f t="shared" si="0"/>
      </c>
      <c r="J15" s="150">
        <f t="shared" si="4"/>
      </c>
      <c r="K15" s="165" t="s">
        <v>174</v>
      </c>
      <c r="L15" s="196" t="s">
        <v>155</v>
      </c>
      <c r="M15" s="446"/>
      <c r="N15" s="447"/>
      <c r="O15" s="429">
        <f>SUMIF('6-2_算定表②(旧々・新制度)'!$AF:$AF,$T15,'6-2_算定表②(旧々・新制度)'!$AG:$AG)</f>
        <v>0</v>
      </c>
      <c r="P15" s="157">
        <f>SUMIF('6-2_算定表②(旧々・新制度)'!$AF:$AF,$T15,'6-2_算定表②(旧々・新制度)'!$AA:$AA)</f>
        <v>0</v>
      </c>
      <c r="Q15" s="431">
        <f t="shared" si="1"/>
        <v>0</v>
      </c>
      <c r="R15" s="432">
        <f t="shared" si="1"/>
        <v>0</v>
      </c>
      <c r="T15" s="158" t="str">
        <f>ASC($A$13&amp;$K15)</f>
        <v>2D</v>
      </c>
      <c r="V15" s="162" t="s">
        <v>175</v>
      </c>
      <c r="W15" s="64" t="str">
        <f>IF(D21&gt;=O24,"OK","ERR")</f>
        <v>OK</v>
      </c>
    </row>
    <row r="16" spans="1:22" s="44" customFormat="1" ht="18" customHeight="1" thickBot="1">
      <c r="A16" s="687"/>
      <c r="B16" s="680"/>
      <c r="C16" s="680"/>
      <c r="D16" s="680"/>
      <c r="E16" s="683"/>
      <c r="F16" s="178"/>
      <c r="G16" s="179"/>
      <c r="H16" s="173">
        <f t="shared" si="2"/>
      </c>
      <c r="I16" s="160">
        <f t="shared" si="0"/>
      </c>
      <c r="J16" s="159">
        <f t="shared" si="4"/>
      </c>
      <c r="K16" s="684" t="s">
        <v>121</v>
      </c>
      <c r="L16" s="685"/>
      <c r="M16" s="433">
        <f aca="true" t="shared" si="5" ref="M16:R16">SUM(M13:M15)</f>
        <v>0</v>
      </c>
      <c r="N16" s="434">
        <f t="shared" si="5"/>
        <v>0</v>
      </c>
      <c r="O16" s="433">
        <f t="shared" si="5"/>
        <v>0</v>
      </c>
      <c r="P16" s="161">
        <f t="shared" si="5"/>
        <v>0</v>
      </c>
      <c r="Q16" s="436">
        <f t="shared" si="5"/>
        <v>0</v>
      </c>
      <c r="R16" s="437">
        <f t="shared" si="5"/>
        <v>0</v>
      </c>
      <c r="V16" s="56" t="s">
        <v>13</v>
      </c>
    </row>
    <row r="17" spans="1:23" s="44" customFormat="1" ht="18" customHeight="1" thickBot="1" thickTop="1">
      <c r="A17" s="678">
        <v>3</v>
      </c>
      <c r="B17" s="680"/>
      <c r="C17" s="680"/>
      <c r="D17" s="680"/>
      <c r="E17" s="688"/>
      <c r="F17" s="176"/>
      <c r="G17" s="177"/>
      <c r="H17" s="172">
        <f t="shared" si="2"/>
      </c>
      <c r="I17" s="151">
        <f t="shared" si="0"/>
      </c>
      <c r="J17" s="150">
        <f t="shared" si="4"/>
      </c>
      <c r="K17" s="167" t="s">
        <v>84</v>
      </c>
      <c r="L17" s="168">
        <v>408</v>
      </c>
      <c r="M17" s="448"/>
      <c r="N17" s="449"/>
      <c r="O17" s="440">
        <f>SUMIF('6-2_算定表②(旧々・新制度)'!$AF:$AF,$T17,'6-2_算定表②(旧々・新制度)'!$AG:$AG)</f>
        <v>0</v>
      </c>
      <c r="P17" s="443">
        <f>SUMIF('6-2_算定表②(旧々・新制度)'!$AF:$AF,$T17,'6-2_算定表②(旧々・新制度)'!$AA:$AA)</f>
        <v>0</v>
      </c>
      <c r="Q17" s="438">
        <f t="shared" si="1"/>
        <v>0</v>
      </c>
      <c r="R17" s="439">
        <f t="shared" si="1"/>
        <v>0</v>
      </c>
      <c r="T17" s="154" t="str">
        <f>ASC($A$17&amp;$K17)</f>
        <v>3A</v>
      </c>
      <c r="V17" s="56" t="s">
        <v>49</v>
      </c>
      <c r="W17" s="64" t="str">
        <f>IF(O28=SUM('6-2_算定表②(旧々・新制度)'!AG:AG),"OK","ERR")</f>
        <v>OK</v>
      </c>
    </row>
    <row r="18" spans="1:23" s="44" customFormat="1" ht="18" customHeight="1" thickBot="1" thickTop="1">
      <c r="A18" s="678"/>
      <c r="B18" s="680"/>
      <c r="C18" s="680"/>
      <c r="D18" s="680"/>
      <c r="E18" s="682"/>
      <c r="F18" s="176"/>
      <c r="G18" s="177"/>
      <c r="H18" s="172">
        <f t="shared" si="2"/>
      </c>
      <c r="I18" s="151">
        <f t="shared" si="0"/>
      </c>
      <c r="J18" s="150">
        <f t="shared" si="4"/>
      </c>
      <c r="K18" s="165" t="s">
        <v>90</v>
      </c>
      <c r="L18" s="166">
        <v>2814</v>
      </c>
      <c r="M18" s="446"/>
      <c r="N18" s="447"/>
      <c r="O18" s="429">
        <f>SUMIF('6-2_算定表②(旧々・新制度)'!$AF:$AF,$T18,'6-2_算定表②(旧々・新制度)'!$AG:$AG)</f>
        <v>0</v>
      </c>
      <c r="P18" s="157">
        <f>SUMIF('6-2_算定表②(旧々・新制度)'!$AF:$AF,$T18,'6-2_算定表②(旧々・新制度)'!$AA:$AA)</f>
        <v>0</v>
      </c>
      <c r="Q18" s="427">
        <f t="shared" si="1"/>
        <v>0</v>
      </c>
      <c r="R18" s="428">
        <f t="shared" si="1"/>
        <v>0</v>
      </c>
      <c r="T18" s="158" t="str">
        <f>ASC($A$17&amp;$K18)</f>
        <v>3B</v>
      </c>
      <c r="V18" s="56" t="s">
        <v>12</v>
      </c>
      <c r="W18" s="64" t="str">
        <f>IF(P28='6-2_算定表②(旧々・新制度)'!AA45,"OK","ERR")</f>
        <v>OK</v>
      </c>
    </row>
    <row r="19" spans="1:20" s="44" customFormat="1" ht="18" customHeight="1" thickBot="1">
      <c r="A19" s="678"/>
      <c r="B19" s="680"/>
      <c r="C19" s="680"/>
      <c r="D19" s="680"/>
      <c r="E19" s="682"/>
      <c r="F19" s="176"/>
      <c r="G19" s="177"/>
      <c r="H19" s="172">
        <f t="shared" si="2"/>
      </c>
      <c r="I19" s="151">
        <f t="shared" si="0"/>
      </c>
      <c r="J19" s="150">
        <f t="shared" si="4"/>
      </c>
      <c r="K19" s="165" t="s">
        <v>174</v>
      </c>
      <c r="L19" s="196" t="s">
        <v>155</v>
      </c>
      <c r="M19" s="446"/>
      <c r="N19" s="447"/>
      <c r="O19" s="429">
        <f>SUMIF('6-2_算定表②(旧々・新制度)'!$AF:$AF,$T19,'6-2_算定表②(旧々・新制度)'!$AG:$AG)</f>
        <v>0</v>
      </c>
      <c r="P19" s="157">
        <f>SUMIF('6-2_算定表②(旧々・新制度)'!$AF:$AF,$T19,'6-2_算定表②(旧々・新制度)'!$AA:$AA)</f>
        <v>0</v>
      </c>
      <c r="Q19" s="431">
        <f t="shared" si="1"/>
        <v>0</v>
      </c>
      <c r="R19" s="432">
        <f t="shared" si="1"/>
        <v>0</v>
      </c>
      <c r="T19" s="158" t="str">
        <f>ASC($A$17&amp;$K19)</f>
        <v>3D</v>
      </c>
    </row>
    <row r="20" spans="1:18" s="44" customFormat="1" ht="18" customHeight="1" thickBot="1">
      <c r="A20" s="678"/>
      <c r="B20" s="680"/>
      <c r="C20" s="680"/>
      <c r="D20" s="680"/>
      <c r="E20" s="683"/>
      <c r="F20" s="178"/>
      <c r="G20" s="179"/>
      <c r="H20" s="173">
        <f t="shared" si="2"/>
      </c>
      <c r="I20" s="160">
        <f t="shared" si="0"/>
      </c>
      <c r="J20" s="159">
        <f t="shared" si="4"/>
      </c>
      <c r="K20" s="684" t="s">
        <v>122</v>
      </c>
      <c r="L20" s="685"/>
      <c r="M20" s="433">
        <f aca="true" t="shared" si="6" ref="M20:R20">SUM(M17:M19)</f>
        <v>0</v>
      </c>
      <c r="N20" s="434">
        <f t="shared" si="6"/>
        <v>0</v>
      </c>
      <c r="O20" s="433">
        <f t="shared" si="6"/>
        <v>0</v>
      </c>
      <c r="P20" s="161">
        <f t="shared" si="6"/>
        <v>0</v>
      </c>
      <c r="Q20" s="436">
        <f t="shared" si="6"/>
        <v>0</v>
      </c>
      <c r="R20" s="437">
        <f t="shared" si="6"/>
        <v>0</v>
      </c>
    </row>
    <row r="21" spans="1:23" s="44" customFormat="1" ht="18" customHeight="1" thickBot="1">
      <c r="A21" s="690">
        <v>4</v>
      </c>
      <c r="B21" s="680"/>
      <c r="C21" s="680"/>
      <c r="D21" s="680"/>
      <c r="E21" s="688"/>
      <c r="F21" s="176"/>
      <c r="G21" s="177"/>
      <c r="H21" s="172">
        <f t="shared" si="2"/>
      </c>
      <c r="I21" s="151">
        <f t="shared" si="0"/>
      </c>
      <c r="J21" s="150">
        <f>IF(H21="","",MIN(H21,I21))</f>
      </c>
      <c r="K21" s="167" t="s">
        <v>84</v>
      </c>
      <c r="L21" s="168">
        <v>408</v>
      </c>
      <c r="M21" s="448"/>
      <c r="N21" s="449"/>
      <c r="O21" s="440">
        <f>SUMIF('6-2_算定表②(旧々・新制度)'!$AF:$AF,$T21,'6-2_算定表②(旧々・新制度)'!$AG:$AG)</f>
        <v>0</v>
      </c>
      <c r="P21" s="443">
        <f>SUMIF('6-2_算定表②(旧々・新制度)'!$AF:$AF,$T21,'6-2_算定表②(旧々・新制度)'!$AA:$AA)</f>
        <v>0</v>
      </c>
      <c r="Q21" s="438">
        <f t="shared" si="1"/>
        <v>0</v>
      </c>
      <c r="R21" s="439">
        <f t="shared" si="1"/>
        <v>0</v>
      </c>
      <c r="T21" s="154" t="str">
        <f>ASC($A$21&amp;$K21)</f>
        <v>4A</v>
      </c>
      <c r="V21" s="56"/>
      <c r="W21" s="282"/>
    </row>
    <row r="22" spans="1:23" s="44" customFormat="1" ht="18" customHeight="1" thickBot="1">
      <c r="A22" s="691"/>
      <c r="B22" s="680"/>
      <c r="C22" s="680"/>
      <c r="D22" s="680"/>
      <c r="E22" s="682"/>
      <c r="F22" s="176"/>
      <c r="G22" s="177"/>
      <c r="H22" s="172">
        <f t="shared" si="2"/>
      </c>
      <c r="I22" s="151">
        <f t="shared" si="0"/>
      </c>
      <c r="J22" s="150">
        <f>IF(H22="","",MIN(H22,I22))</f>
      </c>
      <c r="K22" s="165" t="s">
        <v>90</v>
      </c>
      <c r="L22" s="166">
        <v>2814</v>
      </c>
      <c r="M22" s="446"/>
      <c r="N22" s="447"/>
      <c r="O22" s="429">
        <f>SUMIF('6-2_算定表②(旧々・新制度)'!$AF:$AF,$T22,'6-2_算定表②(旧々・新制度)'!$AG:$AG)</f>
        <v>0</v>
      </c>
      <c r="P22" s="157">
        <f>SUMIF('6-2_算定表②(旧々・新制度)'!$AF:$AF,$T22,'6-2_算定表②(旧々・新制度)'!$AA:$AA)</f>
        <v>0</v>
      </c>
      <c r="Q22" s="427">
        <f t="shared" si="1"/>
        <v>0</v>
      </c>
      <c r="R22" s="428">
        <f t="shared" si="1"/>
        <v>0</v>
      </c>
      <c r="T22" s="158" t="str">
        <f>ASC($A$21&amp;$K22)</f>
        <v>4B</v>
      </c>
      <c r="V22" s="56"/>
      <c r="W22" s="282"/>
    </row>
    <row r="23" spans="1:20" s="44" customFormat="1" ht="18" customHeight="1" thickBot="1">
      <c r="A23" s="691"/>
      <c r="B23" s="680"/>
      <c r="C23" s="680"/>
      <c r="D23" s="680"/>
      <c r="E23" s="682"/>
      <c r="F23" s="176"/>
      <c r="G23" s="177"/>
      <c r="H23" s="172">
        <f t="shared" si="2"/>
      </c>
      <c r="I23" s="151">
        <f t="shared" si="0"/>
      </c>
      <c r="J23" s="150">
        <f>IF(H23="","",MIN(H23,I23))</f>
      </c>
      <c r="K23" s="165" t="s">
        <v>174</v>
      </c>
      <c r="L23" s="196" t="s">
        <v>155</v>
      </c>
      <c r="M23" s="446"/>
      <c r="N23" s="447"/>
      <c r="O23" s="429">
        <f>SUMIF('6-2_算定表②(旧々・新制度)'!$AF:$AF,$T23,'6-2_算定表②(旧々・新制度)'!$AG:$AG)</f>
        <v>0</v>
      </c>
      <c r="P23" s="157">
        <f>SUMIF('6-2_算定表②(旧々・新制度)'!$AF:$AF,$T23,'6-2_算定表②(旧々・新制度)'!$AA:$AA)</f>
        <v>0</v>
      </c>
      <c r="Q23" s="431">
        <f t="shared" si="1"/>
        <v>0</v>
      </c>
      <c r="R23" s="432">
        <f t="shared" si="1"/>
        <v>0</v>
      </c>
      <c r="T23" s="158" t="str">
        <f>ASC($A$21&amp;$K23)</f>
        <v>4D</v>
      </c>
    </row>
    <row r="24" spans="1:18" s="44" customFormat="1" ht="18" customHeight="1" thickBot="1">
      <c r="A24" s="692"/>
      <c r="B24" s="680"/>
      <c r="C24" s="680"/>
      <c r="D24" s="680"/>
      <c r="E24" s="683"/>
      <c r="F24" s="178"/>
      <c r="G24" s="179"/>
      <c r="H24" s="173">
        <f t="shared" si="2"/>
      </c>
      <c r="I24" s="160">
        <f t="shared" si="0"/>
      </c>
      <c r="J24" s="159">
        <f>IF(H24="","",MIN(H24,I24))</f>
      </c>
      <c r="K24" s="684" t="s">
        <v>123</v>
      </c>
      <c r="L24" s="685"/>
      <c r="M24" s="433">
        <f aca="true" t="shared" si="7" ref="M24:R24">SUM(M21:M23)</f>
        <v>0</v>
      </c>
      <c r="N24" s="434">
        <f t="shared" si="7"/>
        <v>0</v>
      </c>
      <c r="O24" s="433">
        <f t="shared" si="7"/>
        <v>0</v>
      </c>
      <c r="P24" s="161">
        <f t="shared" si="7"/>
        <v>0</v>
      </c>
      <c r="Q24" s="436">
        <f t="shared" si="7"/>
        <v>0</v>
      </c>
      <c r="R24" s="437">
        <f t="shared" si="7"/>
        <v>0</v>
      </c>
    </row>
    <row r="25" spans="1:18" s="44" customFormat="1" ht="18" customHeight="1" thickBot="1">
      <c r="A25" s="696" t="s">
        <v>27</v>
      </c>
      <c r="B25" s="699">
        <f>SUM(B9,B13,B17)</f>
        <v>0</v>
      </c>
      <c r="C25" s="699">
        <f>SUM(C9,C13,C17)</f>
        <v>0</v>
      </c>
      <c r="D25" s="699">
        <f>SUM(D9,D13,D17)</f>
        <v>0</v>
      </c>
      <c r="E25" s="700">
        <f>SUM(E9:E24)</f>
        <v>0</v>
      </c>
      <c r="F25" s="689"/>
      <c r="G25" s="693"/>
      <c r="H25" s="694"/>
      <c r="I25" s="695"/>
      <c r="J25" s="695"/>
      <c r="K25" s="163" t="s">
        <v>84</v>
      </c>
      <c r="L25" s="164">
        <v>408</v>
      </c>
      <c r="M25" s="441">
        <f aca="true" t="shared" si="8" ref="M25:N27">SUM(M9,M13,M17,M21)</f>
        <v>0</v>
      </c>
      <c r="N25" s="426">
        <f t="shared" si="8"/>
        <v>0</v>
      </c>
      <c r="O25" s="441">
        <f aca="true" t="shared" si="9" ref="O25:P27">SUM(O9,O13,O17,O21)</f>
        <v>0</v>
      </c>
      <c r="P25" s="153">
        <f t="shared" si="9"/>
        <v>0</v>
      </c>
      <c r="Q25" s="438">
        <f t="shared" si="1"/>
        <v>0</v>
      </c>
      <c r="R25" s="439">
        <f t="shared" si="1"/>
        <v>0</v>
      </c>
    </row>
    <row r="26" spans="1:22" s="44" customFormat="1" ht="18" customHeight="1" thickBot="1">
      <c r="A26" s="697"/>
      <c r="B26" s="699"/>
      <c r="C26" s="699"/>
      <c r="D26" s="699"/>
      <c r="E26" s="701"/>
      <c r="F26" s="689"/>
      <c r="G26" s="693"/>
      <c r="H26" s="694"/>
      <c r="I26" s="695"/>
      <c r="J26" s="695"/>
      <c r="K26" s="165" t="s">
        <v>90</v>
      </c>
      <c r="L26" s="166">
        <v>2814</v>
      </c>
      <c r="M26" s="442">
        <f t="shared" si="8"/>
        <v>0</v>
      </c>
      <c r="N26" s="430">
        <f t="shared" si="8"/>
        <v>0</v>
      </c>
      <c r="O26" s="442">
        <f t="shared" si="9"/>
        <v>0</v>
      </c>
      <c r="P26" s="157">
        <f t="shared" si="9"/>
        <v>0</v>
      </c>
      <c r="Q26" s="427">
        <f t="shared" si="1"/>
        <v>0</v>
      </c>
      <c r="R26" s="428">
        <f t="shared" si="1"/>
        <v>0</v>
      </c>
      <c r="V26" s="56"/>
    </row>
    <row r="27" spans="1:18" s="44" customFormat="1" ht="18" customHeight="1" thickBot="1">
      <c r="A27" s="697"/>
      <c r="B27" s="699"/>
      <c r="C27" s="699"/>
      <c r="D27" s="699"/>
      <c r="E27" s="701"/>
      <c r="F27" s="689"/>
      <c r="G27" s="693"/>
      <c r="H27" s="694"/>
      <c r="I27" s="695"/>
      <c r="J27" s="695"/>
      <c r="K27" s="165" t="s">
        <v>174</v>
      </c>
      <c r="L27" s="196" t="s">
        <v>155</v>
      </c>
      <c r="M27" s="442">
        <f t="shared" si="8"/>
        <v>0</v>
      </c>
      <c r="N27" s="430">
        <f t="shared" si="8"/>
        <v>0</v>
      </c>
      <c r="O27" s="442">
        <f t="shared" si="9"/>
        <v>0</v>
      </c>
      <c r="P27" s="157">
        <f t="shared" si="9"/>
        <v>0</v>
      </c>
      <c r="Q27" s="431">
        <f t="shared" si="1"/>
        <v>0</v>
      </c>
      <c r="R27" s="432">
        <f t="shared" si="1"/>
        <v>0</v>
      </c>
    </row>
    <row r="28" spans="1:19" s="44" customFormat="1" ht="18" customHeight="1" thickBot="1">
      <c r="A28" s="698"/>
      <c r="B28" s="699"/>
      <c r="C28" s="699"/>
      <c r="D28" s="699"/>
      <c r="E28" s="702"/>
      <c r="F28" s="689"/>
      <c r="G28" s="693"/>
      <c r="H28" s="694"/>
      <c r="I28" s="695"/>
      <c r="J28" s="695"/>
      <c r="K28" s="684" t="s">
        <v>156</v>
      </c>
      <c r="L28" s="685"/>
      <c r="M28" s="433">
        <f aca="true" t="shared" si="10" ref="M28:R28">SUM(M25:M27)</f>
        <v>0</v>
      </c>
      <c r="N28" s="434">
        <f t="shared" si="10"/>
        <v>0</v>
      </c>
      <c r="O28" s="433">
        <f t="shared" si="10"/>
        <v>0</v>
      </c>
      <c r="P28" s="161">
        <f t="shared" si="10"/>
        <v>0</v>
      </c>
      <c r="Q28" s="436">
        <f t="shared" si="10"/>
        <v>0</v>
      </c>
      <c r="R28" s="437">
        <f t="shared" si="10"/>
        <v>0</v>
      </c>
      <c r="S28" s="169"/>
    </row>
    <row r="29" spans="1:18" s="342" customFormat="1" ht="11.25" customHeight="1">
      <c r="A29" s="337" t="s">
        <v>29</v>
      </c>
      <c r="B29" s="338"/>
      <c r="C29" s="338"/>
      <c r="D29" s="338"/>
      <c r="E29" s="338"/>
      <c r="F29" s="339"/>
      <c r="G29" s="339"/>
      <c r="H29" s="339"/>
      <c r="I29" s="339"/>
      <c r="J29" s="339"/>
      <c r="K29" s="340"/>
      <c r="L29" s="340"/>
      <c r="M29" s="338"/>
      <c r="N29" s="341"/>
      <c r="O29" s="338"/>
      <c r="P29" s="341"/>
      <c r="Q29" s="341"/>
      <c r="R29" s="341"/>
    </row>
    <row r="30" s="342" customFormat="1" ht="11.25" customHeight="1">
      <c r="A30" s="343" t="s">
        <v>150</v>
      </c>
    </row>
    <row r="31" s="344" customFormat="1" ht="11.25" customHeight="1">
      <c r="A31" s="343" t="s">
        <v>227</v>
      </c>
    </row>
    <row r="32" s="342" customFormat="1" ht="11.25" customHeight="1">
      <c r="A32" s="343" t="s">
        <v>228</v>
      </c>
    </row>
    <row r="33" s="344" customFormat="1" ht="11.25" customHeight="1">
      <c r="A33" s="343" t="s">
        <v>5</v>
      </c>
    </row>
    <row r="34" s="344" customFormat="1" ht="11.25" customHeight="1">
      <c r="A34" s="337" t="s">
        <v>151</v>
      </c>
    </row>
    <row r="35" spans="1:9" s="344" customFormat="1" ht="11.25" customHeight="1">
      <c r="A35" s="337" t="s">
        <v>152</v>
      </c>
      <c r="E35" s="353"/>
      <c r="F35" s="353"/>
      <c r="G35" s="353"/>
      <c r="H35" s="353"/>
      <c r="I35" s="353"/>
    </row>
    <row r="36" s="344" customFormat="1" ht="11.25" customHeight="1">
      <c r="A36" s="343" t="s">
        <v>6</v>
      </c>
    </row>
    <row r="37" s="344" customFormat="1" ht="11.25" customHeight="1">
      <c r="A37" s="337" t="s">
        <v>210</v>
      </c>
    </row>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sheetData>
  <sheetProtection/>
  <mergeCells count="50">
    <mergeCell ref="Q5:R5"/>
    <mergeCell ref="K5:N5"/>
    <mergeCell ref="O5:P5"/>
    <mergeCell ref="L2:M2"/>
    <mergeCell ref="N2:O2"/>
    <mergeCell ref="P2:Q2"/>
    <mergeCell ref="L3:M3"/>
    <mergeCell ref="N3:O3"/>
    <mergeCell ref="P3:Q3"/>
    <mergeCell ref="B5:B6"/>
    <mergeCell ref="E5:E6"/>
    <mergeCell ref="H5:H6"/>
    <mergeCell ref="I5:I6"/>
    <mergeCell ref="J5:J6"/>
    <mergeCell ref="A6:A7"/>
    <mergeCell ref="A9:A12"/>
    <mergeCell ref="B9:B12"/>
    <mergeCell ref="C9:C12"/>
    <mergeCell ref="D9:D12"/>
    <mergeCell ref="E9:E12"/>
    <mergeCell ref="K12:L12"/>
    <mergeCell ref="A13:A16"/>
    <mergeCell ref="B13:B16"/>
    <mergeCell ref="C13:C16"/>
    <mergeCell ref="D13:D16"/>
    <mergeCell ref="E13:E16"/>
    <mergeCell ref="K16:L16"/>
    <mergeCell ref="K24:L24"/>
    <mergeCell ref="A17:A20"/>
    <mergeCell ref="B17:B20"/>
    <mergeCell ref="C17:C20"/>
    <mergeCell ref="D17:D20"/>
    <mergeCell ref="E17:E20"/>
    <mergeCell ref="K20:L20"/>
    <mergeCell ref="F25:F28"/>
    <mergeCell ref="A21:A24"/>
    <mergeCell ref="B21:B24"/>
    <mergeCell ref="C21:C24"/>
    <mergeCell ref="D21:D24"/>
    <mergeCell ref="E21:E24"/>
    <mergeCell ref="G25:G28"/>
    <mergeCell ref="H25:H28"/>
    <mergeCell ref="I25:I28"/>
    <mergeCell ref="J25:J28"/>
    <mergeCell ref="K28:L28"/>
    <mergeCell ref="A25:A28"/>
    <mergeCell ref="B25:B28"/>
    <mergeCell ref="C25:C28"/>
    <mergeCell ref="D25:D28"/>
    <mergeCell ref="E25:E28"/>
  </mergeCells>
  <dataValidations count="1">
    <dataValidation type="whole" allowBlank="1" showInputMessage="1" showErrorMessage="1" sqref="B9:D24 E21 E17 E13 E9">
      <formula1>0</formula1>
      <formula2>999999</formula2>
    </dataValidation>
  </dataValidations>
  <printOptions/>
  <pageMargins left="0.7480314960629921" right="0.7480314960629921" top="0.984251968503937" bottom="0.984251968503937" header="0.5118110236220472" footer="0.5118110236220472"/>
  <pageSetup cellComments="asDisplayed" fitToHeight="0" fitToWidth="0"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rgb="FF92D050"/>
  </sheetPr>
  <dimension ref="A1:AJ59"/>
  <sheetViews>
    <sheetView view="pageBreakPreview" zoomScale="75" zoomScaleNormal="75" zoomScaleSheetLayoutView="75" zoomScalePageLayoutView="0" workbookViewId="0" topLeftCell="A1">
      <selection activeCell="A1" sqref="A1"/>
    </sheetView>
  </sheetViews>
  <sheetFormatPr defaultColWidth="9.625" defaultRowHeight="13.5"/>
  <cols>
    <col min="1" max="1" width="6.25390625" style="40" customWidth="1"/>
    <col min="2" max="2" width="19.125" style="40" bestFit="1" customWidth="1"/>
    <col min="3" max="3" width="3.75390625" style="40" customWidth="1"/>
    <col min="4" max="4" width="10.125" style="40" customWidth="1"/>
    <col min="5" max="5" width="10.375" style="40" customWidth="1"/>
    <col min="6" max="6" width="12.25390625" style="40" customWidth="1"/>
    <col min="7" max="7" width="12.375" style="40" customWidth="1"/>
    <col min="8" max="8" width="12.25390625" style="40" bestFit="1" customWidth="1"/>
    <col min="9" max="9" width="5.50390625" style="40" bestFit="1" customWidth="1"/>
    <col min="10" max="10" width="14.125" style="40" bestFit="1" customWidth="1"/>
    <col min="11" max="11" width="13.125" style="40" bestFit="1" customWidth="1"/>
    <col min="12" max="12" width="6.625" style="288" customWidth="1"/>
    <col min="13" max="13" width="12.125" style="40" hidden="1" customWidth="1"/>
    <col min="14" max="14" width="10.00390625" style="40" customWidth="1"/>
    <col min="15" max="15" width="6.625" style="288" customWidth="1"/>
    <col min="16" max="16" width="10.00390625" style="40" hidden="1" customWidth="1"/>
    <col min="17" max="17" width="10.00390625" style="40" customWidth="1"/>
    <col min="18" max="18" width="10.75390625" style="40" customWidth="1"/>
    <col min="19" max="19" width="10.625" style="40" customWidth="1"/>
    <col min="20" max="20" width="10.875" style="40" customWidth="1"/>
    <col min="21" max="21" width="12.50390625" style="40" customWidth="1"/>
    <col min="22" max="22" width="13.25390625" style="40" customWidth="1"/>
    <col min="23" max="23" width="11.25390625" style="40" customWidth="1"/>
    <col min="24" max="24" width="11.625" style="40" customWidth="1"/>
    <col min="25" max="26" width="11.25390625" style="40" customWidth="1"/>
    <col min="27" max="27" width="13.00390625" style="40" customWidth="1"/>
    <col min="28" max="28" width="1.37890625" style="40" customWidth="1"/>
    <col min="29" max="29" width="9.125" style="40" customWidth="1"/>
    <col min="30" max="30" width="16.375" style="40" customWidth="1"/>
    <col min="31" max="31" width="3.125" style="40" customWidth="1"/>
    <col min="32" max="32" width="5.625" style="41" customWidth="1"/>
    <col min="33" max="33" width="3.125" style="41" customWidth="1"/>
    <col min="34" max="34" width="3.125" style="40" customWidth="1"/>
    <col min="35" max="35" width="8.25390625" style="40" customWidth="1"/>
    <col min="36" max="16384" width="9.625" style="40" customWidth="1"/>
  </cols>
  <sheetData>
    <row r="1" spans="1:30" ht="24.75" customHeight="1">
      <c r="A1" s="213" t="s">
        <v>248</v>
      </c>
      <c r="B1" s="39"/>
      <c r="X1" s="186" t="s">
        <v>25</v>
      </c>
      <c r="Y1" s="761">
        <f>'5_総括表'!E3</f>
        <v>0</v>
      </c>
      <c r="Z1" s="762"/>
      <c r="AA1" s="762"/>
      <c r="AB1" s="763"/>
      <c r="AC1" s="186" t="s">
        <v>26</v>
      </c>
      <c r="AD1" s="188">
        <f>'5_総括表'!Z3</f>
        <v>0</v>
      </c>
    </row>
    <row r="2" spans="1:30" ht="24.75" customHeight="1" thickBot="1">
      <c r="A2" s="42"/>
      <c r="X2" s="187" t="s">
        <v>23</v>
      </c>
      <c r="Y2" s="764">
        <f>'5_総括表'!E4</f>
        <v>0</v>
      </c>
      <c r="Z2" s="765"/>
      <c r="AA2" s="765"/>
      <c r="AB2" s="766"/>
      <c r="AC2" s="187" t="s">
        <v>24</v>
      </c>
      <c r="AD2" s="189">
        <f>'5_総括表'!Z4</f>
        <v>0</v>
      </c>
    </row>
    <row r="3" spans="1:30" ht="31.5" customHeight="1" thickBot="1">
      <c r="A3" s="333" t="s">
        <v>226</v>
      </c>
      <c r="B3" s="332"/>
      <c r="AC3" s="43"/>
      <c r="AD3" s="43" t="s">
        <v>28</v>
      </c>
    </row>
    <row r="4" spans="1:33" s="44" customFormat="1" ht="22.5" customHeight="1" thickBot="1">
      <c r="A4" s="675" t="s">
        <v>32</v>
      </c>
      <c r="B4" s="670" t="s">
        <v>171</v>
      </c>
      <c r="C4" s="770" t="s">
        <v>119</v>
      </c>
      <c r="D4" s="777" t="s">
        <v>117</v>
      </c>
      <c r="E4" s="773" t="s">
        <v>100</v>
      </c>
      <c r="F4" s="774"/>
      <c r="G4" s="775" t="s">
        <v>109</v>
      </c>
      <c r="H4" s="776"/>
      <c r="I4" s="776"/>
      <c r="J4" s="776"/>
      <c r="K4" s="774"/>
      <c r="L4" s="684" t="s">
        <v>113</v>
      </c>
      <c r="M4" s="685"/>
      <c r="N4" s="685"/>
      <c r="O4" s="755"/>
      <c r="P4" s="755"/>
      <c r="Q4" s="755"/>
      <c r="R4" s="755"/>
      <c r="S4" s="755"/>
      <c r="T4" s="756"/>
      <c r="U4" s="670" t="s">
        <v>4</v>
      </c>
      <c r="V4" s="670" t="s">
        <v>115</v>
      </c>
      <c r="W4" s="670" t="s">
        <v>116</v>
      </c>
      <c r="X4" s="670" t="s">
        <v>69</v>
      </c>
      <c r="Y4" s="670" t="s">
        <v>31</v>
      </c>
      <c r="Z4" s="670" t="s">
        <v>99</v>
      </c>
      <c r="AA4" s="757" t="s">
        <v>188</v>
      </c>
      <c r="AB4" s="721" t="s">
        <v>7</v>
      </c>
      <c r="AC4" s="722"/>
      <c r="AD4" s="723"/>
      <c r="AF4" s="730" t="s">
        <v>30</v>
      </c>
      <c r="AG4" s="730" t="s">
        <v>78</v>
      </c>
    </row>
    <row r="5" spans="1:33" s="44" customFormat="1" ht="23.25" customHeight="1" thickBot="1">
      <c r="A5" s="767"/>
      <c r="B5" s="737"/>
      <c r="C5" s="771"/>
      <c r="D5" s="778"/>
      <c r="E5" s="779" t="s">
        <v>146</v>
      </c>
      <c r="F5" s="748" t="s">
        <v>76</v>
      </c>
      <c r="G5" s="753" t="s">
        <v>3</v>
      </c>
      <c r="H5" s="759" t="s">
        <v>77</v>
      </c>
      <c r="I5" s="740" t="s">
        <v>158</v>
      </c>
      <c r="J5" s="753" t="s">
        <v>157</v>
      </c>
      <c r="K5" s="748" t="s">
        <v>2</v>
      </c>
      <c r="L5" s="750" t="s">
        <v>232</v>
      </c>
      <c r="M5" s="751"/>
      <c r="N5" s="751"/>
      <c r="O5" s="750" t="s">
        <v>233</v>
      </c>
      <c r="P5" s="751"/>
      <c r="Q5" s="752"/>
      <c r="R5" s="742" t="s">
        <v>110</v>
      </c>
      <c r="S5" s="744" t="s">
        <v>112</v>
      </c>
      <c r="T5" s="738" t="s">
        <v>111</v>
      </c>
      <c r="U5" s="737"/>
      <c r="V5" s="737"/>
      <c r="W5" s="737"/>
      <c r="X5" s="737"/>
      <c r="Y5" s="737"/>
      <c r="Z5" s="737"/>
      <c r="AA5" s="758"/>
      <c r="AB5" s="724"/>
      <c r="AC5" s="725"/>
      <c r="AD5" s="726"/>
      <c r="AF5" s="731"/>
      <c r="AG5" s="731"/>
    </row>
    <row r="6" spans="1:33" s="44" customFormat="1" ht="50.25" customHeight="1">
      <c r="A6" s="767"/>
      <c r="B6" s="737"/>
      <c r="C6" s="771"/>
      <c r="D6" s="778"/>
      <c r="E6" s="780"/>
      <c r="F6" s="749"/>
      <c r="G6" s="754"/>
      <c r="H6" s="760"/>
      <c r="I6" s="741"/>
      <c r="J6" s="754"/>
      <c r="K6" s="749"/>
      <c r="L6" s="746" t="s">
        <v>18</v>
      </c>
      <c r="M6" s="363"/>
      <c r="N6" s="367" t="s">
        <v>169</v>
      </c>
      <c r="O6" s="746" t="s">
        <v>18</v>
      </c>
      <c r="P6" s="365"/>
      <c r="Q6" s="367" t="s">
        <v>169</v>
      </c>
      <c r="R6" s="743"/>
      <c r="S6" s="745"/>
      <c r="T6" s="739"/>
      <c r="U6" s="737"/>
      <c r="V6" s="737"/>
      <c r="W6" s="737"/>
      <c r="X6" s="737"/>
      <c r="Y6" s="737"/>
      <c r="Z6" s="737"/>
      <c r="AA6" s="758"/>
      <c r="AB6" s="724"/>
      <c r="AC6" s="725"/>
      <c r="AD6" s="726"/>
      <c r="AF6" s="732"/>
      <c r="AG6" s="732"/>
    </row>
    <row r="7" spans="1:33" s="44" customFormat="1" ht="17.25" customHeight="1" thickBot="1">
      <c r="A7" s="768"/>
      <c r="B7" s="769"/>
      <c r="C7" s="772"/>
      <c r="D7" s="125" t="s">
        <v>104</v>
      </c>
      <c r="E7" s="205" t="s">
        <v>0</v>
      </c>
      <c r="F7" s="122" t="s">
        <v>1</v>
      </c>
      <c r="G7" s="126" t="s">
        <v>88</v>
      </c>
      <c r="H7" s="49" t="s">
        <v>79</v>
      </c>
      <c r="I7" s="122" t="s">
        <v>89</v>
      </c>
      <c r="J7" s="123" t="s">
        <v>102</v>
      </c>
      <c r="K7" s="124" t="s">
        <v>103</v>
      </c>
      <c r="L7" s="747"/>
      <c r="M7" s="364"/>
      <c r="N7" s="311" t="s">
        <v>80</v>
      </c>
      <c r="O7" s="747"/>
      <c r="P7" s="366"/>
      <c r="Q7" s="313" t="s">
        <v>81</v>
      </c>
      <c r="R7" s="117" t="s">
        <v>82</v>
      </c>
      <c r="S7" s="119" t="s">
        <v>83</v>
      </c>
      <c r="T7" s="50" t="s">
        <v>92</v>
      </c>
      <c r="U7" s="47" t="s">
        <v>93</v>
      </c>
      <c r="V7" s="47" t="s">
        <v>94</v>
      </c>
      <c r="W7" s="47" t="s">
        <v>95</v>
      </c>
      <c r="X7" s="47" t="s">
        <v>96</v>
      </c>
      <c r="Y7" s="47" t="s">
        <v>97</v>
      </c>
      <c r="Z7" s="47" t="s">
        <v>98</v>
      </c>
      <c r="AA7" s="51" t="s">
        <v>114</v>
      </c>
      <c r="AB7" s="727"/>
      <c r="AC7" s="728"/>
      <c r="AD7" s="729"/>
      <c r="AF7" s="733"/>
      <c r="AG7" s="733"/>
    </row>
    <row r="8" spans="1:36" s="149" customFormat="1" ht="18.75" customHeight="1" thickBot="1">
      <c r="A8" s="26">
        <f>IF(B8="","",ROW($A8)-ROW($A$7))</f>
      </c>
      <c r="B8" s="271"/>
      <c r="C8" s="234"/>
      <c r="D8" s="52"/>
      <c r="E8" s="53"/>
      <c r="F8" s="215">
        <f>IF(A8="","",IF(E8&gt;30,30,E8))</f>
      </c>
      <c r="G8" s="222">
        <f>IF(A8="","",(D8*F8))</f>
      </c>
      <c r="H8" s="223"/>
      <c r="I8" s="224"/>
      <c r="J8" s="225">
        <f>IF(A8="","",ROUNDDOWN((H8*I8/12+G8),0))</f>
      </c>
      <c r="K8" s="243">
        <f>IF(A8="","",ROUNDDOWN(10032*F8,0))</f>
      </c>
      <c r="L8" s="296"/>
      <c r="M8" s="235"/>
      <c r="N8" s="236">
        <f>IF($G8="","",IF($L8="Ａ",LOOKUP($D8,{8000,8500,9000,10000,12000},{0,1532,1032,408,408}),IF($L8="Ｂ",LOOKUP($D8,{8000,8500,9000,10000,12000},{782,2814,2814,2814,2814}),0)))</f>
      </c>
      <c r="O8" s="296"/>
      <c r="P8" s="293">
        <v>0</v>
      </c>
      <c r="Q8" s="236">
        <f>IF($G8="","",IF($O8="Ａ",LOOKUP($D8,{8000,8500,9000,10000,12000},{0,1532,1032,408,408}),IF($O8="Ｂ",LOOKUP($D8,{8000,8500,9000,10000,12000},{782,2814,2814,2814,2814}),0)))</f>
      </c>
      <c r="R8" s="88">
        <f>IF(ISERROR(ROUNDUP(N8*3/12+Q8*9/12,0)),"",ROUNDUP(N8*3/12+Q8*9/12,0))</f>
      </c>
      <c r="S8" s="382">
        <f>IF(B8="","",SUMIF('6-3_調整額内訳②(旧々・新制度)'!B:B,$B8,'6-3_調整額内訳②(旧々・新制度)'!AD:AD))</f>
      </c>
      <c r="T8" s="227">
        <f>IF(B8="","",SUM(R8:S8))</f>
      </c>
      <c r="U8" s="383">
        <f>IF(B8="","",ROUNDDOWN(T8*F8,0))</f>
      </c>
      <c r="V8" s="228">
        <f>IF(J8&gt;=K8,K8,J8)</f>
      </c>
      <c r="W8" s="52"/>
      <c r="X8" s="228">
        <f>IF(A8="","",IF((J8-V8)&lt;W8,V8-(J8-W8),0))</f>
      </c>
      <c r="Y8" s="237"/>
      <c r="Z8" s="88">
        <f>IF(B8="","",MAX(0,V8-X8-Y8))</f>
      </c>
      <c r="AA8" s="230">
        <f>IF(B8="","",MIN(U8,Z8))</f>
      </c>
      <c r="AB8" s="734"/>
      <c r="AC8" s="735"/>
      <c r="AD8" s="736"/>
      <c r="AF8" s="55">
        <f aca="true" t="shared" si="0" ref="AF8:AF44">IF(A8&gt;0,ASC(C8&amp;O8),"")</f>
      </c>
      <c r="AG8" s="55">
        <f aca="true" t="shared" si="1" ref="AG8:AG44">IF(B8="","",IF(AA8&gt;0,1,0))</f>
      </c>
      <c r="AJ8" s="231" t="s">
        <v>15</v>
      </c>
    </row>
    <row r="9" spans="1:36" s="54" customFormat="1" ht="18.75" customHeight="1" thickBot="1" thickTop="1">
      <c r="A9" s="37">
        <f aca="true" t="shared" si="2" ref="A9:A44">IF(B9="","",ROW($A9)-ROW($A$7))</f>
      </c>
      <c r="B9" s="277"/>
      <c r="C9" s="238"/>
      <c r="D9" s="58"/>
      <c r="E9" s="59"/>
      <c r="F9" s="216">
        <f aca="true" t="shared" si="3" ref="F9:F44">IF(A9="","",IF(E9&gt;30,30,E9))</f>
      </c>
      <c r="G9" s="239">
        <f aca="true" t="shared" si="4" ref="G9:G44">IF(A9="","",(D9*F9))</f>
      </c>
      <c r="H9" s="240"/>
      <c r="I9" s="241"/>
      <c r="J9" s="242">
        <f aca="true" t="shared" si="5" ref="J9:J44">IF(A9="","",ROUNDDOWN((H9*I9/12+G9),0))</f>
      </c>
      <c r="K9" s="243">
        <f aca="true" t="shared" si="6" ref="K9:K44">IF(A9="","",ROUNDDOWN(10032*F9,0))</f>
      </c>
      <c r="L9" s="297"/>
      <c r="M9" s="220"/>
      <c r="N9" s="244">
        <f>IF($G9="","",IF($L9="Ａ",LOOKUP($D9,{8000,8500,9000,10000,12000},{0,1532,1032,408,408}),IF($L9="Ｂ",LOOKUP($D9,{8000,8500,9000,10000,12000},{782,2814,2814,2814,2814}),0)))</f>
      </c>
      <c r="O9" s="297"/>
      <c r="P9" s="294">
        <v>0</v>
      </c>
      <c r="Q9" s="244">
        <f>IF($G9="","",IF($O9="Ａ",LOOKUP($D9,{8000,8500,9000,10000,12000},{0,1532,1032,408,408}),IF($O9="Ｂ",LOOKUP($D9,{8000,8500,9000,10000,12000},{782,2814,2814,2814,2814}),0)))</f>
      </c>
      <c r="R9" s="98">
        <f aca="true" t="shared" si="7" ref="R9:R44">IF(ISERROR(ROUNDUP(N9*3/12+Q9*9/12,0)),"",ROUNDUP(N9*3/12+Q9*9/12,0))</f>
      </c>
      <c r="S9" s="382">
        <f>IF(B9="","",SUMIF('6-3_調整額内訳②(旧々・新制度)'!B:B,$B9,'6-3_調整額内訳②(旧々・新制度)'!AD:AD))</f>
      </c>
      <c r="T9" s="246">
        <f aca="true" t="shared" si="8" ref="T9:T44">IF(B9="","",SUM(R9:S9))</f>
      </c>
      <c r="U9" s="247">
        <f aca="true" t="shared" si="9" ref="U9:U44">IF(B9="","",ROUNDDOWN(T9*F9,0))</f>
      </c>
      <c r="V9" s="247">
        <f aca="true" t="shared" si="10" ref="V9:V44">IF(J9&gt;=K9,K9,J9)</f>
      </c>
      <c r="W9" s="58"/>
      <c r="X9" s="247">
        <f aca="true" t="shared" si="11" ref="X9:X44">IF(A9="","",IF((J9-V9)&lt;W9,V9-(J9-W9),0))</f>
      </c>
      <c r="Y9" s="229"/>
      <c r="Z9" s="98">
        <f aca="true" t="shared" si="12" ref="Z9:Z44">IF(B9="","",MAX(0,V9-X9-Y9))</f>
      </c>
      <c r="AA9" s="248">
        <f aca="true" t="shared" si="13" ref="AA9:AA44">IF(B9="","",MIN(U9,Z9))</f>
      </c>
      <c r="AB9" s="712"/>
      <c r="AC9" s="713"/>
      <c r="AD9" s="714"/>
      <c r="AF9" s="63">
        <f t="shared" si="0"/>
      </c>
      <c r="AG9" s="63">
        <f t="shared" si="1"/>
      </c>
      <c r="AI9" s="56" t="s">
        <v>14</v>
      </c>
      <c r="AJ9" s="64" t="str">
        <f>IF(S45='6-3_調整額内訳②(旧々・新制度)'!AD39,"OK","ERR")</f>
        <v>OK</v>
      </c>
    </row>
    <row r="10" spans="1:36" s="54" customFormat="1" ht="18.75" customHeight="1" thickTop="1">
      <c r="A10" s="204">
        <f t="shared" si="2"/>
      </c>
      <c r="B10" s="277"/>
      <c r="C10" s="238"/>
      <c r="D10" s="58"/>
      <c r="E10" s="59"/>
      <c r="F10" s="216">
        <f t="shared" si="3"/>
      </c>
      <c r="G10" s="239">
        <f t="shared" si="4"/>
      </c>
      <c r="H10" s="240"/>
      <c r="I10" s="241"/>
      <c r="J10" s="242">
        <f t="shared" si="5"/>
      </c>
      <c r="K10" s="243">
        <f t="shared" si="6"/>
      </c>
      <c r="L10" s="297"/>
      <c r="M10" s="220"/>
      <c r="N10" s="244">
        <f>IF($G10="","",IF($L10="Ａ",LOOKUP($D10,{8000,8500,9000,10000,12000},{0,1532,1032,408,408}),IF($L10="Ｂ",LOOKUP($D10,{8000,8500,9000,10000,12000},{782,2814,2814,2814,2814}),0)))</f>
      </c>
      <c r="O10" s="297"/>
      <c r="P10" s="294">
        <v>0</v>
      </c>
      <c r="Q10" s="244">
        <f>IF($G10="","",IF($O10="Ａ",LOOKUP($D10,{8000,8500,9000,10000,12000},{0,1532,1032,408,408}),IF($O10="Ｂ",LOOKUP($D10,{8000,8500,9000,10000,12000},{782,2814,2814,2814,2814}),0)))</f>
      </c>
      <c r="R10" s="98">
        <f t="shared" si="7"/>
      </c>
      <c r="S10" s="382">
        <f>IF(B10="","",SUMIF('6-3_調整額内訳②(旧々・新制度)'!B:B,$B10,'6-3_調整額内訳②(旧々・新制度)'!AD:AD))</f>
      </c>
      <c r="T10" s="246">
        <f t="shared" si="8"/>
      </c>
      <c r="U10" s="247">
        <f t="shared" si="9"/>
      </c>
      <c r="V10" s="247">
        <f t="shared" si="10"/>
      </c>
      <c r="W10" s="58"/>
      <c r="X10" s="247">
        <f t="shared" si="11"/>
      </c>
      <c r="Y10" s="229"/>
      <c r="Z10" s="98">
        <f t="shared" si="12"/>
      </c>
      <c r="AA10" s="248">
        <f t="shared" si="13"/>
      </c>
      <c r="AB10" s="712"/>
      <c r="AC10" s="713"/>
      <c r="AD10" s="714"/>
      <c r="AF10" s="63">
        <f t="shared" si="0"/>
      </c>
      <c r="AG10" s="63">
        <f t="shared" si="1"/>
      </c>
      <c r="AI10" s="56"/>
      <c r="AJ10" s="65"/>
    </row>
    <row r="11" spans="1:33" s="54" customFormat="1" ht="18.75" customHeight="1">
      <c r="A11" s="204">
        <f t="shared" si="2"/>
      </c>
      <c r="B11" s="277"/>
      <c r="C11" s="238"/>
      <c r="D11" s="58"/>
      <c r="E11" s="59"/>
      <c r="F11" s="216">
        <f t="shared" si="3"/>
      </c>
      <c r="G11" s="239">
        <f t="shared" si="4"/>
      </c>
      <c r="H11" s="240"/>
      <c r="I11" s="241"/>
      <c r="J11" s="242">
        <f t="shared" si="5"/>
      </c>
      <c r="K11" s="243">
        <f t="shared" si="6"/>
      </c>
      <c r="L11" s="297"/>
      <c r="M11" s="220"/>
      <c r="N11" s="244">
        <f>IF($G11="","",IF($L11="Ａ",LOOKUP($D11,{8000,8500,9000,10000,12000},{0,1532,1032,408,408}),IF($L11="Ｂ",LOOKUP($D11,{8000,8500,9000,10000,12000},{782,2814,2814,2814,2814}),0)))</f>
      </c>
      <c r="O11" s="297"/>
      <c r="P11" s="294">
        <v>0</v>
      </c>
      <c r="Q11" s="244">
        <f>IF($G11="","",IF($O11="Ａ",LOOKUP($D11,{8000,8500,9000,10000,12000},{0,1532,1032,408,408}),IF($O11="Ｂ",LOOKUP($D11,{8000,8500,9000,10000,12000},{782,2814,2814,2814,2814}),0)))</f>
      </c>
      <c r="R11" s="98">
        <f t="shared" si="7"/>
      </c>
      <c r="S11" s="382">
        <f>IF(B11="","",SUMIF('6-3_調整額内訳②(旧々・新制度)'!B:B,$B11,'6-3_調整額内訳②(旧々・新制度)'!AD:AD))</f>
      </c>
      <c r="T11" s="246">
        <f t="shared" si="8"/>
      </c>
      <c r="U11" s="247">
        <f t="shared" si="9"/>
      </c>
      <c r="V11" s="247">
        <f t="shared" si="10"/>
      </c>
      <c r="W11" s="58"/>
      <c r="X11" s="247">
        <f t="shared" si="11"/>
      </c>
      <c r="Y11" s="229"/>
      <c r="Z11" s="98">
        <f t="shared" si="12"/>
      </c>
      <c r="AA11" s="248">
        <f t="shared" si="13"/>
      </c>
      <c r="AB11" s="712"/>
      <c r="AC11" s="713"/>
      <c r="AD11" s="714"/>
      <c r="AF11" s="63">
        <f t="shared" si="0"/>
      </c>
      <c r="AG11" s="63">
        <f t="shared" si="1"/>
      </c>
    </row>
    <row r="12" spans="1:33" s="54" customFormat="1" ht="18.75" customHeight="1">
      <c r="A12" s="204">
        <f t="shared" si="2"/>
      </c>
      <c r="B12" s="277"/>
      <c r="C12" s="238"/>
      <c r="D12" s="58"/>
      <c r="E12" s="59"/>
      <c r="F12" s="216">
        <f t="shared" si="3"/>
      </c>
      <c r="G12" s="239">
        <f t="shared" si="4"/>
      </c>
      <c r="H12" s="240"/>
      <c r="I12" s="241"/>
      <c r="J12" s="242">
        <f t="shared" si="5"/>
      </c>
      <c r="K12" s="243">
        <f t="shared" si="6"/>
      </c>
      <c r="L12" s="297"/>
      <c r="M12" s="220"/>
      <c r="N12" s="244">
        <f>IF($G12="","",IF($L12="Ａ",LOOKUP($D12,{8000,8500,9000,10000,12000},{0,1532,1032,408,408}),IF($L12="Ｂ",LOOKUP($D12,{8000,8500,9000,10000,12000},{782,2814,2814,2814,2814}),0)))</f>
      </c>
      <c r="O12" s="297"/>
      <c r="P12" s="294">
        <v>0</v>
      </c>
      <c r="Q12" s="244">
        <f>IF($G12="","",IF($O12="Ａ",LOOKUP($D12,{8000,8500,9000,10000,12000},{0,1532,1032,408,408}),IF($O12="Ｂ",LOOKUP($D12,{8000,8500,9000,10000,12000},{782,2814,2814,2814,2814}),0)))</f>
      </c>
      <c r="R12" s="98">
        <f t="shared" si="7"/>
      </c>
      <c r="S12" s="382">
        <f>IF(B12="","",SUMIF('6-3_調整額内訳②(旧々・新制度)'!B:B,$B12,'6-3_調整額内訳②(旧々・新制度)'!AD:AD))</f>
      </c>
      <c r="T12" s="246">
        <f t="shared" si="8"/>
      </c>
      <c r="U12" s="247">
        <f t="shared" si="9"/>
      </c>
      <c r="V12" s="247">
        <f t="shared" si="10"/>
      </c>
      <c r="W12" s="58"/>
      <c r="X12" s="247">
        <f t="shared" si="11"/>
      </c>
      <c r="Y12" s="229"/>
      <c r="Z12" s="98">
        <f t="shared" si="12"/>
      </c>
      <c r="AA12" s="248">
        <f t="shared" si="13"/>
      </c>
      <c r="AB12" s="712"/>
      <c r="AC12" s="713"/>
      <c r="AD12" s="714"/>
      <c r="AF12" s="63">
        <f t="shared" si="0"/>
      </c>
      <c r="AG12" s="63">
        <f t="shared" si="1"/>
      </c>
    </row>
    <row r="13" spans="1:33" s="54" customFormat="1" ht="18.75" customHeight="1">
      <c r="A13" s="204">
        <f t="shared" si="2"/>
      </c>
      <c r="B13" s="277"/>
      <c r="C13" s="238"/>
      <c r="D13" s="58"/>
      <c r="E13" s="59"/>
      <c r="F13" s="216">
        <f t="shared" si="3"/>
      </c>
      <c r="G13" s="239">
        <f t="shared" si="4"/>
      </c>
      <c r="H13" s="240"/>
      <c r="I13" s="241"/>
      <c r="J13" s="242">
        <f t="shared" si="5"/>
      </c>
      <c r="K13" s="243">
        <f t="shared" si="6"/>
      </c>
      <c r="L13" s="297"/>
      <c r="M13" s="220"/>
      <c r="N13" s="244">
        <f>IF($G13="","",IF($L13="Ａ",LOOKUP($D13,{8000,8500,9000,10000,12000},{0,1532,1032,408,408}),IF($L13="Ｂ",LOOKUP($D13,{8000,8500,9000,10000,12000},{782,2814,2814,2814,2814}),0)))</f>
      </c>
      <c r="O13" s="297"/>
      <c r="P13" s="294">
        <v>0</v>
      </c>
      <c r="Q13" s="244">
        <f>IF($G13="","",IF($O13="Ａ",LOOKUP($D13,{8000,8500,9000,10000,12000},{0,1532,1032,408,408}),IF($O13="Ｂ",LOOKUP($D13,{8000,8500,9000,10000,12000},{782,2814,2814,2814,2814}),0)))</f>
      </c>
      <c r="R13" s="98">
        <f t="shared" si="7"/>
      </c>
      <c r="S13" s="382">
        <f>IF(B13="","",SUMIF('6-3_調整額内訳②(旧々・新制度)'!B:B,$B13,'6-3_調整額内訳②(旧々・新制度)'!AD:AD))</f>
      </c>
      <c r="T13" s="246">
        <f t="shared" si="8"/>
      </c>
      <c r="U13" s="247">
        <f t="shared" si="9"/>
      </c>
      <c r="V13" s="247">
        <f t="shared" si="10"/>
      </c>
      <c r="W13" s="58"/>
      <c r="X13" s="247">
        <f t="shared" si="11"/>
      </c>
      <c r="Y13" s="229"/>
      <c r="Z13" s="98">
        <f t="shared" si="12"/>
      </c>
      <c r="AA13" s="248">
        <f t="shared" si="13"/>
      </c>
      <c r="AB13" s="712"/>
      <c r="AC13" s="713"/>
      <c r="AD13" s="714"/>
      <c r="AF13" s="63">
        <f t="shared" si="0"/>
      </c>
      <c r="AG13" s="63">
        <f t="shared" si="1"/>
      </c>
    </row>
    <row r="14" spans="1:33" s="54" customFormat="1" ht="18.75" customHeight="1">
      <c r="A14" s="204">
        <f t="shared" si="2"/>
      </c>
      <c r="B14" s="277"/>
      <c r="C14" s="238"/>
      <c r="D14" s="58"/>
      <c r="E14" s="59"/>
      <c r="F14" s="216">
        <f t="shared" si="3"/>
      </c>
      <c r="G14" s="239">
        <f t="shared" si="4"/>
      </c>
      <c r="H14" s="240"/>
      <c r="I14" s="241"/>
      <c r="J14" s="242">
        <f t="shared" si="5"/>
      </c>
      <c r="K14" s="243">
        <f t="shared" si="6"/>
      </c>
      <c r="L14" s="297"/>
      <c r="M14" s="220"/>
      <c r="N14" s="244">
        <f>IF($G14="","",IF($L14="Ａ",LOOKUP($D14,{8000,8500,9000,10000,12000},{0,1532,1032,408,408}),IF($L14="Ｂ",LOOKUP($D14,{8000,8500,9000,10000,12000},{782,2814,2814,2814,2814}),0)))</f>
      </c>
      <c r="O14" s="297"/>
      <c r="P14" s="294">
        <v>0</v>
      </c>
      <c r="Q14" s="244">
        <f>IF($G14="","",IF($O14="Ａ",LOOKUP($D14,{8000,8500,9000,10000,12000},{0,1532,1032,408,408}),IF($O14="Ｂ",LOOKUP($D14,{8000,8500,9000,10000,12000},{782,2814,2814,2814,2814}),0)))</f>
      </c>
      <c r="R14" s="98">
        <f t="shared" si="7"/>
      </c>
      <c r="S14" s="382">
        <f>IF(B14="","",SUMIF('6-3_調整額内訳②(旧々・新制度)'!B:B,$B14,'6-3_調整額内訳②(旧々・新制度)'!AD:AD))</f>
      </c>
      <c r="T14" s="246">
        <f t="shared" si="8"/>
      </c>
      <c r="U14" s="247">
        <f t="shared" si="9"/>
      </c>
      <c r="V14" s="247">
        <f t="shared" si="10"/>
      </c>
      <c r="W14" s="58"/>
      <c r="X14" s="247">
        <f t="shared" si="11"/>
      </c>
      <c r="Y14" s="229"/>
      <c r="Z14" s="98">
        <f t="shared" si="12"/>
      </c>
      <c r="AA14" s="248">
        <f t="shared" si="13"/>
      </c>
      <c r="AB14" s="712"/>
      <c r="AC14" s="713"/>
      <c r="AD14" s="714"/>
      <c r="AF14" s="63">
        <f t="shared" si="0"/>
      </c>
      <c r="AG14" s="63">
        <f t="shared" si="1"/>
      </c>
    </row>
    <row r="15" spans="1:33" s="54" customFormat="1" ht="18.75" customHeight="1">
      <c r="A15" s="204">
        <f t="shared" si="2"/>
      </c>
      <c r="B15" s="277"/>
      <c r="C15" s="238"/>
      <c r="D15" s="58"/>
      <c r="E15" s="59"/>
      <c r="F15" s="216">
        <f t="shared" si="3"/>
      </c>
      <c r="G15" s="239">
        <f t="shared" si="4"/>
      </c>
      <c r="H15" s="240"/>
      <c r="I15" s="241"/>
      <c r="J15" s="242">
        <f t="shared" si="5"/>
      </c>
      <c r="K15" s="243">
        <f t="shared" si="6"/>
      </c>
      <c r="L15" s="297"/>
      <c r="M15" s="220"/>
      <c r="N15" s="244">
        <f>IF($G15="","",IF($L15="Ａ",LOOKUP($D15,{8000,8500,9000,10000,12000},{0,1532,1032,408,408}),IF($L15="Ｂ",LOOKUP($D15,{8000,8500,9000,10000,12000},{782,2814,2814,2814,2814}),0)))</f>
      </c>
      <c r="O15" s="297"/>
      <c r="P15" s="294">
        <v>0</v>
      </c>
      <c r="Q15" s="244">
        <f>IF($G15="","",IF($O15="Ａ",LOOKUP($D15,{8000,8500,9000,10000,12000},{0,1532,1032,408,408}),IF($O15="Ｂ",LOOKUP($D15,{8000,8500,9000,10000,12000},{782,2814,2814,2814,2814}),0)))</f>
      </c>
      <c r="R15" s="98">
        <f t="shared" si="7"/>
      </c>
      <c r="S15" s="382">
        <f>IF(B15="","",SUMIF('6-3_調整額内訳②(旧々・新制度)'!B:B,$B15,'6-3_調整額内訳②(旧々・新制度)'!AD:AD))</f>
      </c>
      <c r="T15" s="246">
        <f t="shared" si="8"/>
      </c>
      <c r="U15" s="247">
        <f t="shared" si="9"/>
      </c>
      <c r="V15" s="247">
        <f t="shared" si="10"/>
      </c>
      <c r="W15" s="58"/>
      <c r="X15" s="247">
        <f t="shared" si="11"/>
      </c>
      <c r="Y15" s="229"/>
      <c r="Z15" s="98">
        <f t="shared" si="12"/>
      </c>
      <c r="AA15" s="248">
        <f t="shared" si="13"/>
      </c>
      <c r="AB15" s="712"/>
      <c r="AC15" s="713"/>
      <c r="AD15" s="714"/>
      <c r="AF15" s="63">
        <f t="shared" si="0"/>
      </c>
      <c r="AG15" s="63">
        <f t="shared" si="1"/>
      </c>
    </row>
    <row r="16" spans="1:33" s="54" customFormat="1" ht="18.75" customHeight="1">
      <c r="A16" s="204">
        <f t="shared" si="2"/>
      </c>
      <c r="B16" s="277"/>
      <c r="C16" s="238"/>
      <c r="D16" s="58"/>
      <c r="E16" s="59"/>
      <c r="F16" s="216">
        <f t="shared" si="3"/>
      </c>
      <c r="G16" s="239">
        <f t="shared" si="4"/>
      </c>
      <c r="H16" s="240"/>
      <c r="I16" s="241"/>
      <c r="J16" s="242">
        <f t="shared" si="5"/>
      </c>
      <c r="K16" s="243">
        <f t="shared" si="6"/>
      </c>
      <c r="L16" s="297"/>
      <c r="M16" s="220"/>
      <c r="N16" s="244">
        <f>IF($G16="","",IF($L16="Ａ",LOOKUP($D16,{8000,8500,9000,10000,12000},{0,1532,1032,408,408}),IF($L16="Ｂ",LOOKUP($D16,{8000,8500,9000,10000,12000},{782,2814,2814,2814,2814}),0)))</f>
      </c>
      <c r="O16" s="297"/>
      <c r="P16" s="294">
        <v>0</v>
      </c>
      <c r="Q16" s="244">
        <f>IF($G16="","",IF($O16="Ａ",LOOKUP($D16,{8000,8500,9000,10000,12000},{0,1532,1032,408,408}),IF($O16="Ｂ",LOOKUP($D16,{8000,8500,9000,10000,12000},{782,2814,2814,2814,2814}),0)))</f>
      </c>
      <c r="R16" s="98">
        <f t="shared" si="7"/>
      </c>
      <c r="S16" s="382">
        <f>IF(B16="","",SUMIF('6-3_調整額内訳②(旧々・新制度)'!B:B,$B16,'6-3_調整額内訳②(旧々・新制度)'!AD:AD))</f>
      </c>
      <c r="T16" s="246">
        <f t="shared" si="8"/>
      </c>
      <c r="U16" s="247">
        <f t="shared" si="9"/>
      </c>
      <c r="V16" s="247">
        <f t="shared" si="10"/>
      </c>
      <c r="W16" s="58"/>
      <c r="X16" s="247">
        <f t="shared" si="11"/>
      </c>
      <c r="Y16" s="229"/>
      <c r="Z16" s="98">
        <f t="shared" si="12"/>
      </c>
      <c r="AA16" s="248">
        <f t="shared" si="13"/>
      </c>
      <c r="AB16" s="712"/>
      <c r="AC16" s="713"/>
      <c r="AD16" s="714"/>
      <c r="AF16" s="63">
        <f t="shared" si="0"/>
      </c>
      <c r="AG16" s="63">
        <f t="shared" si="1"/>
      </c>
    </row>
    <row r="17" spans="1:33" s="54" customFormat="1" ht="18.75" customHeight="1">
      <c r="A17" s="204">
        <f t="shared" si="2"/>
      </c>
      <c r="B17" s="277"/>
      <c r="C17" s="238"/>
      <c r="D17" s="58"/>
      <c r="E17" s="59"/>
      <c r="F17" s="216">
        <f t="shared" si="3"/>
      </c>
      <c r="G17" s="239">
        <f t="shared" si="4"/>
      </c>
      <c r="H17" s="240"/>
      <c r="I17" s="241"/>
      <c r="J17" s="242">
        <f t="shared" si="5"/>
      </c>
      <c r="K17" s="243">
        <f t="shared" si="6"/>
      </c>
      <c r="L17" s="297"/>
      <c r="M17" s="220"/>
      <c r="N17" s="244">
        <f>IF($G17="","",IF($L17="Ａ",LOOKUP($D17,{8000,8500,9000,10000,12000},{0,1532,1032,408,408}),IF($L17="Ｂ",LOOKUP($D17,{8000,8500,9000,10000,12000},{782,2814,2814,2814,2814}),0)))</f>
      </c>
      <c r="O17" s="297"/>
      <c r="P17" s="294">
        <v>0</v>
      </c>
      <c r="Q17" s="244">
        <f>IF($G17="","",IF($O17="Ａ",LOOKUP($D17,{8000,8500,9000,10000,12000},{0,1532,1032,408,408}),IF($O17="Ｂ",LOOKUP($D17,{8000,8500,9000,10000,12000},{782,2814,2814,2814,2814}),0)))</f>
      </c>
      <c r="R17" s="98">
        <f t="shared" si="7"/>
      </c>
      <c r="S17" s="382">
        <f>IF(B17="","",SUMIF('6-3_調整額内訳②(旧々・新制度)'!B:B,$B17,'6-3_調整額内訳②(旧々・新制度)'!AD:AD))</f>
      </c>
      <c r="T17" s="246">
        <f t="shared" si="8"/>
      </c>
      <c r="U17" s="247">
        <f t="shared" si="9"/>
      </c>
      <c r="V17" s="247">
        <f t="shared" si="10"/>
      </c>
      <c r="W17" s="58"/>
      <c r="X17" s="247">
        <f t="shared" si="11"/>
      </c>
      <c r="Y17" s="229"/>
      <c r="Z17" s="98">
        <f t="shared" si="12"/>
      </c>
      <c r="AA17" s="248">
        <f t="shared" si="13"/>
      </c>
      <c r="AB17" s="712"/>
      <c r="AC17" s="713"/>
      <c r="AD17" s="714"/>
      <c r="AF17" s="63">
        <f t="shared" si="0"/>
      </c>
      <c r="AG17" s="63">
        <f t="shared" si="1"/>
      </c>
    </row>
    <row r="18" spans="1:33" s="54" customFormat="1" ht="18.75" customHeight="1">
      <c r="A18" s="204">
        <f t="shared" si="2"/>
      </c>
      <c r="B18" s="277"/>
      <c r="C18" s="238"/>
      <c r="D18" s="58"/>
      <c r="E18" s="59"/>
      <c r="F18" s="216">
        <f t="shared" si="3"/>
      </c>
      <c r="G18" s="239">
        <f t="shared" si="4"/>
      </c>
      <c r="H18" s="240"/>
      <c r="I18" s="241"/>
      <c r="J18" s="242">
        <f t="shared" si="5"/>
      </c>
      <c r="K18" s="243">
        <f t="shared" si="6"/>
      </c>
      <c r="L18" s="297"/>
      <c r="M18" s="220"/>
      <c r="N18" s="244">
        <f>IF($G18="","",IF($L18="Ａ",LOOKUP($D18,{8000,8500,9000,10000,12000},{0,1532,1032,408,408}),IF($L18="Ｂ",LOOKUP($D18,{8000,8500,9000,10000,12000},{782,2814,2814,2814,2814}),0)))</f>
      </c>
      <c r="O18" s="297"/>
      <c r="P18" s="294">
        <v>0</v>
      </c>
      <c r="Q18" s="244">
        <f>IF($G18="","",IF($O18="Ａ",LOOKUP($D18,{8000,8500,9000,10000,12000},{0,1532,1032,408,408}),IF($O18="Ｂ",LOOKUP($D18,{8000,8500,9000,10000,12000},{782,2814,2814,2814,2814}),0)))</f>
      </c>
      <c r="R18" s="98">
        <f t="shared" si="7"/>
      </c>
      <c r="S18" s="382">
        <f>IF(B18="","",SUMIF('6-3_調整額内訳②(旧々・新制度)'!B:B,$B18,'6-3_調整額内訳②(旧々・新制度)'!AD:AD))</f>
      </c>
      <c r="T18" s="246">
        <f t="shared" si="8"/>
      </c>
      <c r="U18" s="247">
        <f t="shared" si="9"/>
      </c>
      <c r="V18" s="247">
        <f t="shared" si="10"/>
      </c>
      <c r="W18" s="58"/>
      <c r="X18" s="247">
        <f t="shared" si="11"/>
      </c>
      <c r="Y18" s="229"/>
      <c r="Z18" s="98">
        <f t="shared" si="12"/>
      </c>
      <c r="AA18" s="248">
        <f t="shared" si="13"/>
      </c>
      <c r="AB18" s="712"/>
      <c r="AC18" s="713"/>
      <c r="AD18" s="714"/>
      <c r="AF18" s="63">
        <f t="shared" si="0"/>
      </c>
      <c r="AG18" s="63">
        <f t="shared" si="1"/>
      </c>
    </row>
    <row r="19" spans="1:33" s="54" customFormat="1" ht="18.75" customHeight="1">
      <c r="A19" s="204">
        <f t="shared" si="2"/>
      </c>
      <c r="B19" s="277"/>
      <c r="C19" s="238"/>
      <c r="D19" s="58"/>
      <c r="E19" s="59"/>
      <c r="F19" s="216">
        <f t="shared" si="3"/>
      </c>
      <c r="G19" s="239">
        <f t="shared" si="4"/>
      </c>
      <c r="H19" s="240"/>
      <c r="I19" s="241"/>
      <c r="J19" s="242">
        <f t="shared" si="5"/>
      </c>
      <c r="K19" s="243">
        <f t="shared" si="6"/>
      </c>
      <c r="L19" s="297"/>
      <c r="M19" s="220"/>
      <c r="N19" s="244">
        <f>IF($G19="","",IF($L19="Ａ",LOOKUP($D19,{8000,8500,9000,10000,12000},{0,1532,1032,408,408}),IF($L19="Ｂ",LOOKUP($D19,{8000,8500,9000,10000,12000},{782,2814,2814,2814,2814}),0)))</f>
      </c>
      <c r="O19" s="297"/>
      <c r="P19" s="294">
        <v>0</v>
      </c>
      <c r="Q19" s="244">
        <f>IF($G19="","",IF($O19="Ａ",LOOKUP($D19,{8000,8500,9000,10000,12000},{0,1532,1032,408,408}),IF($O19="Ｂ",LOOKUP($D19,{8000,8500,9000,10000,12000},{782,2814,2814,2814,2814}),0)))</f>
      </c>
      <c r="R19" s="98">
        <f t="shared" si="7"/>
      </c>
      <c r="S19" s="382">
        <f>IF(B19="","",SUMIF('6-3_調整額内訳②(旧々・新制度)'!B:B,$B19,'6-3_調整額内訳②(旧々・新制度)'!AD:AD))</f>
      </c>
      <c r="T19" s="246">
        <f t="shared" si="8"/>
      </c>
      <c r="U19" s="247">
        <f t="shared" si="9"/>
      </c>
      <c r="V19" s="247">
        <f t="shared" si="10"/>
      </c>
      <c r="W19" s="58"/>
      <c r="X19" s="247">
        <f t="shared" si="11"/>
      </c>
      <c r="Y19" s="229"/>
      <c r="Z19" s="98">
        <f t="shared" si="12"/>
      </c>
      <c r="AA19" s="248">
        <f t="shared" si="13"/>
      </c>
      <c r="AB19" s="712"/>
      <c r="AC19" s="713"/>
      <c r="AD19" s="714"/>
      <c r="AF19" s="63">
        <f t="shared" si="0"/>
      </c>
      <c r="AG19" s="63">
        <f t="shared" si="1"/>
      </c>
    </row>
    <row r="20" spans="1:33" s="54" customFormat="1" ht="18.75" customHeight="1">
      <c r="A20" s="204">
        <f t="shared" si="2"/>
      </c>
      <c r="B20" s="277"/>
      <c r="C20" s="238"/>
      <c r="D20" s="58"/>
      <c r="E20" s="59"/>
      <c r="F20" s="216">
        <f t="shared" si="3"/>
      </c>
      <c r="G20" s="239">
        <f t="shared" si="4"/>
      </c>
      <c r="H20" s="240"/>
      <c r="I20" s="241"/>
      <c r="J20" s="242">
        <f t="shared" si="5"/>
      </c>
      <c r="K20" s="243">
        <f t="shared" si="6"/>
      </c>
      <c r="L20" s="297"/>
      <c r="M20" s="220"/>
      <c r="N20" s="244">
        <f>IF($G20="","",IF($L20="Ａ",LOOKUP($D20,{8000,8500,9000,10000,12000},{0,1532,1032,408,408}),IF($L20="Ｂ",LOOKUP($D20,{8000,8500,9000,10000,12000},{782,2814,2814,2814,2814}),0)))</f>
      </c>
      <c r="O20" s="297"/>
      <c r="P20" s="294">
        <v>0</v>
      </c>
      <c r="Q20" s="244">
        <f>IF($G20="","",IF($O20="Ａ",LOOKUP($D20,{8000,8500,9000,10000,12000},{0,1532,1032,408,408}),IF($O20="Ｂ",LOOKUP($D20,{8000,8500,9000,10000,12000},{782,2814,2814,2814,2814}),0)))</f>
      </c>
      <c r="R20" s="98">
        <f t="shared" si="7"/>
      </c>
      <c r="S20" s="382">
        <f>IF(B20="","",SUMIF('6-3_調整額内訳②(旧々・新制度)'!B:B,$B20,'6-3_調整額内訳②(旧々・新制度)'!AD:AD))</f>
      </c>
      <c r="T20" s="246">
        <f t="shared" si="8"/>
      </c>
      <c r="U20" s="247">
        <f t="shared" si="9"/>
      </c>
      <c r="V20" s="247">
        <f t="shared" si="10"/>
      </c>
      <c r="W20" s="58"/>
      <c r="X20" s="247">
        <f t="shared" si="11"/>
      </c>
      <c r="Y20" s="229"/>
      <c r="Z20" s="98">
        <f t="shared" si="12"/>
      </c>
      <c r="AA20" s="248">
        <f t="shared" si="13"/>
      </c>
      <c r="AB20" s="712"/>
      <c r="AC20" s="713"/>
      <c r="AD20" s="714"/>
      <c r="AF20" s="63">
        <f t="shared" si="0"/>
      </c>
      <c r="AG20" s="63">
        <f t="shared" si="1"/>
      </c>
    </row>
    <row r="21" spans="1:33" s="54" customFormat="1" ht="18.75" customHeight="1">
      <c r="A21" s="204">
        <f t="shared" si="2"/>
      </c>
      <c r="B21" s="277"/>
      <c r="C21" s="238"/>
      <c r="D21" s="58"/>
      <c r="E21" s="59"/>
      <c r="F21" s="216">
        <f t="shared" si="3"/>
      </c>
      <c r="G21" s="239">
        <f t="shared" si="4"/>
      </c>
      <c r="H21" s="240"/>
      <c r="I21" s="241"/>
      <c r="J21" s="242">
        <f t="shared" si="5"/>
      </c>
      <c r="K21" s="243">
        <f t="shared" si="6"/>
      </c>
      <c r="L21" s="297"/>
      <c r="M21" s="220"/>
      <c r="N21" s="244">
        <f>IF($G21="","",IF($L21="Ａ",LOOKUP($D21,{8000,8500,9000,10000,12000},{0,1532,1032,408,408}),IF($L21="Ｂ",LOOKUP($D21,{8000,8500,9000,10000,12000},{782,2814,2814,2814,2814}),0)))</f>
      </c>
      <c r="O21" s="297"/>
      <c r="P21" s="294">
        <v>0</v>
      </c>
      <c r="Q21" s="244">
        <f>IF($G21="","",IF($O21="Ａ",LOOKUP($D21,{8000,8500,9000,10000,12000},{0,1532,1032,408,408}),IF($O21="Ｂ",LOOKUP($D21,{8000,8500,9000,10000,12000},{782,2814,2814,2814,2814}),0)))</f>
      </c>
      <c r="R21" s="98">
        <f t="shared" si="7"/>
      </c>
      <c r="S21" s="382">
        <f>IF(B21="","",SUMIF('6-3_調整額内訳②(旧々・新制度)'!B:B,$B21,'6-3_調整額内訳②(旧々・新制度)'!AD:AD))</f>
      </c>
      <c r="T21" s="246">
        <f t="shared" si="8"/>
      </c>
      <c r="U21" s="247">
        <f t="shared" si="9"/>
      </c>
      <c r="V21" s="247">
        <f t="shared" si="10"/>
      </c>
      <c r="W21" s="58"/>
      <c r="X21" s="247">
        <f t="shared" si="11"/>
      </c>
      <c r="Y21" s="229"/>
      <c r="Z21" s="98">
        <f t="shared" si="12"/>
      </c>
      <c r="AA21" s="248">
        <f t="shared" si="13"/>
      </c>
      <c r="AB21" s="712"/>
      <c r="AC21" s="713"/>
      <c r="AD21" s="714"/>
      <c r="AF21" s="63">
        <f t="shared" si="0"/>
      </c>
      <c r="AG21" s="63">
        <f t="shared" si="1"/>
      </c>
    </row>
    <row r="22" spans="1:33" s="54" customFormat="1" ht="18.75" customHeight="1">
      <c r="A22" s="204">
        <f t="shared" si="2"/>
      </c>
      <c r="B22" s="277"/>
      <c r="C22" s="238"/>
      <c r="D22" s="58"/>
      <c r="E22" s="59"/>
      <c r="F22" s="216">
        <f t="shared" si="3"/>
      </c>
      <c r="G22" s="239">
        <f t="shared" si="4"/>
      </c>
      <c r="H22" s="240"/>
      <c r="I22" s="241"/>
      <c r="J22" s="242">
        <f t="shared" si="5"/>
      </c>
      <c r="K22" s="243">
        <f t="shared" si="6"/>
      </c>
      <c r="L22" s="297"/>
      <c r="M22" s="220"/>
      <c r="N22" s="244">
        <f>IF($G22="","",IF($L22="Ａ",LOOKUP($D22,{8000,8500,9000,10000,12000},{0,1532,1032,408,408}),IF($L22="Ｂ",LOOKUP($D22,{8000,8500,9000,10000,12000},{782,2814,2814,2814,2814}),0)))</f>
      </c>
      <c r="O22" s="297"/>
      <c r="P22" s="294">
        <v>0</v>
      </c>
      <c r="Q22" s="244">
        <f>IF($G22="","",IF($O22="Ａ",LOOKUP($D22,{8000,8500,9000,10000,12000},{0,1532,1032,408,408}),IF($O22="Ｂ",LOOKUP($D22,{8000,8500,9000,10000,12000},{782,2814,2814,2814,2814}),0)))</f>
      </c>
      <c r="R22" s="98">
        <f t="shared" si="7"/>
      </c>
      <c r="S22" s="382">
        <f>IF(B22="","",SUMIF('6-3_調整額内訳②(旧々・新制度)'!B:B,$B22,'6-3_調整額内訳②(旧々・新制度)'!AD:AD))</f>
      </c>
      <c r="T22" s="246">
        <f t="shared" si="8"/>
      </c>
      <c r="U22" s="247">
        <f t="shared" si="9"/>
      </c>
      <c r="V22" s="247">
        <f t="shared" si="10"/>
      </c>
      <c r="W22" s="58"/>
      <c r="X22" s="247">
        <f t="shared" si="11"/>
      </c>
      <c r="Y22" s="229"/>
      <c r="Z22" s="98">
        <f t="shared" si="12"/>
      </c>
      <c r="AA22" s="248">
        <f t="shared" si="13"/>
      </c>
      <c r="AB22" s="712"/>
      <c r="AC22" s="713"/>
      <c r="AD22" s="714"/>
      <c r="AF22" s="63">
        <f t="shared" si="0"/>
      </c>
      <c r="AG22" s="63">
        <f t="shared" si="1"/>
      </c>
    </row>
    <row r="23" spans="1:33" s="54" customFormat="1" ht="18.75" customHeight="1">
      <c r="A23" s="204">
        <f t="shared" si="2"/>
      </c>
      <c r="B23" s="277"/>
      <c r="C23" s="238"/>
      <c r="D23" s="58"/>
      <c r="E23" s="59"/>
      <c r="F23" s="216">
        <f t="shared" si="3"/>
      </c>
      <c r="G23" s="239">
        <f t="shared" si="4"/>
      </c>
      <c r="H23" s="240"/>
      <c r="I23" s="241"/>
      <c r="J23" s="242">
        <f t="shared" si="5"/>
      </c>
      <c r="K23" s="243">
        <f t="shared" si="6"/>
      </c>
      <c r="L23" s="297"/>
      <c r="M23" s="220"/>
      <c r="N23" s="244">
        <f>IF($G23="","",IF($L23="Ａ",LOOKUP($D23,{8000,8500,9000,10000,12000},{0,1532,1032,408,408}),IF($L23="Ｂ",LOOKUP($D23,{8000,8500,9000,10000,12000},{782,2814,2814,2814,2814}),0)))</f>
      </c>
      <c r="O23" s="297"/>
      <c r="P23" s="294">
        <v>0</v>
      </c>
      <c r="Q23" s="244">
        <f>IF($G23="","",IF($O23="Ａ",LOOKUP($D23,{8000,8500,9000,10000,12000},{0,1532,1032,408,408}),IF($O23="Ｂ",LOOKUP($D23,{8000,8500,9000,10000,12000},{782,2814,2814,2814,2814}),0)))</f>
      </c>
      <c r="R23" s="98">
        <f t="shared" si="7"/>
      </c>
      <c r="S23" s="382">
        <f>IF(B23="","",SUMIF('6-3_調整額内訳②(旧々・新制度)'!B:B,$B23,'6-3_調整額内訳②(旧々・新制度)'!AD:AD))</f>
      </c>
      <c r="T23" s="246">
        <f t="shared" si="8"/>
      </c>
      <c r="U23" s="247">
        <f t="shared" si="9"/>
      </c>
      <c r="V23" s="247">
        <f t="shared" si="10"/>
      </c>
      <c r="W23" s="58"/>
      <c r="X23" s="247">
        <f t="shared" si="11"/>
      </c>
      <c r="Y23" s="229"/>
      <c r="Z23" s="98">
        <f t="shared" si="12"/>
      </c>
      <c r="AA23" s="248">
        <f t="shared" si="13"/>
      </c>
      <c r="AB23" s="712"/>
      <c r="AC23" s="713"/>
      <c r="AD23" s="714"/>
      <c r="AF23" s="63">
        <f t="shared" si="0"/>
      </c>
      <c r="AG23" s="63">
        <f t="shared" si="1"/>
      </c>
    </row>
    <row r="24" spans="1:33" s="54" customFormat="1" ht="18.75" customHeight="1">
      <c r="A24" s="204">
        <f t="shared" si="2"/>
      </c>
      <c r="B24" s="277"/>
      <c r="C24" s="238"/>
      <c r="D24" s="58"/>
      <c r="E24" s="59"/>
      <c r="F24" s="216">
        <f t="shared" si="3"/>
      </c>
      <c r="G24" s="239">
        <f t="shared" si="4"/>
      </c>
      <c r="H24" s="240"/>
      <c r="I24" s="241"/>
      <c r="J24" s="242">
        <f t="shared" si="5"/>
      </c>
      <c r="K24" s="243">
        <f t="shared" si="6"/>
      </c>
      <c r="L24" s="297"/>
      <c r="M24" s="220"/>
      <c r="N24" s="244">
        <f>IF($G24="","",IF($L24="Ａ",LOOKUP($D24,{8000,8500,9000,10000,12000},{0,1532,1032,408,408}),IF($L24="Ｂ",LOOKUP($D24,{8000,8500,9000,10000,12000},{782,2814,2814,2814,2814}),0)))</f>
      </c>
      <c r="O24" s="297"/>
      <c r="P24" s="294">
        <v>0</v>
      </c>
      <c r="Q24" s="244">
        <f>IF($G24="","",IF($O24="Ａ",LOOKUP($D24,{8000,8500,9000,10000,12000},{0,1532,1032,408,408}),IF($O24="Ｂ",LOOKUP($D24,{8000,8500,9000,10000,12000},{782,2814,2814,2814,2814}),0)))</f>
      </c>
      <c r="R24" s="98">
        <f t="shared" si="7"/>
      </c>
      <c r="S24" s="382">
        <f>IF(B24="","",SUMIF('6-3_調整額内訳②(旧々・新制度)'!B:B,$B24,'6-3_調整額内訳②(旧々・新制度)'!AD:AD))</f>
      </c>
      <c r="T24" s="246">
        <f t="shared" si="8"/>
      </c>
      <c r="U24" s="247">
        <f t="shared" si="9"/>
      </c>
      <c r="V24" s="247">
        <f t="shared" si="10"/>
      </c>
      <c r="W24" s="58"/>
      <c r="X24" s="247">
        <f t="shared" si="11"/>
      </c>
      <c r="Y24" s="229"/>
      <c r="Z24" s="98">
        <f t="shared" si="12"/>
      </c>
      <c r="AA24" s="248">
        <f t="shared" si="13"/>
      </c>
      <c r="AB24" s="712"/>
      <c r="AC24" s="713"/>
      <c r="AD24" s="714"/>
      <c r="AF24" s="63">
        <f t="shared" si="0"/>
      </c>
      <c r="AG24" s="63">
        <f t="shared" si="1"/>
      </c>
    </row>
    <row r="25" spans="1:33" s="54" customFormat="1" ht="18.75" customHeight="1">
      <c r="A25" s="204">
        <f t="shared" si="2"/>
      </c>
      <c r="B25" s="277"/>
      <c r="C25" s="238"/>
      <c r="D25" s="58"/>
      <c r="E25" s="59"/>
      <c r="F25" s="216">
        <f t="shared" si="3"/>
      </c>
      <c r="G25" s="239">
        <f t="shared" si="4"/>
      </c>
      <c r="H25" s="240"/>
      <c r="I25" s="241"/>
      <c r="J25" s="242">
        <f t="shared" si="5"/>
      </c>
      <c r="K25" s="243">
        <f t="shared" si="6"/>
      </c>
      <c r="L25" s="297"/>
      <c r="M25" s="220"/>
      <c r="N25" s="244">
        <f>IF($G25="","",IF($L25="Ａ",LOOKUP($D25,{8000,8500,9000,10000,12000},{0,1532,1032,408,408}),IF($L25="Ｂ",LOOKUP($D25,{8000,8500,9000,10000,12000},{782,2814,2814,2814,2814}),0)))</f>
      </c>
      <c r="O25" s="297"/>
      <c r="P25" s="294">
        <v>0</v>
      </c>
      <c r="Q25" s="244">
        <f>IF($G25="","",IF($O25="Ａ",LOOKUP($D25,{8000,8500,9000,10000,12000},{0,1532,1032,408,408}),IF($O25="Ｂ",LOOKUP($D25,{8000,8500,9000,10000,12000},{782,2814,2814,2814,2814}),0)))</f>
      </c>
      <c r="R25" s="98">
        <f t="shared" si="7"/>
      </c>
      <c r="S25" s="382">
        <f>IF(B25="","",SUMIF('6-3_調整額内訳②(旧々・新制度)'!B:B,$B25,'6-3_調整額内訳②(旧々・新制度)'!AD:AD))</f>
      </c>
      <c r="T25" s="246">
        <f t="shared" si="8"/>
      </c>
      <c r="U25" s="247">
        <f t="shared" si="9"/>
      </c>
      <c r="V25" s="247">
        <f t="shared" si="10"/>
      </c>
      <c r="W25" s="58"/>
      <c r="X25" s="247">
        <f t="shared" si="11"/>
      </c>
      <c r="Y25" s="229"/>
      <c r="Z25" s="98">
        <f t="shared" si="12"/>
      </c>
      <c r="AA25" s="248">
        <f t="shared" si="13"/>
      </c>
      <c r="AB25" s="712"/>
      <c r="AC25" s="713"/>
      <c r="AD25" s="714"/>
      <c r="AF25" s="63">
        <f t="shared" si="0"/>
      </c>
      <c r="AG25" s="63">
        <f t="shared" si="1"/>
      </c>
    </row>
    <row r="26" spans="1:33" s="54" customFormat="1" ht="18.75" customHeight="1">
      <c r="A26" s="204">
        <f t="shared" si="2"/>
      </c>
      <c r="B26" s="277"/>
      <c r="C26" s="238"/>
      <c r="D26" s="58"/>
      <c r="E26" s="59"/>
      <c r="F26" s="216">
        <f t="shared" si="3"/>
      </c>
      <c r="G26" s="239">
        <f t="shared" si="4"/>
      </c>
      <c r="H26" s="240"/>
      <c r="I26" s="241"/>
      <c r="J26" s="242">
        <f t="shared" si="5"/>
      </c>
      <c r="K26" s="243">
        <f t="shared" si="6"/>
      </c>
      <c r="L26" s="297"/>
      <c r="M26" s="220"/>
      <c r="N26" s="244">
        <f>IF($G26="","",IF($L26="Ａ",LOOKUP($D26,{8000,8500,9000,10000,12000},{0,1532,1032,408,408}),IF($L26="Ｂ",LOOKUP($D26,{8000,8500,9000,10000,12000},{782,2814,2814,2814,2814}),0)))</f>
      </c>
      <c r="O26" s="297"/>
      <c r="P26" s="294">
        <v>0</v>
      </c>
      <c r="Q26" s="244">
        <f>IF($G26="","",IF($O26="Ａ",LOOKUP($D26,{8000,8500,9000,10000,12000},{0,1532,1032,408,408}),IF($O26="Ｂ",LOOKUP($D26,{8000,8500,9000,10000,12000},{782,2814,2814,2814,2814}),0)))</f>
      </c>
      <c r="R26" s="98">
        <f t="shared" si="7"/>
      </c>
      <c r="S26" s="382">
        <f>IF(B26="","",SUMIF('6-3_調整額内訳②(旧々・新制度)'!B:B,$B26,'6-3_調整額内訳②(旧々・新制度)'!AD:AD))</f>
      </c>
      <c r="T26" s="246">
        <f t="shared" si="8"/>
      </c>
      <c r="U26" s="247">
        <f t="shared" si="9"/>
      </c>
      <c r="V26" s="247">
        <f t="shared" si="10"/>
      </c>
      <c r="W26" s="58"/>
      <c r="X26" s="247">
        <f t="shared" si="11"/>
      </c>
      <c r="Y26" s="229"/>
      <c r="Z26" s="98">
        <f t="shared" si="12"/>
      </c>
      <c r="AA26" s="248">
        <f t="shared" si="13"/>
      </c>
      <c r="AB26" s="712"/>
      <c r="AC26" s="713"/>
      <c r="AD26" s="714"/>
      <c r="AF26" s="63">
        <f t="shared" si="0"/>
      </c>
      <c r="AG26" s="63">
        <f t="shared" si="1"/>
      </c>
    </row>
    <row r="27" spans="1:33" s="54" customFormat="1" ht="18.75" customHeight="1">
      <c r="A27" s="204">
        <f t="shared" si="2"/>
      </c>
      <c r="B27" s="277"/>
      <c r="C27" s="238"/>
      <c r="D27" s="58"/>
      <c r="E27" s="59"/>
      <c r="F27" s="216">
        <f t="shared" si="3"/>
      </c>
      <c r="G27" s="239">
        <f t="shared" si="4"/>
      </c>
      <c r="H27" s="240"/>
      <c r="I27" s="241"/>
      <c r="J27" s="242">
        <f t="shared" si="5"/>
      </c>
      <c r="K27" s="243">
        <f t="shared" si="6"/>
      </c>
      <c r="L27" s="297"/>
      <c r="M27" s="220"/>
      <c r="N27" s="244">
        <f>IF($G27="","",IF($L27="Ａ",LOOKUP($D27,{8000,8500,9000,10000,12000},{0,1532,1032,408,408}),IF($L27="Ｂ",LOOKUP($D27,{8000,8500,9000,10000,12000},{782,2814,2814,2814,2814}),0)))</f>
      </c>
      <c r="O27" s="297"/>
      <c r="P27" s="294">
        <v>0</v>
      </c>
      <c r="Q27" s="244">
        <f>IF($G27="","",IF($O27="Ａ",LOOKUP($D27,{8000,8500,9000,10000,12000},{0,1532,1032,408,408}),IF($O27="Ｂ",LOOKUP($D27,{8000,8500,9000,10000,12000},{782,2814,2814,2814,2814}),0)))</f>
      </c>
      <c r="R27" s="98">
        <f t="shared" si="7"/>
      </c>
      <c r="S27" s="382">
        <f>IF(B27="","",SUMIF('6-3_調整額内訳②(旧々・新制度)'!B:B,$B27,'6-3_調整額内訳②(旧々・新制度)'!AD:AD))</f>
      </c>
      <c r="T27" s="246">
        <f t="shared" si="8"/>
      </c>
      <c r="U27" s="247">
        <f t="shared" si="9"/>
      </c>
      <c r="V27" s="247">
        <f t="shared" si="10"/>
      </c>
      <c r="W27" s="58"/>
      <c r="X27" s="247">
        <f t="shared" si="11"/>
      </c>
      <c r="Y27" s="229"/>
      <c r="Z27" s="98">
        <f t="shared" si="12"/>
      </c>
      <c r="AA27" s="248">
        <f t="shared" si="13"/>
      </c>
      <c r="AB27" s="712"/>
      <c r="AC27" s="713"/>
      <c r="AD27" s="714"/>
      <c r="AF27" s="63">
        <f t="shared" si="0"/>
      </c>
      <c r="AG27" s="63">
        <f t="shared" si="1"/>
      </c>
    </row>
    <row r="28" spans="1:33" s="54" customFormat="1" ht="18.75" customHeight="1">
      <c r="A28" s="204">
        <f t="shared" si="2"/>
      </c>
      <c r="B28" s="277"/>
      <c r="C28" s="238"/>
      <c r="D28" s="58"/>
      <c r="E28" s="59"/>
      <c r="F28" s="216">
        <f t="shared" si="3"/>
      </c>
      <c r="G28" s="239">
        <f t="shared" si="4"/>
      </c>
      <c r="H28" s="240"/>
      <c r="I28" s="241"/>
      <c r="J28" s="242">
        <f t="shared" si="5"/>
      </c>
      <c r="K28" s="243">
        <f t="shared" si="6"/>
      </c>
      <c r="L28" s="297"/>
      <c r="M28" s="220"/>
      <c r="N28" s="244">
        <f>IF($G28="","",IF($L28="Ａ",LOOKUP($D28,{8000,8500,9000,10000,12000},{0,1532,1032,408,408}),IF($L28="Ｂ",LOOKUP($D28,{8000,8500,9000,10000,12000},{782,2814,2814,2814,2814}),0)))</f>
      </c>
      <c r="O28" s="297"/>
      <c r="P28" s="294">
        <v>0</v>
      </c>
      <c r="Q28" s="244">
        <f>IF($G28="","",IF($O28="Ａ",LOOKUP($D28,{8000,8500,9000,10000,12000},{0,1532,1032,408,408}),IF($O28="Ｂ",LOOKUP($D28,{8000,8500,9000,10000,12000},{782,2814,2814,2814,2814}),0)))</f>
      </c>
      <c r="R28" s="98">
        <f t="shared" si="7"/>
      </c>
      <c r="S28" s="382">
        <f>IF(B28="","",SUMIF('6-3_調整額内訳②(旧々・新制度)'!B:B,$B28,'6-3_調整額内訳②(旧々・新制度)'!AD:AD))</f>
      </c>
      <c r="T28" s="246">
        <f t="shared" si="8"/>
      </c>
      <c r="U28" s="247">
        <f t="shared" si="9"/>
      </c>
      <c r="V28" s="247">
        <f t="shared" si="10"/>
      </c>
      <c r="W28" s="58"/>
      <c r="X28" s="247">
        <f t="shared" si="11"/>
      </c>
      <c r="Y28" s="229"/>
      <c r="Z28" s="98">
        <f t="shared" si="12"/>
      </c>
      <c r="AA28" s="248">
        <f t="shared" si="13"/>
      </c>
      <c r="AB28" s="712"/>
      <c r="AC28" s="713"/>
      <c r="AD28" s="714"/>
      <c r="AF28" s="63">
        <f t="shared" si="0"/>
      </c>
      <c r="AG28" s="63">
        <f t="shared" si="1"/>
      </c>
    </row>
    <row r="29" spans="1:33" s="54" customFormat="1" ht="18.75" customHeight="1">
      <c r="A29" s="204">
        <f t="shared" si="2"/>
      </c>
      <c r="B29" s="277"/>
      <c r="C29" s="238"/>
      <c r="D29" s="58"/>
      <c r="E29" s="59"/>
      <c r="F29" s="216">
        <f t="shared" si="3"/>
      </c>
      <c r="G29" s="239">
        <f t="shared" si="4"/>
      </c>
      <c r="H29" s="240"/>
      <c r="I29" s="241"/>
      <c r="J29" s="242">
        <f t="shared" si="5"/>
      </c>
      <c r="K29" s="243">
        <f t="shared" si="6"/>
      </c>
      <c r="L29" s="297"/>
      <c r="M29" s="220"/>
      <c r="N29" s="244">
        <f>IF($G29="","",IF($L29="Ａ",LOOKUP($D29,{8000,8500,9000,10000,12000},{0,1532,1032,408,408}),IF($L29="Ｂ",LOOKUP($D29,{8000,8500,9000,10000,12000},{782,2814,2814,2814,2814}),0)))</f>
      </c>
      <c r="O29" s="297"/>
      <c r="P29" s="294">
        <v>0</v>
      </c>
      <c r="Q29" s="244">
        <f>IF($G29="","",IF($O29="Ａ",LOOKUP($D29,{8000,8500,9000,10000,12000},{0,1532,1032,408,408}),IF($O29="Ｂ",LOOKUP($D29,{8000,8500,9000,10000,12000},{782,2814,2814,2814,2814}),0)))</f>
      </c>
      <c r="R29" s="98">
        <f t="shared" si="7"/>
      </c>
      <c r="S29" s="382">
        <f>IF(B29="","",SUMIF('6-3_調整額内訳②(旧々・新制度)'!B:B,$B29,'6-3_調整額内訳②(旧々・新制度)'!AD:AD))</f>
      </c>
      <c r="T29" s="246">
        <f t="shared" si="8"/>
      </c>
      <c r="U29" s="247">
        <f t="shared" si="9"/>
      </c>
      <c r="V29" s="247">
        <f t="shared" si="10"/>
      </c>
      <c r="W29" s="58"/>
      <c r="X29" s="247">
        <f t="shared" si="11"/>
      </c>
      <c r="Y29" s="229"/>
      <c r="Z29" s="98">
        <f t="shared" si="12"/>
      </c>
      <c r="AA29" s="248">
        <f t="shared" si="13"/>
      </c>
      <c r="AB29" s="712"/>
      <c r="AC29" s="713"/>
      <c r="AD29" s="714"/>
      <c r="AF29" s="63">
        <f t="shared" si="0"/>
      </c>
      <c r="AG29" s="63">
        <f t="shared" si="1"/>
      </c>
    </row>
    <row r="30" spans="1:33" s="54" customFormat="1" ht="18.75" customHeight="1">
      <c r="A30" s="204">
        <f t="shared" si="2"/>
      </c>
      <c r="B30" s="277"/>
      <c r="C30" s="238"/>
      <c r="D30" s="58"/>
      <c r="E30" s="59"/>
      <c r="F30" s="216">
        <f t="shared" si="3"/>
      </c>
      <c r="G30" s="239">
        <f t="shared" si="4"/>
      </c>
      <c r="H30" s="240"/>
      <c r="I30" s="241"/>
      <c r="J30" s="242">
        <f t="shared" si="5"/>
      </c>
      <c r="K30" s="243">
        <f t="shared" si="6"/>
      </c>
      <c r="L30" s="297"/>
      <c r="M30" s="220"/>
      <c r="N30" s="244">
        <f>IF($G30="","",IF($L30="Ａ",LOOKUP($D30,{8000,8500,9000,10000,12000},{0,1532,1032,408,408}),IF($L30="Ｂ",LOOKUP($D30,{8000,8500,9000,10000,12000},{782,2814,2814,2814,2814}),0)))</f>
      </c>
      <c r="O30" s="297"/>
      <c r="P30" s="294">
        <v>0</v>
      </c>
      <c r="Q30" s="244">
        <f>IF($G30="","",IF($O30="Ａ",LOOKUP($D30,{8000,8500,9000,10000,12000},{0,1532,1032,408,408}),IF($O30="Ｂ",LOOKUP($D30,{8000,8500,9000,10000,12000},{782,2814,2814,2814,2814}),0)))</f>
      </c>
      <c r="R30" s="98">
        <f t="shared" si="7"/>
      </c>
      <c r="S30" s="382">
        <f>IF(B30="","",SUMIF('6-3_調整額内訳②(旧々・新制度)'!B:B,$B30,'6-3_調整額内訳②(旧々・新制度)'!AD:AD))</f>
      </c>
      <c r="T30" s="246">
        <f t="shared" si="8"/>
      </c>
      <c r="U30" s="247">
        <f t="shared" si="9"/>
      </c>
      <c r="V30" s="247">
        <f t="shared" si="10"/>
      </c>
      <c r="W30" s="58"/>
      <c r="X30" s="247">
        <f t="shared" si="11"/>
      </c>
      <c r="Y30" s="229"/>
      <c r="Z30" s="98">
        <f t="shared" si="12"/>
      </c>
      <c r="AA30" s="248">
        <f t="shared" si="13"/>
      </c>
      <c r="AB30" s="712"/>
      <c r="AC30" s="713"/>
      <c r="AD30" s="714"/>
      <c r="AF30" s="63">
        <f t="shared" si="0"/>
      </c>
      <c r="AG30" s="63">
        <f t="shared" si="1"/>
      </c>
    </row>
    <row r="31" spans="1:33" s="54" customFormat="1" ht="18.75" customHeight="1">
      <c r="A31" s="204">
        <f t="shared" si="2"/>
      </c>
      <c r="B31" s="277"/>
      <c r="C31" s="238"/>
      <c r="D31" s="58"/>
      <c r="E31" s="59"/>
      <c r="F31" s="216">
        <f t="shared" si="3"/>
      </c>
      <c r="G31" s="239">
        <f t="shared" si="4"/>
      </c>
      <c r="H31" s="240"/>
      <c r="I31" s="241"/>
      <c r="J31" s="242">
        <f t="shared" si="5"/>
      </c>
      <c r="K31" s="243">
        <f t="shared" si="6"/>
      </c>
      <c r="L31" s="297"/>
      <c r="M31" s="220"/>
      <c r="N31" s="244">
        <f>IF($G31="","",IF($L31="Ａ",LOOKUP($D31,{8000,8500,9000,10000,12000},{0,1532,1032,408,408}),IF($L31="Ｂ",LOOKUP($D31,{8000,8500,9000,10000,12000},{782,2814,2814,2814,2814}),0)))</f>
      </c>
      <c r="O31" s="297"/>
      <c r="P31" s="294">
        <v>0</v>
      </c>
      <c r="Q31" s="244">
        <f>IF($G31="","",IF($O31="Ａ",LOOKUP($D31,{8000,8500,9000,10000,12000},{0,1532,1032,408,408}),IF($O31="Ｂ",LOOKUP($D31,{8000,8500,9000,10000,12000},{782,2814,2814,2814,2814}),0)))</f>
      </c>
      <c r="R31" s="98">
        <f t="shared" si="7"/>
      </c>
      <c r="S31" s="382">
        <f>IF(B31="","",SUMIF('6-3_調整額内訳②(旧々・新制度)'!B:B,$B31,'6-3_調整額内訳②(旧々・新制度)'!AD:AD))</f>
      </c>
      <c r="T31" s="246">
        <f t="shared" si="8"/>
      </c>
      <c r="U31" s="247">
        <f t="shared" si="9"/>
      </c>
      <c r="V31" s="247">
        <f t="shared" si="10"/>
      </c>
      <c r="W31" s="58"/>
      <c r="X31" s="247">
        <f t="shared" si="11"/>
      </c>
      <c r="Y31" s="229"/>
      <c r="Z31" s="98">
        <f t="shared" si="12"/>
      </c>
      <c r="AA31" s="248">
        <f t="shared" si="13"/>
      </c>
      <c r="AB31" s="712"/>
      <c r="AC31" s="713"/>
      <c r="AD31" s="714"/>
      <c r="AF31" s="63">
        <f t="shared" si="0"/>
      </c>
      <c r="AG31" s="63">
        <f t="shared" si="1"/>
      </c>
    </row>
    <row r="32" spans="1:33" s="54" customFormat="1" ht="18.75" customHeight="1">
      <c r="A32" s="204">
        <f t="shared" si="2"/>
      </c>
      <c r="B32" s="277"/>
      <c r="C32" s="238"/>
      <c r="D32" s="58"/>
      <c r="E32" s="59"/>
      <c r="F32" s="216">
        <f t="shared" si="3"/>
      </c>
      <c r="G32" s="239">
        <f t="shared" si="4"/>
      </c>
      <c r="H32" s="240"/>
      <c r="I32" s="241"/>
      <c r="J32" s="242">
        <f t="shared" si="5"/>
      </c>
      <c r="K32" s="243">
        <f t="shared" si="6"/>
      </c>
      <c r="L32" s="297"/>
      <c r="M32" s="220"/>
      <c r="N32" s="244">
        <f>IF($G32="","",IF($L32="Ａ",LOOKUP($D32,{8000,8500,9000,10000,12000},{0,1532,1032,408,408}),IF($L32="Ｂ",LOOKUP($D32,{8000,8500,9000,10000,12000},{782,2814,2814,2814,2814}),0)))</f>
      </c>
      <c r="O32" s="297"/>
      <c r="P32" s="294">
        <v>0</v>
      </c>
      <c r="Q32" s="244">
        <f>IF($G32="","",IF($O32="Ａ",LOOKUP($D32,{8000,8500,9000,10000,12000},{0,1532,1032,408,408}),IF($O32="Ｂ",LOOKUP($D32,{8000,8500,9000,10000,12000},{782,2814,2814,2814,2814}),0)))</f>
      </c>
      <c r="R32" s="98">
        <f t="shared" si="7"/>
      </c>
      <c r="S32" s="382">
        <f>IF(B32="","",SUMIF('6-3_調整額内訳②(旧々・新制度)'!B:B,$B32,'6-3_調整額内訳②(旧々・新制度)'!AD:AD))</f>
      </c>
      <c r="T32" s="246">
        <f t="shared" si="8"/>
      </c>
      <c r="U32" s="247">
        <f t="shared" si="9"/>
      </c>
      <c r="V32" s="247">
        <f t="shared" si="10"/>
      </c>
      <c r="W32" s="58"/>
      <c r="X32" s="247">
        <f t="shared" si="11"/>
      </c>
      <c r="Y32" s="229"/>
      <c r="Z32" s="98">
        <f t="shared" si="12"/>
      </c>
      <c r="AA32" s="248">
        <f t="shared" si="13"/>
      </c>
      <c r="AB32" s="712"/>
      <c r="AC32" s="713"/>
      <c r="AD32" s="714"/>
      <c r="AF32" s="63">
        <f t="shared" si="0"/>
      </c>
      <c r="AG32" s="63">
        <f t="shared" si="1"/>
      </c>
    </row>
    <row r="33" spans="1:33" s="54" customFormat="1" ht="18.75" customHeight="1">
      <c r="A33" s="27">
        <f t="shared" si="2"/>
      </c>
      <c r="B33" s="277"/>
      <c r="C33" s="238"/>
      <c r="D33" s="58"/>
      <c r="E33" s="59"/>
      <c r="F33" s="216">
        <f t="shared" si="3"/>
      </c>
      <c r="G33" s="239">
        <f t="shared" si="4"/>
      </c>
      <c r="H33" s="240"/>
      <c r="I33" s="241"/>
      <c r="J33" s="242">
        <f t="shared" si="5"/>
      </c>
      <c r="K33" s="243">
        <f t="shared" si="6"/>
      </c>
      <c r="L33" s="297"/>
      <c r="M33" s="220"/>
      <c r="N33" s="244">
        <f>IF($G33="","",IF($L33="Ａ",LOOKUP($D33,{8000,8500,9000,10000,12000},{0,1532,1032,408,408}),IF($L33="Ｂ",LOOKUP($D33,{8000,8500,9000,10000,12000},{782,2814,2814,2814,2814}),0)))</f>
      </c>
      <c r="O33" s="297"/>
      <c r="P33" s="294">
        <v>0</v>
      </c>
      <c r="Q33" s="244">
        <f>IF($G33="","",IF($O33="Ａ",LOOKUP($D33,{8000,8500,9000,10000,12000},{0,1532,1032,408,408}),IF($O33="Ｂ",LOOKUP($D33,{8000,8500,9000,10000,12000},{782,2814,2814,2814,2814}),0)))</f>
      </c>
      <c r="R33" s="98">
        <f t="shared" si="7"/>
      </c>
      <c r="S33" s="382">
        <f>IF(B33="","",SUMIF('6-3_調整額内訳②(旧々・新制度)'!B:B,$B33,'6-3_調整額内訳②(旧々・新制度)'!AD:AD))</f>
      </c>
      <c r="T33" s="246">
        <f t="shared" si="8"/>
      </c>
      <c r="U33" s="247">
        <f t="shared" si="9"/>
      </c>
      <c r="V33" s="247">
        <f t="shared" si="10"/>
      </c>
      <c r="W33" s="58"/>
      <c r="X33" s="247">
        <f t="shared" si="11"/>
      </c>
      <c r="Y33" s="229"/>
      <c r="Z33" s="98">
        <f t="shared" si="12"/>
      </c>
      <c r="AA33" s="248">
        <f t="shared" si="13"/>
      </c>
      <c r="AB33" s="712"/>
      <c r="AC33" s="713"/>
      <c r="AD33" s="714"/>
      <c r="AF33" s="63">
        <f t="shared" si="0"/>
      </c>
      <c r="AG33" s="63">
        <f t="shared" si="1"/>
      </c>
    </row>
    <row r="34" spans="1:33" s="54" customFormat="1" ht="18.75" customHeight="1">
      <c r="A34" s="27">
        <f t="shared" si="2"/>
      </c>
      <c r="B34" s="277"/>
      <c r="C34" s="238"/>
      <c r="D34" s="58"/>
      <c r="E34" s="59"/>
      <c r="F34" s="216">
        <f t="shared" si="3"/>
      </c>
      <c r="G34" s="239">
        <f t="shared" si="4"/>
      </c>
      <c r="H34" s="240"/>
      <c r="I34" s="241"/>
      <c r="J34" s="242">
        <f t="shared" si="5"/>
      </c>
      <c r="K34" s="243">
        <f t="shared" si="6"/>
      </c>
      <c r="L34" s="297"/>
      <c r="M34" s="220"/>
      <c r="N34" s="244">
        <f>IF($G34="","",IF($L34="Ａ",LOOKUP($D34,{8000,8500,9000,10000,12000},{0,1532,1032,408,408}),IF($L34="Ｂ",LOOKUP($D34,{8000,8500,9000,10000,12000},{782,2814,2814,2814,2814}),0)))</f>
      </c>
      <c r="O34" s="297"/>
      <c r="P34" s="294">
        <v>0</v>
      </c>
      <c r="Q34" s="244">
        <f>IF($G34="","",IF($O34="Ａ",LOOKUP($D34,{8000,8500,9000,10000,12000},{0,1532,1032,408,408}),IF($O34="Ｂ",LOOKUP($D34,{8000,8500,9000,10000,12000},{782,2814,2814,2814,2814}),0)))</f>
      </c>
      <c r="R34" s="98">
        <f t="shared" si="7"/>
      </c>
      <c r="S34" s="382">
        <f>IF(B34="","",SUMIF('6-3_調整額内訳②(旧々・新制度)'!B:B,$B34,'6-3_調整額内訳②(旧々・新制度)'!AD:AD))</f>
      </c>
      <c r="T34" s="246">
        <f t="shared" si="8"/>
      </c>
      <c r="U34" s="247">
        <f t="shared" si="9"/>
      </c>
      <c r="V34" s="247">
        <f t="shared" si="10"/>
      </c>
      <c r="W34" s="58"/>
      <c r="X34" s="247">
        <f t="shared" si="11"/>
      </c>
      <c r="Y34" s="229"/>
      <c r="Z34" s="98">
        <f t="shared" si="12"/>
      </c>
      <c r="AA34" s="248">
        <f t="shared" si="13"/>
      </c>
      <c r="AB34" s="712"/>
      <c r="AC34" s="713"/>
      <c r="AD34" s="714"/>
      <c r="AF34" s="63">
        <f t="shared" si="0"/>
      </c>
      <c r="AG34" s="63">
        <f t="shared" si="1"/>
      </c>
    </row>
    <row r="35" spans="1:33" s="54" customFormat="1" ht="18.75" customHeight="1">
      <c r="A35" s="37">
        <f t="shared" si="2"/>
      </c>
      <c r="B35" s="277"/>
      <c r="C35" s="238"/>
      <c r="D35" s="58"/>
      <c r="E35" s="59"/>
      <c r="F35" s="216">
        <f t="shared" si="3"/>
      </c>
      <c r="G35" s="239">
        <f t="shared" si="4"/>
      </c>
      <c r="H35" s="240"/>
      <c r="I35" s="241"/>
      <c r="J35" s="242">
        <f t="shared" si="5"/>
      </c>
      <c r="K35" s="243">
        <f t="shared" si="6"/>
      </c>
      <c r="L35" s="297"/>
      <c r="M35" s="220"/>
      <c r="N35" s="244">
        <f>IF($G35="","",IF($L35="Ａ",LOOKUP($D35,{8000,8500,9000,10000,12000},{0,1532,1032,408,408}),IF($L35="Ｂ",LOOKUP($D35,{8000,8500,9000,10000,12000},{782,2814,2814,2814,2814}),0)))</f>
      </c>
      <c r="O35" s="297"/>
      <c r="P35" s="294">
        <v>0</v>
      </c>
      <c r="Q35" s="244">
        <f>IF($G35="","",IF($O35="Ａ",LOOKUP($D35,{8000,8500,9000,10000,12000},{0,1532,1032,408,408}),IF($O35="Ｂ",LOOKUP($D35,{8000,8500,9000,10000,12000},{782,2814,2814,2814,2814}),0)))</f>
      </c>
      <c r="R35" s="98">
        <f t="shared" si="7"/>
      </c>
      <c r="S35" s="382">
        <f>IF(B35="","",SUMIF('6-3_調整額内訳②(旧々・新制度)'!B:B,$B35,'6-3_調整額内訳②(旧々・新制度)'!AD:AD))</f>
      </c>
      <c r="T35" s="246">
        <f t="shared" si="8"/>
      </c>
      <c r="U35" s="247">
        <f t="shared" si="9"/>
      </c>
      <c r="V35" s="247">
        <f t="shared" si="10"/>
      </c>
      <c r="W35" s="58"/>
      <c r="X35" s="247">
        <f t="shared" si="11"/>
      </c>
      <c r="Y35" s="229"/>
      <c r="Z35" s="98">
        <f t="shared" si="12"/>
      </c>
      <c r="AA35" s="248">
        <f t="shared" si="13"/>
      </c>
      <c r="AB35" s="712"/>
      <c r="AC35" s="713"/>
      <c r="AD35" s="714"/>
      <c r="AF35" s="63">
        <f t="shared" si="0"/>
      </c>
      <c r="AG35" s="63">
        <f t="shared" si="1"/>
      </c>
    </row>
    <row r="36" spans="1:33" s="54" customFormat="1" ht="18.75" customHeight="1">
      <c r="A36" s="204">
        <f t="shared" si="2"/>
      </c>
      <c r="B36" s="277"/>
      <c r="C36" s="238"/>
      <c r="D36" s="58"/>
      <c r="E36" s="355"/>
      <c r="F36" s="356">
        <f t="shared" si="3"/>
      </c>
      <c r="G36" s="357">
        <f t="shared" si="4"/>
      </c>
      <c r="H36" s="358"/>
      <c r="I36" s="359"/>
      <c r="J36" s="242">
        <f t="shared" si="5"/>
      </c>
      <c r="K36" s="243">
        <f t="shared" si="6"/>
      </c>
      <c r="L36" s="297"/>
      <c r="M36" s="220"/>
      <c r="N36" s="244">
        <f>IF($G36="","",IF($L36="Ａ",LOOKUP($D36,{8000,8500,9000,10000,12000},{0,1532,1032,408,408}),IF($L36="Ｂ",LOOKUP($D36,{8000,8500,9000,10000,12000},{782,2814,2814,2814,2814}),0)))</f>
      </c>
      <c r="O36" s="297"/>
      <c r="P36" s="294">
        <v>0</v>
      </c>
      <c r="Q36" s="244">
        <f>IF($G36="","",IF($O36="Ａ",LOOKUP($D36,{8000,8500,9000,10000,12000},{0,1532,1032,408,408}),IF($O36="Ｂ",LOOKUP($D36,{8000,8500,9000,10000,12000},{782,2814,2814,2814,2814}),0)))</f>
      </c>
      <c r="R36" s="98">
        <f t="shared" si="7"/>
      </c>
      <c r="S36" s="382">
        <f>IF(B36="","",SUMIF('6-3_調整額内訳②(旧々・新制度)'!B:B,$B36,'6-3_調整額内訳②(旧々・新制度)'!AD:AD))</f>
      </c>
      <c r="T36" s="246">
        <f t="shared" si="8"/>
      </c>
      <c r="U36" s="247">
        <f t="shared" si="9"/>
      </c>
      <c r="V36" s="247">
        <f t="shared" si="10"/>
      </c>
      <c r="W36" s="58"/>
      <c r="X36" s="247">
        <f t="shared" si="11"/>
      </c>
      <c r="Y36" s="229"/>
      <c r="Z36" s="98">
        <f t="shared" si="12"/>
      </c>
      <c r="AA36" s="248">
        <f t="shared" si="13"/>
      </c>
      <c r="AB36" s="712"/>
      <c r="AC36" s="713"/>
      <c r="AD36" s="714"/>
      <c r="AF36" s="63">
        <f t="shared" si="0"/>
      </c>
      <c r="AG36" s="63">
        <f t="shared" si="1"/>
      </c>
    </row>
    <row r="37" spans="1:33" s="54" customFormat="1" ht="18.75" customHeight="1">
      <c r="A37" s="27">
        <f t="shared" si="2"/>
      </c>
      <c r="B37" s="277"/>
      <c r="C37" s="238"/>
      <c r="D37" s="58"/>
      <c r="E37" s="59"/>
      <c r="F37" s="216">
        <f t="shared" si="3"/>
      </c>
      <c r="G37" s="239">
        <f t="shared" si="4"/>
      </c>
      <c r="H37" s="240"/>
      <c r="I37" s="241"/>
      <c r="J37" s="242">
        <f t="shared" si="5"/>
      </c>
      <c r="K37" s="243">
        <f t="shared" si="6"/>
      </c>
      <c r="L37" s="297"/>
      <c r="M37" s="220"/>
      <c r="N37" s="244">
        <f>IF($G37="","",IF($L37="Ａ",LOOKUP($D37,{8000,8500,9000,10000,12000},{0,1532,1032,408,408}),IF($L37="Ｂ",LOOKUP($D37,{8000,8500,9000,10000,12000},{782,2814,2814,2814,2814}),0)))</f>
      </c>
      <c r="O37" s="297"/>
      <c r="P37" s="294">
        <v>0</v>
      </c>
      <c r="Q37" s="244">
        <f>IF($G37="","",IF($O37="Ａ",LOOKUP($D37,{8000,8500,9000,10000,12000},{0,1532,1032,408,408}),IF($O37="Ｂ",LOOKUP($D37,{8000,8500,9000,10000,12000},{782,2814,2814,2814,2814}),0)))</f>
      </c>
      <c r="R37" s="98">
        <f t="shared" si="7"/>
      </c>
      <c r="S37" s="382">
        <f>IF(B37="","",SUMIF('6-3_調整額内訳②(旧々・新制度)'!B:B,$B37,'6-3_調整額内訳②(旧々・新制度)'!AD:AD))</f>
      </c>
      <c r="T37" s="246">
        <f t="shared" si="8"/>
      </c>
      <c r="U37" s="247">
        <f t="shared" si="9"/>
      </c>
      <c r="V37" s="247">
        <f t="shared" si="10"/>
      </c>
      <c r="W37" s="58"/>
      <c r="X37" s="247">
        <f t="shared" si="11"/>
      </c>
      <c r="Y37" s="229"/>
      <c r="Z37" s="98">
        <f t="shared" si="12"/>
      </c>
      <c r="AA37" s="248">
        <f t="shared" si="13"/>
      </c>
      <c r="AB37" s="712"/>
      <c r="AC37" s="713"/>
      <c r="AD37" s="714"/>
      <c r="AF37" s="63">
        <f t="shared" si="0"/>
      </c>
      <c r="AG37" s="63">
        <f t="shared" si="1"/>
      </c>
    </row>
    <row r="38" spans="1:33" s="54" customFormat="1" ht="18.75" customHeight="1">
      <c r="A38" s="27">
        <f t="shared" si="2"/>
      </c>
      <c r="B38" s="277"/>
      <c r="C38" s="238"/>
      <c r="D38" s="58"/>
      <c r="E38" s="59"/>
      <c r="F38" s="216">
        <f t="shared" si="3"/>
      </c>
      <c r="G38" s="239">
        <f t="shared" si="4"/>
      </c>
      <c r="H38" s="240"/>
      <c r="I38" s="241"/>
      <c r="J38" s="242">
        <f t="shared" si="5"/>
      </c>
      <c r="K38" s="243">
        <f t="shared" si="6"/>
      </c>
      <c r="L38" s="297"/>
      <c r="M38" s="220"/>
      <c r="N38" s="244">
        <f>IF($G38="","",IF($L38="Ａ",LOOKUP($D38,{8000,8500,9000,10000,12000},{0,1532,1032,408,408}),IF($L38="Ｂ",LOOKUP($D38,{8000,8500,9000,10000,12000},{782,2814,2814,2814,2814}),0)))</f>
      </c>
      <c r="O38" s="297"/>
      <c r="P38" s="294">
        <v>0</v>
      </c>
      <c r="Q38" s="244">
        <f>IF($G38="","",IF($O38="Ａ",LOOKUP($D38,{8000,8500,9000,10000,12000},{0,1532,1032,408,408}),IF($O38="Ｂ",LOOKUP($D38,{8000,8500,9000,10000,12000},{782,2814,2814,2814,2814}),0)))</f>
      </c>
      <c r="R38" s="98">
        <f t="shared" si="7"/>
      </c>
      <c r="S38" s="382">
        <f>IF(B38="","",SUMIF('6-3_調整額内訳②(旧々・新制度)'!B:B,$B38,'6-3_調整額内訳②(旧々・新制度)'!AD:AD))</f>
      </c>
      <c r="T38" s="246">
        <f t="shared" si="8"/>
      </c>
      <c r="U38" s="247">
        <f t="shared" si="9"/>
      </c>
      <c r="V38" s="247">
        <f t="shared" si="10"/>
      </c>
      <c r="W38" s="58"/>
      <c r="X38" s="247">
        <f t="shared" si="11"/>
      </c>
      <c r="Y38" s="229"/>
      <c r="Z38" s="98">
        <f t="shared" si="12"/>
      </c>
      <c r="AA38" s="248">
        <f t="shared" si="13"/>
      </c>
      <c r="AB38" s="712"/>
      <c r="AC38" s="713"/>
      <c r="AD38" s="714"/>
      <c r="AF38" s="63">
        <f t="shared" si="0"/>
      </c>
      <c r="AG38" s="63">
        <f t="shared" si="1"/>
      </c>
    </row>
    <row r="39" spans="1:33" s="54" customFormat="1" ht="18.75" customHeight="1">
      <c r="A39" s="27">
        <f t="shared" si="2"/>
      </c>
      <c r="B39" s="277"/>
      <c r="C39" s="238"/>
      <c r="D39" s="58"/>
      <c r="E39" s="59"/>
      <c r="F39" s="216">
        <f t="shared" si="3"/>
      </c>
      <c r="G39" s="239">
        <f t="shared" si="4"/>
      </c>
      <c r="H39" s="240"/>
      <c r="I39" s="241"/>
      <c r="J39" s="242">
        <f t="shared" si="5"/>
      </c>
      <c r="K39" s="243">
        <f t="shared" si="6"/>
      </c>
      <c r="L39" s="297"/>
      <c r="M39" s="220"/>
      <c r="N39" s="244">
        <f>IF($G39="","",IF($L39="Ａ",LOOKUP($D39,{8000,8500,9000,10000,12000},{0,1532,1032,408,408}),IF($L39="Ｂ",LOOKUP($D39,{8000,8500,9000,10000,12000},{782,2814,2814,2814,2814}),0)))</f>
      </c>
      <c r="O39" s="297"/>
      <c r="P39" s="294">
        <v>0</v>
      </c>
      <c r="Q39" s="244">
        <f>IF($G39="","",IF($O39="Ａ",LOOKUP($D39,{8000,8500,9000,10000,12000},{0,1532,1032,408,408}),IF($O39="Ｂ",LOOKUP($D39,{8000,8500,9000,10000,12000},{782,2814,2814,2814,2814}),0)))</f>
      </c>
      <c r="R39" s="98">
        <f t="shared" si="7"/>
      </c>
      <c r="S39" s="382">
        <f>IF(B39="","",SUMIF('6-3_調整額内訳②(旧々・新制度)'!B:B,$B39,'6-3_調整額内訳②(旧々・新制度)'!AD:AD))</f>
      </c>
      <c r="T39" s="246">
        <f t="shared" si="8"/>
      </c>
      <c r="U39" s="247">
        <f t="shared" si="9"/>
      </c>
      <c r="V39" s="247">
        <f t="shared" si="10"/>
      </c>
      <c r="W39" s="58"/>
      <c r="X39" s="247">
        <f t="shared" si="11"/>
      </c>
      <c r="Y39" s="229"/>
      <c r="Z39" s="98">
        <f t="shared" si="12"/>
      </c>
      <c r="AA39" s="248">
        <f t="shared" si="13"/>
      </c>
      <c r="AB39" s="712"/>
      <c r="AC39" s="713"/>
      <c r="AD39" s="714"/>
      <c r="AF39" s="63">
        <f t="shared" si="0"/>
      </c>
      <c r="AG39" s="63">
        <f t="shared" si="1"/>
      </c>
    </row>
    <row r="40" spans="1:33" s="54" customFormat="1" ht="18.75" customHeight="1">
      <c r="A40" s="37">
        <f t="shared" si="2"/>
      </c>
      <c r="B40" s="277"/>
      <c r="C40" s="238"/>
      <c r="D40" s="58"/>
      <c r="E40" s="59"/>
      <c r="F40" s="216">
        <f t="shared" si="3"/>
      </c>
      <c r="G40" s="239">
        <f t="shared" si="4"/>
      </c>
      <c r="H40" s="240"/>
      <c r="I40" s="241"/>
      <c r="J40" s="242">
        <f t="shared" si="5"/>
      </c>
      <c r="K40" s="243">
        <f t="shared" si="6"/>
      </c>
      <c r="L40" s="297"/>
      <c r="M40" s="220"/>
      <c r="N40" s="244">
        <f>IF($G40="","",IF($L40="Ａ",LOOKUP($D40,{8000,8500,9000,10000,12000},{0,1532,1032,408,408}),IF($L40="Ｂ",LOOKUP($D40,{8000,8500,9000,10000,12000},{782,2814,2814,2814,2814}),0)))</f>
      </c>
      <c r="O40" s="297"/>
      <c r="P40" s="294">
        <v>0</v>
      </c>
      <c r="Q40" s="244">
        <f>IF($G40="","",IF($O40="Ａ",LOOKUP($D40,{8000,8500,9000,10000,12000},{0,1532,1032,408,408}),IF($O40="Ｂ",LOOKUP($D40,{8000,8500,9000,10000,12000},{782,2814,2814,2814,2814}),0)))</f>
      </c>
      <c r="R40" s="98">
        <f t="shared" si="7"/>
      </c>
      <c r="S40" s="382">
        <f>IF(B40="","",SUMIF('6-3_調整額内訳②(旧々・新制度)'!B:B,$B40,'6-3_調整額内訳②(旧々・新制度)'!AD:AD))</f>
      </c>
      <c r="T40" s="246">
        <f t="shared" si="8"/>
      </c>
      <c r="U40" s="247">
        <f t="shared" si="9"/>
      </c>
      <c r="V40" s="247">
        <f t="shared" si="10"/>
      </c>
      <c r="W40" s="58"/>
      <c r="X40" s="247">
        <f t="shared" si="11"/>
      </c>
      <c r="Y40" s="229"/>
      <c r="Z40" s="98">
        <f t="shared" si="12"/>
      </c>
      <c r="AA40" s="248">
        <f t="shared" si="13"/>
      </c>
      <c r="AB40" s="712"/>
      <c r="AC40" s="713"/>
      <c r="AD40" s="714"/>
      <c r="AF40" s="63">
        <f t="shared" si="0"/>
      </c>
      <c r="AG40" s="63">
        <f t="shared" si="1"/>
      </c>
    </row>
    <row r="41" spans="1:33" s="54" customFormat="1" ht="18.75" customHeight="1">
      <c r="A41" s="204">
        <f t="shared" si="2"/>
      </c>
      <c r="B41" s="277"/>
      <c r="C41" s="238"/>
      <c r="D41" s="58"/>
      <c r="E41" s="59"/>
      <c r="F41" s="216">
        <f t="shared" si="3"/>
      </c>
      <c r="G41" s="239">
        <f t="shared" si="4"/>
      </c>
      <c r="H41" s="240"/>
      <c r="I41" s="241"/>
      <c r="J41" s="242">
        <f t="shared" si="5"/>
      </c>
      <c r="K41" s="243">
        <f t="shared" si="6"/>
      </c>
      <c r="L41" s="297"/>
      <c r="M41" s="220"/>
      <c r="N41" s="244">
        <f>IF($G41="","",IF($L41="Ａ",LOOKUP($D41,{8000,8500,9000,10000,12000},{0,1532,1032,408,408}),IF($L41="Ｂ",LOOKUP($D41,{8000,8500,9000,10000,12000},{782,2814,2814,2814,2814}),0)))</f>
      </c>
      <c r="O41" s="297"/>
      <c r="P41" s="294">
        <v>0</v>
      </c>
      <c r="Q41" s="244">
        <f>IF($G41="","",IF($O41="Ａ",LOOKUP($D41,{8000,8500,9000,10000,12000},{0,1532,1032,408,408}),IF($O41="Ｂ",LOOKUP($D41,{8000,8500,9000,10000,12000},{782,2814,2814,2814,2814}),0)))</f>
      </c>
      <c r="R41" s="98">
        <f t="shared" si="7"/>
      </c>
      <c r="S41" s="382">
        <f>IF(B41="","",SUMIF('6-3_調整額内訳②(旧々・新制度)'!B:B,$B41,'6-3_調整額内訳②(旧々・新制度)'!AD:AD))</f>
      </c>
      <c r="T41" s="246">
        <f t="shared" si="8"/>
      </c>
      <c r="U41" s="247">
        <f t="shared" si="9"/>
      </c>
      <c r="V41" s="247">
        <f t="shared" si="10"/>
      </c>
      <c r="W41" s="58"/>
      <c r="X41" s="247">
        <f t="shared" si="11"/>
      </c>
      <c r="Y41" s="229"/>
      <c r="Z41" s="98">
        <f t="shared" si="12"/>
      </c>
      <c r="AA41" s="248">
        <f t="shared" si="13"/>
      </c>
      <c r="AB41" s="712"/>
      <c r="AC41" s="713"/>
      <c r="AD41" s="714"/>
      <c r="AF41" s="63">
        <f t="shared" si="0"/>
      </c>
      <c r="AG41" s="63">
        <f t="shared" si="1"/>
      </c>
    </row>
    <row r="42" spans="1:33" s="54" customFormat="1" ht="18.75" customHeight="1">
      <c r="A42" s="27">
        <f t="shared" si="2"/>
      </c>
      <c r="B42" s="277"/>
      <c r="C42" s="238"/>
      <c r="D42" s="58"/>
      <c r="E42" s="59"/>
      <c r="F42" s="216">
        <f t="shared" si="3"/>
      </c>
      <c r="G42" s="239">
        <f t="shared" si="4"/>
      </c>
      <c r="H42" s="240"/>
      <c r="I42" s="241"/>
      <c r="J42" s="242">
        <f t="shared" si="5"/>
      </c>
      <c r="K42" s="243">
        <f t="shared" si="6"/>
      </c>
      <c r="L42" s="297"/>
      <c r="M42" s="220"/>
      <c r="N42" s="244">
        <f>IF($G42="","",IF($L42="Ａ",LOOKUP($D42,{8000,8500,9000,10000,12000},{0,1532,1032,408,408}),IF($L42="Ｂ",LOOKUP($D42,{8000,8500,9000,10000,12000},{782,2814,2814,2814,2814}),0)))</f>
      </c>
      <c r="O42" s="297"/>
      <c r="P42" s="294">
        <v>0</v>
      </c>
      <c r="Q42" s="244">
        <f>IF($G42="","",IF($O42="Ａ",LOOKUP($D42,{8000,8500,9000,10000,12000},{0,1532,1032,408,408}),IF($O42="Ｂ",LOOKUP($D42,{8000,8500,9000,10000,12000},{782,2814,2814,2814,2814}),0)))</f>
      </c>
      <c r="R42" s="98">
        <f t="shared" si="7"/>
      </c>
      <c r="S42" s="382">
        <f>IF(B42="","",SUMIF('6-3_調整額内訳②(旧々・新制度)'!B:B,$B42,'6-3_調整額内訳②(旧々・新制度)'!AD:AD))</f>
      </c>
      <c r="T42" s="246">
        <f t="shared" si="8"/>
      </c>
      <c r="U42" s="247">
        <f t="shared" si="9"/>
      </c>
      <c r="V42" s="247">
        <f t="shared" si="10"/>
      </c>
      <c r="W42" s="58"/>
      <c r="X42" s="247">
        <f t="shared" si="11"/>
      </c>
      <c r="Y42" s="229"/>
      <c r="Z42" s="98">
        <f t="shared" si="12"/>
      </c>
      <c r="AA42" s="248">
        <f t="shared" si="13"/>
      </c>
      <c r="AB42" s="712"/>
      <c r="AC42" s="713"/>
      <c r="AD42" s="714"/>
      <c r="AF42" s="63">
        <f t="shared" si="0"/>
      </c>
      <c r="AG42" s="63">
        <f t="shared" si="1"/>
      </c>
    </row>
    <row r="43" spans="1:33" s="54" customFormat="1" ht="18.75" customHeight="1">
      <c r="A43" s="27">
        <f t="shared" si="2"/>
      </c>
      <c r="B43" s="277"/>
      <c r="C43" s="238"/>
      <c r="D43" s="58"/>
      <c r="E43" s="59"/>
      <c r="F43" s="216">
        <f t="shared" si="3"/>
      </c>
      <c r="G43" s="239">
        <f t="shared" si="4"/>
      </c>
      <c r="H43" s="240"/>
      <c r="I43" s="241"/>
      <c r="J43" s="242">
        <f t="shared" si="5"/>
      </c>
      <c r="K43" s="243">
        <f t="shared" si="6"/>
      </c>
      <c r="L43" s="297"/>
      <c r="M43" s="220"/>
      <c r="N43" s="244">
        <f>IF($G43="","",IF($L43="Ａ",LOOKUP($D43,{8000,8500,9000,10000,12000},{0,1532,1032,408,408}),IF($L43="Ｂ",LOOKUP($D43,{8000,8500,9000,10000,12000},{782,2814,2814,2814,2814}),0)))</f>
      </c>
      <c r="O43" s="297"/>
      <c r="P43" s="294">
        <v>0</v>
      </c>
      <c r="Q43" s="244">
        <f>IF($G43="","",IF($O43="Ａ",LOOKUP($D43,{8000,8500,9000,10000,12000},{0,1532,1032,408,408}),IF($O43="Ｂ",LOOKUP($D43,{8000,8500,9000,10000,12000},{782,2814,2814,2814,2814}),0)))</f>
      </c>
      <c r="R43" s="98">
        <f t="shared" si="7"/>
      </c>
      <c r="S43" s="382">
        <f>IF(B43="","",SUMIF('6-3_調整額内訳②(旧々・新制度)'!B:B,$B43,'6-3_調整額内訳②(旧々・新制度)'!AD:AD))</f>
      </c>
      <c r="T43" s="246">
        <f t="shared" si="8"/>
      </c>
      <c r="U43" s="247">
        <f t="shared" si="9"/>
      </c>
      <c r="V43" s="247">
        <f t="shared" si="10"/>
      </c>
      <c r="W43" s="58"/>
      <c r="X43" s="247">
        <f t="shared" si="11"/>
      </c>
      <c r="Y43" s="229"/>
      <c r="Z43" s="98">
        <f t="shared" si="12"/>
      </c>
      <c r="AA43" s="248">
        <f t="shared" si="13"/>
      </c>
      <c r="AB43" s="712"/>
      <c r="AC43" s="713"/>
      <c r="AD43" s="714"/>
      <c r="AF43" s="63">
        <f t="shared" si="0"/>
      </c>
      <c r="AG43" s="63">
        <f t="shared" si="1"/>
      </c>
    </row>
    <row r="44" spans="1:33" s="54" customFormat="1" ht="18.75" customHeight="1" thickBot="1">
      <c r="A44" s="27">
        <f t="shared" si="2"/>
      </c>
      <c r="B44" s="279"/>
      <c r="C44" s="249"/>
      <c r="D44" s="250"/>
      <c r="E44" s="251"/>
      <c r="F44" s="218">
        <f t="shared" si="3"/>
      </c>
      <c r="G44" s="252">
        <f t="shared" si="4"/>
      </c>
      <c r="H44" s="253"/>
      <c r="I44" s="254"/>
      <c r="J44" s="255">
        <f t="shared" si="5"/>
      </c>
      <c r="K44" s="243">
        <f t="shared" si="6"/>
      </c>
      <c r="L44" s="298"/>
      <c r="M44" s="221"/>
      <c r="N44" s="256">
        <f>IF($G44="","",IF($L44="Ａ",LOOKUP($D44,{8000,8500,9000,10000,12000},{0,1532,1032,408,408}),IF($L44="Ｂ",LOOKUP($D44,{8000,8500,9000,10000,12000},{782,2814,2814,2814,2814}),0)))</f>
      </c>
      <c r="O44" s="298"/>
      <c r="P44" s="295">
        <v>0</v>
      </c>
      <c r="Q44" s="256">
        <f>IF($G44="","",IF($O44="Ａ",LOOKUP($D44,{8000,8500,9000,10000,12000},{0,1532,1032,408,408}),IF($O44="Ｂ",LOOKUP($D44,{8000,8500,9000,10000,12000},{782,2814,2814,2814,2814}),0)))</f>
      </c>
      <c r="R44" s="466">
        <f t="shared" si="7"/>
      </c>
      <c r="S44" s="467">
        <f>IF(B44="","",SUMIF('6-3_調整額内訳②(旧々・新制度)'!B:B,$B44,'6-3_調整額内訳②(旧々・新制度)'!AD:AD))</f>
      </c>
      <c r="T44" s="468">
        <f t="shared" si="8"/>
      </c>
      <c r="U44" s="260">
        <f t="shared" si="9"/>
      </c>
      <c r="V44" s="260">
        <f t="shared" si="10"/>
      </c>
      <c r="W44" s="250"/>
      <c r="X44" s="260">
        <f t="shared" si="11"/>
      </c>
      <c r="Y44" s="261"/>
      <c r="Z44" s="257">
        <f t="shared" si="12"/>
      </c>
      <c r="AA44" s="262">
        <f t="shared" si="13"/>
      </c>
      <c r="AB44" s="709"/>
      <c r="AC44" s="710"/>
      <c r="AD44" s="711"/>
      <c r="AF44" s="63">
        <f t="shared" si="0"/>
      </c>
      <c r="AG44" s="63">
        <f t="shared" si="1"/>
      </c>
    </row>
    <row r="45" spans="1:33" s="69" customFormat="1" ht="25.5" customHeight="1" thickBot="1">
      <c r="A45" s="715" t="s">
        <v>161</v>
      </c>
      <c r="B45" s="716"/>
      <c r="C45" s="716"/>
      <c r="D45" s="717"/>
      <c r="E45" s="208">
        <f>SUM(E8:E44)</f>
        <v>0</v>
      </c>
      <c r="F45" s="207">
        <f>SUM(F8:F44)</f>
        <v>0</v>
      </c>
      <c r="G45" s="121" t="s">
        <v>155</v>
      </c>
      <c r="H45" s="209" t="s">
        <v>155</v>
      </c>
      <c r="I45" s="206" t="s">
        <v>155</v>
      </c>
      <c r="J45" s="210">
        <f>SUM(J8:J44)</f>
        <v>0</v>
      </c>
      <c r="K45" s="211" t="s">
        <v>155</v>
      </c>
      <c r="L45" s="121" t="s">
        <v>155</v>
      </c>
      <c r="M45" s="121"/>
      <c r="N45" s="121"/>
      <c r="O45" s="368" t="s">
        <v>155</v>
      </c>
      <c r="P45" s="121"/>
      <c r="Q45" s="369"/>
      <c r="R45" s="104">
        <f aca="true" t="shared" si="14" ref="R45:AA45">SUM(R8:R44)</f>
        <v>0</v>
      </c>
      <c r="S45" s="120">
        <f t="shared" si="14"/>
        <v>0</v>
      </c>
      <c r="T45" s="118">
        <f t="shared" si="14"/>
        <v>0</v>
      </c>
      <c r="U45" s="66">
        <f t="shared" si="14"/>
        <v>0</v>
      </c>
      <c r="V45" s="66">
        <f>SUM(V8:V44)</f>
        <v>0</v>
      </c>
      <c r="W45" s="66">
        <f t="shared" si="14"/>
        <v>0</v>
      </c>
      <c r="X45" s="66">
        <f t="shared" si="14"/>
        <v>0</v>
      </c>
      <c r="Y45" s="66">
        <f t="shared" si="14"/>
        <v>0</v>
      </c>
      <c r="Z45" s="66">
        <f t="shared" si="14"/>
        <v>0</v>
      </c>
      <c r="AA45" s="68">
        <f t="shared" si="14"/>
        <v>0</v>
      </c>
      <c r="AB45" s="718"/>
      <c r="AC45" s="719"/>
      <c r="AD45" s="720"/>
      <c r="AF45" s="70"/>
      <c r="AG45" s="70"/>
    </row>
    <row r="46" spans="1:33" s="345" customFormat="1" ht="15.75" customHeight="1">
      <c r="A46" s="345" t="s">
        <v>29</v>
      </c>
      <c r="L46" s="346"/>
      <c r="O46" s="346"/>
      <c r="AF46" s="347"/>
      <c r="AG46" s="347"/>
    </row>
    <row r="47" spans="1:33" s="345" customFormat="1" ht="15.75" customHeight="1">
      <c r="A47" s="345" t="s">
        <v>153</v>
      </c>
      <c r="L47" s="346"/>
      <c r="O47" s="346"/>
      <c r="AF47" s="347"/>
      <c r="AG47" s="347"/>
    </row>
    <row r="48" spans="1:33" s="345" customFormat="1" ht="15.75" customHeight="1">
      <c r="A48" s="345" t="s">
        <v>168</v>
      </c>
      <c r="L48" s="346"/>
      <c r="O48" s="346"/>
      <c r="AF48" s="347"/>
      <c r="AG48" s="347"/>
    </row>
    <row r="49" spans="1:33" s="345" customFormat="1" ht="15.75" customHeight="1">
      <c r="A49" s="345" t="s">
        <v>159</v>
      </c>
      <c r="L49" s="346"/>
      <c r="O49" s="346"/>
      <c r="AF49" s="347"/>
      <c r="AG49" s="347"/>
    </row>
    <row r="50" spans="1:33" s="345" customFormat="1" ht="15.75" customHeight="1">
      <c r="A50" s="345" t="s">
        <v>249</v>
      </c>
      <c r="L50" s="346"/>
      <c r="O50" s="346"/>
      <c r="AF50" s="347"/>
      <c r="AG50" s="347"/>
    </row>
    <row r="51" spans="1:33" s="345" customFormat="1" ht="15.75" customHeight="1">
      <c r="A51" s="345" t="s">
        <v>257</v>
      </c>
      <c r="L51" s="346"/>
      <c r="O51" s="346"/>
      <c r="AF51" s="347"/>
      <c r="AG51" s="347"/>
    </row>
    <row r="52" spans="1:33" s="345" customFormat="1" ht="15.75" customHeight="1">
      <c r="A52" s="345" t="s">
        <v>176</v>
      </c>
      <c r="L52" s="346"/>
      <c r="O52" s="346"/>
      <c r="AF52" s="347"/>
      <c r="AG52" s="347"/>
    </row>
    <row r="53" spans="1:33" s="345" customFormat="1" ht="15.75" customHeight="1">
      <c r="A53" s="345" t="s">
        <v>177</v>
      </c>
      <c r="L53" s="346"/>
      <c r="O53" s="346"/>
      <c r="AF53" s="347"/>
      <c r="AG53" s="347"/>
    </row>
    <row r="54" spans="1:33" s="345" customFormat="1" ht="15.75" customHeight="1">
      <c r="A54" s="345" t="s">
        <v>250</v>
      </c>
      <c r="L54" s="346"/>
      <c r="O54" s="346"/>
      <c r="AF54" s="347"/>
      <c r="AG54" s="347"/>
    </row>
    <row r="55" spans="1:33" s="345" customFormat="1" ht="15.75" customHeight="1">
      <c r="A55" s="345" t="s">
        <v>229</v>
      </c>
      <c r="L55" s="346"/>
      <c r="O55" s="346"/>
      <c r="AF55" s="347"/>
      <c r="AG55" s="347"/>
    </row>
    <row r="56" spans="1:32" s="345" customFormat="1" ht="15.75" customHeight="1">
      <c r="A56" s="345" t="s">
        <v>230</v>
      </c>
      <c r="L56" s="346"/>
      <c r="O56" s="346"/>
      <c r="AE56" s="347"/>
      <c r="AF56" s="347"/>
    </row>
    <row r="57" spans="1:33" s="345" customFormat="1" ht="15.75" customHeight="1">
      <c r="A57" s="345" t="s">
        <v>163</v>
      </c>
      <c r="L57" s="346"/>
      <c r="O57" s="346"/>
      <c r="AF57" s="347"/>
      <c r="AG57" s="347"/>
    </row>
    <row r="58" spans="1:33" s="345" customFormat="1" ht="15.75" customHeight="1">
      <c r="A58" s="345" t="s">
        <v>164</v>
      </c>
      <c r="L58" s="346"/>
      <c r="O58" s="346"/>
      <c r="AF58" s="347"/>
      <c r="AG58" s="347"/>
    </row>
    <row r="59" spans="1:33" s="345" customFormat="1" ht="15.75" customHeight="1">
      <c r="A59" s="345" t="s">
        <v>165</v>
      </c>
      <c r="L59" s="346"/>
      <c r="O59" s="346"/>
      <c r="AF59" s="347"/>
      <c r="AG59" s="347"/>
    </row>
    <row r="60" ht="12"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sheetData>
  <sheetProtection/>
  <mergeCells count="72">
    <mergeCell ref="T5:T6"/>
    <mergeCell ref="U4:U6"/>
    <mergeCell ref="V4:V6"/>
    <mergeCell ref="W4:W6"/>
    <mergeCell ref="X4:X6"/>
    <mergeCell ref="Y4:Y6"/>
    <mergeCell ref="R5:R6"/>
    <mergeCell ref="S5:S6"/>
    <mergeCell ref="L6:L7"/>
    <mergeCell ref="L5:N5"/>
    <mergeCell ref="O6:O7"/>
    <mergeCell ref="O5:Q5"/>
    <mergeCell ref="Z4:Z6"/>
    <mergeCell ref="AA4:AA6"/>
    <mergeCell ref="D4:D6"/>
    <mergeCell ref="E5:E6"/>
    <mergeCell ref="F5:F6"/>
    <mergeCell ref="G5:G6"/>
    <mergeCell ref="H5:H6"/>
    <mergeCell ref="I5:I6"/>
    <mergeCell ref="J5:J6"/>
    <mergeCell ref="K5:K6"/>
    <mergeCell ref="AB11:AD11"/>
    <mergeCell ref="AB12:AD12"/>
    <mergeCell ref="Y1:AB1"/>
    <mergeCell ref="Y2:AB2"/>
    <mergeCell ref="A4:A7"/>
    <mergeCell ref="B4:B7"/>
    <mergeCell ref="C4:C7"/>
    <mergeCell ref="E4:F4"/>
    <mergeCell ref="G4:K4"/>
    <mergeCell ref="L4:T4"/>
    <mergeCell ref="AF4:AF7"/>
    <mergeCell ref="AG4:AG7"/>
    <mergeCell ref="AB8:AD8"/>
    <mergeCell ref="AB9:AD9"/>
    <mergeCell ref="AB10:AD10"/>
    <mergeCell ref="AB4:AD7"/>
    <mergeCell ref="AB13:AD13"/>
    <mergeCell ref="AB14:AD14"/>
    <mergeCell ref="AB15:AD15"/>
    <mergeCell ref="AB16:AD16"/>
    <mergeCell ref="AB19:AD19"/>
    <mergeCell ref="AB20:AD20"/>
    <mergeCell ref="AB17:AD17"/>
    <mergeCell ref="AB18:AD18"/>
    <mergeCell ref="AB21:AD21"/>
    <mergeCell ref="AB22:AD22"/>
    <mergeCell ref="AB25:AD25"/>
    <mergeCell ref="AB26:AD26"/>
    <mergeCell ref="AB23:AD23"/>
    <mergeCell ref="AB24:AD24"/>
    <mergeCell ref="AB27:AD27"/>
    <mergeCell ref="AB28:AD28"/>
    <mergeCell ref="AB31:AD31"/>
    <mergeCell ref="AB32:AD32"/>
    <mergeCell ref="AB29:AD29"/>
    <mergeCell ref="AB30:AD30"/>
    <mergeCell ref="AB33:AD33"/>
    <mergeCell ref="AB34:AD34"/>
    <mergeCell ref="AB37:AD37"/>
    <mergeCell ref="AB44:AD44"/>
    <mergeCell ref="AB35:AD35"/>
    <mergeCell ref="AB36:AD36"/>
    <mergeCell ref="A45:D45"/>
    <mergeCell ref="AB45:AD45"/>
    <mergeCell ref="AB38:AD38"/>
    <mergeCell ref="AB39:AD39"/>
    <mergeCell ref="AB40:AD40"/>
    <mergeCell ref="AB41:AD41"/>
    <mergeCell ref="AB42:AD42"/>
    <mergeCell ref="AB43:AD43"/>
  </mergeCells>
  <dataValidations count="4">
    <dataValidation allowBlank="1" showInputMessage="1" sqref="K8:K44"/>
    <dataValidation type="list" allowBlank="1" showInputMessage="1" showErrorMessage="1" sqref="L8:L44 O8:O44">
      <formula1>"Ａ,Ｂ,Ｄ"</formula1>
    </dataValidation>
    <dataValidation type="whole" allowBlank="1" showInputMessage="1" showErrorMessage="1" sqref="W8:W44 G8:H44">
      <formula1>0</formula1>
      <formula2>9999999</formula2>
    </dataValidation>
    <dataValidation type="whole" allowBlank="1" showInputMessage="1" showErrorMessage="1" sqref="C8:C44">
      <formula1>1</formula1>
      <formula2>4</formula2>
    </dataValidation>
  </dataValidations>
  <printOptions/>
  <pageMargins left="0.7480314960629921" right="0.7480314960629921" top="0.984251968503937" bottom="0.984251968503937" header="0.5118110236220472" footer="0.5118110236220472"/>
  <pageSetup cellComments="asDisplayed" fitToWidth="0" horizontalDpi="600" verticalDpi="600" orientation="landscape" paperSize="9" scale="44" r:id="rId3"/>
  <legacyDrawing r:id="rId2"/>
</worksheet>
</file>

<file path=xl/worksheets/sheet8.xml><?xml version="1.0" encoding="utf-8"?>
<worksheet xmlns="http://schemas.openxmlformats.org/spreadsheetml/2006/main" xmlns:r="http://schemas.openxmlformats.org/officeDocument/2006/relationships">
  <sheetPr>
    <tabColor rgb="FF92D050"/>
  </sheetPr>
  <dimension ref="A1:AM43"/>
  <sheetViews>
    <sheetView view="pageBreakPreview" zoomScale="75" zoomScaleNormal="75" zoomScaleSheetLayoutView="75" zoomScalePageLayoutView="0" workbookViewId="0" topLeftCell="A1">
      <selection activeCell="A41" sqref="A41"/>
    </sheetView>
  </sheetViews>
  <sheetFormatPr defaultColWidth="9.625" defaultRowHeight="13.5"/>
  <cols>
    <col min="1" max="1" width="6.25390625" style="40" customWidth="1"/>
    <col min="2" max="2" width="17.50390625" style="40" customWidth="1"/>
    <col min="3" max="3" width="6.00390625" style="40" bestFit="1" customWidth="1"/>
    <col min="4" max="5" width="11.25390625" style="40" customWidth="1"/>
    <col min="6" max="6" width="4.00390625" style="40" bestFit="1" customWidth="1"/>
    <col min="7" max="7" width="10.25390625" style="40" bestFit="1" customWidth="1"/>
    <col min="8" max="8" width="4.00390625" style="40" bestFit="1" customWidth="1"/>
    <col min="9" max="9" width="10.75390625" style="40" customWidth="1"/>
    <col min="10" max="10" width="12.25390625" style="40" bestFit="1" customWidth="1"/>
    <col min="11" max="17" width="4.25390625" style="40" customWidth="1"/>
    <col min="18" max="18" width="4.75390625" style="40" customWidth="1"/>
    <col min="19" max="22" width="4.25390625" style="40" customWidth="1"/>
    <col min="23" max="28" width="4.375" style="40" customWidth="1"/>
    <col min="29" max="30" width="10.25390625" style="40" bestFit="1" customWidth="1"/>
    <col min="31" max="31" width="9.75390625" style="40" customWidth="1"/>
    <col min="32" max="32" width="6.50390625" style="40" customWidth="1"/>
    <col min="33" max="33" width="8.25390625" style="40" customWidth="1"/>
    <col min="34" max="34" width="3.125" style="40" customWidth="1"/>
    <col min="35" max="35" width="8.625" style="41" bestFit="1" customWidth="1"/>
    <col min="36" max="36" width="5.25390625" style="41" bestFit="1" customWidth="1"/>
    <col min="37" max="16384" width="9.625" style="40" customWidth="1"/>
  </cols>
  <sheetData>
    <row r="1" spans="1:36" ht="24.75" customHeight="1">
      <c r="A1" s="39" t="s">
        <v>251</v>
      </c>
      <c r="B1" s="39"/>
      <c r="W1" s="781" t="s">
        <v>25</v>
      </c>
      <c r="X1" s="781"/>
      <c r="Y1" s="781"/>
      <c r="Z1" s="761">
        <f>'5_総括表'!E3</f>
        <v>0</v>
      </c>
      <c r="AA1" s="782"/>
      <c r="AB1" s="782"/>
      <c r="AC1" s="782"/>
      <c r="AD1" s="783"/>
      <c r="AE1" s="186" t="s">
        <v>26</v>
      </c>
      <c r="AF1" s="784">
        <f>'5_総括表'!Z3</f>
        <v>0</v>
      </c>
      <c r="AG1" s="785"/>
      <c r="AI1" s="46"/>
      <c r="AJ1" s="46"/>
    </row>
    <row r="2" spans="1:36" ht="24.75" customHeight="1" thickBot="1">
      <c r="A2" s="42"/>
      <c r="W2" s="786" t="s">
        <v>23</v>
      </c>
      <c r="X2" s="786"/>
      <c r="Y2" s="786"/>
      <c r="Z2" s="764">
        <f>'5_総括表'!E4</f>
        <v>0</v>
      </c>
      <c r="AA2" s="787"/>
      <c r="AB2" s="787"/>
      <c r="AC2" s="787"/>
      <c r="AD2" s="788"/>
      <c r="AE2" s="187" t="s">
        <v>24</v>
      </c>
      <c r="AF2" s="789">
        <f>'5_総括表'!Z4</f>
        <v>0</v>
      </c>
      <c r="AG2" s="790"/>
      <c r="AI2" s="73"/>
      <c r="AJ2" s="74"/>
    </row>
    <row r="3" spans="1:36" ht="20.25" customHeight="1" thickBot="1">
      <c r="A3" s="331" t="s">
        <v>222</v>
      </c>
      <c r="B3" s="38"/>
      <c r="AF3" s="43"/>
      <c r="AG3" s="43" t="s">
        <v>28</v>
      </c>
      <c r="AI3" s="73"/>
      <c r="AJ3" s="74"/>
    </row>
    <row r="4" spans="1:36" s="44" customFormat="1" ht="18.75" customHeight="1" thickBot="1">
      <c r="A4" s="675" t="s">
        <v>215</v>
      </c>
      <c r="B4" s="670" t="s">
        <v>170</v>
      </c>
      <c r="C4" s="895" t="s">
        <v>16</v>
      </c>
      <c r="D4" s="898" t="s">
        <v>75</v>
      </c>
      <c r="E4" s="898" t="s">
        <v>106</v>
      </c>
      <c r="F4" s="667" t="s">
        <v>253</v>
      </c>
      <c r="G4" s="872"/>
      <c r="H4" s="872"/>
      <c r="I4" s="872"/>
      <c r="J4" s="668"/>
      <c r="K4" s="876" t="s">
        <v>65</v>
      </c>
      <c r="L4" s="883"/>
      <c r="M4" s="883"/>
      <c r="N4" s="883"/>
      <c r="O4" s="883"/>
      <c r="P4" s="883"/>
      <c r="Q4" s="883"/>
      <c r="R4" s="883"/>
      <c r="S4" s="883"/>
      <c r="T4" s="883"/>
      <c r="U4" s="883"/>
      <c r="V4" s="883"/>
      <c r="W4" s="883"/>
      <c r="X4" s="883"/>
      <c r="Y4" s="883"/>
      <c r="Z4" s="883"/>
      <c r="AA4" s="883"/>
      <c r="AB4" s="883"/>
      <c r="AC4" s="670" t="s">
        <v>63</v>
      </c>
      <c r="AD4" s="797" t="s">
        <v>64</v>
      </c>
      <c r="AE4" s="800" t="s">
        <v>66</v>
      </c>
      <c r="AF4" s="801"/>
      <c r="AG4" s="802"/>
      <c r="AI4" s="73"/>
      <c r="AJ4" s="74"/>
    </row>
    <row r="5" spans="1:36" s="44" customFormat="1" ht="18.75" customHeight="1" thickBot="1">
      <c r="A5" s="767"/>
      <c r="B5" s="737"/>
      <c r="C5" s="896"/>
      <c r="D5" s="899"/>
      <c r="E5" s="899"/>
      <c r="F5" s="876" t="s">
        <v>107</v>
      </c>
      <c r="G5" s="884"/>
      <c r="H5" s="885"/>
      <c r="I5" s="885"/>
      <c r="J5" s="886"/>
      <c r="K5" s="887" t="s">
        <v>62</v>
      </c>
      <c r="L5" s="888"/>
      <c r="M5" s="888"/>
      <c r="N5" s="888"/>
      <c r="O5" s="888"/>
      <c r="P5" s="888"/>
      <c r="Q5" s="888"/>
      <c r="R5" s="888"/>
      <c r="S5" s="888"/>
      <c r="T5" s="888"/>
      <c r="U5" s="888"/>
      <c r="V5" s="889"/>
      <c r="W5" s="667" t="s">
        <v>118</v>
      </c>
      <c r="X5" s="872"/>
      <c r="Y5" s="872"/>
      <c r="Z5" s="872"/>
      <c r="AA5" s="872"/>
      <c r="AB5" s="872"/>
      <c r="AC5" s="737"/>
      <c r="AD5" s="798"/>
      <c r="AE5" s="803"/>
      <c r="AF5" s="804"/>
      <c r="AG5" s="805"/>
      <c r="AI5" s="73"/>
      <c r="AJ5" s="74"/>
    </row>
    <row r="6" spans="1:36" s="44" customFormat="1" ht="21.75" customHeight="1" thickBot="1">
      <c r="A6" s="767"/>
      <c r="B6" s="767"/>
      <c r="C6" s="896"/>
      <c r="D6" s="899"/>
      <c r="E6" s="899"/>
      <c r="F6" s="890" t="s">
        <v>18</v>
      </c>
      <c r="G6" s="893" t="s">
        <v>50</v>
      </c>
      <c r="H6" s="890" t="s">
        <v>18</v>
      </c>
      <c r="I6" s="893" t="s">
        <v>50</v>
      </c>
      <c r="J6" s="901" t="s">
        <v>108</v>
      </c>
      <c r="K6" s="667" t="s">
        <v>60</v>
      </c>
      <c r="L6" s="872"/>
      <c r="M6" s="668"/>
      <c r="N6" s="873" t="s">
        <v>61</v>
      </c>
      <c r="O6" s="874"/>
      <c r="P6" s="874"/>
      <c r="Q6" s="874"/>
      <c r="R6" s="874"/>
      <c r="S6" s="874"/>
      <c r="T6" s="874"/>
      <c r="U6" s="874"/>
      <c r="V6" s="875"/>
      <c r="W6" s="876" t="s">
        <v>84</v>
      </c>
      <c r="X6" s="879" t="s">
        <v>84</v>
      </c>
      <c r="Y6" s="876" t="s">
        <v>90</v>
      </c>
      <c r="Z6" s="870" t="s">
        <v>90</v>
      </c>
      <c r="AA6" s="860" t="s">
        <v>174</v>
      </c>
      <c r="AB6" s="863" t="s">
        <v>174</v>
      </c>
      <c r="AC6" s="737"/>
      <c r="AD6" s="799"/>
      <c r="AE6" s="806"/>
      <c r="AF6" s="807"/>
      <c r="AG6" s="805"/>
      <c r="AI6" s="73"/>
      <c r="AJ6" s="75"/>
    </row>
    <row r="7" spans="1:39" s="44" customFormat="1" ht="20.25" customHeight="1">
      <c r="A7" s="767"/>
      <c r="B7" s="767"/>
      <c r="C7" s="896"/>
      <c r="D7" s="899"/>
      <c r="E7" s="899"/>
      <c r="F7" s="891"/>
      <c r="G7" s="894"/>
      <c r="H7" s="891"/>
      <c r="I7" s="894"/>
      <c r="J7" s="902"/>
      <c r="K7" s="866" t="s">
        <v>54</v>
      </c>
      <c r="L7" s="868" t="s">
        <v>55</v>
      </c>
      <c r="M7" s="870" t="s">
        <v>56</v>
      </c>
      <c r="N7" s="866" t="s">
        <v>51</v>
      </c>
      <c r="O7" s="868" t="s">
        <v>85</v>
      </c>
      <c r="P7" s="868" t="s">
        <v>86</v>
      </c>
      <c r="Q7" s="868" t="s">
        <v>87</v>
      </c>
      <c r="R7" s="868" t="s">
        <v>52</v>
      </c>
      <c r="S7" s="868" t="s">
        <v>53</v>
      </c>
      <c r="T7" s="868" t="s">
        <v>57</v>
      </c>
      <c r="U7" s="868" t="s">
        <v>58</v>
      </c>
      <c r="V7" s="870" t="s">
        <v>59</v>
      </c>
      <c r="W7" s="877"/>
      <c r="X7" s="880"/>
      <c r="Y7" s="877"/>
      <c r="Z7" s="882"/>
      <c r="AA7" s="861"/>
      <c r="AB7" s="864"/>
      <c r="AC7" s="737"/>
      <c r="AD7" s="799"/>
      <c r="AE7" s="806"/>
      <c r="AF7" s="807"/>
      <c r="AG7" s="805"/>
      <c r="AI7" s="833" t="s">
        <v>30</v>
      </c>
      <c r="AJ7" s="833" t="s">
        <v>78</v>
      </c>
      <c r="AK7" s="76"/>
      <c r="AL7" s="76"/>
      <c r="AM7" s="76"/>
    </row>
    <row r="8" spans="1:36" s="44" customFormat="1" ht="18.75" customHeight="1" thickBot="1">
      <c r="A8" s="768"/>
      <c r="B8" s="768"/>
      <c r="C8" s="897"/>
      <c r="D8" s="900"/>
      <c r="E8" s="900"/>
      <c r="F8" s="892"/>
      <c r="G8" s="410" t="s">
        <v>80</v>
      </c>
      <c r="H8" s="892"/>
      <c r="I8" s="410" t="s">
        <v>81</v>
      </c>
      <c r="J8" s="411" t="s">
        <v>88</v>
      </c>
      <c r="K8" s="867"/>
      <c r="L8" s="869"/>
      <c r="M8" s="871"/>
      <c r="N8" s="867"/>
      <c r="O8" s="869"/>
      <c r="P8" s="869"/>
      <c r="Q8" s="869"/>
      <c r="R8" s="869"/>
      <c r="S8" s="869"/>
      <c r="T8" s="869"/>
      <c r="U8" s="869"/>
      <c r="V8" s="871"/>
      <c r="W8" s="878"/>
      <c r="X8" s="881"/>
      <c r="Y8" s="878"/>
      <c r="Z8" s="871"/>
      <c r="AA8" s="862"/>
      <c r="AB8" s="865"/>
      <c r="AC8" s="47" t="s">
        <v>89</v>
      </c>
      <c r="AD8" s="78" t="s">
        <v>79</v>
      </c>
      <c r="AE8" s="808"/>
      <c r="AF8" s="809"/>
      <c r="AG8" s="810"/>
      <c r="AI8" s="834"/>
      <c r="AJ8" s="834"/>
    </row>
    <row r="9" spans="1:36" s="54" customFormat="1" ht="18.75" customHeight="1">
      <c r="A9" s="26">
        <f>IF(B9="","",ROW($A9)-ROW($A$8))</f>
      </c>
      <c r="B9" s="271"/>
      <c r="C9" s="370">
        <f>IF($B9="","",VLOOKUP($B9,'6-2_算定表②(旧々・新制度)'!$B$8:$R$65536,2,FALSE))</f>
      </c>
      <c r="D9" s="79">
        <f>IF($B9="","",VLOOKUP($B9,'6-2_算定表②(旧々・新制度)'!$B$8:$R$65536,3,FALSE))</f>
      </c>
      <c r="E9" s="79">
        <f>IF($B9="","",VLOOKUP($B9,'6-2_算定表②(旧々・新制度)'!$B$8:$R$65536,4,FALSE))</f>
      </c>
      <c r="F9" s="80">
        <f>IF(B9="","",VLOOKUP($B9,'6-2_算定表②(旧々・新制度)'!$B$8:$R$65536,11,FALSE))</f>
      </c>
      <c r="G9" s="81">
        <f>IF(B9="","",VLOOKUP($B9,'6-2_算定表②(旧々・新制度)'!$B$8:$R$65536,13,FALSE))</f>
      </c>
      <c r="H9" s="80">
        <f>IF(B9="","",VLOOKUP($B9,'6-2_算定表②(旧々・新制度)'!$B$8:$R$65536,14,FALSE))</f>
      </c>
      <c r="I9" s="81">
        <f>IF(B9="","",VLOOKUP($B9,'6-2_算定表②(旧々・新制度)'!$B$8:$R$65536,16,FALSE))</f>
      </c>
      <c r="J9" s="82">
        <f>IF(B9="","",VLOOKUP($B9,'6-2_算定表②(旧々・新制度)'!$B$8:$R$65536,17,FALSE))</f>
      </c>
      <c r="K9" s="83">
        <f>IF($B9="","",VLOOKUP($B9,'6-2_算定表②(旧々・新制度)'!$B$8:$R$65536,11,FALSE))</f>
      </c>
      <c r="L9" s="84">
        <f>IF($B9="","",VLOOKUP($B9,'6-2_算定表②(旧々・新制度)'!$B$8:$R$65536,11,FALSE))</f>
      </c>
      <c r="M9" s="264">
        <f>IF($B9="","",VLOOKUP($B9,'6-2_算定表②(旧々・新制度)'!$B$8:$R$65536,11,FALSE))</f>
      </c>
      <c r="N9" s="83">
        <f>IF($B9="","",VLOOKUP($B9,'6-2_算定表②(旧々・新制度)'!$B$8:$R$65536,14,FALSE))</f>
      </c>
      <c r="O9" s="84">
        <f>IF($B9="","",VLOOKUP($B9,'6-2_算定表②(旧々・新制度)'!$B$8:$R$65536,14,FALSE))</f>
      </c>
      <c r="P9" s="84">
        <f>IF($B9="","",VLOOKUP($B9,'6-2_算定表②(旧々・新制度)'!$B$8:$R$65536,14,FALSE))</f>
      </c>
      <c r="Q9" s="84">
        <f>IF($B9="","",VLOOKUP($B9,'6-2_算定表②(旧々・新制度)'!$B$8:$R$65536,14,FALSE))</f>
      </c>
      <c r="R9" s="84">
        <f>IF($B9="","",VLOOKUP($B9,'6-2_算定表②(旧々・新制度)'!$B$8:$R$65536,14,FALSE))</f>
      </c>
      <c r="S9" s="84">
        <f>IF($B9="","",VLOOKUP($B9,'6-2_算定表②(旧々・新制度)'!$B$8:$R$65536,14,FALSE))</f>
      </c>
      <c r="T9" s="84">
        <f>IF($B9="","",VLOOKUP($B9,'6-2_算定表②(旧々・新制度)'!$B$8:$R$65536,14,FALSE))</f>
      </c>
      <c r="U9" s="84">
        <f>IF($B9="","",VLOOKUP($B9,'6-2_算定表②(旧々・新制度)'!$B$8:$R$65536,14,FALSE))</f>
      </c>
      <c r="V9" s="371">
        <f>IF($B9="","",VLOOKUP($B9,'6-2_算定表②(旧々・新制度)'!$B$8:$R$65536,14,FALSE))</f>
      </c>
      <c r="W9" s="85">
        <f aca="true" t="shared" si="0" ref="W9:W38">IF($B9="","",COUNTIF($K9:$M9,W$6))</f>
      </c>
      <c r="X9" s="105">
        <f aca="true" t="shared" si="1" ref="X9:X38">IF($B9="","",COUNTIF($N9:$V9,X$6))</f>
      </c>
      <c r="Y9" s="85">
        <f aca="true" t="shared" si="2" ref="Y9:Y38">IF($B9="","",COUNTIF($K9:$M9,Y$6))</f>
      </c>
      <c r="Z9" s="114">
        <f aca="true" t="shared" si="3" ref="Z9:Z38">IF($B9="","",COUNTIF($N9:$V9,Z$6))</f>
      </c>
      <c r="AA9" s="111">
        <f aca="true" t="shared" si="4" ref="AA9:AA38">IF($B9="","",COUNTIF($K9:$M9,AA$6))</f>
      </c>
      <c r="AB9" s="108">
        <f aca="true" t="shared" si="5" ref="AB9:AB38">IF($B9="","",COUNTIF($N9:$V9,AB$6))</f>
      </c>
      <c r="AC9" s="82">
        <f>IF(B9="","",(G9/12*W9)+(I9/12*X9)+(G9/12*Y9)+(I9/12*Z9))</f>
      </c>
      <c r="AD9" s="86">
        <f aca="true" t="shared" si="6" ref="AD9:AD38">IF(B9="","",AC9-J9)</f>
      </c>
      <c r="AE9" s="857">
        <f>IF(B9="","",VLOOKUP($B9,'6-2_算定表②(旧々・新制度)'!$B$8:$AB$65536,27,FALSE))</f>
      </c>
      <c r="AF9" s="858">
        <f>IF(AD9="","",VLOOKUP($B9,'6-2_算定表③(旧・旧制度)'!$B$8:$R$65536,3,FALSE))</f>
      </c>
      <c r="AG9" s="859">
        <f>IF(AE9="","",VLOOKUP($B9,'6-2_算定表③(旧・旧制度)'!$B$8:$R$65536,3,FALSE))</f>
      </c>
      <c r="AI9" s="63">
        <f>IF(A9&gt;0,ASC(C9&amp;H9),"")</f>
      </c>
      <c r="AJ9" s="63">
        <f aca="true" t="shared" si="7" ref="AJ9:AJ38">IF(B9="","",IF(AD9=0,0,1))</f>
      </c>
    </row>
    <row r="10" spans="1:36" s="54" customFormat="1" ht="18.75" customHeight="1">
      <c r="A10" s="34">
        <f aca="true" t="shared" si="8" ref="A10:A38">IF(B10="","",ROW($A10)-ROW($A$8))</f>
      </c>
      <c r="B10" s="277"/>
      <c r="C10" s="372">
        <f>IF($B10="","",VLOOKUP($B10,'6-2_算定表②(旧々・新制度)'!$B$8:$R$65536,2,FALSE))</f>
      </c>
      <c r="D10" s="98">
        <f>IF($B10="","",VLOOKUP($B10,'6-2_算定表②(旧々・新制度)'!$B$8:$R$65536,3,FALSE))</f>
      </c>
      <c r="E10" s="98">
        <f>IF($B10="","",VLOOKUP($B10,'6-2_算定表②(旧々・新制度)'!$B$8:$R$65536,4,FALSE))</f>
      </c>
      <c r="F10" s="99">
        <f>IF(B10="","",VLOOKUP($B10,'6-2_算定表②(旧々・新制度)'!$B$8:$R$65536,11,FALSE))</f>
      </c>
      <c r="G10" s="60">
        <f>IF(B10="","",VLOOKUP($B10,'6-2_算定表②(旧々・新制度)'!$B$8:$R$65536,13,FALSE))</f>
      </c>
      <c r="H10" s="99">
        <f>IF(B10="","",VLOOKUP($B10,'6-2_算定表②(旧々・新制度)'!$B$8:$R$65536,14,FALSE))</f>
      </c>
      <c r="I10" s="60">
        <f>IF(B10="","",VLOOKUP($B10,'6-2_算定表②(旧々・新制度)'!$B$8:$R$65536,16,FALSE))</f>
      </c>
      <c r="J10" s="61">
        <f>IF(B10="","",VLOOKUP($B10,'6-2_算定表②(旧々・新制度)'!$B$8:$R$65536,17,FALSE))</f>
      </c>
      <c r="K10" s="100">
        <f>IF($B10="","",VLOOKUP($B10,'6-2_算定表②(旧々・新制度)'!$B$8:$R$65536,11,FALSE))</f>
      </c>
      <c r="L10" s="101">
        <f>IF($B10="","",VLOOKUP($B10,'6-2_算定表②(旧々・新制度)'!$B$8:$R$65536,11,FALSE))</f>
      </c>
      <c r="M10" s="373">
        <f>IF($B10="","",VLOOKUP($B10,'6-2_算定表②(旧々・新制度)'!$B$8:$R$65536,11,FALSE))</f>
      </c>
      <c r="N10" s="100">
        <f>IF($B10="","",VLOOKUP($B10,'6-2_算定表②(旧々・新制度)'!$B$8:$R$65536,14,FALSE))</f>
      </c>
      <c r="O10" s="101">
        <f>IF($B10="","",VLOOKUP($B10,'6-2_算定表②(旧々・新制度)'!$B$8:$R$65536,14,FALSE))</f>
      </c>
      <c r="P10" s="101">
        <f>IF($B10="","",VLOOKUP($B10,'6-2_算定表②(旧々・新制度)'!$B$8:$R$65536,14,FALSE))</f>
      </c>
      <c r="Q10" s="101">
        <f>IF($B10="","",VLOOKUP($B10,'6-2_算定表②(旧々・新制度)'!$B$8:$R$65536,14,FALSE))</f>
      </c>
      <c r="R10" s="101">
        <f>IF($B10="","",VLOOKUP($B10,'6-2_算定表②(旧々・新制度)'!$B$8:$R$65536,14,FALSE))</f>
      </c>
      <c r="S10" s="101">
        <f>IF($B10="","",VLOOKUP($B10,'6-2_算定表②(旧々・新制度)'!$B$8:$R$65536,14,FALSE))</f>
      </c>
      <c r="T10" s="101">
        <f>IF($B10="","",VLOOKUP($B10,'6-2_算定表②(旧々・新制度)'!$B$8:$R$65536,14,FALSE))</f>
      </c>
      <c r="U10" s="101">
        <f>IF($B10="","",VLOOKUP($B10,'6-2_算定表②(旧々・新制度)'!$B$8:$R$65536,14,FALSE))</f>
      </c>
      <c r="V10" s="102">
        <f>IF($B10="","",VLOOKUP($B10,'6-2_算定表②(旧々・新制度)'!$B$8:$R$65536,14,FALSE))</f>
      </c>
      <c r="W10" s="95">
        <f t="shared" si="0"/>
      </c>
      <c r="X10" s="106">
        <f t="shared" si="1"/>
      </c>
      <c r="Y10" s="95">
        <f t="shared" si="2"/>
      </c>
      <c r="Z10" s="115">
        <f t="shared" si="3"/>
      </c>
      <c r="AA10" s="112">
        <f t="shared" si="4"/>
      </c>
      <c r="AB10" s="109">
        <f t="shared" si="5"/>
      </c>
      <c r="AC10" s="91">
        <f aca="true" t="shared" si="9" ref="AC10:AC38">IF(B10="","",(G10/12*W10)+(I10/12*X10)+(G10/12*Y10)+(I10/12*Z10))</f>
      </c>
      <c r="AD10" s="96">
        <f t="shared" si="6"/>
      </c>
      <c r="AE10" s="851">
        <f>IF(B10="","",VLOOKUP($B10,'6-2_算定表②(旧々・新制度)'!$B$8:$AB$65536,27,FALSE))</f>
      </c>
      <c r="AF10" s="852">
        <f>IF(AD10="","",VLOOKUP($B10,'6-2_算定表③(旧・旧制度)'!$B$8:$R$65536,3,FALSE))</f>
      </c>
      <c r="AG10" s="853">
        <f>IF(AE10="","",VLOOKUP($B10,'6-2_算定表③(旧・旧制度)'!$B$8:$R$65536,3,FALSE))</f>
      </c>
      <c r="AI10" s="55">
        <f>IF(A10&gt;0,ASC(C10&amp;H10),"")</f>
      </c>
      <c r="AJ10" s="55">
        <f t="shared" si="7"/>
      </c>
    </row>
    <row r="11" spans="1:36" s="54" customFormat="1" ht="18.75" customHeight="1">
      <c r="A11" s="27">
        <f t="shared" si="8"/>
      </c>
      <c r="B11" s="277"/>
      <c r="C11" s="372">
        <f>IF($B11="","",VLOOKUP($B11,'6-2_算定表②(旧々・新制度)'!$B$8:$R$65536,2,FALSE))</f>
      </c>
      <c r="D11" s="98">
        <f>IF($B11="","",VLOOKUP($B11,'6-2_算定表②(旧々・新制度)'!$B$8:$R$65536,3,FALSE))</f>
      </c>
      <c r="E11" s="98">
        <f>IF($B11="","",VLOOKUP($B11,'6-2_算定表②(旧々・新制度)'!$B$8:$R$65536,4,FALSE))</f>
      </c>
      <c r="F11" s="99">
        <f>IF(B11="","",VLOOKUP($B11,'6-2_算定表②(旧々・新制度)'!$B$8:$R$65536,11,FALSE))</f>
      </c>
      <c r="G11" s="60">
        <f>IF(B11="","",VLOOKUP($B11,'6-2_算定表②(旧々・新制度)'!$B$8:$R$65536,13,FALSE))</f>
      </c>
      <c r="H11" s="99">
        <f>IF(B11="","",VLOOKUP($B11,'6-2_算定表②(旧々・新制度)'!$B$8:$R$65536,14,FALSE))</f>
      </c>
      <c r="I11" s="60">
        <f>IF(B11="","",VLOOKUP($B11,'6-2_算定表②(旧々・新制度)'!$B$8:$R$65536,16,FALSE))</f>
      </c>
      <c r="J11" s="61">
        <f>IF(B11="","",VLOOKUP($B11,'6-2_算定表②(旧々・新制度)'!$B$8:$R$65536,17,FALSE))</f>
      </c>
      <c r="K11" s="100">
        <f>IF($B11="","",VLOOKUP($B11,'6-2_算定表②(旧々・新制度)'!$B$8:$R$65536,11,FALSE))</f>
      </c>
      <c r="L11" s="101">
        <f>IF($B11="","",VLOOKUP($B11,'6-2_算定表②(旧々・新制度)'!$B$8:$R$65536,11,FALSE))</f>
      </c>
      <c r="M11" s="373">
        <f>IF($B11="","",VLOOKUP($B11,'6-2_算定表②(旧々・新制度)'!$B$8:$R$65536,11,FALSE))</f>
      </c>
      <c r="N11" s="100">
        <f>IF($B11="","",VLOOKUP($B11,'6-2_算定表②(旧々・新制度)'!$B$8:$R$65536,14,FALSE))</f>
      </c>
      <c r="O11" s="101">
        <f>IF($B11="","",VLOOKUP($B11,'6-2_算定表②(旧々・新制度)'!$B$8:$R$65536,14,FALSE))</f>
      </c>
      <c r="P11" s="101">
        <f>IF($B11="","",VLOOKUP($B11,'6-2_算定表②(旧々・新制度)'!$B$8:$R$65536,14,FALSE))</f>
      </c>
      <c r="Q11" s="101">
        <f>IF($B11="","",VLOOKUP($B11,'6-2_算定表②(旧々・新制度)'!$B$8:$R$65536,14,FALSE))</f>
      </c>
      <c r="R11" s="101">
        <f>IF($B11="","",VLOOKUP($B11,'6-2_算定表②(旧々・新制度)'!$B$8:$R$65536,14,FALSE))</f>
      </c>
      <c r="S11" s="101">
        <f>IF($B11="","",VLOOKUP($B11,'6-2_算定表②(旧々・新制度)'!$B$8:$R$65536,14,FALSE))</f>
      </c>
      <c r="T11" s="101">
        <f>IF($B11="","",VLOOKUP($B11,'6-2_算定表②(旧々・新制度)'!$B$8:$R$65536,14,FALSE))</f>
      </c>
      <c r="U11" s="101">
        <f>IF($B11="","",VLOOKUP($B11,'6-2_算定表②(旧々・新制度)'!$B$8:$R$65536,14,FALSE))</f>
      </c>
      <c r="V11" s="102">
        <f>IF($B11="","",VLOOKUP($B11,'6-2_算定表②(旧々・新制度)'!$B$8:$R$65536,14,FALSE))</f>
      </c>
      <c r="W11" s="95">
        <f t="shared" si="0"/>
      </c>
      <c r="X11" s="106">
        <f t="shared" si="1"/>
      </c>
      <c r="Y11" s="95">
        <f t="shared" si="2"/>
      </c>
      <c r="Z11" s="115">
        <f t="shared" si="3"/>
      </c>
      <c r="AA11" s="112">
        <f t="shared" si="4"/>
      </c>
      <c r="AB11" s="109">
        <f t="shared" si="5"/>
      </c>
      <c r="AC11" s="61">
        <f t="shared" si="9"/>
      </c>
      <c r="AD11" s="62">
        <f t="shared" si="6"/>
      </c>
      <c r="AE11" s="851">
        <f>IF(B11="","",VLOOKUP($B11,'6-2_算定表②(旧々・新制度)'!$B$8:$AB$65536,27,FALSE))</f>
      </c>
      <c r="AF11" s="852">
        <f>IF(AD11="","",VLOOKUP($B11,'6-2_算定表③(旧・旧制度)'!$B$8:$R$65536,3,FALSE))</f>
      </c>
      <c r="AG11" s="853">
        <f>IF(AE11="","",VLOOKUP($B11,'6-2_算定表③(旧・旧制度)'!$B$8:$R$65536,3,FALSE))</f>
      </c>
      <c r="AI11" s="63">
        <f aca="true" t="shared" si="10" ref="AI11:AI38">IF(A11&gt;0,ASC(C11&amp;H11),"")</f>
      </c>
      <c r="AJ11" s="63">
        <f t="shared" si="7"/>
      </c>
    </row>
    <row r="12" spans="1:36" s="54" customFormat="1" ht="18.75" customHeight="1">
      <c r="A12" s="27">
        <f t="shared" si="8"/>
      </c>
      <c r="B12" s="277"/>
      <c r="C12" s="372">
        <f>IF($B12="","",VLOOKUP($B12,'6-2_算定表②(旧々・新制度)'!$B$8:$R$65536,2,FALSE))</f>
      </c>
      <c r="D12" s="98">
        <f>IF($B12="","",VLOOKUP($B12,'6-2_算定表②(旧々・新制度)'!$B$8:$R$65536,3,FALSE))</f>
      </c>
      <c r="E12" s="98">
        <f>IF($B12="","",VLOOKUP($B12,'6-2_算定表②(旧々・新制度)'!$B$8:$R$65536,4,FALSE))</f>
      </c>
      <c r="F12" s="99">
        <f>IF(B12="","",VLOOKUP($B12,'6-2_算定表②(旧々・新制度)'!$B$8:$R$65536,11,FALSE))</f>
      </c>
      <c r="G12" s="60">
        <f>IF(B12="","",VLOOKUP($B12,'6-2_算定表②(旧々・新制度)'!$B$8:$R$65536,13,FALSE))</f>
      </c>
      <c r="H12" s="99">
        <f>IF(B12="","",VLOOKUP($B12,'6-2_算定表②(旧々・新制度)'!$B$8:$R$65536,14,FALSE))</f>
      </c>
      <c r="I12" s="60">
        <f>IF(B12="","",VLOOKUP($B12,'6-2_算定表②(旧々・新制度)'!$B$8:$R$65536,16,FALSE))</f>
      </c>
      <c r="J12" s="61">
        <f>IF(B12="","",VLOOKUP($B12,'6-2_算定表②(旧々・新制度)'!$B$8:$R$65536,17,FALSE))</f>
      </c>
      <c r="K12" s="100">
        <f>IF($B12="","",VLOOKUP($B12,'6-2_算定表②(旧々・新制度)'!$B$8:$R$65536,11,FALSE))</f>
      </c>
      <c r="L12" s="101">
        <f>IF($B12="","",VLOOKUP($B12,'6-2_算定表②(旧々・新制度)'!$B$8:$R$65536,11,FALSE))</f>
      </c>
      <c r="M12" s="373">
        <f>IF($B12="","",VLOOKUP($B12,'6-2_算定表②(旧々・新制度)'!$B$8:$R$65536,11,FALSE))</f>
      </c>
      <c r="N12" s="100">
        <f>IF($B12="","",VLOOKUP($B12,'6-2_算定表②(旧々・新制度)'!$B$8:$R$65536,14,FALSE))</f>
      </c>
      <c r="O12" s="101">
        <f>IF($B12="","",VLOOKUP($B12,'6-2_算定表②(旧々・新制度)'!$B$8:$R$65536,14,FALSE))</f>
      </c>
      <c r="P12" s="101">
        <f>IF($B12="","",VLOOKUP($B12,'6-2_算定表②(旧々・新制度)'!$B$8:$R$65536,14,FALSE))</f>
      </c>
      <c r="Q12" s="101">
        <f>IF($B12="","",VLOOKUP($B12,'6-2_算定表②(旧々・新制度)'!$B$8:$R$65536,14,FALSE))</f>
      </c>
      <c r="R12" s="101">
        <f>IF($B12="","",VLOOKUP($B12,'6-2_算定表②(旧々・新制度)'!$B$8:$R$65536,14,FALSE))</f>
      </c>
      <c r="S12" s="101">
        <f>IF($B12="","",VLOOKUP($B12,'6-2_算定表②(旧々・新制度)'!$B$8:$R$65536,14,FALSE))</f>
      </c>
      <c r="T12" s="101">
        <f>IF($B12="","",VLOOKUP($B12,'6-2_算定表②(旧々・新制度)'!$B$8:$R$65536,14,FALSE))</f>
      </c>
      <c r="U12" s="101">
        <f>IF($B12="","",VLOOKUP($B12,'6-2_算定表②(旧々・新制度)'!$B$8:$R$65536,14,FALSE))</f>
      </c>
      <c r="V12" s="102">
        <f>IF($B12="","",VLOOKUP($B12,'6-2_算定表②(旧々・新制度)'!$B$8:$R$65536,14,FALSE))</f>
      </c>
      <c r="W12" s="103">
        <f t="shared" si="0"/>
      </c>
      <c r="X12" s="107">
        <f t="shared" si="1"/>
      </c>
      <c r="Y12" s="103">
        <f t="shared" si="2"/>
      </c>
      <c r="Z12" s="116">
        <f t="shared" si="3"/>
      </c>
      <c r="AA12" s="113">
        <f t="shared" si="4"/>
      </c>
      <c r="AB12" s="110">
        <f t="shared" si="5"/>
      </c>
      <c r="AC12" s="61">
        <f t="shared" si="9"/>
      </c>
      <c r="AD12" s="62">
        <f t="shared" si="6"/>
      </c>
      <c r="AE12" s="851">
        <f>IF(B12="","",VLOOKUP($B12,'6-2_算定表②(旧々・新制度)'!$B$8:$AB$65536,27,FALSE))</f>
      </c>
      <c r="AF12" s="852">
        <f>IF(AD12="","",VLOOKUP($B12,'6-2_算定表③(旧・旧制度)'!$B$8:$R$65536,3,FALSE))</f>
      </c>
      <c r="AG12" s="853">
        <f>IF(AE12="","",VLOOKUP($B12,'6-2_算定表③(旧・旧制度)'!$B$8:$R$65536,3,FALSE))</f>
      </c>
      <c r="AI12" s="63">
        <f t="shared" si="10"/>
      </c>
      <c r="AJ12" s="63">
        <f t="shared" si="7"/>
      </c>
    </row>
    <row r="13" spans="1:36" s="54" customFormat="1" ht="18.75" customHeight="1">
      <c r="A13" s="27">
        <f t="shared" si="8"/>
      </c>
      <c r="B13" s="277"/>
      <c r="C13" s="372">
        <f>IF($B13="","",VLOOKUP($B13,'6-2_算定表②(旧々・新制度)'!$B$8:$R$65536,2,FALSE))</f>
      </c>
      <c r="D13" s="98">
        <f>IF($B13="","",VLOOKUP($B13,'6-2_算定表②(旧々・新制度)'!$B$8:$R$65536,3,FALSE))</f>
      </c>
      <c r="E13" s="98">
        <f>IF($B13="","",VLOOKUP($B13,'6-2_算定表②(旧々・新制度)'!$B$8:$R$65536,4,FALSE))</f>
      </c>
      <c r="F13" s="99">
        <f>IF(B13="","",VLOOKUP($B13,'6-2_算定表②(旧々・新制度)'!$B$8:$R$65536,11,FALSE))</f>
      </c>
      <c r="G13" s="60">
        <f>IF(B13="","",VLOOKUP($B13,'6-2_算定表②(旧々・新制度)'!$B$8:$R$65536,13,FALSE))</f>
      </c>
      <c r="H13" s="99">
        <f>IF(B13="","",VLOOKUP($B13,'6-2_算定表②(旧々・新制度)'!$B$8:$R$65536,14,FALSE))</f>
      </c>
      <c r="I13" s="60">
        <f>IF(B13="","",VLOOKUP($B13,'6-2_算定表②(旧々・新制度)'!$B$8:$R$65536,16,FALSE))</f>
      </c>
      <c r="J13" s="61">
        <f>IF(B13="","",VLOOKUP($B13,'6-2_算定表②(旧々・新制度)'!$B$8:$R$65536,17,FALSE))</f>
      </c>
      <c r="K13" s="100">
        <f>IF($B13="","",VLOOKUP($B13,'6-2_算定表②(旧々・新制度)'!$B$8:$R$65536,11,FALSE))</f>
      </c>
      <c r="L13" s="101">
        <f>IF($B13="","",VLOOKUP($B13,'6-2_算定表②(旧々・新制度)'!$B$8:$R$65536,11,FALSE))</f>
      </c>
      <c r="M13" s="373">
        <f>IF($B13="","",VLOOKUP($B13,'6-2_算定表②(旧々・新制度)'!$B$8:$R$65536,11,FALSE))</f>
      </c>
      <c r="N13" s="100">
        <f>IF($B13="","",VLOOKUP($B13,'6-2_算定表②(旧々・新制度)'!$B$8:$R$65536,14,FALSE))</f>
      </c>
      <c r="O13" s="101">
        <f>IF($B13="","",VLOOKUP($B13,'6-2_算定表②(旧々・新制度)'!$B$8:$R$65536,14,FALSE))</f>
      </c>
      <c r="P13" s="101">
        <f>IF($B13="","",VLOOKUP($B13,'6-2_算定表②(旧々・新制度)'!$B$8:$R$65536,14,FALSE))</f>
      </c>
      <c r="Q13" s="101">
        <f>IF($B13="","",VLOOKUP($B13,'6-2_算定表②(旧々・新制度)'!$B$8:$R$65536,14,FALSE))</f>
      </c>
      <c r="R13" s="101">
        <f>IF($B13="","",VLOOKUP($B13,'6-2_算定表②(旧々・新制度)'!$B$8:$R$65536,14,FALSE))</f>
      </c>
      <c r="S13" s="101">
        <f>IF($B13="","",VLOOKUP($B13,'6-2_算定表②(旧々・新制度)'!$B$8:$R$65536,14,FALSE))</f>
      </c>
      <c r="T13" s="101">
        <f>IF($B13="","",VLOOKUP($B13,'6-2_算定表②(旧々・新制度)'!$B$8:$R$65536,14,FALSE))</f>
      </c>
      <c r="U13" s="101">
        <f>IF($B13="","",VLOOKUP($B13,'6-2_算定表②(旧々・新制度)'!$B$8:$R$65536,14,FALSE))</f>
      </c>
      <c r="V13" s="102">
        <f>IF($B13="","",VLOOKUP($B13,'6-2_算定表②(旧々・新制度)'!$B$8:$R$65536,14,FALSE))</f>
      </c>
      <c r="W13" s="103">
        <f t="shared" si="0"/>
      </c>
      <c r="X13" s="107">
        <f t="shared" si="1"/>
      </c>
      <c r="Y13" s="103">
        <f t="shared" si="2"/>
      </c>
      <c r="Z13" s="116">
        <f t="shared" si="3"/>
      </c>
      <c r="AA13" s="113">
        <f t="shared" si="4"/>
      </c>
      <c r="AB13" s="110">
        <f t="shared" si="5"/>
      </c>
      <c r="AC13" s="61">
        <f t="shared" si="9"/>
      </c>
      <c r="AD13" s="62">
        <f t="shared" si="6"/>
      </c>
      <c r="AE13" s="851">
        <f>IF(B13="","",VLOOKUP($B13,'6-2_算定表②(旧々・新制度)'!$B$8:$AB$65536,27,FALSE))</f>
      </c>
      <c r="AF13" s="852">
        <f>IF(AD13="","",VLOOKUP($B13,'6-2_算定表③(旧・旧制度)'!$B$8:$R$65536,3,FALSE))</f>
      </c>
      <c r="AG13" s="853">
        <f>IF(AE13="","",VLOOKUP($B13,'6-2_算定表③(旧・旧制度)'!$B$8:$R$65536,3,FALSE))</f>
      </c>
      <c r="AI13" s="63">
        <f t="shared" si="10"/>
      </c>
      <c r="AJ13" s="63">
        <f t="shared" si="7"/>
      </c>
    </row>
    <row r="14" spans="1:36" s="54" customFormat="1" ht="18.75" customHeight="1">
      <c r="A14" s="27">
        <f t="shared" si="8"/>
      </c>
      <c r="B14" s="280"/>
      <c r="C14" s="372">
        <f>IF($B14="","",VLOOKUP($B14,'6-2_算定表②(旧々・新制度)'!$B$8:$R$65536,2,FALSE))</f>
      </c>
      <c r="D14" s="98">
        <f>IF($B14="","",VLOOKUP($B14,'6-2_算定表②(旧々・新制度)'!$B$8:$R$65536,3,FALSE))</f>
      </c>
      <c r="E14" s="98">
        <f>IF($B14="","",VLOOKUP($B14,'6-2_算定表②(旧々・新制度)'!$B$8:$R$65536,4,FALSE))</f>
      </c>
      <c r="F14" s="99">
        <f>IF(B14="","",VLOOKUP($B14,'6-2_算定表②(旧々・新制度)'!$B$8:$R$65536,11,FALSE))</f>
      </c>
      <c r="G14" s="60">
        <f>IF(B14="","",VLOOKUP($B14,'6-2_算定表②(旧々・新制度)'!$B$8:$R$65536,13,FALSE))</f>
      </c>
      <c r="H14" s="99">
        <f>IF(B14="","",VLOOKUP($B14,'6-2_算定表②(旧々・新制度)'!$B$8:$R$65536,14,FALSE))</f>
      </c>
      <c r="I14" s="60">
        <f>IF(B14="","",VLOOKUP($B14,'6-2_算定表②(旧々・新制度)'!$B$8:$R$65536,16,FALSE))</f>
      </c>
      <c r="J14" s="61">
        <f>IF(B14="","",VLOOKUP($B14,'6-2_算定表②(旧々・新制度)'!$B$8:$R$65536,17,FALSE))</f>
      </c>
      <c r="K14" s="100">
        <f>IF($B14="","",VLOOKUP($B14,'6-2_算定表②(旧々・新制度)'!$B$8:$R$65536,11,FALSE))</f>
      </c>
      <c r="L14" s="101">
        <f>IF($B14="","",VLOOKUP($B14,'6-2_算定表②(旧々・新制度)'!$B$8:$R$65536,11,FALSE))</f>
      </c>
      <c r="M14" s="373">
        <f>IF($B14="","",VLOOKUP($B14,'6-2_算定表②(旧々・新制度)'!$B$8:$R$65536,11,FALSE))</f>
      </c>
      <c r="N14" s="100">
        <f>IF($B14="","",VLOOKUP($B14,'6-2_算定表②(旧々・新制度)'!$B$8:$R$65536,14,FALSE))</f>
      </c>
      <c r="O14" s="101">
        <f>IF($B14="","",VLOOKUP($B14,'6-2_算定表②(旧々・新制度)'!$B$8:$R$65536,14,FALSE))</f>
      </c>
      <c r="P14" s="101">
        <f>IF($B14="","",VLOOKUP($B14,'6-2_算定表②(旧々・新制度)'!$B$8:$R$65536,14,FALSE))</f>
      </c>
      <c r="Q14" s="101">
        <f>IF($B14="","",VLOOKUP($B14,'6-2_算定表②(旧々・新制度)'!$B$8:$R$65536,14,FALSE))</f>
      </c>
      <c r="R14" s="101">
        <f>IF($B14="","",VLOOKUP($B14,'6-2_算定表②(旧々・新制度)'!$B$8:$R$65536,14,FALSE))</f>
      </c>
      <c r="S14" s="101">
        <f>IF($B14="","",VLOOKUP($B14,'6-2_算定表②(旧々・新制度)'!$B$8:$R$65536,14,FALSE))</f>
      </c>
      <c r="T14" s="101">
        <f>IF($B14="","",VLOOKUP($B14,'6-2_算定表②(旧々・新制度)'!$B$8:$R$65536,14,FALSE))</f>
      </c>
      <c r="U14" s="101">
        <f>IF($B14="","",VLOOKUP($B14,'6-2_算定表②(旧々・新制度)'!$B$8:$R$65536,14,FALSE))</f>
      </c>
      <c r="V14" s="102">
        <f>IF($B14="","",VLOOKUP($B14,'6-2_算定表②(旧々・新制度)'!$B$8:$R$65536,14,FALSE))</f>
      </c>
      <c r="W14" s="103">
        <f t="shared" si="0"/>
      </c>
      <c r="X14" s="107">
        <f t="shared" si="1"/>
      </c>
      <c r="Y14" s="103">
        <f t="shared" si="2"/>
      </c>
      <c r="Z14" s="116">
        <f t="shared" si="3"/>
      </c>
      <c r="AA14" s="113">
        <f t="shared" si="4"/>
      </c>
      <c r="AB14" s="110">
        <f t="shared" si="5"/>
      </c>
      <c r="AC14" s="61">
        <f t="shared" si="9"/>
      </c>
      <c r="AD14" s="62">
        <f t="shared" si="6"/>
      </c>
      <c r="AE14" s="851">
        <f>IF(B14="","",VLOOKUP($B14,'6-2_算定表②(旧々・新制度)'!$B$8:$AB$65536,27,FALSE))</f>
      </c>
      <c r="AF14" s="852">
        <f>IF(AD14="","",VLOOKUP($B14,'6-2_算定表③(旧・旧制度)'!$B$8:$R$65536,3,FALSE))</f>
      </c>
      <c r="AG14" s="853">
        <f>IF(AE14="","",VLOOKUP($B14,'6-2_算定表③(旧・旧制度)'!$B$8:$R$65536,3,FALSE))</f>
      </c>
      <c r="AI14" s="63">
        <f t="shared" si="10"/>
      </c>
      <c r="AJ14" s="63">
        <f t="shared" si="7"/>
      </c>
    </row>
    <row r="15" spans="1:36" s="54" customFormat="1" ht="18.75" customHeight="1">
      <c r="A15" s="27">
        <f t="shared" si="8"/>
      </c>
      <c r="B15" s="280"/>
      <c r="C15" s="372">
        <f>IF($B15="","",VLOOKUP($B15,'6-2_算定表②(旧々・新制度)'!$B$8:$R$65536,2,FALSE))</f>
      </c>
      <c r="D15" s="98">
        <f>IF($B15="","",VLOOKUP($B15,'6-2_算定表②(旧々・新制度)'!$B$8:$R$65536,3,FALSE))</f>
      </c>
      <c r="E15" s="98">
        <f>IF($B15="","",VLOOKUP($B15,'6-2_算定表②(旧々・新制度)'!$B$8:$R$65536,4,FALSE))</f>
      </c>
      <c r="F15" s="99">
        <f>IF(B15="","",VLOOKUP($B15,'6-2_算定表②(旧々・新制度)'!$B$8:$R$65536,11,FALSE))</f>
      </c>
      <c r="G15" s="60">
        <f>IF(B15="","",VLOOKUP($B15,'6-2_算定表②(旧々・新制度)'!$B$8:$R$65536,13,FALSE))</f>
      </c>
      <c r="H15" s="99">
        <f>IF(B15="","",VLOOKUP($B15,'6-2_算定表②(旧々・新制度)'!$B$8:$R$65536,14,FALSE))</f>
      </c>
      <c r="I15" s="60">
        <f>IF(B15="","",VLOOKUP($B15,'6-2_算定表②(旧々・新制度)'!$B$8:$R$65536,16,FALSE))</f>
      </c>
      <c r="J15" s="61">
        <f>IF(B15="","",VLOOKUP($B15,'6-2_算定表②(旧々・新制度)'!$B$8:$R$65536,17,FALSE))</f>
      </c>
      <c r="K15" s="100">
        <f>IF($B15="","",VLOOKUP($B15,'6-2_算定表②(旧々・新制度)'!$B$8:$R$65536,11,FALSE))</f>
      </c>
      <c r="L15" s="101">
        <f>IF($B15="","",VLOOKUP($B15,'6-2_算定表②(旧々・新制度)'!$B$8:$R$65536,11,FALSE))</f>
      </c>
      <c r="M15" s="373">
        <f>IF($B15="","",VLOOKUP($B15,'6-2_算定表②(旧々・新制度)'!$B$8:$R$65536,11,FALSE))</f>
      </c>
      <c r="N15" s="100">
        <f>IF($B15="","",VLOOKUP($B15,'6-2_算定表②(旧々・新制度)'!$B$8:$R$65536,14,FALSE))</f>
      </c>
      <c r="O15" s="101">
        <f>IF($B15="","",VLOOKUP($B15,'6-2_算定表②(旧々・新制度)'!$B$8:$R$65536,14,FALSE))</f>
      </c>
      <c r="P15" s="101">
        <f>IF($B15="","",VLOOKUP($B15,'6-2_算定表②(旧々・新制度)'!$B$8:$R$65536,14,FALSE))</f>
      </c>
      <c r="Q15" s="101">
        <f>IF($B15="","",VLOOKUP($B15,'6-2_算定表②(旧々・新制度)'!$B$8:$R$65536,14,FALSE))</f>
      </c>
      <c r="R15" s="101">
        <f>IF($B15="","",VLOOKUP($B15,'6-2_算定表②(旧々・新制度)'!$B$8:$R$65536,14,FALSE))</f>
      </c>
      <c r="S15" s="101">
        <f>IF($B15="","",VLOOKUP($B15,'6-2_算定表②(旧々・新制度)'!$B$8:$R$65536,14,FALSE))</f>
      </c>
      <c r="T15" s="101">
        <f>IF($B15="","",VLOOKUP($B15,'6-2_算定表②(旧々・新制度)'!$B$8:$R$65536,14,FALSE))</f>
      </c>
      <c r="U15" s="101">
        <f>IF($B15="","",VLOOKUP($B15,'6-2_算定表②(旧々・新制度)'!$B$8:$R$65536,14,FALSE))</f>
      </c>
      <c r="V15" s="102">
        <f>IF($B15="","",VLOOKUP($B15,'6-2_算定表②(旧々・新制度)'!$B$8:$R$65536,14,FALSE))</f>
      </c>
      <c r="W15" s="103">
        <f t="shared" si="0"/>
      </c>
      <c r="X15" s="107">
        <f t="shared" si="1"/>
      </c>
      <c r="Y15" s="103">
        <f t="shared" si="2"/>
      </c>
      <c r="Z15" s="116">
        <f t="shared" si="3"/>
      </c>
      <c r="AA15" s="113">
        <f t="shared" si="4"/>
      </c>
      <c r="AB15" s="110">
        <f t="shared" si="5"/>
      </c>
      <c r="AC15" s="61">
        <f t="shared" si="9"/>
      </c>
      <c r="AD15" s="62">
        <f t="shared" si="6"/>
      </c>
      <c r="AE15" s="851">
        <f>IF(B15="","",VLOOKUP($B15,'6-2_算定表②(旧々・新制度)'!$B$8:$AB$65536,27,FALSE))</f>
      </c>
      <c r="AF15" s="852">
        <f>IF(AD15="","",VLOOKUP($B15,'6-2_算定表③(旧・旧制度)'!$B$8:$R$65536,3,FALSE))</f>
      </c>
      <c r="AG15" s="853">
        <f>IF(AE15="","",VLOOKUP($B15,'6-2_算定表③(旧・旧制度)'!$B$8:$R$65536,3,FALSE))</f>
      </c>
      <c r="AI15" s="63">
        <f t="shared" si="10"/>
      </c>
      <c r="AJ15" s="63">
        <f t="shared" si="7"/>
      </c>
    </row>
    <row r="16" spans="1:36" s="54" customFormat="1" ht="18.75" customHeight="1">
      <c r="A16" s="27">
        <f t="shared" si="8"/>
      </c>
      <c r="B16" s="280"/>
      <c r="C16" s="372">
        <f>IF($B16="","",VLOOKUP($B16,'6-2_算定表②(旧々・新制度)'!$B$8:$R$65536,2,FALSE))</f>
      </c>
      <c r="D16" s="98">
        <f>IF($B16="","",VLOOKUP($B16,'6-2_算定表②(旧々・新制度)'!$B$8:$R$65536,3,FALSE))</f>
      </c>
      <c r="E16" s="98">
        <f>IF($B16="","",VLOOKUP($B16,'6-2_算定表②(旧々・新制度)'!$B$8:$R$65536,4,FALSE))</f>
      </c>
      <c r="F16" s="99">
        <f>IF(B16="","",VLOOKUP($B16,'6-2_算定表②(旧々・新制度)'!$B$8:$R$65536,11,FALSE))</f>
      </c>
      <c r="G16" s="60">
        <f>IF(B16="","",VLOOKUP($B16,'6-2_算定表②(旧々・新制度)'!$B$8:$R$65536,13,FALSE))</f>
      </c>
      <c r="H16" s="99">
        <f>IF(B16="","",VLOOKUP($B16,'6-2_算定表②(旧々・新制度)'!$B$8:$R$65536,14,FALSE))</f>
      </c>
      <c r="I16" s="60">
        <f>IF(B16="","",VLOOKUP($B16,'6-2_算定表②(旧々・新制度)'!$B$8:$R$65536,16,FALSE))</f>
      </c>
      <c r="J16" s="61">
        <f>IF(B16="","",VLOOKUP($B16,'6-2_算定表②(旧々・新制度)'!$B$8:$R$65536,17,FALSE))</f>
      </c>
      <c r="K16" s="100">
        <f>IF($B16="","",VLOOKUP($B16,'6-2_算定表②(旧々・新制度)'!$B$8:$R$65536,11,FALSE))</f>
      </c>
      <c r="L16" s="101">
        <f>IF($B16="","",VLOOKUP($B16,'6-2_算定表②(旧々・新制度)'!$B$8:$R$65536,11,FALSE))</f>
      </c>
      <c r="M16" s="373">
        <f>IF($B16="","",VLOOKUP($B16,'6-2_算定表②(旧々・新制度)'!$B$8:$R$65536,11,FALSE))</f>
      </c>
      <c r="N16" s="100">
        <f>IF($B16="","",VLOOKUP($B16,'6-2_算定表②(旧々・新制度)'!$B$8:$R$65536,14,FALSE))</f>
      </c>
      <c r="O16" s="101">
        <f>IF($B16="","",VLOOKUP($B16,'6-2_算定表②(旧々・新制度)'!$B$8:$R$65536,14,FALSE))</f>
      </c>
      <c r="P16" s="101">
        <f>IF($B16="","",VLOOKUP($B16,'6-2_算定表②(旧々・新制度)'!$B$8:$R$65536,14,FALSE))</f>
      </c>
      <c r="Q16" s="101">
        <f>IF($B16="","",VLOOKUP($B16,'6-2_算定表②(旧々・新制度)'!$B$8:$R$65536,14,FALSE))</f>
      </c>
      <c r="R16" s="101">
        <f>IF($B16="","",VLOOKUP($B16,'6-2_算定表②(旧々・新制度)'!$B$8:$R$65536,14,FALSE))</f>
      </c>
      <c r="S16" s="101">
        <f>IF($B16="","",VLOOKUP($B16,'6-2_算定表②(旧々・新制度)'!$B$8:$R$65536,14,FALSE))</f>
      </c>
      <c r="T16" s="101">
        <f>IF($B16="","",VLOOKUP($B16,'6-2_算定表②(旧々・新制度)'!$B$8:$R$65536,14,FALSE))</f>
      </c>
      <c r="U16" s="101">
        <f>IF($B16="","",VLOOKUP($B16,'6-2_算定表②(旧々・新制度)'!$B$8:$R$65536,14,FALSE))</f>
      </c>
      <c r="V16" s="102">
        <f>IF($B16="","",VLOOKUP($B16,'6-2_算定表②(旧々・新制度)'!$B$8:$R$65536,14,FALSE))</f>
      </c>
      <c r="W16" s="103">
        <f t="shared" si="0"/>
      </c>
      <c r="X16" s="107">
        <f t="shared" si="1"/>
      </c>
      <c r="Y16" s="103">
        <f t="shared" si="2"/>
      </c>
      <c r="Z16" s="116">
        <f t="shared" si="3"/>
      </c>
      <c r="AA16" s="113">
        <f t="shared" si="4"/>
      </c>
      <c r="AB16" s="110">
        <f t="shared" si="5"/>
      </c>
      <c r="AC16" s="61">
        <f t="shared" si="9"/>
      </c>
      <c r="AD16" s="62">
        <f t="shared" si="6"/>
      </c>
      <c r="AE16" s="851">
        <f>IF(B16="","",VLOOKUP($B16,'6-2_算定表②(旧々・新制度)'!$B$8:$AB$65536,27,FALSE))</f>
      </c>
      <c r="AF16" s="852">
        <f>IF(AD16="","",VLOOKUP($B16,'6-2_算定表③(旧・旧制度)'!$B$8:$R$65536,3,FALSE))</f>
      </c>
      <c r="AG16" s="853">
        <f>IF(AE16="","",VLOOKUP($B16,'6-2_算定表③(旧・旧制度)'!$B$8:$R$65536,3,FALSE))</f>
      </c>
      <c r="AI16" s="63">
        <f t="shared" si="10"/>
      </c>
      <c r="AJ16" s="63">
        <f t="shared" si="7"/>
      </c>
    </row>
    <row r="17" spans="1:36" s="54" customFormat="1" ht="18.75" customHeight="1">
      <c r="A17" s="27">
        <f t="shared" si="8"/>
      </c>
      <c r="B17" s="280"/>
      <c r="C17" s="372">
        <f>IF($B17="","",VLOOKUP($B17,'6-2_算定表②(旧々・新制度)'!$B$8:$R$65536,2,FALSE))</f>
      </c>
      <c r="D17" s="98">
        <f>IF($B17="","",VLOOKUP($B17,'6-2_算定表②(旧々・新制度)'!$B$8:$R$65536,3,FALSE))</f>
      </c>
      <c r="E17" s="98">
        <f>IF($B17="","",VLOOKUP($B17,'6-2_算定表②(旧々・新制度)'!$B$8:$R$65536,4,FALSE))</f>
      </c>
      <c r="F17" s="99">
        <f>IF(B17="","",VLOOKUP($B17,'6-2_算定表②(旧々・新制度)'!$B$8:$R$65536,11,FALSE))</f>
      </c>
      <c r="G17" s="60">
        <f>IF(B17="","",VLOOKUP($B17,'6-2_算定表②(旧々・新制度)'!$B$8:$R$65536,13,FALSE))</f>
      </c>
      <c r="H17" s="99">
        <f>IF(B17="","",VLOOKUP($B17,'6-2_算定表②(旧々・新制度)'!$B$8:$R$65536,14,FALSE))</f>
      </c>
      <c r="I17" s="60">
        <f>IF(B17="","",VLOOKUP($B17,'6-2_算定表②(旧々・新制度)'!$B$8:$R$65536,16,FALSE))</f>
      </c>
      <c r="J17" s="61">
        <f>IF(B17="","",VLOOKUP($B17,'6-2_算定表②(旧々・新制度)'!$B$8:$R$65536,17,FALSE))</f>
      </c>
      <c r="K17" s="100">
        <f>IF($B17="","",VLOOKUP($B17,'6-2_算定表②(旧々・新制度)'!$B$8:$R$65536,11,FALSE))</f>
      </c>
      <c r="L17" s="101">
        <f>IF($B17="","",VLOOKUP($B17,'6-2_算定表②(旧々・新制度)'!$B$8:$R$65536,11,FALSE))</f>
      </c>
      <c r="M17" s="373">
        <f>IF($B17="","",VLOOKUP($B17,'6-2_算定表②(旧々・新制度)'!$B$8:$R$65536,11,FALSE))</f>
      </c>
      <c r="N17" s="100">
        <f>IF($B17="","",VLOOKUP($B17,'6-2_算定表②(旧々・新制度)'!$B$8:$R$65536,14,FALSE))</f>
      </c>
      <c r="O17" s="101">
        <f>IF($B17="","",VLOOKUP($B17,'6-2_算定表②(旧々・新制度)'!$B$8:$R$65536,14,FALSE))</f>
      </c>
      <c r="P17" s="101">
        <f>IF($B17="","",VLOOKUP($B17,'6-2_算定表②(旧々・新制度)'!$B$8:$R$65536,14,FALSE))</f>
      </c>
      <c r="Q17" s="101">
        <f>IF($B17="","",VLOOKUP($B17,'6-2_算定表②(旧々・新制度)'!$B$8:$R$65536,14,FALSE))</f>
      </c>
      <c r="R17" s="101">
        <f>IF($B17="","",VLOOKUP($B17,'6-2_算定表②(旧々・新制度)'!$B$8:$R$65536,14,FALSE))</f>
      </c>
      <c r="S17" s="101">
        <f>IF($B17="","",VLOOKUP($B17,'6-2_算定表②(旧々・新制度)'!$B$8:$R$65536,14,FALSE))</f>
      </c>
      <c r="T17" s="101">
        <f>IF($B17="","",VLOOKUP($B17,'6-2_算定表②(旧々・新制度)'!$B$8:$R$65536,14,FALSE))</f>
      </c>
      <c r="U17" s="101">
        <f>IF($B17="","",VLOOKUP($B17,'6-2_算定表②(旧々・新制度)'!$B$8:$R$65536,14,FALSE))</f>
      </c>
      <c r="V17" s="102">
        <f>IF($B17="","",VLOOKUP($B17,'6-2_算定表②(旧々・新制度)'!$B$8:$R$65536,14,FALSE))</f>
      </c>
      <c r="W17" s="103">
        <f t="shared" si="0"/>
      </c>
      <c r="X17" s="107">
        <f t="shared" si="1"/>
      </c>
      <c r="Y17" s="103">
        <f t="shared" si="2"/>
      </c>
      <c r="Z17" s="116">
        <f t="shared" si="3"/>
      </c>
      <c r="AA17" s="113">
        <f t="shared" si="4"/>
      </c>
      <c r="AB17" s="110">
        <f t="shared" si="5"/>
      </c>
      <c r="AC17" s="61">
        <f t="shared" si="9"/>
      </c>
      <c r="AD17" s="62">
        <f t="shared" si="6"/>
      </c>
      <c r="AE17" s="851">
        <f>IF(B17="","",VLOOKUP($B17,'6-2_算定表②(旧々・新制度)'!$B$8:$AB$65536,27,FALSE))</f>
      </c>
      <c r="AF17" s="852">
        <f>IF(AD17="","",VLOOKUP($B17,'6-2_算定表③(旧・旧制度)'!$B$8:$R$65536,3,FALSE))</f>
      </c>
      <c r="AG17" s="853">
        <f>IF(AE17="","",VLOOKUP($B17,'6-2_算定表③(旧・旧制度)'!$B$8:$R$65536,3,FALSE))</f>
      </c>
      <c r="AI17" s="63">
        <f t="shared" si="10"/>
      </c>
      <c r="AJ17" s="63">
        <f t="shared" si="7"/>
      </c>
    </row>
    <row r="18" spans="1:36" s="54" customFormat="1" ht="18.75" customHeight="1">
      <c r="A18" s="27">
        <f t="shared" si="8"/>
      </c>
      <c r="B18" s="280"/>
      <c r="C18" s="372">
        <f>IF($B18="","",VLOOKUP($B18,'6-2_算定表②(旧々・新制度)'!$B$8:$R$65536,2,FALSE))</f>
      </c>
      <c r="D18" s="98">
        <f>IF($B18="","",VLOOKUP($B18,'6-2_算定表②(旧々・新制度)'!$B$8:$R$65536,3,FALSE))</f>
      </c>
      <c r="E18" s="98">
        <f>IF($B18="","",VLOOKUP($B18,'6-2_算定表②(旧々・新制度)'!$B$8:$R$65536,4,FALSE))</f>
      </c>
      <c r="F18" s="99">
        <f>IF(B18="","",VLOOKUP($B18,'6-2_算定表②(旧々・新制度)'!$B$8:$R$65536,11,FALSE))</f>
      </c>
      <c r="G18" s="60">
        <f>IF(B18="","",VLOOKUP($B18,'6-2_算定表②(旧々・新制度)'!$B$8:$R$65536,13,FALSE))</f>
      </c>
      <c r="H18" s="99">
        <f>IF(B18="","",VLOOKUP($B18,'6-2_算定表②(旧々・新制度)'!$B$8:$R$65536,14,FALSE))</f>
      </c>
      <c r="I18" s="60">
        <f>IF(B18="","",VLOOKUP($B18,'6-2_算定表②(旧々・新制度)'!$B$8:$R$65536,16,FALSE))</f>
      </c>
      <c r="J18" s="61">
        <f>IF(B18="","",VLOOKUP($B18,'6-2_算定表②(旧々・新制度)'!$B$8:$R$65536,17,FALSE))</f>
      </c>
      <c r="K18" s="100">
        <f>IF($B18="","",VLOOKUP($B18,'6-2_算定表②(旧々・新制度)'!$B$8:$R$65536,11,FALSE))</f>
      </c>
      <c r="L18" s="101">
        <f>IF($B18="","",VLOOKUP($B18,'6-2_算定表②(旧々・新制度)'!$B$8:$R$65536,11,FALSE))</f>
      </c>
      <c r="M18" s="373">
        <f>IF($B18="","",VLOOKUP($B18,'6-2_算定表②(旧々・新制度)'!$B$8:$R$65536,11,FALSE))</f>
      </c>
      <c r="N18" s="100">
        <f>IF($B18="","",VLOOKUP($B18,'6-2_算定表②(旧々・新制度)'!$B$8:$R$65536,14,FALSE))</f>
      </c>
      <c r="O18" s="101">
        <f>IF($B18="","",VLOOKUP($B18,'6-2_算定表②(旧々・新制度)'!$B$8:$R$65536,14,FALSE))</f>
      </c>
      <c r="P18" s="101">
        <f>IF($B18="","",VLOOKUP($B18,'6-2_算定表②(旧々・新制度)'!$B$8:$R$65536,14,FALSE))</f>
      </c>
      <c r="Q18" s="101">
        <f>IF($B18="","",VLOOKUP($B18,'6-2_算定表②(旧々・新制度)'!$B$8:$R$65536,14,FALSE))</f>
      </c>
      <c r="R18" s="101">
        <f>IF($B18="","",VLOOKUP($B18,'6-2_算定表②(旧々・新制度)'!$B$8:$R$65536,14,FALSE))</f>
      </c>
      <c r="S18" s="101">
        <f>IF($B18="","",VLOOKUP($B18,'6-2_算定表②(旧々・新制度)'!$B$8:$R$65536,14,FALSE))</f>
      </c>
      <c r="T18" s="101">
        <f>IF($B18="","",VLOOKUP($B18,'6-2_算定表②(旧々・新制度)'!$B$8:$R$65536,14,FALSE))</f>
      </c>
      <c r="U18" s="101">
        <f>IF($B18="","",VLOOKUP($B18,'6-2_算定表②(旧々・新制度)'!$B$8:$R$65536,14,FALSE))</f>
      </c>
      <c r="V18" s="102">
        <f>IF($B18="","",VLOOKUP($B18,'6-2_算定表②(旧々・新制度)'!$B$8:$R$65536,14,FALSE))</f>
      </c>
      <c r="W18" s="103">
        <f t="shared" si="0"/>
      </c>
      <c r="X18" s="107">
        <f t="shared" si="1"/>
      </c>
      <c r="Y18" s="103">
        <f t="shared" si="2"/>
      </c>
      <c r="Z18" s="116">
        <f t="shared" si="3"/>
      </c>
      <c r="AA18" s="113">
        <f t="shared" si="4"/>
      </c>
      <c r="AB18" s="110">
        <f t="shared" si="5"/>
      </c>
      <c r="AC18" s="61">
        <f>IF(B18="","",(G18/12*W18)+(I18/12*X18)+(G18/12*Y18)+(I18/12*Z18))</f>
      </c>
      <c r="AD18" s="62">
        <f t="shared" si="6"/>
      </c>
      <c r="AE18" s="851">
        <f>IF(B18="","",VLOOKUP($B18,'6-2_算定表②(旧々・新制度)'!$B$8:$AB$65536,27,FALSE))</f>
      </c>
      <c r="AF18" s="852">
        <f>IF(AD18="","",VLOOKUP($B18,'6-2_算定表③(旧・旧制度)'!$B$8:$R$65536,3,FALSE))</f>
      </c>
      <c r="AG18" s="853">
        <f>IF(AE18="","",VLOOKUP($B18,'6-2_算定表③(旧・旧制度)'!$B$8:$R$65536,3,FALSE))</f>
      </c>
      <c r="AI18" s="63">
        <f t="shared" si="10"/>
      </c>
      <c r="AJ18" s="63">
        <f t="shared" si="7"/>
      </c>
    </row>
    <row r="19" spans="1:36" s="54" customFormat="1" ht="18.75" customHeight="1">
      <c r="A19" s="27">
        <f t="shared" si="8"/>
      </c>
      <c r="B19" s="280"/>
      <c r="C19" s="372">
        <f>IF($B19="","",VLOOKUP($B19,'6-2_算定表②(旧々・新制度)'!$B$8:$R$65536,2,FALSE))</f>
      </c>
      <c r="D19" s="98">
        <f>IF($B19="","",VLOOKUP($B19,'6-2_算定表②(旧々・新制度)'!$B$8:$R$65536,3,FALSE))</f>
      </c>
      <c r="E19" s="98">
        <f>IF($B19="","",VLOOKUP($B19,'6-2_算定表②(旧々・新制度)'!$B$8:$R$65536,4,FALSE))</f>
      </c>
      <c r="F19" s="99">
        <f>IF(B19="","",VLOOKUP($B19,'6-2_算定表②(旧々・新制度)'!$B$8:$R$65536,11,FALSE))</f>
      </c>
      <c r="G19" s="60">
        <f>IF(B19="","",VLOOKUP($B19,'6-2_算定表②(旧々・新制度)'!$B$8:$R$65536,13,FALSE))</f>
      </c>
      <c r="H19" s="99">
        <f>IF(B19="","",VLOOKUP($B19,'6-2_算定表②(旧々・新制度)'!$B$8:$R$65536,14,FALSE))</f>
      </c>
      <c r="I19" s="60">
        <f>IF(B19="","",VLOOKUP($B19,'6-2_算定表②(旧々・新制度)'!$B$8:$R$65536,16,FALSE))</f>
      </c>
      <c r="J19" s="61">
        <f>IF(B19="","",VLOOKUP($B19,'6-2_算定表②(旧々・新制度)'!$B$8:$R$65536,17,FALSE))</f>
      </c>
      <c r="K19" s="100">
        <f>IF($B19="","",VLOOKUP($B19,'6-2_算定表②(旧々・新制度)'!$B$8:$R$65536,11,FALSE))</f>
      </c>
      <c r="L19" s="101">
        <f>IF($B19="","",VLOOKUP($B19,'6-2_算定表②(旧々・新制度)'!$B$8:$R$65536,11,FALSE))</f>
      </c>
      <c r="M19" s="373">
        <f>IF($B19="","",VLOOKUP($B19,'6-2_算定表②(旧々・新制度)'!$B$8:$R$65536,11,FALSE))</f>
      </c>
      <c r="N19" s="100">
        <f>IF($B19="","",VLOOKUP($B19,'6-2_算定表②(旧々・新制度)'!$B$8:$R$65536,14,FALSE))</f>
      </c>
      <c r="O19" s="101">
        <f>IF($B19="","",VLOOKUP($B19,'6-2_算定表②(旧々・新制度)'!$B$8:$R$65536,14,FALSE))</f>
      </c>
      <c r="P19" s="101">
        <f>IF($B19="","",VLOOKUP($B19,'6-2_算定表②(旧々・新制度)'!$B$8:$R$65536,14,FALSE))</f>
      </c>
      <c r="Q19" s="101">
        <f>IF($B19="","",VLOOKUP($B19,'6-2_算定表②(旧々・新制度)'!$B$8:$R$65536,14,FALSE))</f>
      </c>
      <c r="R19" s="101">
        <f>IF($B19="","",VLOOKUP($B19,'6-2_算定表②(旧々・新制度)'!$B$8:$R$65536,14,FALSE))</f>
      </c>
      <c r="S19" s="101">
        <f>IF($B19="","",VLOOKUP($B19,'6-2_算定表②(旧々・新制度)'!$B$8:$R$65536,14,FALSE))</f>
      </c>
      <c r="T19" s="101">
        <f>IF($B19="","",VLOOKUP($B19,'6-2_算定表②(旧々・新制度)'!$B$8:$R$65536,14,FALSE))</f>
      </c>
      <c r="U19" s="101">
        <f>IF($B19="","",VLOOKUP($B19,'6-2_算定表②(旧々・新制度)'!$B$8:$R$65536,14,FALSE))</f>
      </c>
      <c r="V19" s="102">
        <f>IF($B19="","",VLOOKUP($B19,'6-2_算定表②(旧々・新制度)'!$B$8:$R$65536,14,FALSE))</f>
      </c>
      <c r="W19" s="103">
        <f t="shared" si="0"/>
      </c>
      <c r="X19" s="107">
        <f t="shared" si="1"/>
      </c>
      <c r="Y19" s="103">
        <f t="shared" si="2"/>
      </c>
      <c r="Z19" s="116">
        <f t="shared" si="3"/>
      </c>
      <c r="AA19" s="113">
        <f t="shared" si="4"/>
      </c>
      <c r="AB19" s="110">
        <f t="shared" si="5"/>
      </c>
      <c r="AC19" s="61">
        <f t="shared" si="9"/>
      </c>
      <c r="AD19" s="62">
        <f t="shared" si="6"/>
      </c>
      <c r="AE19" s="851">
        <f>IF(B19="","",VLOOKUP($B19,'6-2_算定表②(旧々・新制度)'!$B$8:$AB$65536,27,FALSE))</f>
      </c>
      <c r="AF19" s="852">
        <f>IF(AD19="","",VLOOKUP($B19,'6-2_算定表③(旧・旧制度)'!$B$8:$R$65536,3,FALSE))</f>
      </c>
      <c r="AG19" s="853">
        <f>IF(AE19="","",VLOOKUP($B19,'6-2_算定表③(旧・旧制度)'!$B$8:$R$65536,3,FALSE))</f>
      </c>
      <c r="AI19" s="63">
        <f t="shared" si="10"/>
      </c>
      <c r="AJ19" s="63">
        <f t="shared" si="7"/>
      </c>
    </row>
    <row r="20" spans="1:36" s="54" customFormat="1" ht="18.75" customHeight="1">
      <c r="A20" s="27">
        <f t="shared" si="8"/>
      </c>
      <c r="B20" s="280"/>
      <c r="C20" s="372">
        <f>IF($B20="","",VLOOKUP($B20,'6-2_算定表②(旧々・新制度)'!$B$8:$R$65536,2,FALSE))</f>
      </c>
      <c r="D20" s="98">
        <f>IF($B20="","",VLOOKUP($B20,'6-2_算定表②(旧々・新制度)'!$B$8:$R$65536,3,FALSE))</f>
      </c>
      <c r="E20" s="98">
        <f>IF($B20="","",VLOOKUP($B20,'6-2_算定表②(旧々・新制度)'!$B$8:$R$65536,4,FALSE))</f>
      </c>
      <c r="F20" s="99">
        <f>IF(B20="","",VLOOKUP($B20,'6-2_算定表②(旧々・新制度)'!$B$8:$R$65536,11,FALSE))</f>
      </c>
      <c r="G20" s="60">
        <f>IF(B20="","",VLOOKUP($B20,'6-2_算定表②(旧々・新制度)'!$B$8:$R$65536,13,FALSE))</f>
      </c>
      <c r="H20" s="99">
        <f>IF(B20="","",VLOOKUP($B20,'6-2_算定表②(旧々・新制度)'!$B$8:$R$65536,14,FALSE))</f>
      </c>
      <c r="I20" s="60">
        <f>IF(B20="","",VLOOKUP($B20,'6-2_算定表②(旧々・新制度)'!$B$8:$R$65536,16,FALSE))</f>
      </c>
      <c r="J20" s="61">
        <f>IF(B20="","",VLOOKUP($B20,'6-2_算定表②(旧々・新制度)'!$B$8:$R$65536,17,FALSE))</f>
      </c>
      <c r="K20" s="100">
        <f>IF($B20="","",VLOOKUP($B20,'6-2_算定表②(旧々・新制度)'!$B$8:$R$65536,11,FALSE))</f>
      </c>
      <c r="L20" s="101">
        <f>IF($B20="","",VLOOKUP($B20,'6-2_算定表②(旧々・新制度)'!$B$8:$R$65536,11,FALSE))</f>
      </c>
      <c r="M20" s="373">
        <f>IF($B20="","",VLOOKUP($B20,'6-2_算定表②(旧々・新制度)'!$B$8:$R$65536,11,FALSE))</f>
      </c>
      <c r="N20" s="100">
        <f>IF($B20="","",VLOOKUP($B20,'6-2_算定表②(旧々・新制度)'!$B$8:$R$65536,14,FALSE))</f>
      </c>
      <c r="O20" s="101">
        <f>IF($B20="","",VLOOKUP($B20,'6-2_算定表②(旧々・新制度)'!$B$8:$R$65536,14,FALSE))</f>
      </c>
      <c r="P20" s="101">
        <f>IF($B20="","",VLOOKUP($B20,'6-2_算定表②(旧々・新制度)'!$B$8:$R$65536,14,FALSE))</f>
      </c>
      <c r="Q20" s="101">
        <f>IF($B20="","",VLOOKUP($B20,'6-2_算定表②(旧々・新制度)'!$B$8:$R$65536,14,FALSE))</f>
      </c>
      <c r="R20" s="101">
        <f>IF($B20="","",VLOOKUP($B20,'6-2_算定表②(旧々・新制度)'!$B$8:$R$65536,14,FALSE))</f>
      </c>
      <c r="S20" s="101">
        <f>IF($B20="","",VLOOKUP($B20,'6-2_算定表②(旧々・新制度)'!$B$8:$R$65536,14,FALSE))</f>
      </c>
      <c r="T20" s="101">
        <f>IF($B20="","",VLOOKUP($B20,'6-2_算定表②(旧々・新制度)'!$B$8:$R$65536,14,FALSE))</f>
      </c>
      <c r="U20" s="101">
        <f>IF($B20="","",VLOOKUP($B20,'6-2_算定表②(旧々・新制度)'!$B$8:$R$65536,14,FALSE))</f>
      </c>
      <c r="V20" s="102">
        <f>IF($B20="","",VLOOKUP($B20,'6-2_算定表②(旧々・新制度)'!$B$8:$R$65536,14,FALSE))</f>
      </c>
      <c r="W20" s="103">
        <f t="shared" si="0"/>
      </c>
      <c r="X20" s="107">
        <f t="shared" si="1"/>
      </c>
      <c r="Y20" s="103">
        <f t="shared" si="2"/>
      </c>
      <c r="Z20" s="116">
        <f t="shared" si="3"/>
      </c>
      <c r="AA20" s="113">
        <f t="shared" si="4"/>
      </c>
      <c r="AB20" s="110">
        <f t="shared" si="5"/>
      </c>
      <c r="AC20" s="61">
        <f t="shared" si="9"/>
      </c>
      <c r="AD20" s="62">
        <f t="shared" si="6"/>
      </c>
      <c r="AE20" s="851">
        <f>IF(B20="","",VLOOKUP($B20,'6-2_算定表②(旧々・新制度)'!$B$8:$AB$65536,27,FALSE))</f>
      </c>
      <c r="AF20" s="852">
        <f>IF(AD20="","",VLOOKUP($B20,'6-2_算定表③(旧・旧制度)'!$B$8:$R$65536,3,FALSE))</f>
      </c>
      <c r="AG20" s="853">
        <f>IF(AE20="","",VLOOKUP($B20,'6-2_算定表③(旧・旧制度)'!$B$8:$R$65536,3,FALSE))</f>
      </c>
      <c r="AI20" s="63">
        <f t="shared" si="10"/>
      </c>
      <c r="AJ20" s="63">
        <f t="shared" si="7"/>
      </c>
    </row>
    <row r="21" spans="1:36" s="54" customFormat="1" ht="18.75" customHeight="1">
      <c r="A21" s="27">
        <f t="shared" si="8"/>
      </c>
      <c r="B21" s="280"/>
      <c r="C21" s="372">
        <f>IF($B21="","",VLOOKUP($B21,'6-2_算定表②(旧々・新制度)'!$B$8:$R$65536,2,FALSE))</f>
      </c>
      <c r="D21" s="98">
        <f>IF($B21="","",VLOOKUP($B21,'6-2_算定表②(旧々・新制度)'!$B$8:$R$65536,3,FALSE))</f>
      </c>
      <c r="E21" s="98">
        <f>IF($B21="","",VLOOKUP($B21,'6-2_算定表②(旧々・新制度)'!$B$8:$R$65536,4,FALSE))</f>
      </c>
      <c r="F21" s="99">
        <f>IF(B21="","",VLOOKUP($B21,'6-2_算定表②(旧々・新制度)'!$B$8:$R$65536,11,FALSE))</f>
      </c>
      <c r="G21" s="60">
        <f>IF(B21="","",VLOOKUP($B21,'6-2_算定表②(旧々・新制度)'!$B$8:$R$65536,13,FALSE))</f>
      </c>
      <c r="H21" s="99">
        <f>IF(B21="","",VLOOKUP($B21,'6-2_算定表②(旧々・新制度)'!$B$8:$R$65536,14,FALSE))</f>
      </c>
      <c r="I21" s="60">
        <f>IF(B21="","",VLOOKUP($B21,'6-2_算定表②(旧々・新制度)'!$B$8:$R$65536,16,FALSE))</f>
      </c>
      <c r="J21" s="61">
        <f>IF(B21="","",VLOOKUP($B21,'6-2_算定表②(旧々・新制度)'!$B$8:$R$65536,17,FALSE))</f>
      </c>
      <c r="K21" s="100">
        <f>IF($B21="","",VLOOKUP($B21,'6-2_算定表②(旧々・新制度)'!$B$8:$R$65536,11,FALSE))</f>
      </c>
      <c r="L21" s="101">
        <f>IF($B21="","",VLOOKUP($B21,'6-2_算定表②(旧々・新制度)'!$B$8:$R$65536,11,FALSE))</f>
      </c>
      <c r="M21" s="373">
        <f>IF($B21="","",VLOOKUP($B21,'6-2_算定表②(旧々・新制度)'!$B$8:$R$65536,11,FALSE))</f>
      </c>
      <c r="N21" s="100">
        <f>IF($B21="","",VLOOKUP($B21,'6-2_算定表②(旧々・新制度)'!$B$8:$R$65536,14,FALSE))</f>
      </c>
      <c r="O21" s="101">
        <f>IF($B21="","",VLOOKUP($B21,'6-2_算定表②(旧々・新制度)'!$B$8:$R$65536,14,FALSE))</f>
      </c>
      <c r="P21" s="101">
        <f>IF($B21="","",VLOOKUP($B21,'6-2_算定表②(旧々・新制度)'!$B$8:$R$65536,14,FALSE))</f>
      </c>
      <c r="Q21" s="101">
        <f>IF($B21="","",VLOOKUP($B21,'6-2_算定表②(旧々・新制度)'!$B$8:$R$65536,14,FALSE))</f>
      </c>
      <c r="R21" s="101">
        <f>IF($B21="","",VLOOKUP($B21,'6-2_算定表②(旧々・新制度)'!$B$8:$R$65536,14,FALSE))</f>
      </c>
      <c r="S21" s="101">
        <f>IF($B21="","",VLOOKUP($B21,'6-2_算定表②(旧々・新制度)'!$B$8:$R$65536,14,FALSE))</f>
      </c>
      <c r="T21" s="101">
        <f>IF($B21="","",VLOOKUP($B21,'6-2_算定表②(旧々・新制度)'!$B$8:$R$65536,14,FALSE))</f>
      </c>
      <c r="U21" s="101">
        <f>IF($B21="","",VLOOKUP($B21,'6-2_算定表②(旧々・新制度)'!$B$8:$R$65536,14,FALSE))</f>
      </c>
      <c r="V21" s="102">
        <f>IF($B21="","",VLOOKUP($B21,'6-2_算定表②(旧々・新制度)'!$B$8:$R$65536,14,FALSE))</f>
      </c>
      <c r="W21" s="103">
        <f t="shared" si="0"/>
      </c>
      <c r="X21" s="107">
        <f t="shared" si="1"/>
      </c>
      <c r="Y21" s="103">
        <f t="shared" si="2"/>
      </c>
      <c r="Z21" s="116">
        <f t="shared" si="3"/>
      </c>
      <c r="AA21" s="113">
        <f t="shared" si="4"/>
      </c>
      <c r="AB21" s="110">
        <f t="shared" si="5"/>
      </c>
      <c r="AC21" s="61">
        <f t="shared" si="9"/>
      </c>
      <c r="AD21" s="62">
        <f t="shared" si="6"/>
      </c>
      <c r="AE21" s="851">
        <f>IF(B21="","",VLOOKUP($B21,'6-2_算定表②(旧々・新制度)'!$B$8:$AB$65536,27,FALSE))</f>
      </c>
      <c r="AF21" s="852">
        <f>IF(AD21="","",VLOOKUP($B21,'6-2_算定表③(旧・旧制度)'!$B$8:$R$65536,3,FALSE))</f>
      </c>
      <c r="AG21" s="853">
        <f>IF(AE21="","",VLOOKUP($B21,'6-2_算定表③(旧・旧制度)'!$B$8:$R$65536,3,FALSE))</f>
      </c>
      <c r="AI21" s="63">
        <f t="shared" si="10"/>
      </c>
      <c r="AJ21" s="63">
        <f t="shared" si="7"/>
      </c>
    </row>
    <row r="22" spans="1:36" s="54" customFormat="1" ht="18.75" customHeight="1">
      <c r="A22" s="27">
        <f t="shared" si="8"/>
      </c>
      <c r="B22" s="280"/>
      <c r="C22" s="372">
        <f>IF($B22="","",VLOOKUP($B22,'6-2_算定表②(旧々・新制度)'!$B$8:$R$65536,2,FALSE))</f>
      </c>
      <c r="D22" s="98">
        <f>IF($B22="","",VLOOKUP($B22,'6-2_算定表②(旧々・新制度)'!$B$8:$R$65536,3,FALSE))</f>
      </c>
      <c r="E22" s="98">
        <f>IF($B22="","",VLOOKUP($B22,'6-2_算定表②(旧々・新制度)'!$B$8:$R$65536,4,FALSE))</f>
      </c>
      <c r="F22" s="99">
        <f>IF(B22="","",VLOOKUP($B22,'6-2_算定表②(旧々・新制度)'!$B$8:$R$65536,11,FALSE))</f>
      </c>
      <c r="G22" s="60">
        <f>IF(B22="","",VLOOKUP($B22,'6-2_算定表②(旧々・新制度)'!$B$8:$R$65536,13,FALSE))</f>
      </c>
      <c r="H22" s="99">
        <f>IF(B22="","",VLOOKUP($B22,'6-2_算定表②(旧々・新制度)'!$B$8:$R$65536,14,FALSE))</f>
      </c>
      <c r="I22" s="60">
        <f>IF(B22="","",VLOOKUP($B22,'6-2_算定表②(旧々・新制度)'!$B$8:$R$65536,16,FALSE))</f>
      </c>
      <c r="J22" s="61">
        <f>IF(B22="","",VLOOKUP($B22,'6-2_算定表②(旧々・新制度)'!$B$8:$R$65536,17,FALSE))</f>
      </c>
      <c r="K22" s="100">
        <f>IF($B22="","",VLOOKUP($B22,'6-2_算定表②(旧々・新制度)'!$B$8:$R$65536,11,FALSE))</f>
      </c>
      <c r="L22" s="101">
        <f>IF($B22="","",VLOOKUP($B22,'6-2_算定表②(旧々・新制度)'!$B$8:$R$65536,11,FALSE))</f>
      </c>
      <c r="M22" s="373">
        <f>IF($B22="","",VLOOKUP($B22,'6-2_算定表②(旧々・新制度)'!$B$8:$R$65536,11,FALSE))</f>
      </c>
      <c r="N22" s="100">
        <f>IF($B22="","",VLOOKUP($B22,'6-2_算定表②(旧々・新制度)'!$B$8:$R$65536,14,FALSE))</f>
      </c>
      <c r="O22" s="101">
        <f>IF($B22="","",VLOOKUP($B22,'6-2_算定表②(旧々・新制度)'!$B$8:$R$65536,14,FALSE))</f>
      </c>
      <c r="P22" s="101">
        <f>IF($B22="","",VLOOKUP($B22,'6-2_算定表②(旧々・新制度)'!$B$8:$R$65536,14,FALSE))</f>
      </c>
      <c r="Q22" s="101">
        <f>IF($B22="","",VLOOKUP($B22,'6-2_算定表②(旧々・新制度)'!$B$8:$R$65536,14,FALSE))</f>
      </c>
      <c r="R22" s="101">
        <f>IF($B22="","",VLOOKUP($B22,'6-2_算定表②(旧々・新制度)'!$B$8:$R$65536,14,FALSE))</f>
      </c>
      <c r="S22" s="101">
        <f>IF($B22="","",VLOOKUP($B22,'6-2_算定表②(旧々・新制度)'!$B$8:$R$65536,14,FALSE))</f>
      </c>
      <c r="T22" s="101">
        <f>IF($B22="","",VLOOKUP($B22,'6-2_算定表②(旧々・新制度)'!$B$8:$R$65536,14,FALSE))</f>
      </c>
      <c r="U22" s="101">
        <f>IF($B22="","",VLOOKUP($B22,'6-2_算定表②(旧々・新制度)'!$B$8:$R$65536,14,FALSE))</f>
      </c>
      <c r="V22" s="102">
        <f>IF($B22="","",VLOOKUP($B22,'6-2_算定表②(旧々・新制度)'!$B$8:$R$65536,14,FALSE))</f>
      </c>
      <c r="W22" s="103">
        <f t="shared" si="0"/>
      </c>
      <c r="X22" s="107">
        <f t="shared" si="1"/>
      </c>
      <c r="Y22" s="103">
        <f t="shared" si="2"/>
      </c>
      <c r="Z22" s="116">
        <f t="shared" si="3"/>
      </c>
      <c r="AA22" s="113">
        <f t="shared" si="4"/>
      </c>
      <c r="AB22" s="110">
        <f t="shared" si="5"/>
      </c>
      <c r="AC22" s="61">
        <f>IF(B22="","",(G22/12*W22)+(I22/12*X22)+(G22/12*Y22)+(I22/12*Z22))</f>
      </c>
      <c r="AD22" s="62">
        <f t="shared" si="6"/>
      </c>
      <c r="AE22" s="851">
        <f>IF(B22="","",VLOOKUP($B22,'6-2_算定表②(旧々・新制度)'!$B$8:$AB$65536,27,FALSE))</f>
      </c>
      <c r="AF22" s="852">
        <f>IF(AD22="","",VLOOKUP($B22,'6-2_算定表③(旧・旧制度)'!$B$8:$R$65536,3,FALSE))</f>
      </c>
      <c r="AG22" s="853">
        <f>IF(AE22="","",VLOOKUP($B22,'6-2_算定表③(旧・旧制度)'!$B$8:$R$65536,3,FALSE))</f>
      </c>
      <c r="AI22" s="63">
        <f t="shared" si="10"/>
      </c>
      <c r="AJ22" s="63">
        <f t="shared" si="7"/>
      </c>
    </row>
    <row r="23" spans="1:36" s="54" customFormat="1" ht="18.75" customHeight="1">
      <c r="A23" s="27">
        <f t="shared" si="8"/>
      </c>
      <c r="B23" s="280"/>
      <c r="C23" s="372">
        <f>IF($B23="","",VLOOKUP($B23,'6-2_算定表②(旧々・新制度)'!$B$8:$R$65536,2,FALSE))</f>
      </c>
      <c r="D23" s="98">
        <f>IF($B23="","",VLOOKUP($B23,'6-2_算定表②(旧々・新制度)'!$B$8:$R$65536,3,FALSE))</f>
      </c>
      <c r="E23" s="98">
        <f>IF($B23="","",VLOOKUP($B23,'6-2_算定表②(旧々・新制度)'!$B$8:$R$65536,4,FALSE))</f>
      </c>
      <c r="F23" s="99">
        <f>IF(B23="","",VLOOKUP($B23,'6-2_算定表②(旧々・新制度)'!$B$8:$R$65536,11,FALSE))</f>
      </c>
      <c r="G23" s="60">
        <f>IF(B23="","",VLOOKUP($B23,'6-2_算定表②(旧々・新制度)'!$B$8:$R$65536,13,FALSE))</f>
      </c>
      <c r="H23" s="99">
        <f>IF(B23="","",VLOOKUP($B23,'6-2_算定表②(旧々・新制度)'!$B$8:$R$65536,14,FALSE))</f>
      </c>
      <c r="I23" s="60">
        <f>IF(B23="","",VLOOKUP($B23,'6-2_算定表②(旧々・新制度)'!$B$8:$R$65536,16,FALSE))</f>
      </c>
      <c r="J23" s="61">
        <f>IF(B23="","",VLOOKUP($B23,'6-2_算定表②(旧々・新制度)'!$B$8:$R$65536,17,FALSE))</f>
      </c>
      <c r="K23" s="100">
        <f>IF($B23="","",VLOOKUP($B23,'6-2_算定表②(旧々・新制度)'!$B$8:$R$65536,11,FALSE))</f>
      </c>
      <c r="L23" s="101">
        <f>IF($B23="","",VLOOKUP($B23,'6-2_算定表②(旧々・新制度)'!$B$8:$R$65536,11,FALSE))</f>
      </c>
      <c r="M23" s="373">
        <f>IF($B23="","",VLOOKUP($B23,'6-2_算定表②(旧々・新制度)'!$B$8:$R$65536,11,FALSE))</f>
      </c>
      <c r="N23" s="100">
        <f>IF($B23="","",VLOOKUP($B23,'6-2_算定表②(旧々・新制度)'!$B$8:$R$65536,14,FALSE))</f>
      </c>
      <c r="O23" s="101">
        <f>IF($B23="","",VLOOKUP($B23,'6-2_算定表②(旧々・新制度)'!$B$8:$R$65536,14,FALSE))</f>
      </c>
      <c r="P23" s="101">
        <f>IF($B23="","",VLOOKUP($B23,'6-2_算定表②(旧々・新制度)'!$B$8:$R$65536,14,FALSE))</f>
      </c>
      <c r="Q23" s="101">
        <f>IF($B23="","",VLOOKUP($B23,'6-2_算定表②(旧々・新制度)'!$B$8:$R$65536,14,FALSE))</f>
      </c>
      <c r="R23" s="101">
        <f>IF($B23="","",VLOOKUP($B23,'6-2_算定表②(旧々・新制度)'!$B$8:$R$65536,14,FALSE))</f>
      </c>
      <c r="S23" s="101">
        <f>IF($B23="","",VLOOKUP($B23,'6-2_算定表②(旧々・新制度)'!$B$8:$R$65536,14,FALSE))</f>
      </c>
      <c r="T23" s="101">
        <f>IF($B23="","",VLOOKUP($B23,'6-2_算定表②(旧々・新制度)'!$B$8:$R$65536,14,FALSE))</f>
      </c>
      <c r="U23" s="101">
        <f>IF($B23="","",VLOOKUP($B23,'6-2_算定表②(旧々・新制度)'!$B$8:$R$65536,14,FALSE))</f>
      </c>
      <c r="V23" s="102">
        <f>IF($B23="","",VLOOKUP($B23,'6-2_算定表②(旧々・新制度)'!$B$8:$R$65536,14,FALSE))</f>
      </c>
      <c r="W23" s="103">
        <f t="shared" si="0"/>
      </c>
      <c r="X23" s="107">
        <f t="shared" si="1"/>
      </c>
      <c r="Y23" s="103">
        <f t="shared" si="2"/>
      </c>
      <c r="Z23" s="116">
        <f t="shared" si="3"/>
      </c>
      <c r="AA23" s="113">
        <f t="shared" si="4"/>
      </c>
      <c r="AB23" s="110">
        <f t="shared" si="5"/>
      </c>
      <c r="AC23" s="61">
        <f t="shared" si="9"/>
      </c>
      <c r="AD23" s="62">
        <f t="shared" si="6"/>
      </c>
      <c r="AE23" s="851">
        <f>IF(B23="","",VLOOKUP($B23,'6-2_算定表②(旧々・新制度)'!$B$8:$AB$65536,27,FALSE))</f>
      </c>
      <c r="AF23" s="852">
        <f>IF(AD23="","",VLOOKUP($B23,'6-2_算定表③(旧・旧制度)'!$B$8:$R$65536,3,FALSE))</f>
      </c>
      <c r="AG23" s="853">
        <f>IF(AE23="","",VLOOKUP($B23,'6-2_算定表③(旧・旧制度)'!$B$8:$R$65536,3,FALSE))</f>
      </c>
      <c r="AI23" s="63">
        <f t="shared" si="10"/>
      </c>
      <c r="AJ23" s="63">
        <f t="shared" si="7"/>
      </c>
    </row>
    <row r="24" spans="1:36" s="54" customFormat="1" ht="18.75" customHeight="1">
      <c r="A24" s="27">
        <f t="shared" si="8"/>
      </c>
      <c r="B24" s="280"/>
      <c r="C24" s="372">
        <f>IF($B24="","",VLOOKUP($B24,'6-2_算定表②(旧々・新制度)'!$B$8:$R$65536,2,FALSE))</f>
      </c>
      <c r="D24" s="98">
        <f>IF($B24="","",VLOOKUP($B24,'6-2_算定表②(旧々・新制度)'!$B$8:$R$65536,3,FALSE))</f>
      </c>
      <c r="E24" s="98">
        <f>IF($B24="","",VLOOKUP($B24,'6-2_算定表②(旧々・新制度)'!$B$8:$R$65536,4,FALSE))</f>
      </c>
      <c r="F24" s="99">
        <f>IF(B24="","",VLOOKUP($B24,'6-2_算定表②(旧々・新制度)'!$B$8:$R$65536,11,FALSE))</f>
      </c>
      <c r="G24" s="60">
        <f>IF(B24="","",VLOOKUP($B24,'6-2_算定表②(旧々・新制度)'!$B$8:$R$65536,13,FALSE))</f>
      </c>
      <c r="H24" s="99">
        <f>IF(B24="","",VLOOKUP($B24,'6-2_算定表②(旧々・新制度)'!$B$8:$R$65536,14,FALSE))</f>
      </c>
      <c r="I24" s="60">
        <f>IF(B24="","",VLOOKUP($B24,'6-2_算定表②(旧々・新制度)'!$B$8:$R$65536,16,FALSE))</f>
      </c>
      <c r="J24" s="61">
        <f>IF(B24="","",VLOOKUP($B24,'6-2_算定表②(旧々・新制度)'!$B$8:$R$65536,17,FALSE))</f>
      </c>
      <c r="K24" s="100">
        <f>IF($B24="","",VLOOKUP($B24,'6-2_算定表②(旧々・新制度)'!$B$8:$R$65536,11,FALSE))</f>
      </c>
      <c r="L24" s="101">
        <f>IF($B24="","",VLOOKUP($B24,'6-2_算定表②(旧々・新制度)'!$B$8:$R$65536,11,FALSE))</f>
      </c>
      <c r="M24" s="373">
        <f>IF($B24="","",VLOOKUP($B24,'6-2_算定表②(旧々・新制度)'!$B$8:$R$65536,11,FALSE))</f>
      </c>
      <c r="N24" s="100">
        <f>IF($B24="","",VLOOKUP($B24,'6-2_算定表②(旧々・新制度)'!$B$8:$R$65536,14,FALSE))</f>
      </c>
      <c r="O24" s="101">
        <f>IF($B24="","",VLOOKUP($B24,'6-2_算定表②(旧々・新制度)'!$B$8:$R$65536,14,FALSE))</f>
      </c>
      <c r="P24" s="101">
        <f>IF($B24="","",VLOOKUP($B24,'6-2_算定表②(旧々・新制度)'!$B$8:$R$65536,14,FALSE))</f>
      </c>
      <c r="Q24" s="101">
        <f>IF($B24="","",VLOOKUP($B24,'6-2_算定表②(旧々・新制度)'!$B$8:$R$65536,14,FALSE))</f>
      </c>
      <c r="R24" s="101">
        <f>IF($B24="","",VLOOKUP($B24,'6-2_算定表②(旧々・新制度)'!$B$8:$R$65536,14,FALSE))</f>
      </c>
      <c r="S24" s="101">
        <f>IF($B24="","",VLOOKUP($B24,'6-2_算定表②(旧々・新制度)'!$B$8:$R$65536,14,FALSE))</f>
      </c>
      <c r="T24" s="101">
        <f>IF($B24="","",VLOOKUP($B24,'6-2_算定表②(旧々・新制度)'!$B$8:$R$65536,14,FALSE))</f>
      </c>
      <c r="U24" s="101">
        <f>IF($B24="","",VLOOKUP($B24,'6-2_算定表②(旧々・新制度)'!$B$8:$R$65536,14,FALSE))</f>
      </c>
      <c r="V24" s="102">
        <f>IF($B24="","",VLOOKUP($B24,'6-2_算定表②(旧々・新制度)'!$B$8:$R$65536,14,FALSE))</f>
      </c>
      <c r="W24" s="103">
        <f t="shared" si="0"/>
      </c>
      <c r="X24" s="107">
        <f t="shared" si="1"/>
      </c>
      <c r="Y24" s="103">
        <f t="shared" si="2"/>
      </c>
      <c r="Z24" s="116">
        <f t="shared" si="3"/>
      </c>
      <c r="AA24" s="113">
        <f t="shared" si="4"/>
      </c>
      <c r="AB24" s="110">
        <f t="shared" si="5"/>
      </c>
      <c r="AC24" s="61">
        <f t="shared" si="9"/>
      </c>
      <c r="AD24" s="62">
        <f t="shared" si="6"/>
      </c>
      <c r="AE24" s="851">
        <f>IF(B24="","",VLOOKUP($B24,'6-2_算定表②(旧々・新制度)'!$B$8:$AB$65536,27,FALSE))</f>
      </c>
      <c r="AF24" s="852">
        <f>IF(AD24="","",VLOOKUP($B24,'6-2_算定表③(旧・旧制度)'!$B$8:$R$65536,3,FALSE))</f>
      </c>
      <c r="AG24" s="853">
        <f>IF(AE24="","",VLOOKUP($B24,'6-2_算定表③(旧・旧制度)'!$B$8:$R$65536,3,FALSE))</f>
      </c>
      <c r="AI24" s="63">
        <f t="shared" si="10"/>
      </c>
      <c r="AJ24" s="63">
        <f t="shared" si="7"/>
      </c>
    </row>
    <row r="25" spans="1:36" s="54" customFormat="1" ht="18.75" customHeight="1">
      <c r="A25" s="27">
        <f t="shared" si="8"/>
      </c>
      <c r="B25" s="280"/>
      <c r="C25" s="372">
        <f>IF($B25="","",VLOOKUP($B25,'6-2_算定表②(旧々・新制度)'!$B$8:$R$65536,2,FALSE))</f>
      </c>
      <c r="D25" s="98">
        <f>IF($B25="","",VLOOKUP($B25,'6-2_算定表②(旧々・新制度)'!$B$8:$R$65536,3,FALSE))</f>
      </c>
      <c r="E25" s="98">
        <f>IF($B25="","",VLOOKUP($B25,'6-2_算定表②(旧々・新制度)'!$B$8:$R$65536,4,FALSE))</f>
      </c>
      <c r="F25" s="99">
        <f>IF(B25="","",VLOOKUP($B25,'6-2_算定表②(旧々・新制度)'!$B$8:$R$65536,11,FALSE))</f>
      </c>
      <c r="G25" s="60">
        <f>IF(B25="","",VLOOKUP($B25,'6-2_算定表②(旧々・新制度)'!$B$8:$R$65536,13,FALSE))</f>
      </c>
      <c r="H25" s="99">
        <f>IF(B25="","",VLOOKUP($B25,'6-2_算定表②(旧々・新制度)'!$B$8:$R$65536,14,FALSE))</f>
      </c>
      <c r="I25" s="60">
        <f>IF(B25="","",VLOOKUP($B25,'6-2_算定表②(旧々・新制度)'!$B$8:$R$65536,16,FALSE))</f>
      </c>
      <c r="J25" s="61">
        <f>IF(B25="","",VLOOKUP($B25,'6-2_算定表②(旧々・新制度)'!$B$8:$R$65536,17,FALSE))</f>
      </c>
      <c r="K25" s="100">
        <f>IF($B25="","",VLOOKUP($B25,'6-2_算定表②(旧々・新制度)'!$B$8:$R$65536,11,FALSE))</f>
      </c>
      <c r="L25" s="101">
        <f>IF($B25="","",VLOOKUP($B25,'6-2_算定表②(旧々・新制度)'!$B$8:$R$65536,11,FALSE))</f>
      </c>
      <c r="M25" s="373">
        <f>IF($B25="","",VLOOKUP($B25,'6-2_算定表②(旧々・新制度)'!$B$8:$R$65536,11,FALSE))</f>
      </c>
      <c r="N25" s="100">
        <f>IF($B25="","",VLOOKUP($B25,'6-2_算定表②(旧々・新制度)'!$B$8:$R$65536,14,FALSE))</f>
      </c>
      <c r="O25" s="101">
        <f>IF($B25="","",VLOOKUP($B25,'6-2_算定表②(旧々・新制度)'!$B$8:$R$65536,14,FALSE))</f>
      </c>
      <c r="P25" s="101">
        <f>IF($B25="","",VLOOKUP($B25,'6-2_算定表②(旧々・新制度)'!$B$8:$R$65536,14,FALSE))</f>
      </c>
      <c r="Q25" s="101">
        <f>IF($B25="","",VLOOKUP($B25,'6-2_算定表②(旧々・新制度)'!$B$8:$R$65536,14,FALSE))</f>
      </c>
      <c r="R25" s="101">
        <f>IF($B25="","",VLOOKUP($B25,'6-2_算定表②(旧々・新制度)'!$B$8:$R$65536,14,FALSE))</f>
      </c>
      <c r="S25" s="101">
        <f>IF($B25="","",VLOOKUP($B25,'6-2_算定表②(旧々・新制度)'!$B$8:$R$65536,14,FALSE))</f>
      </c>
      <c r="T25" s="101">
        <f>IF($B25="","",VLOOKUP($B25,'6-2_算定表②(旧々・新制度)'!$B$8:$R$65536,14,FALSE))</f>
      </c>
      <c r="U25" s="101">
        <f>IF($B25="","",VLOOKUP($B25,'6-2_算定表②(旧々・新制度)'!$B$8:$R$65536,14,FALSE))</f>
      </c>
      <c r="V25" s="102">
        <f>IF($B25="","",VLOOKUP($B25,'6-2_算定表②(旧々・新制度)'!$B$8:$R$65536,14,FALSE))</f>
      </c>
      <c r="W25" s="103">
        <f t="shared" si="0"/>
      </c>
      <c r="X25" s="107">
        <f t="shared" si="1"/>
      </c>
      <c r="Y25" s="103">
        <f t="shared" si="2"/>
      </c>
      <c r="Z25" s="116">
        <f t="shared" si="3"/>
      </c>
      <c r="AA25" s="113">
        <f t="shared" si="4"/>
      </c>
      <c r="AB25" s="110">
        <f t="shared" si="5"/>
      </c>
      <c r="AC25" s="61">
        <f t="shared" si="9"/>
      </c>
      <c r="AD25" s="62">
        <f t="shared" si="6"/>
      </c>
      <c r="AE25" s="851">
        <f>IF(B25="","",VLOOKUP($B25,'6-2_算定表②(旧々・新制度)'!$B$8:$AB$65536,27,FALSE))</f>
      </c>
      <c r="AF25" s="852">
        <f>IF(AD25="","",VLOOKUP($B25,'6-2_算定表③(旧・旧制度)'!$B$8:$R$65536,3,FALSE))</f>
      </c>
      <c r="AG25" s="853">
        <f>IF(AE25="","",VLOOKUP($B25,'6-2_算定表③(旧・旧制度)'!$B$8:$R$65536,3,FALSE))</f>
      </c>
      <c r="AI25" s="63">
        <f t="shared" si="10"/>
      </c>
      <c r="AJ25" s="63">
        <f t="shared" si="7"/>
      </c>
    </row>
    <row r="26" spans="1:36" s="54" customFormat="1" ht="18.75" customHeight="1">
      <c r="A26" s="27">
        <f t="shared" si="8"/>
      </c>
      <c r="B26" s="280"/>
      <c r="C26" s="372">
        <f>IF($B26="","",VLOOKUP($B26,'6-2_算定表②(旧々・新制度)'!$B$8:$R$65536,2,FALSE))</f>
      </c>
      <c r="D26" s="98">
        <f>IF($B26="","",VLOOKUP($B26,'6-2_算定表②(旧々・新制度)'!$B$8:$R$65536,3,FALSE))</f>
      </c>
      <c r="E26" s="98">
        <f>IF($B26="","",VLOOKUP($B26,'6-2_算定表②(旧々・新制度)'!$B$8:$R$65536,4,FALSE))</f>
      </c>
      <c r="F26" s="99">
        <f>IF(B26="","",VLOOKUP($B26,'6-2_算定表②(旧々・新制度)'!$B$8:$R$65536,11,FALSE))</f>
      </c>
      <c r="G26" s="60">
        <f>IF(B26="","",VLOOKUP($B26,'6-2_算定表②(旧々・新制度)'!$B$8:$R$65536,13,FALSE))</f>
      </c>
      <c r="H26" s="99">
        <f>IF(B26="","",VLOOKUP($B26,'6-2_算定表②(旧々・新制度)'!$B$8:$R$65536,14,FALSE))</f>
      </c>
      <c r="I26" s="60">
        <f>IF(B26="","",VLOOKUP($B26,'6-2_算定表②(旧々・新制度)'!$B$8:$R$65536,16,FALSE))</f>
      </c>
      <c r="J26" s="61">
        <f>IF(B26="","",VLOOKUP($B26,'6-2_算定表②(旧々・新制度)'!$B$8:$R$65536,17,FALSE))</f>
      </c>
      <c r="K26" s="100">
        <f>IF($B26="","",VLOOKUP($B26,'6-2_算定表②(旧々・新制度)'!$B$8:$R$65536,11,FALSE))</f>
      </c>
      <c r="L26" s="101">
        <f>IF($B26="","",VLOOKUP($B26,'6-2_算定表②(旧々・新制度)'!$B$8:$R$65536,11,FALSE))</f>
      </c>
      <c r="M26" s="373">
        <f>IF($B26="","",VLOOKUP($B26,'6-2_算定表②(旧々・新制度)'!$B$8:$R$65536,11,FALSE))</f>
      </c>
      <c r="N26" s="100">
        <f>IF($B26="","",VLOOKUP($B26,'6-2_算定表②(旧々・新制度)'!$B$8:$R$65536,14,FALSE))</f>
      </c>
      <c r="O26" s="101">
        <f>IF($B26="","",VLOOKUP($B26,'6-2_算定表②(旧々・新制度)'!$B$8:$R$65536,14,FALSE))</f>
      </c>
      <c r="P26" s="101">
        <f>IF($B26="","",VLOOKUP($B26,'6-2_算定表②(旧々・新制度)'!$B$8:$R$65536,14,FALSE))</f>
      </c>
      <c r="Q26" s="101">
        <f>IF($B26="","",VLOOKUP($B26,'6-2_算定表②(旧々・新制度)'!$B$8:$R$65536,14,FALSE))</f>
      </c>
      <c r="R26" s="101">
        <f>IF($B26="","",VLOOKUP($B26,'6-2_算定表②(旧々・新制度)'!$B$8:$R$65536,14,FALSE))</f>
      </c>
      <c r="S26" s="101">
        <f>IF($B26="","",VLOOKUP($B26,'6-2_算定表②(旧々・新制度)'!$B$8:$R$65536,14,FALSE))</f>
      </c>
      <c r="T26" s="101">
        <f>IF($B26="","",VLOOKUP($B26,'6-2_算定表②(旧々・新制度)'!$B$8:$R$65536,14,FALSE))</f>
      </c>
      <c r="U26" s="101">
        <f>IF($B26="","",VLOOKUP($B26,'6-2_算定表②(旧々・新制度)'!$B$8:$R$65536,14,FALSE))</f>
      </c>
      <c r="V26" s="102">
        <f>IF($B26="","",VLOOKUP($B26,'6-2_算定表②(旧々・新制度)'!$B$8:$R$65536,14,FALSE))</f>
      </c>
      <c r="W26" s="103">
        <f t="shared" si="0"/>
      </c>
      <c r="X26" s="107">
        <f t="shared" si="1"/>
      </c>
      <c r="Y26" s="103">
        <f t="shared" si="2"/>
      </c>
      <c r="Z26" s="116">
        <f t="shared" si="3"/>
      </c>
      <c r="AA26" s="113">
        <f t="shared" si="4"/>
      </c>
      <c r="AB26" s="110">
        <f t="shared" si="5"/>
      </c>
      <c r="AC26" s="61">
        <f t="shared" si="9"/>
      </c>
      <c r="AD26" s="62">
        <f t="shared" si="6"/>
      </c>
      <c r="AE26" s="851">
        <f>IF(B26="","",VLOOKUP($B26,'6-2_算定表②(旧々・新制度)'!$B$8:$AB$65536,27,FALSE))</f>
      </c>
      <c r="AF26" s="852">
        <f>IF(AD26="","",VLOOKUP($B26,'6-2_算定表③(旧・旧制度)'!$B$8:$R$65536,3,FALSE))</f>
      </c>
      <c r="AG26" s="853">
        <f>IF(AE26="","",VLOOKUP($B26,'6-2_算定表③(旧・旧制度)'!$B$8:$R$65536,3,FALSE))</f>
      </c>
      <c r="AI26" s="63">
        <f t="shared" si="10"/>
      </c>
      <c r="AJ26" s="63">
        <f t="shared" si="7"/>
      </c>
    </row>
    <row r="27" spans="1:36" s="54" customFormat="1" ht="18.75" customHeight="1">
      <c r="A27" s="27">
        <f t="shared" si="8"/>
      </c>
      <c r="B27" s="280"/>
      <c r="C27" s="372">
        <f>IF($B27="","",VLOOKUP($B27,'6-2_算定表②(旧々・新制度)'!$B$8:$R$65536,2,FALSE))</f>
      </c>
      <c r="D27" s="98">
        <f>IF($B27="","",VLOOKUP($B27,'6-2_算定表②(旧々・新制度)'!$B$8:$R$65536,3,FALSE))</f>
      </c>
      <c r="E27" s="98">
        <f>IF($B27="","",VLOOKUP($B27,'6-2_算定表②(旧々・新制度)'!$B$8:$R$65536,4,FALSE))</f>
      </c>
      <c r="F27" s="99">
        <f>IF(B27="","",VLOOKUP($B27,'6-2_算定表②(旧々・新制度)'!$B$8:$R$65536,11,FALSE))</f>
      </c>
      <c r="G27" s="60">
        <f>IF(B27="","",VLOOKUP($B27,'6-2_算定表②(旧々・新制度)'!$B$8:$R$65536,13,FALSE))</f>
      </c>
      <c r="H27" s="99">
        <f>IF(B27="","",VLOOKUP($B27,'6-2_算定表②(旧々・新制度)'!$B$8:$R$65536,14,FALSE))</f>
      </c>
      <c r="I27" s="60">
        <f>IF(B27="","",VLOOKUP($B27,'6-2_算定表②(旧々・新制度)'!$B$8:$R$65536,16,FALSE))</f>
      </c>
      <c r="J27" s="61">
        <f>IF(B27="","",VLOOKUP($B27,'6-2_算定表②(旧々・新制度)'!$B$8:$R$65536,17,FALSE))</f>
      </c>
      <c r="K27" s="100">
        <f>IF($B27="","",VLOOKUP($B27,'6-2_算定表②(旧々・新制度)'!$B$8:$R$65536,11,FALSE))</f>
      </c>
      <c r="L27" s="101">
        <f>IF($B27="","",VLOOKUP($B27,'6-2_算定表②(旧々・新制度)'!$B$8:$R$65536,11,FALSE))</f>
      </c>
      <c r="M27" s="373">
        <f>IF($B27="","",VLOOKUP($B27,'6-2_算定表②(旧々・新制度)'!$B$8:$R$65536,11,FALSE))</f>
      </c>
      <c r="N27" s="100">
        <f>IF($B27="","",VLOOKUP($B27,'6-2_算定表②(旧々・新制度)'!$B$8:$R$65536,14,FALSE))</f>
      </c>
      <c r="O27" s="101">
        <f>IF($B27="","",VLOOKUP($B27,'6-2_算定表②(旧々・新制度)'!$B$8:$R$65536,14,FALSE))</f>
      </c>
      <c r="P27" s="101">
        <f>IF($B27="","",VLOOKUP($B27,'6-2_算定表②(旧々・新制度)'!$B$8:$R$65536,14,FALSE))</f>
      </c>
      <c r="Q27" s="101">
        <f>IF($B27="","",VLOOKUP($B27,'6-2_算定表②(旧々・新制度)'!$B$8:$R$65536,14,FALSE))</f>
      </c>
      <c r="R27" s="101">
        <f>IF($B27="","",VLOOKUP($B27,'6-2_算定表②(旧々・新制度)'!$B$8:$R$65536,14,FALSE))</f>
      </c>
      <c r="S27" s="101">
        <f>IF($B27="","",VLOOKUP($B27,'6-2_算定表②(旧々・新制度)'!$B$8:$R$65536,14,FALSE))</f>
      </c>
      <c r="T27" s="101">
        <f>IF($B27="","",VLOOKUP($B27,'6-2_算定表②(旧々・新制度)'!$B$8:$R$65536,14,FALSE))</f>
      </c>
      <c r="U27" s="101">
        <f>IF($B27="","",VLOOKUP($B27,'6-2_算定表②(旧々・新制度)'!$B$8:$R$65536,14,FALSE))</f>
      </c>
      <c r="V27" s="102">
        <f>IF($B27="","",VLOOKUP($B27,'6-2_算定表②(旧々・新制度)'!$B$8:$R$65536,14,FALSE))</f>
      </c>
      <c r="W27" s="103">
        <f t="shared" si="0"/>
      </c>
      <c r="X27" s="107">
        <f t="shared" si="1"/>
      </c>
      <c r="Y27" s="103">
        <f t="shared" si="2"/>
      </c>
      <c r="Z27" s="116">
        <f t="shared" si="3"/>
      </c>
      <c r="AA27" s="113">
        <f t="shared" si="4"/>
      </c>
      <c r="AB27" s="110">
        <f t="shared" si="5"/>
      </c>
      <c r="AC27" s="61">
        <f t="shared" si="9"/>
      </c>
      <c r="AD27" s="62">
        <f t="shared" si="6"/>
      </c>
      <c r="AE27" s="851">
        <f>IF(B27="","",VLOOKUP($B27,'6-2_算定表②(旧々・新制度)'!$B$8:$AB$65536,27,FALSE))</f>
      </c>
      <c r="AF27" s="852">
        <f>IF(AD27="","",VLOOKUP($B27,'6-2_算定表③(旧・旧制度)'!$B$8:$R$65536,3,FALSE))</f>
      </c>
      <c r="AG27" s="853">
        <f>IF(AE27="","",VLOOKUP($B27,'6-2_算定表③(旧・旧制度)'!$B$8:$R$65536,3,FALSE))</f>
      </c>
      <c r="AI27" s="63">
        <f t="shared" si="10"/>
      </c>
      <c r="AJ27" s="63">
        <f t="shared" si="7"/>
      </c>
    </row>
    <row r="28" spans="1:36" s="54" customFormat="1" ht="14.25">
      <c r="A28" s="27">
        <f t="shared" si="8"/>
      </c>
      <c r="B28" s="280"/>
      <c r="C28" s="372">
        <f>IF($B28="","",VLOOKUP($B28,'6-2_算定表②(旧々・新制度)'!$B$8:$R$65536,2,FALSE))</f>
      </c>
      <c r="D28" s="98">
        <f>IF($B28="","",VLOOKUP($B28,'6-2_算定表②(旧々・新制度)'!$B$8:$R$65536,3,FALSE))</f>
      </c>
      <c r="E28" s="98">
        <f>IF($B28="","",VLOOKUP($B28,'6-2_算定表②(旧々・新制度)'!$B$8:$R$65536,4,FALSE))</f>
      </c>
      <c r="F28" s="99">
        <f>IF(B28="","",VLOOKUP($B28,'6-2_算定表②(旧々・新制度)'!$B$8:$R$65536,11,FALSE))</f>
      </c>
      <c r="G28" s="60">
        <f>IF(B28="","",VLOOKUP($B28,'6-2_算定表②(旧々・新制度)'!$B$8:$R$65536,13,FALSE))</f>
      </c>
      <c r="H28" s="99">
        <f>IF(B28="","",VLOOKUP($B28,'6-2_算定表②(旧々・新制度)'!$B$8:$R$65536,14,FALSE))</f>
      </c>
      <c r="I28" s="60">
        <f>IF(B28="","",VLOOKUP($B28,'6-2_算定表②(旧々・新制度)'!$B$8:$R$65536,16,FALSE))</f>
      </c>
      <c r="J28" s="61">
        <f>IF(B28="","",VLOOKUP($B28,'6-2_算定表②(旧々・新制度)'!$B$8:$R$65536,17,FALSE))</f>
      </c>
      <c r="K28" s="100">
        <f>IF($B28="","",VLOOKUP($B28,'6-2_算定表②(旧々・新制度)'!$B$8:$R$65536,11,FALSE))</f>
      </c>
      <c r="L28" s="101">
        <f>IF($B28="","",VLOOKUP($B28,'6-2_算定表②(旧々・新制度)'!$B$8:$R$65536,11,FALSE))</f>
      </c>
      <c r="M28" s="373">
        <f>IF($B28="","",VLOOKUP($B28,'6-2_算定表②(旧々・新制度)'!$B$8:$R$65536,11,FALSE))</f>
      </c>
      <c r="N28" s="100">
        <f>IF($B28="","",VLOOKUP($B28,'6-2_算定表②(旧々・新制度)'!$B$8:$R$65536,14,FALSE))</f>
      </c>
      <c r="O28" s="101">
        <f>IF($B28="","",VLOOKUP($B28,'6-2_算定表②(旧々・新制度)'!$B$8:$R$65536,14,FALSE))</f>
      </c>
      <c r="P28" s="101">
        <f>IF($B28="","",VLOOKUP($B28,'6-2_算定表②(旧々・新制度)'!$B$8:$R$65536,14,FALSE))</f>
      </c>
      <c r="Q28" s="101">
        <f>IF($B28="","",VLOOKUP($B28,'6-2_算定表②(旧々・新制度)'!$B$8:$R$65536,14,FALSE))</f>
      </c>
      <c r="R28" s="101">
        <f>IF($B28="","",VLOOKUP($B28,'6-2_算定表②(旧々・新制度)'!$B$8:$R$65536,14,FALSE))</f>
      </c>
      <c r="S28" s="101">
        <f>IF($B28="","",VLOOKUP($B28,'6-2_算定表②(旧々・新制度)'!$B$8:$R$65536,14,FALSE))</f>
      </c>
      <c r="T28" s="101">
        <f>IF($B28="","",VLOOKUP($B28,'6-2_算定表②(旧々・新制度)'!$B$8:$R$65536,14,FALSE))</f>
      </c>
      <c r="U28" s="101">
        <f>IF($B28="","",VLOOKUP($B28,'6-2_算定表②(旧々・新制度)'!$B$8:$R$65536,14,FALSE))</f>
      </c>
      <c r="V28" s="102">
        <f>IF($B28="","",VLOOKUP($B28,'6-2_算定表②(旧々・新制度)'!$B$8:$R$65536,14,FALSE))</f>
      </c>
      <c r="W28" s="103">
        <f t="shared" si="0"/>
      </c>
      <c r="X28" s="107">
        <f t="shared" si="1"/>
      </c>
      <c r="Y28" s="103">
        <f t="shared" si="2"/>
      </c>
      <c r="Z28" s="116">
        <f t="shared" si="3"/>
      </c>
      <c r="AA28" s="113">
        <f t="shared" si="4"/>
      </c>
      <c r="AB28" s="110">
        <f t="shared" si="5"/>
      </c>
      <c r="AC28" s="61">
        <f>IF(B28="","",(G28/12*W28)+(I28/12*X28)+(G28/12*Y28)+(I28/12*Z28))</f>
      </c>
      <c r="AD28" s="62">
        <f t="shared" si="6"/>
      </c>
      <c r="AE28" s="851">
        <f>IF(B28="","",VLOOKUP($B28,'6-2_算定表②(旧々・新制度)'!$B$8:$AB$65536,27,FALSE))</f>
      </c>
      <c r="AF28" s="852">
        <f>IF(AD28="","",VLOOKUP($B28,'6-2_算定表③(旧・旧制度)'!$B$8:$R$65536,3,FALSE))</f>
      </c>
      <c r="AG28" s="853">
        <f>IF(AE28="","",VLOOKUP($B28,'6-2_算定表③(旧・旧制度)'!$B$8:$R$65536,3,FALSE))</f>
      </c>
      <c r="AI28" s="63">
        <f t="shared" si="10"/>
      </c>
      <c r="AJ28" s="63">
        <f t="shared" si="7"/>
      </c>
    </row>
    <row r="29" spans="1:36" s="54" customFormat="1" ht="18.75" customHeight="1">
      <c r="A29" s="27">
        <f t="shared" si="8"/>
      </c>
      <c r="B29" s="280"/>
      <c r="C29" s="372">
        <f>IF($B29="","",VLOOKUP($B29,'6-2_算定表②(旧々・新制度)'!$B$8:$R$65536,2,FALSE))</f>
      </c>
      <c r="D29" s="98">
        <f>IF($B29="","",VLOOKUP($B29,'6-2_算定表②(旧々・新制度)'!$B$8:$R$65536,3,FALSE))</f>
      </c>
      <c r="E29" s="98">
        <f>IF($B29="","",VLOOKUP($B29,'6-2_算定表②(旧々・新制度)'!$B$8:$R$65536,4,FALSE))</f>
      </c>
      <c r="F29" s="99">
        <f>IF(B29="","",VLOOKUP($B29,'6-2_算定表②(旧々・新制度)'!$B$8:$R$65536,11,FALSE))</f>
      </c>
      <c r="G29" s="60">
        <f>IF(B29="","",VLOOKUP($B29,'6-2_算定表②(旧々・新制度)'!$B$8:$R$65536,13,FALSE))</f>
      </c>
      <c r="H29" s="99">
        <f>IF(B29="","",VLOOKUP($B29,'6-2_算定表②(旧々・新制度)'!$B$8:$R$65536,14,FALSE))</f>
      </c>
      <c r="I29" s="60">
        <f>IF(B29="","",VLOOKUP($B29,'6-2_算定表②(旧々・新制度)'!$B$8:$R$65536,16,FALSE))</f>
      </c>
      <c r="J29" s="61">
        <f>IF(B29="","",VLOOKUP($B29,'6-2_算定表②(旧々・新制度)'!$B$8:$R$65536,17,FALSE))</f>
      </c>
      <c r="K29" s="100">
        <f>IF($B29="","",VLOOKUP($B29,'6-2_算定表②(旧々・新制度)'!$B$8:$R$65536,11,FALSE))</f>
      </c>
      <c r="L29" s="101">
        <f>IF($B29="","",VLOOKUP($B29,'6-2_算定表②(旧々・新制度)'!$B$8:$R$65536,11,FALSE))</f>
      </c>
      <c r="M29" s="373">
        <f>IF($B29="","",VLOOKUP($B29,'6-2_算定表②(旧々・新制度)'!$B$8:$R$65536,11,FALSE))</f>
      </c>
      <c r="N29" s="100">
        <f>IF($B29="","",VLOOKUP($B29,'6-2_算定表②(旧々・新制度)'!$B$8:$R$65536,14,FALSE))</f>
      </c>
      <c r="O29" s="101">
        <f>IF($B29="","",VLOOKUP($B29,'6-2_算定表②(旧々・新制度)'!$B$8:$R$65536,14,FALSE))</f>
      </c>
      <c r="P29" s="101">
        <f>IF($B29="","",VLOOKUP($B29,'6-2_算定表②(旧々・新制度)'!$B$8:$R$65536,14,FALSE))</f>
      </c>
      <c r="Q29" s="101">
        <f>IF($B29="","",VLOOKUP($B29,'6-2_算定表②(旧々・新制度)'!$B$8:$R$65536,14,FALSE))</f>
      </c>
      <c r="R29" s="101">
        <f>IF($B29="","",VLOOKUP($B29,'6-2_算定表②(旧々・新制度)'!$B$8:$R$65536,14,FALSE))</f>
      </c>
      <c r="S29" s="101">
        <f>IF($B29="","",VLOOKUP($B29,'6-2_算定表②(旧々・新制度)'!$B$8:$R$65536,14,FALSE))</f>
      </c>
      <c r="T29" s="101">
        <f>IF($B29="","",VLOOKUP($B29,'6-2_算定表②(旧々・新制度)'!$B$8:$R$65536,14,FALSE))</f>
      </c>
      <c r="U29" s="101">
        <f>IF($B29="","",VLOOKUP($B29,'6-2_算定表②(旧々・新制度)'!$B$8:$R$65536,14,FALSE))</f>
      </c>
      <c r="V29" s="102">
        <f>IF($B29="","",VLOOKUP($B29,'6-2_算定表②(旧々・新制度)'!$B$8:$R$65536,14,FALSE))</f>
      </c>
      <c r="W29" s="103">
        <f t="shared" si="0"/>
      </c>
      <c r="X29" s="107">
        <f t="shared" si="1"/>
      </c>
      <c r="Y29" s="103">
        <f t="shared" si="2"/>
      </c>
      <c r="Z29" s="116">
        <f t="shared" si="3"/>
      </c>
      <c r="AA29" s="113">
        <f t="shared" si="4"/>
      </c>
      <c r="AB29" s="110">
        <f t="shared" si="5"/>
      </c>
      <c r="AC29" s="61">
        <f t="shared" si="9"/>
      </c>
      <c r="AD29" s="62">
        <f t="shared" si="6"/>
      </c>
      <c r="AE29" s="851">
        <f>IF(B29="","",VLOOKUP($B29,'6-2_算定表②(旧々・新制度)'!$B$8:$AB$65536,27,FALSE))</f>
      </c>
      <c r="AF29" s="852">
        <f>IF(AD29="","",VLOOKUP($B29,'6-2_算定表③(旧・旧制度)'!$B$8:$R$65536,3,FALSE))</f>
      </c>
      <c r="AG29" s="853">
        <f>IF(AE29="","",VLOOKUP($B29,'6-2_算定表③(旧・旧制度)'!$B$8:$R$65536,3,FALSE))</f>
      </c>
      <c r="AI29" s="63">
        <f t="shared" si="10"/>
      </c>
      <c r="AJ29" s="63">
        <f t="shared" si="7"/>
      </c>
    </row>
    <row r="30" spans="1:36" s="54" customFormat="1" ht="18.75" customHeight="1">
      <c r="A30" s="27">
        <f t="shared" si="8"/>
      </c>
      <c r="B30" s="280"/>
      <c r="C30" s="372">
        <f>IF($B30="","",VLOOKUP($B30,'6-2_算定表②(旧々・新制度)'!$B$8:$R$65536,2,FALSE))</f>
      </c>
      <c r="D30" s="98">
        <f>IF($B30="","",VLOOKUP($B30,'6-2_算定表②(旧々・新制度)'!$B$8:$R$65536,3,FALSE))</f>
      </c>
      <c r="E30" s="98">
        <f>IF($B30="","",VLOOKUP($B30,'6-2_算定表②(旧々・新制度)'!$B$8:$R$65536,4,FALSE))</f>
      </c>
      <c r="F30" s="99">
        <f>IF(B30="","",VLOOKUP($B30,'6-2_算定表②(旧々・新制度)'!$B$8:$R$65536,11,FALSE))</f>
      </c>
      <c r="G30" s="60">
        <f>IF(B30="","",VLOOKUP($B30,'6-2_算定表②(旧々・新制度)'!$B$8:$R$65536,13,FALSE))</f>
      </c>
      <c r="H30" s="99">
        <f>IF(B30="","",VLOOKUP($B30,'6-2_算定表②(旧々・新制度)'!$B$8:$R$65536,14,FALSE))</f>
      </c>
      <c r="I30" s="60">
        <f>IF(B30="","",VLOOKUP($B30,'6-2_算定表②(旧々・新制度)'!$B$8:$R$65536,16,FALSE))</f>
      </c>
      <c r="J30" s="61">
        <f>IF(B30="","",VLOOKUP($B30,'6-2_算定表②(旧々・新制度)'!$B$8:$R$65536,17,FALSE))</f>
      </c>
      <c r="K30" s="100">
        <f>IF($B30="","",VLOOKUP($B30,'6-2_算定表②(旧々・新制度)'!$B$8:$R$65536,11,FALSE))</f>
      </c>
      <c r="L30" s="101">
        <f>IF($B30="","",VLOOKUP($B30,'6-2_算定表②(旧々・新制度)'!$B$8:$R$65536,11,FALSE))</f>
      </c>
      <c r="M30" s="373">
        <f>IF($B30="","",VLOOKUP($B30,'6-2_算定表②(旧々・新制度)'!$B$8:$R$65536,11,FALSE))</f>
      </c>
      <c r="N30" s="100">
        <f>IF($B30="","",VLOOKUP($B30,'6-2_算定表②(旧々・新制度)'!$B$8:$R$65536,14,FALSE))</f>
      </c>
      <c r="O30" s="101">
        <f>IF($B30="","",VLOOKUP($B30,'6-2_算定表②(旧々・新制度)'!$B$8:$R$65536,14,FALSE))</f>
      </c>
      <c r="P30" s="101">
        <f>IF($B30="","",VLOOKUP($B30,'6-2_算定表②(旧々・新制度)'!$B$8:$R$65536,14,FALSE))</f>
      </c>
      <c r="Q30" s="101">
        <f>IF($B30="","",VLOOKUP($B30,'6-2_算定表②(旧々・新制度)'!$B$8:$R$65536,14,FALSE))</f>
      </c>
      <c r="R30" s="101">
        <f>IF($B30="","",VLOOKUP($B30,'6-2_算定表②(旧々・新制度)'!$B$8:$R$65536,14,FALSE))</f>
      </c>
      <c r="S30" s="101">
        <f>IF($B30="","",VLOOKUP($B30,'6-2_算定表②(旧々・新制度)'!$B$8:$R$65536,14,FALSE))</f>
      </c>
      <c r="T30" s="101">
        <f>IF($B30="","",VLOOKUP($B30,'6-2_算定表②(旧々・新制度)'!$B$8:$R$65536,14,FALSE))</f>
      </c>
      <c r="U30" s="101">
        <f>IF($B30="","",VLOOKUP($B30,'6-2_算定表②(旧々・新制度)'!$B$8:$R$65536,14,FALSE))</f>
      </c>
      <c r="V30" s="102">
        <f>IF($B30="","",VLOOKUP($B30,'6-2_算定表②(旧々・新制度)'!$B$8:$R$65536,14,FALSE))</f>
      </c>
      <c r="W30" s="103">
        <f t="shared" si="0"/>
      </c>
      <c r="X30" s="107">
        <f t="shared" si="1"/>
      </c>
      <c r="Y30" s="103">
        <f t="shared" si="2"/>
      </c>
      <c r="Z30" s="116">
        <f t="shared" si="3"/>
      </c>
      <c r="AA30" s="113">
        <f t="shared" si="4"/>
      </c>
      <c r="AB30" s="110">
        <f t="shared" si="5"/>
      </c>
      <c r="AC30" s="61">
        <f t="shared" si="9"/>
      </c>
      <c r="AD30" s="62">
        <f t="shared" si="6"/>
      </c>
      <c r="AE30" s="851">
        <f>IF(B30="","",VLOOKUP($B30,'6-2_算定表②(旧々・新制度)'!$B$8:$AB$65536,27,FALSE))</f>
      </c>
      <c r="AF30" s="852">
        <f>IF(AD30="","",VLOOKUP($B30,'6-2_算定表③(旧・旧制度)'!$B$8:$R$65536,3,FALSE))</f>
      </c>
      <c r="AG30" s="853">
        <f>IF(AE30="","",VLOOKUP($B30,'6-2_算定表③(旧・旧制度)'!$B$8:$R$65536,3,FALSE))</f>
      </c>
      <c r="AI30" s="63">
        <f>IF(A30&gt;0,ASC(C30&amp;H30),"")</f>
      </c>
      <c r="AJ30" s="63">
        <f t="shared" si="7"/>
      </c>
    </row>
    <row r="31" spans="1:36" s="54" customFormat="1" ht="18.75" customHeight="1">
      <c r="A31" s="27">
        <f t="shared" si="8"/>
      </c>
      <c r="B31" s="280"/>
      <c r="C31" s="372">
        <f>IF($B31="","",VLOOKUP($B31,'6-2_算定表②(旧々・新制度)'!$B$8:$R$65536,2,FALSE))</f>
      </c>
      <c r="D31" s="98">
        <f>IF($B31="","",VLOOKUP($B31,'6-2_算定表②(旧々・新制度)'!$B$8:$R$65536,3,FALSE))</f>
      </c>
      <c r="E31" s="98">
        <f>IF($B31="","",VLOOKUP($B31,'6-2_算定表②(旧々・新制度)'!$B$8:$R$65536,4,FALSE))</f>
      </c>
      <c r="F31" s="99">
        <f>IF(B31="","",VLOOKUP($B31,'6-2_算定表②(旧々・新制度)'!$B$8:$R$65536,11,FALSE))</f>
      </c>
      <c r="G31" s="60">
        <f>IF(B31="","",VLOOKUP($B31,'6-2_算定表②(旧々・新制度)'!$B$8:$R$65536,13,FALSE))</f>
      </c>
      <c r="H31" s="99">
        <f>IF(B31="","",VLOOKUP($B31,'6-2_算定表②(旧々・新制度)'!$B$8:$R$65536,14,FALSE))</f>
      </c>
      <c r="I31" s="60">
        <f>IF(B31="","",VLOOKUP($B31,'6-2_算定表②(旧々・新制度)'!$B$8:$R$65536,16,FALSE))</f>
      </c>
      <c r="J31" s="61">
        <f>IF(B31="","",VLOOKUP($B31,'6-2_算定表②(旧々・新制度)'!$B$8:$R$65536,17,FALSE))</f>
      </c>
      <c r="K31" s="100">
        <f>IF($B31="","",VLOOKUP($B31,'6-2_算定表②(旧々・新制度)'!$B$8:$R$65536,11,FALSE))</f>
      </c>
      <c r="L31" s="101">
        <f>IF($B31="","",VLOOKUP($B31,'6-2_算定表②(旧々・新制度)'!$B$8:$R$65536,11,FALSE))</f>
      </c>
      <c r="M31" s="373">
        <f>IF($B31="","",VLOOKUP($B31,'6-2_算定表②(旧々・新制度)'!$B$8:$R$65536,11,FALSE))</f>
      </c>
      <c r="N31" s="100">
        <f>IF($B31="","",VLOOKUP($B31,'6-2_算定表②(旧々・新制度)'!$B$8:$R$65536,14,FALSE))</f>
      </c>
      <c r="O31" s="101">
        <f>IF($B31="","",VLOOKUP($B31,'6-2_算定表②(旧々・新制度)'!$B$8:$R$65536,14,FALSE))</f>
      </c>
      <c r="P31" s="101">
        <f>IF($B31="","",VLOOKUP($B31,'6-2_算定表②(旧々・新制度)'!$B$8:$R$65536,14,FALSE))</f>
      </c>
      <c r="Q31" s="101">
        <f>IF($B31="","",VLOOKUP($B31,'6-2_算定表②(旧々・新制度)'!$B$8:$R$65536,14,FALSE))</f>
      </c>
      <c r="R31" s="101">
        <f>IF($B31="","",VLOOKUP($B31,'6-2_算定表②(旧々・新制度)'!$B$8:$R$65536,14,FALSE))</f>
      </c>
      <c r="S31" s="101">
        <f>IF($B31="","",VLOOKUP($B31,'6-2_算定表②(旧々・新制度)'!$B$8:$R$65536,14,FALSE))</f>
      </c>
      <c r="T31" s="101">
        <f>IF($B31="","",VLOOKUP($B31,'6-2_算定表②(旧々・新制度)'!$B$8:$R$65536,14,FALSE))</f>
      </c>
      <c r="U31" s="101">
        <f>IF($B31="","",VLOOKUP($B31,'6-2_算定表②(旧々・新制度)'!$B$8:$R$65536,14,FALSE))</f>
      </c>
      <c r="V31" s="102">
        <f>IF($B31="","",VLOOKUP($B31,'6-2_算定表②(旧々・新制度)'!$B$8:$R$65536,14,FALSE))</f>
      </c>
      <c r="W31" s="103">
        <f t="shared" si="0"/>
      </c>
      <c r="X31" s="107">
        <f t="shared" si="1"/>
      </c>
      <c r="Y31" s="103">
        <f t="shared" si="2"/>
      </c>
      <c r="Z31" s="116">
        <f t="shared" si="3"/>
      </c>
      <c r="AA31" s="113">
        <f t="shared" si="4"/>
      </c>
      <c r="AB31" s="110">
        <f t="shared" si="5"/>
      </c>
      <c r="AC31" s="61">
        <f t="shared" si="9"/>
      </c>
      <c r="AD31" s="62">
        <f t="shared" si="6"/>
      </c>
      <c r="AE31" s="851">
        <f>IF(B31="","",VLOOKUP($B31,'6-2_算定表②(旧々・新制度)'!$B$8:$AB$65536,27,FALSE))</f>
      </c>
      <c r="AF31" s="852">
        <f>IF(AD31="","",VLOOKUP($B31,'6-2_算定表③(旧・旧制度)'!$B$8:$R$65536,3,FALSE))</f>
      </c>
      <c r="AG31" s="853">
        <f>IF(AE31="","",VLOOKUP($B31,'6-2_算定表③(旧・旧制度)'!$B$8:$R$65536,3,FALSE))</f>
      </c>
      <c r="AI31" s="63">
        <f>IF(A31&gt;0,ASC(C31&amp;H31),"")</f>
      </c>
      <c r="AJ31" s="63">
        <f t="shared" si="7"/>
      </c>
    </row>
    <row r="32" spans="1:36" s="54" customFormat="1" ht="18.75" customHeight="1">
      <c r="A32" s="27">
        <f t="shared" si="8"/>
      </c>
      <c r="B32" s="280"/>
      <c r="C32" s="372">
        <f>IF($B32="","",VLOOKUP($B32,'6-2_算定表②(旧々・新制度)'!$B$8:$R$65536,2,FALSE))</f>
      </c>
      <c r="D32" s="98">
        <f>IF($B32="","",VLOOKUP($B32,'6-2_算定表②(旧々・新制度)'!$B$8:$R$65536,3,FALSE))</f>
      </c>
      <c r="E32" s="98">
        <f>IF($B32="","",VLOOKUP($B32,'6-2_算定表②(旧々・新制度)'!$B$8:$R$65536,4,FALSE))</f>
      </c>
      <c r="F32" s="99">
        <f>IF(B32="","",VLOOKUP($B32,'6-2_算定表②(旧々・新制度)'!$B$8:$R$65536,11,FALSE))</f>
      </c>
      <c r="G32" s="60">
        <f>IF(B32="","",VLOOKUP($B32,'6-2_算定表②(旧々・新制度)'!$B$8:$R$65536,13,FALSE))</f>
      </c>
      <c r="H32" s="99">
        <f>IF(B32="","",VLOOKUP($B32,'6-2_算定表②(旧々・新制度)'!$B$8:$R$65536,14,FALSE))</f>
      </c>
      <c r="I32" s="60">
        <f>IF(B32="","",VLOOKUP($B32,'6-2_算定表②(旧々・新制度)'!$B$8:$R$65536,16,FALSE))</f>
      </c>
      <c r="J32" s="61">
        <f>IF(B32="","",VLOOKUP($B32,'6-2_算定表②(旧々・新制度)'!$B$8:$R$65536,17,FALSE))</f>
      </c>
      <c r="K32" s="100">
        <f>IF($B32="","",VLOOKUP($B32,'6-2_算定表②(旧々・新制度)'!$B$8:$R$65536,11,FALSE))</f>
      </c>
      <c r="L32" s="101">
        <f>IF($B32="","",VLOOKUP($B32,'6-2_算定表②(旧々・新制度)'!$B$8:$R$65536,11,FALSE))</f>
      </c>
      <c r="M32" s="373">
        <f>IF($B32="","",VLOOKUP($B32,'6-2_算定表②(旧々・新制度)'!$B$8:$R$65536,11,FALSE))</f>
      </c>
      <c r="N32" s="100">
        <f>IF($B32="","",VLOOKUP($B32,'6-2_算定表②(旧々・新制度)'!$B$8:$R$65536,14,FALSE))</f>
      </c>
      <c r="O32" s="101">
        <f>IF($B32="","",VLOOKUP($B32,'6-2_算定表②(旧々・新制度)'!$B$8:$R$65536,14,FALSE))</f>
      </c>
      <c r="P32" s="101">
        <f>IF($B32="","",VLOOKUP($B32,'6-2_算定表②(旧々・新制度)'!$B$8:$R$65536,14,FALSE))</f>
      </c>
      <c r="Q32" s="101">
        <f>IF($B32="","",VLOOKUP($B32,'6-2_算定表②(旧々・新制度)'!$B$8:$R$65536,14,FALSE))</f>
      </c>
      <c r="R32" s="101">
        <f>IF($B32="","",VLOOKUP($B32,'6-2_算定表②(旧々・新制度)'!$B$8:$R$65536,14,FALSE))</f>
      </c>
      <c r="S32" s="101">
        <f>IF($B32="","",VLOOKUP($B32,'6-2_算定表②(旧々・新制度)'!$B$8:$R$65536,14,FALSE))</f>
      </c>
      <c r="T32" s="101">
        <f>IF($B32="","",VLOOKUP($B32,'6-2_算定表②(旧々・新制度)'!$B$8:$R$65536,14,FALSE))</f>
      </c>
      <c r="U32" s="101">
        <f>IF($B32="","",VLOOKUP($B32,'6-2_算定表②(旧々・新制度)'!$B$8:$R$65536,14,FALSE))</f>
      </c>
      <c r="V32" s="102">
        <f>IF($B32="","",VLOOKUP($B32,'6-2_算定表②(旧々・新制度)'!$B$8:$R$65536,14,FALSE))</f>
      </c>
      <c r="W32" s="103">
        <f t="shared" si="0"/>
      </c>
      <c r="X32" s="107">
        <f t="shared" si="1"/>
      </c>
      <c r="Y32" s="103">
        <f t="shared" si="2"/>
      </c>
      <c r="Z32" s="116">
        <f t="shared" si="3"/>
      </c>
      <c r="AA32" s="113">
        <f t="shared" si="4"/>
      </c>
      <c r="AB32" s="110">
        <f t="shared" si="5"/>
      </c>
      <c r="AC32" s="61">
        <f t="shared" si="9"/>
      </c>
      <c r="AD32" s="62">
        <f t="shared" si="6"/>
      </c>
      <c r="AE32" s="851">
        <f>IF(B32="","",VLOOKUP($B32,'6-2_算定表②(旧々・新制度)'!$B$8:$AB$65536,27,FALSE))</f>
      </c>
      <c r="AF32" s="852">
        <f>IF(AD32="","",VLOOKUP($B32,'6-2_算定表③(旧・旧制度)'!$B$8:$R$65536,3,FALSE))</f>
      </c>
      <c r="AG32" s="853">
        <f>IF(AE32="","",VLOOKUP($B32,'6-2_算定表③(旧・旧制度)'!$B$8:$R$65536,3,FALSE))</f>
      </c>
      <c r="AI32" s="63">
        <f>IF(A32&gt;0,ASC(C32&amp;H32),"")</f>
      </c>
      <c r="AJ32" s="63">
        <f t="shared" si="7"/>
      </c>
    </row>
    <row r="33" spans="1:36" s="54" customFormat="1" ht="18.75" customHeight="1">
      <c r="A33" s="27">
        <f t="shared" si="8"/>
      </c>
      <c r="B33" s="280"/>
      <c r="C33" s="372">
        <f>IF($B33="","",VLOOKUP($B33,'6-2_算定表②(旧々・新制度)'!$B$8:$R$65536,2,FALSE))</f>
      </c>
      <c r="D33" s="98">
        <f>IF($B33="","",VLOOKUP($B33,'6-2_算定表②(旧々・新制度)'!$B$8:$R$65536,3,FALSE))</f>
      </c>
      <c r="E33" s="98">
        <f>IF($B33="","",VLOOKUP($B33,'6-2_算定表②(旧々・新制度)'!$B$8:$R$65536,4,FALSE))</f>
      </c>
      <c r="F33" s="99">
        <f>IF(B33="","",VLOOKUP($B33,'6-2_算定表②(旧々・新制度)'!$B$8:$R$65536,11,FALSE))</f>
      </c>
      <c r="G33" s="60">
        <f>IF(B33="","",VLOOKUP($B33,'6-2_算定表②(旧々・新制度)'!$B$8:$R$65536,13,FALSE))</f>
      </c>
      <c r="H33" s="99">
        <f>IF(B33="","",VLOOKUP($B33,'6-2_算定表②(旧々・新制度)'!$B$8:$R$65536,14,FALSE))</f>
      </c>
      <c r="I33" s="60">
        <f>IF(B33="","",VLOOKUP($B33,'6-2_算定表②(旧々・新制度)'!$B$8:$R$65536,16,FALSE))</f>
      </c>
      <c r="J33" s="61">
        <f>IF(B33="","",VLOOKUP($B33,'6-2_算定表②(旧々・新制度)'!$B$8:$R$65536,17,FALSE))</f>
      </c>
      <c r="K33" s="100">
        <f>IF($B33="","",VLOOKUP($B33,'6-2_算定表②(旧々・新制度)'!$B$8:$R$65536,11,FALSE))</f>
      </c>
      <c r="L33" s="101">
        <f>IF($B33="","",VLOOKUP($B33,'6-2_算定表②(旧々・新制度)'!$B$8:$R$65536,11,FALSE))</f>
      </c>
      <c r="M33" s="373">
        <f>IF($B33="","",VLOOKUP($B33,'6-2_算定表②(旧々・新制度)'!$B$8:$R$65536,11,FALSE))</f>
      </c>
      <c r="N33" s="100">
        <f>IF($B33="","",VLOOKUP($B33,'6-2_算定表②(旧々・新制度)'!$B$8:$R$65536,14,FALSE))</f>
      </c>
      <c r="O33" s="101">
        <f>IF($B33="","",VLOOKUP($B33,'6-2_算定表②(旧々・新制度)'!$B$8:$R$65536,14,FALSE))</f>
      </c>
      <c r="P33" s="101">
        <f>IF($B33="","",VLOOKUP($B33,'6-2_算定表②(旧々・新制度)'!$B$8:$R$65536,14,FALSE))</f>
      </c>
      <c r="Q33" s="101">
        <f>IF($B33="","",VLOOKUP($B33,'6-2_算定表②(旧々・新制度)'!$B$8:$R$65536,14,FALSE))</f>
      </c>
      <c r="R33" s="101">
        <f>IF($B33="","",VLOOKUP($B33,'6-2_算定表②(旧々・新制度)'!$B$8:$R$65536,14,FALSE))</f>
      </c>
      <c r="S33" s="101">
        <f>IF($B33="","",VLOOKUP($B33,'6-2_算定表②(旧々・新制度)'!$B$8:$R$65536,14,FALSE))</f>
      </c>
      <c r="T33" s="101">
        <f>IF($B33="","",VLOOKUP($B33,'6-2_算定表②(旧々・新制度)'!$B$8:$R$65536,14,FALSE))</f>
      </c>
      <c r="U33" s="101">
        <f>IF($B33="","",VLOOKUP($B33,'6-2_算定表②(旧々・新制度)'!$B$8:$R$65536,14,FALSE))</f>
      </c>
      <c r="V33" s="102">
        <f>IF($B33="","",VLOOKUP($B33,'6-2_算定表②(旧々・新制度)'!$B$8:$R$65536,14,FALSE))</f>
      </c>
      <c r="W33" s="103">
        <f t="shared" si="0"/>
      </c>
      <c r="X33" s="107">
        <f t="shared" si="1"/>
      </c>
      <c r="Y33" s="103">
        <f t="shared" si="2"/>
      </c>
      <c r="Z33" s="116">
        <f t="shared" si="3"/>
      </c>
      <c r="AA33" s="113">
        <f t="shared" si="4"/>
      </c>
      <c r="AB33" s="110">
        <f t="shared" si="5"/>
      </c>
      <c r="AC33" s="61">
        <f t="shared" si="9"/>
      </c>
      <c r="AD33" s="62">
        <f t="shared" si="6"/>
      </c>
      <c r="AE33" s="851">
        <f>IF(B33="","",VLOOKUP($B33,'6-2_算定表②(旧々・新制度)'!$B$8:$AB$65536,27,FALSE))</f>
      </c>
      <c r="AF33" s="852">
        <f>IF(AD33="","",VLOOKUP($B33,'6-2_算定表③(旧・旧制度)'!$B$8:$R$65536,3,FALSE))</f>
      </c>
      <c r="AG33" s="853">
        <f>IF(AE33="","",VLOOKUP($B33,'6-2_算定表③(旧・旧制度)'!$B$8:$R$65536,3,FALSE))</f>
      </c>
      <c r="AI33" s="63">
        <f t="shared" si="10"/>
      </c>
      <c r="AJ33" s="63">
        <f t="shared" si="7"/>
      </c>
    </row>
    <row r="34" spans="1:36" s="54" customFormat="1" ht="18.75" customHeight="1">
      <c r="A34" s="27">
        <f t="shared" si="8"/>
      </c>
      <c r="B34" s="280"/>
      <c r="C34" s="372">
        <f>IF($B34="","",VLOOKUP($B34,'6-2_算定表②(旧々・新制度)'!$B$8:$R$65536,2,FALSE))</f>
      </c>
      <c r="D34" s="98">
        <f>IF($B34="","",VLOOKUP($B34,'6-2_算定表②(旧々・新制度)'!$B$8:$R$65536,3,FALSE))</f>
      </c>
      <c r="E34" s="98">
        <f>IF($B34="","",VLOOKUP($B34,'6-2_算定表②(旧々・新制度)'!$B$8:$R$65536,4,FALSE))</f>
      </c>
      <c r="F34" s="99">
        <f>IF(B34="","",VLOOKUP($B34,'6-2_算定表②(旧々・新制度)'!$B$8:$R$65536,11,FALSE))</f>
      </c>
      <c r="G34" s="60">
        <f>IF(B34="","",VLOOKUP($B34,'6-2_算定表②(旧々・新制度)'!$B$8:$R$65536,13,FALSE))</f>
      </c>
      <c r="H34" s="99">
        <f>IF(B34="","",VLOOKUP($B34,'6-2_算定表②(旧々・新制度)'!$B$8:$R$65536,14,FALSE))</f>
      </c>
      <c r="I34" s="60">
        <f>IF(B34="","",VLOOKUP($B34,'6-2_算定表②(旧々・新制度)'!$B$8:$R$65536,16,FALSE))</f>
      </c>
      <c r="J34" s="61">
        <f>IF(B34="","",VLOOKUP($B34,'6-2_算定表②(旧々・新制度)'!$B$8:$R$65536,17,FALSE))</f>
      </c>
      <c r="K34" s="100">
        <f>IF($B34="","",VLOOKUP($B34,'6-2_算定表②(旧々・新制度)'!$B$8:$R$65536,11,FALSE))</f>
      </c>
      <c r="L34" s="101">
        <f>IF($B34="","",VLOOKUP($B34,'6-2_算定表②(旧々・新制度)'!$B$8:$R$65536,11,FALSE))</f>
      </c>
      <c r="M34" s="373">
        <f>IF($B34="","",VLOOKUP($B34,'6-2_算定表②(旧々・新制度)'!$B$8:$R$65536,11,FALSE))</f>
      </c>
      <c r="N34" s="100">
        <f>IF($B34="","",VLOOKUP($B34,'6-2_算定表②(旧々・新制度)'!$B$8:$R$65536,14,FALSE))</f>
      </c>
      <c r="O34" s="101">
        <f>IF($B34="","",VLOOKUP($B34,'6-2_算定表②(旧々・新制度)'!$B$8:$R$65536,14,FALSE))</f>
      </c>
      <c r="P34" s="101">
        <f>IF($B34="","",VLOOKUP($B34,'6-2_算定表②(旧々・新制度)'!$B$8:$R$65536,14,FALSE))</f>
      </c>
      <c r="Q34" s="101">
        <f>IF($B34="","",VLOOKUP($B34,'6-2_算定表②(旧々・新制度)'!$B$8:$R$65536,14,FALSE))</f>
      </c>
      <c r="R34" s="101">
        <f>IF($B34="","",VLOOKUP($B34,'6-2_算定表②(旧々・新制度)'!$B$8:$R$65536,14,FALSE))</f>
      </c>
      <c r="S34" s="101">
        <f>IF($B34="","",VLOOKUP($B34,'6-2_算定表②(旧々・新制度)'!$B$8:$R$65536,14,FALSE))</f>
      </c>
      <c r="T34" s="101">
        <f>IF($B34="","",VLOOKUP($B34,'6-2_算定表②(旧々・新制度)'!$B$8:$R$65536,14,FALSE))</f>
      </c>
      <c r="U34" s="101">
        <f>IF($B34="","",VLOOKUP($B34,'6-2_算定表②(旧々・新制度)'!$B$8:$R$65536,14,FALSE))</f>
      </c>
      <c r="V34" s="102">
        <f>IF($B34="","",VLOOKUP($B34,'6-2_算定表②(旧々・新制度)'!$B$8:$R$65536,14,FALSE))</f>
      </c>
      <c r="W34" s="103">
        <f t="shared" si="0"/>
      </c>
      <c r="X34" s="107">
        <f t="shared" si="1"/>
      </c>
      <c r="Y34" s="103">
        <f t="shared" si="2"/>
      </c>
      <c r="Z34" s="116">
        <f t="shared" si="3"/>
      </c>
      <c r="AA34" s="113">
        <f t="shared" si="4"/>
      </c>
      <c r="AB34" s="110">
        <f t="shared" si="5"/>
      </c>
      <c r="AC34" s="61">
        <f t="shared" si="9"/>
      </c>
      <c r="AD34" s="62">
        <f t="shared" si="6"/>
      </c>
      <c r="AE34" s="851">
        <f>IF(B34="","",VLOOKUP($B34,'6-2_算定表②(旧々・新制度)'!$B$8:$AB$65536,27,FALSE))</f>
      </c>
      <c r="AF34" s="852">
        <f>IF(AD34="","",VLOOKUP($B34,'6-2_算定表③(旧・旧制度)'!$B$8:$R$65536,3,FALSE))</f>
      </c>
      <c r="AG34" s="853">
        <f>IF(AE34="","",VLOOKUP($B34,'6-2_算定表③(旧・旧制度)'!$B$8:$R$65536,3,FALSE))</f>
      </c>
      <c r="AI34" s="63">
        <f t="shared" si="10"/>
      </c>
      <c r="AJ34" s="63">
        <f t="shared" si="7"/>
      </c>
    </row>
    <row r="35" spans="1:36" s="54" customFormat="1" ht="18.75" customHeight="1">
      <c r="A35" s="27">
        <f t="shared" si="8"/>
      </c>
      <c r="B35" s="280"/>
      <c r="C35" s="372">
        <f>IF($B35="","",VLOOKUP($B35,'6-2_算定表②(旧々・新制度)'!$B$8:$R$65536,2,FALSE))</f>
      </c>
      <c r="D35" s="98">
        <f>IF($B35="","",VLOOKUP($B35,'6-2_算定表②(旧々・新制度)'!$B$8:$R$65536,3,FALSE))</f>
      </c>
      <c r="E35" s="98">
        <f>IF($B35="","",VLOOKUP($B35,'6-2_算定表②(旧々・新制度)'!$B$8:$R$65536,4,FALSE))</f>
      </c>
      <c r="F35" s="99">
        <f>IF(B35="","",VLOOKUP($B35,'6-2_算定表②(旧々・新制度)'!$B$8:$R$65536,11,FALSE))</f>
      </c>
      <c r="G35" s="60">
        <f>IF(B35="","",VLOOKUP($B35,'6-2_算定表②(旧々・新制度)'!$B$8:$R$65536,13,FALSE))</f>
      </c>
      <c r="H35" s="99">
        <f>IF(B35="","",VLOOKUP($B35,'6-2_算定表②(旧々・新制度)'!$B$8:$R$65536,14,FALSE))</f>
      </c>
      <c r="I35" s="60">
        <f>IF(B35="","",VLOOKUP($B35,'6-2_算定表②(旧々・新制度)'!$B$8:$R$65536,16,FALSE))</f>
      </c>
      <c r="J35" s="61">
        <f>IF(B35="","",VLOOKUP($B35,'6-2_算定表②(旧々・新制度)'!$B$8:$R$65536,17,FALSE))</f>
      </c>
      <c r="K35" s="100">
        <f>IF($B35="","",VLOOKUP($B35,'6-2_算定表②(旧々・新制度)'!$B$8:$R$65536,11,FALSE))</f>
      </c>
      <c r="L35" s="101">
        <f>IF($B35="","",VLOOKUP($B35,'6-2_算定表②(旧々・新制度)'!$B$8:$R$65536,11,FALSE))</f>
      </c>
      <c r="M35" s="373">
        <f>IF($B35="","",VLOOKUP($B35,'6-2_算定表②(旧々・新制度)'!$B$8:$R$65536,11,FALSE))</f>
      </c>
      <c r="N35" s="100">
        <f>IF($B35="","",VLOOKUP($B35,'6-2_算定表②(旧々・新制度)'!$B$8:$R$65536,14,FALSE))</f>
      </c>
      <c r="O35" s="101">
        <f>IF($B35="","",VLOOKUP($B35,'6-2_算定表②(旧々・新制度)'!$B$8:$R$65536,14,FALSE))</f>
      </c>
      <c r="P35" s="101">
        <f>IF($B35="","",VLOOKUP($B35,'6-2_算定表②(旧々・新制度)'!$B$8:$R$65536,14,FALSE))</f>
      </c>
      <c r="Q35" s="101">
        <f>IF($B35="","",VLOOKUP($B35,'6-2_算定表②(旧々・新制度)'!$B$8:$R$65536,14,FALSE))</f>
      </c>
      <c r="R35" s="101">
        <f>IF($B35="","",VLOOKUP($B35,'6-2_算定表②(旧々・新制度)'!$B$8:$R$65536,14,FALSE))</f>
      </c>
      <c r="S35" s="101">
        <f>IF($B35="","",VLOOKUP($B35,'6-2_算定表②(旧々・新制度)'!$B$8:$R$65536,14,FALSE))</f>
      </c>
      <c r="T35" s="101">
        <f>IF($B35="","",VLOOKUP($B35,'6-2_算定表②(旧々・新制度)'!$B$8:$R$65536,14,FALSE))</f>
      </c>
      <c r="U35" s="101">
        <f>IF($B35="","",VLOOKUP($B35,'6-2_算定表②(旧々・新制度)'!$B$8:$R$65536,14,FALSE))</f>
      </c>
      <c r="V35" s="102">
        <f>IF($B35="","",VLOOKUP($B35,'6-2_算定表②(旧々・新制度)'!$B$8:$R$65536,14,FALSE))</f>
      </c>
      <c r="W35" s="103">
        <f t="shared" si="0"/>
      </c>
      <c r="X35" s="107">
        <f t="shared" si="1"/>
      </c>
      <c r="Y35" s="103">
        <f t="shared" si="2"/>
      </c>
      <c r="Z35" s="116">
        <f t="shared" si="3"/>
      </c>
      <c r="AA35" s="113">
        <f t="shared" si="4"/>
      </c>
      <c r="AB35" s="110">
        <f t="shared" si="5"/>
      </c>
      <c r="AC35" s="61">
        <f t="shared" si="9"/>
      </c>
      <c r="AD35" s="62">
        <f t="shared" si="6"/>
      </c>
      <c r="AE35" s="851">
        <f>IF(B35="","",VLOOKUP($B35,'6-2_算定表②(旧々・新制度)'!$B$8:$AB$65536,27,FALSE))</f>
      </c>
      <c r="AF35" s="852">
        <f>IF(AD35="","",VLOOKUP($B35,'6-2_算定表③(旧・旧制度)'!$B$8:$R$65536,3,FALSE))</f>
      </c>
      <c r="AG35" s="853">
        <f>IF(AE35="","",VLOOKUP($B35,'6-2_算定表③(旧・旧制度)'!$B$8:$R$65536,3,FALSE))</f>
      </c>
      <c r="AI35" s="63">
        <f t="shared" si="10"/>
      </c>
      <c r="AJ35" s="63">
        <f t="shared" si="7"/>
      </c>
    </row>
    <row r="36" spans="1:36" s="54" customFormat="1" ht="18.75" customHeight="1">
      <c r="A36" s="27">
        <f t="shared" si="8"/>
      </c>
      <c r="B36" s="280"/>
      <c r="C36" s="372">
        <f>IF($B36="","",VLOOKUP($B36,'6-2_算定表②(旧々・新制度)'!$B$8:$R$65536,2,FALSE))</f>
      </c>
      <c r="D36" s="98">
        <f>IF($B36="","",VLOOKUP($B36,'6-2_算定表②(旧々・新制度)'!$B$8:$R$65536,3,FALSE))</f>
      </c>
      <c r="E36" s="98">
        <f>IF($B36="","",VLOOKUP($B36,'6-2_算定表②(旧々・新制度)'!$B$8:$R$65536,4,FALSE))</f>
      </c>
      <c r="F36" s="99">
        <f>IF(B36="","",VLOOKUP($B36,'6-2_算定表②(旧々・新制度)'!$B$8:$R$65536,11,FALSE))</f>
      </c>
      <c r="G36" s="60">
        <f>IF(B36="","",VLOOKUP($B36,'6-2_算定表②(旧々・新制度)'!$B$8:$R$65536,13,FALSE))</f>
      </c>
      <c r="H36" s="99">
        <f>IF(B36="","",VLOOKUP($B36,'6-2_算定表②(旧々・新制度)'!$B$8:$R$65536,14,FALSE))</f>
      </c>
      <c r="I36" s="60">
        <f>IF(B36="","",VLOOKUP($B36,'6-2_算定表②(旧々・新制度)'!$B$8:$R$65536,16,FALSE))</f>
      </c>
      <c r="J36" s="61">
        <f>IF(B36="","",VLOOKUP($B36,'6-2_算定表②(旧々・新制度)'!$B$8:$R$65536,17,FALSE))</f>
      </c>
      <c r="K36" s="100">
        <f>IF($B36="","",VLOOKUP($B36,'6-2_算定表②(旧々・新制度)'!$B$8:$R$65536,11,FALSE))</f>
      </c>
      <c r="L36" s="101">
        <f>IF($B36="","",VLOOKUP($B36,'6-2_算定表②(旧々・新制度)'!$B$8:$R$65536,11,FALSE))</f>
      </c>
      <c r="M36" s="373">
        <f>IF($B36="","",VLOOKUP($B36,'6-2_算定表②(旧々・新制度)'!$B$8:$R$65536,11,FALSE))</f>
      </c>
      <c r="N36" s="100">
        <f>IF($B36="","",VLOOKUP($B36,'6-2_算定表②(旧々・新制度)'!$B$8:$R$65536,14,FALSE))</f>
      </c>
      <c r="O36" s="101">
        <f>IF($B36="","",VLOOKUP($B36,'6-2_算定表②(旧々・新制度)'!$B$8:$R$65536,14,FALSE))</f>
      </c>
      <c r="P36" s="101">
        <f>IF($B36="","",VLOOKUP($B36,'6-2_算定表②(旧々・新制度)'!$B$8:$R$65536,14,FALSE))</f>
      </c>
      <c r="Q36" s="101">
        <f>IF($B36="","",VLOOKUP($B36,'6-2_算定表②(旧々・新制度)'!$B$8:$R$65536,14,FALSE))</f>
      </c>
      <c r="R36" s="101">
        <f>IF($B36="","",VLOOKUP($B36,'6-2_算定表②(旧々・新制度)'!$B$8:$R$65536,14,FALSE))</f>
      </c>
      <c r="S36" s="101">
        <f>IF($B36="","",VLOOKUP($B36,'6-2_算定表②(旧々・新制度)'!$B$8:$R$65536,14,FALSE))</f>
      </c>
      <c r="T36" s="101">
        <f>IF($B36="","",VLOOKUP($B36,'6-2_算定表②(旧々・新制度)'!$B$8:$R$65536,14,FALSE))</f>
      </c>
      <c r="U36" s="101">
        <f>IF($B36="","",VLOOKUP($B36,'6-2_算定表②(旧々・新制度)'!$B$8:$R$65536,14,FALSE))</f>
      </c>
      <c r="V36" s="102">
        <f>IF($B36="","",VLOOKUP($B36,'6-2_算定表②(旧々・新制度)'!$B$8:$R$65536,14,FALSE))</f>
      </c>
      <c r="W36" s="103">
        <f t="shared" si="0"/>
      </c>
      <c r="X36" s="107">
        <f t="shared" si="1"/>
      </c>
      <c r="Y36" s="103">
        <f t="shared" si="2"/>
      </c>
      <c r="Z36" s="116">
        <f t="shared" si="3"/>
      </c>
      <c r="AA36" s="113">
        <f t="shared" si="4"/>
      </c>
      <c r="AB36" s="110">
        <f t="shared" si="5"/>
      </c>
      <c r="AC36" s="61">
        <f>IF(B36="","",(G36/12*W36)+(I36/12*X36)+(G36/12*Y36)+(I36/12*Z36))</f>
      </c>
      <c r="AD36" s="62">
        <f t="shared" si="6"/>
      </c>
      <c r="AE36" s="851">
        <f>IF(B36="","",VLOOKUP($B36,'6-2_算定表②(旧々・新制度)'!$B$8:$AB$65536,27,FALSE))</f>
      </c>
      <c r="AF36" s="852">
        <f>IF(AD36="","",VLOOKUP($B36,'6-2_算定表③(旧・旧制度)'!$B$8:$R$65536,3,FALSE))</f>
      </c>
      <c r="AG36" s="853">
        <f>IF(AE36="","",VLOOKUP($B36,'6-2_算定表③(旧・旧制度)'!$B$8:$R$65536,3,FALSE))</f>
      </c>
      <c r="AI36" s="63">
        <f t="shared" si="10"/>
      </c>
      <c r="AJ36" s="63">
        <f t="shared" si="7"/>
      </c>
    </row>
    <row r="37" spans="1:36" s="54" customFormat="1" ht="18.75" customHeight="1">
      <c r="A37" s="27">
        <f t="shared" si="8"/>
      </c>
      <c r="B37" s="280"/>
      <c r="C37" s="372">
        <f>IF($B37="","",VLOOKUP($B37,'6-2_算定表②(旧々・新制度)'!$B$8:$R$65536,2,FALSE))</f>
      </c>
      <c r="D37" s="98">
        <f>IF($B37="","",VLOOKUP($B37,'6-2_算定表②(旧々・新制度)'!$B$8:$R$65536,3,FALSE))</f>
      </c>
      <c r="E37" s="98">
        <f>IF($B37="","",VLOOKUP($B37,'6-2_算定表②(旧々・新制度)'!$B$8:$R$65536,4,FALSE))</f>
      </c>
      <c r="F37" s="99">
        <f>IF(B37="","",VLOOKUP($B37,'6-2_算定表②(旧々・新制度)'!$B$8:$R$65536,11,FALSE))</f>
      </c>
      <c r="G37" s="60">
        <f>IF(B37="","",VLOOKUP($B37,'6-2_算定表②(旧々・新制度)'!$B$8:$R$65536,13,FALSE))</f>
      </c>
      <c r="H37" s="99">
        <f>IF(B37="","",VLOOKUP($B37,'6-2_算定表②(旧々・新制度)'!$B$8:$R$65536,14,FALSE))</f>
      </c>
      <c r="I37" s="60">
        <f>IF(B37="","",VLOOKUP($B37,'6-2_算定表②(旧々・新制度)'!$B$8:$R$65536,16,FALSE))</f>
      </c>
      <c r="J37" s="61">
        <f>IF(B37="","",VLOOKUP($B37,'6-2_算定表②(旧々・新制度)'!$B$8:$R$65536,17,FALSE))</f>
      </c>
      <c r="K37" s="100">
        <f>IF($B37="","",VLOOKUP($B37,'6-2_算定表②(旧々・新制度)'!$B$8:$R$65536,11,FALSE))</f>
      </c>
      <c r="L37" s="101">
        <f>IF($B37="","",VLOOKUP($B37,'6-2_算定表②(旧々・新制度)'!$B$8:$R$65536,11,FALSE))</f>
      </c>
      <c r="M37" s="373">
        <f>IF($B37="","",VLOOKUP($B37,'6-2_算定表②(旧々・新制度)'!$B$8:$R$65536,11,FALSE))</f>
      </c>
      <c r="N37" s="100">
        <f>IF($B37="","",VLOOKUP($B37,'6-2_算定表②(旧々・新制度)'!$B$8:$R$65536,14,FALSE))</f>
      </c>
      <c r="O37" s="101">
        <f>IF($B37="","",VLOOKUP($B37,'6-2_算定表②(旧々・新制度)'!$B$8:$R$65536,14,FALSE))</f>
      </c>
      <c r="P37" s="101">
        <f>IF($B37="","",VLOOKUP($B37,'6-2_算定表②(旧々・新制度)'!$B$8:$R$65536,14,FALSE))</f>
      </c>
      <c r="Q37" s="101">
        <f>IF($B37="","",VLOOKUP($B37,'6-2_算定表②(旧々・新制度)'!$B$8:$R$65536,14,FALSE))</f>
      </c>
      <c r="R37" s="101">
        <f>IF($B37="","",VLOOKUP($B37,'6-2_算定表②(旧々・新制度)'!$B$8:$R$65536,14,FALSE))</f>
      </c>
      <c r="S37" s="101">
        <f>IF($B37="","",VLOOKUP($B37,'6-2_算定表②(旧々・新制度)'!$B$8:$R$65536,14,FALSE))</f>
      </c>
      <c r="T37" s="101">
        <f>IF($B37="","",VLOOKUP($B37,'6-2_算定表②(旧々・新制度)'!$B$8:$R$65536,14,FALSE))</f>
      </c>
      <c r="U37" s="101">
        <f>IF($B37="","",VLOOKUP($B37,'6-2_算定表②(旧々・新制度)'!$B$8:$R$65536,14,FALSE))</f>
      </c>
      <c r="V37" s="102">
        <f>IF($B37="","",VLOOKUP($B37,'6-2_算定表②(旧々・新制度)'!$B$8:$R$65536,14,FALSE))</f>
      </c>
      <c r="W37" s="103">
        <f t="shared" si="0"/>
      </c>
      <c r="X37" s="107">
        <f t="shared" si="1"/>
      </c>
      <c r="Y37" s="103">
        <f t="shared" si="2"/>
      </c>
      <c r="Z37" s="116">
        <f t="shared" si="3"/>
      </c>
      <c r="AA37" s="113">
        <f t="shared" si="4"/>
      </c>
      <c r="AB37" s="110">
        <f t="shared" si="5"/>
      </c>
      <c r="AC37" s="61">
        <f t="shared" si="9"/>
      </c>
      <c r="AD37" s="62">
        <f t="shared" si="6"/>
      </c>
      <c r="AE37" s="851">
        <f>IF(B37="","",VLOOKUP($B37,'6-2_算定表②(旧々・新制度)'!$B$8:$AB$65536,27,FALSE))</f>
      </c>
      <c r="AF37" s="852">
        <f>IF(AD37="","",VLOOKUP($B37,'6-2_算定表③(旧・旧制度)'!$B$8:$R$65536,3,FALSE))</f>
      </c>
      <c r="AG37" s="853">
        <f>IF(AE37="","",VLOOKUP($B37,'6-2_算定表③(旧・旧制度)'!$B$8:$R$65536,3,FALSE))</f>
      </c>
      <c r="AI37" s="63">
        <f t="shared" si="10"/>
      </c>
      <c r="AJ37" s="63">
        <f t="shared" si="7"/>
      </c>
    </row>
    <row r="38" spans="1:36" s="54" customFormat="1" ht="18.75" customHeight="1" thickBot="1">
      <c r="A38" s="27">
        <f t="shared" si="8"/>
      </c>
      <c r="B38" s="280"/>
      <c r="C38" s="374">
        <f>IF($B38="","",VLOOKUP($B38,'6-2_算定表②(旧々・新制度)'!$B$8:$R$65536,2,FALSE))</f>
      </c>
      <c r="D38" s="257">
        <f>IF($B38="","",VLOOKUP($B38,'6-2_算定表②(旧々・新制度)'!$B$8:$R$65536,3,FALSE))</f>
      </c>
      <c r="E38" s="257">
        <f>IF($B38="","",VLOOKUP($B38,'6-2_算定表②(旧々・新制度)'!$B$8:$R$65536,4,FALSE))</f>
      </c>
      <c r="F38" s="375">
        <f>IF(B38="","",VLOOKUP($B38,'6-2_算定表②(旧々・新制度)'!$B$8:$R$65536,11,FALSE))</f>
      </c>
      <c r="G38" s="376">
        <f>IF(B38="","",VLOOKUP($B38,'6-2_算定表②(旧々・新制度)'!$B$8:$R$65536,13,FALSE))</f>
      </c>
      <c r="H38" s="375">
        <f>IF(B38="","",VLOOKUP($B38,'6-2_算定表②(旧々・新制度)'!$B$8:$R$65536,14,FALSE))</f>
      </c>
      <c r="I38" s="376">
        <f>IF(B38="","",VLOOKUP($B38,'6-2_算定表②(旧々・新制度)'!$B$8:$R$65536,16,FALSE))</f>
      </c>
      <c r="J38" s="377">
        <f>IF(B38="","",VLOOKUP($B38,'6-2_算定表②(旧々・新制度)'!$B$8:$R$65536,17,FALSE))</f>
      </c>
      <c r="K38" s="378">
        <f>IF($B38="","",VLOOKUP($B38,'6-2_算定表②(旧々・新制度)'!$B$8:$R$65536,11,FALSE))</f>
      </c>
      <c r="L38" s="379">
        <f>IF($B38="","",VLOOKUP($B38,'6-2_算定表②(旧々・新制度)'!$B$8:$R$65536,11,FALSE))</f>
      </c>
      <c r="M38" s="380">
        <f>IF($B38="","",VLOOKUP($B38,'6-2_算定表②(旧々・新制度)'!$B$8:$R$65536,11,FALSE))</f>
      </c>
      <c r="N38" s="378">
        <f>IF($B38="","",VLOOKUP($B38,'6-2_算定表②(旧々・新制度)'!$B$8:$R$65536,14,FALSE))</f>
      </c>
      <c r="O38" s="379">
        <f>IF($B38="","",VLOOKUP($B38,'6-2_算定表②(旧々・新制度)'!$B$8:$R$65536,14,FALSE))</f>
      </c>
      <c r="P38" s="379">
        <f>IF($B38="","",VLOOKUP($B38,'6-2_算定表②(旧々・新制度)'!$B$8:$R$65536,14,FALSE))</f>
      </c>
      <c r="Q38" s="379">
        <f>IF($B38="","",VLOOKUP($B38,'6-2_算定表②(旧々・新制度)'!$B$8:$R$65536,14,FALSE))</f>
      </c>
      <c r="R38" s="379">
        <f>IF($B38="","",VLOOKUP($B38,'6-2_算定表②(旧々・新制度)'!$B$8:$R$65536,14,FALSE))</f>
      </c>
      <c r="S38" s="379">
        <f>IF($B38="","",VLOOKUP($B38,'6-2_算定表②(旧々・新制度)'!$B$8:$R$65536,14,FALSE))</f>
      </c>
      <c r="T38" s="379">
        <f>IF($B38="","",VLOOKUP($B38,'6-2_算定表②(旧々・新制度)'!$B$8:$R$65536,14,FALSE))</f>
      </c>
      <c r="U38" s="379">
        <f>IF($B38="","",VLOOKUP($B38,'6-2_算定表②(旧々・新制度)'!$B$8:$R$65536,14,FALSE))</f>
      </c>
      <c r="V38" s="381">
        <f>IF($B38="","",VLOOKUP($B38,'6-2_算定表②(旧々・新制度)'!$B$8:$R$65536,14,FALSE))</f>
      </c>
      <c r="W38" s="103">
        <f t="shared" si="0"/>
      </c>
      <c r="X38" s="107">
        <f t="shared" si="1"/>
      </c>
      <c r="Y38" s="103">
        <f t="shared" si="2"/>
      </c>
      <c r="Z38" s="116">
        <f t="shared" si="3"/>
      </c>
      <c r="AA38" s="113">
        <f t="shared" si="4"/>
      </c>
      <c r="AB38" s="110">
        <f t="shared" si="5"/>
      </c>
      <c r="AC38" s="61">
        <f t="shared" si="9"/>
      </c>
      <c r="AD38" s="62">
        <f t="shared" si="6"/>
      </c>
      <c r="AE38" s="854">
        <f>IF(B38="","",VLOOKUP($B38,'6-2_算定表②(旧々・新制度)'!$B$8:$AB$65536,27,FALSE))</f>
      </c>
      <c r="AF38" s="855">
        <f>IF(AD38="","",VLOOKUP($B38,'6-2_算定表③(旧・旧制度)'!$B$8:$R$65536,3,FALSE))</f>
      </c>
      <c r="AG38" s="856">
        <f>IF(AE38="","",VLOOKUP($B38,'6-2_算定表③(旧・旧制度)'!$B$8:$R$65536,3,FALSE))</f>
      </c>
      <c r="AI38" s="63">
        <f t="shared" si="10"/>
      </c>
      <c r="AJ38" s="63">
        <f t="shared" si="7"/>
      </c>
    </row>
    <row r="39" spans="1:36" s="69" customFormat="1" ht="18.75" customHeight="1" thickBot="1">
      <c r="A39" s="715" t="s">
        <v>27</v>
      </c>
      <c r="B39" s="850"/>
      <c r="C39" s="850"/>
      <c r="D39" s="850"/>
      <c r="E39" s="850"/>
      <c r="F39" s="850"/>
      <c r="G39" s="850"/>
      <c r="H39" s="850"/>
      <c r="I39" s="850"/>
      <c r="J39" s="66">
        <f>SUM(J9:J38)</f>
        <v>0</v>
      </c>
      <c r="K39" s="197" t="s">
        <v>155</v>
      </c>
      <c r="L39" s="198" t="s">
        <v>155</v>
      </c>
      <c r="M39" s="199" t="s">
        <v>155</v>
      </c>
      <c r="N39" s="197" t="s">
        <v>155</v>
      </c>
      <c r="O39" s="198" t="s">
        <v>155</v>
      </c>
      <c r="P39" s="198" t="s">
        <v>155</v>
      </c>
      <c r="Q39" s="198" t="s">
        <v>155</v>
      </c>
      <c r="R39" s="198" t="s">
        <v>155</v>
      </c>
      <c r="S39" s="198" t="s">
        <v>155</v>
      </c>
      <c r="T39" s="198" t="s">
        <v>155</v>
      </c>
      <c r="U39" s="198" t="s">
        <v>155</v>
      </c>
      <c r="V39" s="199" t="s">
        <v>155</v>
      </c>
      <c r="W39" s="197" t="s">
        <v>155</v>
      </c>
      <c r="X39" s="200" t="s">
        <v>155</v>
      </c>
      <c r="Y39" s="197" t="s">
        <v>155</v>
      </c>
      <c r="Z39" s="201" t="s">
        <v>155</v>
      </c>
      <c r="AA39" s="202" t="s">
        <v>155</v>
      </c>
      <c r="AB39" s="203" t="s">
        <v>155</v>
      </c>
      <c r="AC39" s="67">
        <f>SUM(AC9:AC38)</f>
        <v>0</v>
      </c>
      <c r="AD39" s="67">
        <f>SUM(AD9:AD38)</f>
        <v>0</v>
      </c>
      <c r="AE39" s="718"/>
      <c r="AF39" s="719"/>
      <c r="AG39" s="720"/>
      <c r="AI39" s="70"/>
      <c r="AJ39" s="70"/>
    </row>
    <row r="40" spans="1:36" s="71" customFormat="1" ht="16.5" customHeight="1">
      <c r="A40" s="71" t="s">
        <v>29</v>
      </c>
      <c r="AI40" s="72"/>
      <c r="AJ40" s="72"/>
    </row>
    <row r="41" ht="18.75" customHeight="1">
      <c r="A41" s="283" t="s">
        <v>254</v>
      </c>
    </row>
    <row r="42" ht="18.75" customHeight="1">
      <c r="A42" s="283" t="s">
        <v>71</v>
      </c>
    </row>
    <row r="43" ht="18.75" customHeight="1">
      <c r="A43" s="283" t="s">
        <v>179</v>
      </c>
    </row>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sheetData>
  <sheetProtection selectLockedCells="1" selectUnlockedCells="1"/>
  <mergeCells count="78">
    <mergeCell ref="W1:Y1"/>
    <mergeCell ref="Z1:AD1"/>
    <mergeCell ref="AF1:AG1"/>
    <mergeCell ref="W2:Y2"/>
    <mergeCell ref="Z2:AD2"/>
    <mergeCell ref="AF2:AG2"/>
    <mergeCell ref="A4:A8"/>
    <mergeCell ref="B4:B8"/>
    <mergeCell ref="C4:C8"/>
    <mergeCell ref="D4:D8"/>
    <mergeCell ref="E4:E8"/>
    <mergeCell ref="F4:J4"/>
    <mergeCell ref="I6:I7"/>
    <mergeCell ref="J6:J7"/>
    <mergeCell ref="K4:AB4"/>
    <mergeCell ref="AC4:AC7"/>
    <mergeCell ref="AD4:AD7"/>
    <mergeCell ref="AE4:AG8"/>
    <mergeCell ref="F5:J5"/>
    <mergeCell ref="K5:V5"/>
    <mergeCell ref="W5:AB5"/>
    <mergeCell ref="F6:F8"/>
    <mergeCell ref="G6:G7"/>
    <mergeCell ref="H6:H8"/>
    <mergeCell ref="K6:M6"/>
    <mergeCell ref="N6:V6"/>
    <mergeCell ref="W6:W8"/>
    <mergeCell ref="X6:X8"/>
    <mergeCell ref="Y6:Y8"/>
    <mergeCell ref="Z6:Z8"/>
    <mergeCell ref="S7:S8"/>
    <mergeCell ref="T7:T8"/>
    <mergeCell ref="U7:U8"/>
    <mergeCell ref="V7:V8"/>
    <mergeCell ref="AA6:AA8"/>
    <mergeCell ref="AB6:AB8"/>
    <mergeCell ref="K7:K8"/>
    <mergeCell ref="L7:L8"/>
    <mergeCell ref="M7:M8"/>
    <mergeCell ref="N7:N8"/>
    <mergeCell ref="O7:O8"/>
    <mergeCell ref="P7:P8"/>
    <mergeCell ref="Q7:Q8"/>
    <mergeCell ref="R7:R8"/>
    <mergeCell ref="AI7:AI8"/>
    <mergeCell ref="AJ7:AJ8"/>
    <mergeCell ref="AE9:AG9"/>
    <mergeCell ref="AE10:AG10"/>
    <mergeCell ref="AE11:AG11"/>
    <mergeCell ref="AE12:AG12"/>
    <mergeCell ref="AE13:AG13"/>
    <mergeCell ref="AE14:AG14"/>
    <mergeCell ref="AE15:AG15"/>
    <mergeCell ref="AE16:AG16"/>
    <mergeCell ref="AE17:AG17"/>
    <mergeCell ref="AE18:AG18"/>
    <mergeCell ref="AE19:AG19"/>
    <mergeCell ref="AE20:AG20"/>
    <mergeCell ref="AE21:AG21"/>
    <mergeCell ref="AE22:AG22"/>
    <mergeCell ref="AE23:AG23"/>
    <mergeCell ref="AE24:AG24"/>
    <mergeCell ref="AE25:AG25"/>
    <mergeCell ref="AE26:AG26"/>
    <mergeCell ref="AE27:AG27"/>
    <mergeCell ref="AE28:AG28"/>
    <mergeCell ref="AE29:AG29"/>
    <mergeCell ref="AE30:AG30"/>
    <mergeCell ref="AE37:AG37"/>
    <mergeCell ref="AE38:AG38"/>
    <mergeCell ref="A39:I39"/>
    <mergeCell ref="AE39:AG39"/>
    <mergeCell ref="AE31:AG31"/>
    <mergeCell ref="AE32:AG32"/>
    <mergeCell ref="AE33:AG33"/>
    <mergeCell ref="AE34:AG34"/>
    <mergeCell ref="AE35:AG35"/>
    <mergeCell ref="AE36:AG36"/>
  </mergeCells>
  <dataValidations count="2">
    <dataValidation type="list" allowBlank="1" showInputMessage="1" showErrorMessage="1" sqref="K9:V38">
      <formula1>"Ａ,Ｂ,Ｄ"</formula1>
    </dataValidation>
    <dataValidation type="whole" allowBlank="1" showInputMessage="1" showErrorMessage="1" sqref="B14:B38">
      <formula1>1</formula1>
      <formula2>999999</formula2>
    </dataValidation>
  </dataValidations>
  <printOptions/>
  <pageMargins left="0.7480314960629921" right="0.7480314960629921" top="0.984251968503937" bottom="0.984251968503937" header="0.5118110236220472" footer="0.5118110236220472"/>
  <pageSetup cellComments="asDisplayed" fitToWidth="0" horizontalDpi="600" verticalDpi="600" orientation="landscape" paperSize="9" scale="60" r:id="rId1"/>
</worksheet>
</file>

<file path=xl/worksheets/sheet9.xml><?xml version="1.0" encoding="utf-8"?>
<worksheet xmlns="http://schemas.openxmlformats.org/spreadsheetml/2006/main" xmlns:r="http://schemas.openxmlformats.org/officeDocument/2006/relationships">
  <sheetPr codeName="Sheet2">
    <tabColor rgb="FF00B050"/>
  </sheetPr>
  <dimension ref="A1:W37"/>
  <sheetViews>
    <sheetView view="pageBreakPreview" zoomScaleNormal="75" zoomScaleSheetLayoutView="100" zoomScalePageLayoutView="0" workbookViewId="0" topLeftCell="A1">
      <pane xSplit="1" ySplit="8" topLeftCell="B9" activePane="bottomRight" state="frozen"/>
      <selection pane="topLeft" activeCell="M24" sqref="M24"/>
      <selection pane="topRight" activeCell="M24" sqref="M24"/>
      <selection pane="bottomLeft" activeCell="M24" sqref="M24"/>
      <selection pane="bottomRight" activeCell="A1" sqref="A1"/>
    </sheetView>
  </sheetViews>
  <sheetFormatPr defaultColWidth="9.625" defaultRowHeight="13.5"/>
  <cols>
    <col min="1" max="1" width="6.875" style="40" customWidth="1"/>
    <col min="2" max="4" width="12.50390625" style="40" customWidth="1"/>
    <col min="5" max="5" width="10.25390625" style="40" bestFit="1" customWidth="1"/>
    <col min="6" max="6" width="13.625" style="40" customWidth="1"/>
    <col min="7" max="7" width="13.00390625" style="40" customWidth="1"/>
    <col min="8" max="8" width="11.25390625" style="40" bestFit="1" customWidth="1"/>
    <col min="9" max="10" width="12.25390625" style="40" bestFit="1" customWidth="1"/>
    <col min="11" max="11" width="5.125" style="40" customWidth="1"/>
    <col min="12" max="12" width="10.00390625" style="40" customWidth="1"/>
    <col min="13" max="13" width="8.25390625" style="40" customWidth="1"/>
    <col min="14" max="14" width="14.875" style="40" customWidth="1"/>
    <col min="15" max="15" width="8.25390625" style="40" customWidth="1"/>
    <col min="16" max="16" width="14.875" style="40" customWidth="1"/>
    <col min="17" max="17" width="8.25390625" style="344" customWidth="1"/>
    <col min="18" max="18" width="14.875" style="344" customWidth="1"/>
    <col min="19" max="19" width="3.125" style="40" customWidth="1"/>
    <col min="20" max="21" width="5.625" style="40" customWidth="1"/>
    <col min="22" max="22" width="8.25390625" style="40" customWidth="1"/>
    <col min="23" max="16384" width="9.625" style="40" customWidth="1"/>
  </cols>
  <sheetData>
    <row r="1" ht="18.75" customHeight="1" thickBot="1">
      <c r="A1" s="38" t="s">
        <v>244</v>
      </c>
    </row>
    <row r="2" spans="12:18" ht="24.75" customHeight="1" thickBot="1">
      <c r="L2" s="703" t="s">
        <v>25</v>
      </c>
      <c r="M2" s="704"/>
      <c r="N2" s="707">
        <f>'5_総括表'!E3</f>
        <v>0</v>
      </c>
      <c r="O2" s="708"/>
      <c r="P2" s="703" t="s">
        <v>26</v>
      </c>
      <c r="Q2" s="704"/>
      <c r="R2" s="180">
        <f>'5_総括表'!Z3</f>
        <v>0</v>
      </c>
    </row>
    <row r="3" spans="1:18" ht="24.75" customHeight="1" thickBot="1">
      <c r="A3" s="38"/>
      <c r="F3" s="130"/>
      <c r="G3" s="130"/>
      <c r="I3" s="130"/>
      <c r="L3" s="705" t="s">
        <v>23</v>
      </c>
      <c r="M3" s="706"/>
      <c r="N3" s="707">
        <f>'5_総括表'!E4</f>
        <v>0</v>
      </c>
      <c r="O3" s="708"/>
      <c r="P3" s="705" t="s">
        <v>24</v>
      </c>
      <c r="Q3" s="706"/>
      <c r="R3" s="414">
        <f>'5_総括表'!Z4</f>
        <v>0</v>
      </c>
    </row>
    <row r="4" spans="1:9" ht="18.75" customHeight="1" thickBot="1">
      <c r="A4" s="330" t="s">
        <v>223</v>
      </c>
      <c r="F4" s="131"/>
      <c r="G4" s="131"/>
      <c r="H4" s="131"/>
      <c r="I4" s="131"/>
    </row>
    <row r="5" spans="1:18" s="44" customFormat="1" ht="19.5" customHeight="1" thickBot="1">
      <c r="A5" s="132" t="s">
        <v>17</v>
      </c>
      <c r="B5" s="669" t="s">
        <v>125</v>
      </c>
      <c r="C5" s="334"/>
      <c r="D5" s="335"/>
      <c r="E5" s="670" t="s">
        <v>160</v>
      </c>
      <c r="F5" s="174"/>
      <c r="G5" s="175"/>
      <c r="H5" s="672" t="s">
        <v>147</v>
      </c>
      <c r="I5" s="674" t="s">
        <v>148</v>
      </c>
      <c r="J5" s="674" t="s">
        <v>149</v>
      </c>
      <c r="K5" s="664" t="s">
        <v>245</v>
      </c>
      <c r="L5" s="665"/>
      <c r="M5" s="665"/>
      <c r="N5" s="666"/>
      <c r="O5" s="667" t="s">
        <v>246</v>
      </c>
      <c r="P5" s="668"/>
      <c r="Q5" s="667" t="s">
        <v>247</v>
      </c>
      <c r="R5" s="668"/>
    </row>
    <row r="6" spans="1:20" s="44" customFormat="1" ht="38.25" customHeight="1" thickBot="1">
      <c r="A6" s="676" t="s">
        <v>119</v>
      </c>
      <c r="B6" s="670"/>
      <c r="C6" s="336" t="s">
        <v>211</v>
      </c>
      <c r="D6" s="336" t="s">
        <v>67</v>
      </c>
      <c r="E6" s="671"/>
      <c r="F6" s="133" t="s">
        <v>141</v>
      </c>
      <c r="G6" s="135" t="s">
        <v>124</v>
      </c>
      <c r="H6" s="673"/>
      <c r="I6" s="670"/>
      <c r="J6" s="675"/>
      <c r="K6" s="133" t="s">
        <v>21</v>
      </c>
      <c r="L6" s="134" t="s">
        <v>50</v>
      </c>
      <c r="M6" s="407" t="s">
        <v>49</v>
      </c>
      <c r="N6" s="408" t="s">
        <v>68</v>
      </c>
      <c r="O6" s="407" t="s">
        <v>49</v>
      </c>
      <c r="P6" s="412" t="s">
        <v>68</v>
      </c>
      <c r="Q6" s="401" t="s">
        <v>49</v>
      </c>
      <c r="R6" s="402" t="s">
        <v>68</v>
      </c>
      <c r="T6" s="137" t="s">
        <v>70</v>
      </c>
    </row>
    <row r="7" spans="1:20" s="44" customFormat="1" ht="20.25" customHeight="1" thickBot="1">
      <c r="A7" s="677"/>
      <c r="B7" s="48" t="s">
        <v>126</v>
      </c>
      <c r="C7" s="48" t="s">
        <v>127</v>
      </c>
      <c r="D7" s="48" t="s">
        <v>128</v>
      </c>
      <c r="E7" s="48" t="s">
        <v>144</v>
      </c>
      <c r="F7" s="138" t="s">
        <v>129</v>
      </c>
      <c r="G7" s="140" t="s">
        <v>130</v>
      </c>
      <c r="H7" s="170" t="s">
        <v>131</v>
      </c>
      <c r="I7" s="48" t="s">
        <v>132</v>
      </c>
      <c r="J7" s="47" t="s">
        <v>133</v>
      </c>
      <c r="K7" s="138"/>
      <c r="L7" s="139"/>
      <c r="M7" s="140"/>
      <c r="N7" s="393" t="s">
        <v>102</v>
      </c>
      <c r="O7" s="140"/>
      <c r="P7" s="141" t="s">
        <v>134</v>
      </c>
      <c r="Q7" s="403"/>
      <c r="R7" s="404"/>
      <c r="T7" s="142"/>
    </row>
    <row r="8" spans="1:18" s="149" customFormat="1" ht="20.25" customHeight="1" thickBot="1">
      <c r="A8" s="143"/>
      <c r="B8" s="144" t="s">
        <v>19</v>
      </c>
      <c r="C8" s="144" t="s">
        <v>19</v>
      </c>
      <c r="D8" s="144" t="s">
        <v>19</v>
      </c>
      <c r="E8" s="144" t="s">
        <v>145</v>
      </c>
      <c r="F8" s="145" t="s">
        <v>142</v>
      </c>
      <c r="G8" s="147" t="s">
        <v>143</v>
      </c>
      <c r="H8" s="171" t="s">
        <v>22</v>
      </c>
      <c r="I8" s="144" t="s">
        <v>22</v>
      </c>
      <c r="J8" s="144" t="s">
        <v>22</v>
      </c>
      <c r="K8" s="145"/>
      <c r="L8" s="146" t="s">
        <v>20</v>
      </c>
      <c r="M8" s="147" t="s">
        <v>19</v>
      </c>
      <c r="N8" s="395" t="s">
        <v>20</v>
      </c>
      <c r="O8" s="147" t="s">
        <v>19</v>
      </c>
      <c r="P8" s="148" t="s">
        <v>20</v>
      </c>
      <c r="Q8" s="405" t="s">
        <v>19</v>
      </c>
      <c r="R8" s="406" t="s">
        <v>20</v>
      </c>
    </row>
    <row r="9" spans="1:20" s="44" customFormat="1" ht="18" customHeight="1" thickBot="1">
      <c r="A9" s="678">
        <v>1</v>
      </c>
      <c r="B9" s="908"/>
      <c r="C9" s="908"/>
      <c r="D9" s="908"/>
      <c r="E9" s="904"/>
      <c r="F9" s="469"/>
      <c r="G9" s="470"/>
      <c r="H9" s="593">
        <f>IF(F9="","",IF(ISERROR(F9+ROUNDDOWN(G9*3/74,0)),"",F9+ROUNDDOWN(G9*3/74,0)))</f>
      </c>
      <c r="I9" s="594">
        <f>IF(H9="","",IF(H9&gt;10032,10032,H9))</f>
      </c>
      <c r="J9" s="595">
        <f>IF(H9="","",MIN(H9,I9))</f>
      </c>
      <c r="K9" s="152" t="s">
        <v>135</v>
      </c>
      <c r="L9" s="74">
        <v>1532</v>
      </c>
      <c r="M9" s="444"/>
      <c r="N9" s="445"/>
      <c r="O9" s="425">
        <f>SUMIF('6-2_算定表③(旧・旧制度)'!$AF:$AF,$T9,'6-2_算定表③(旧・旧制度)'!$AG:$AG)</f>
        <v>0</v>
      </c>
      <c r="P9" s="153">
        <f>SUMIF('6-2_算定表③(旧・旧制度)'!$AF:$AF,$T9,'6-2_算定表③(旧・旧制度)'!$AA:$AA)</f>
        <v>0</v>
      </c>
      <c r="Q9" s="427">
        <f>O9-M9</f>
        <v>0</v>
      </c>
      <c r="R9" s="428">
        <f>P9-N9</f>
        <v>0</v>
      </c>
      <c r="T9" s="154" t="str">
        <f>ASC($A$9&amp;$K9)</f>
        <v>1A</v>
      </c>
    </row>
    <row r="10" spans="1:22" s="44" customFormat="1" ht="18" customHeight="1" thickBot="1">
      <c r="A10" s="678"/>
      <c r="B10" s="909"/>
      <c r="C10" s="909"/>
      <c r="D10" s="909"/>
      <c r="E10" s="905"/>
      <c r="F10" s="469"/>
      <c r="G10" s="470"/>
      <c r="H10" s="593">
        <f>IF(F10="","",IF(ISERROR(F10+ROUNDDOWN(G10*3/74,0)),"",F10+ROUNDDOWN(G10*3/74,0)))</f>
      </c>
      <c r="I10" s="594">
        <f aca="true" t="shared" si="0" ref="I10:I18">IF(H10="","",IF(H10&gt;10032,10032,H10))</f>
      </c>
      <c r="J10" s="595">
        <f>IF(H10="","",MIN(H10,I10))</f>
      </c>
      <c r="K10" s="155" t="s">
        <v>136</v>
      </c>
      <c r="L10" s="273">
        <v>2814</v>
      </c>
      <c r="M10" s="446"/>
      <c r="N10" s="447"/>
      <c r="O10" s="429">
        <f>SUMIF('6-2_算定表③(旧・旧制度)'!$AF:$AF,$T10,'6-2_算定表③(旧・旧制度)'!$AG:$AG)</f>
        <v>0</v>
      </c>
      <c r="P10" s="157">
        <f>SUMIF('6-2_算定表③(旧・旧制度)'!$AF:$AF,$T10,'6-2_算定表③(旧・旧制度)'!$AA:$AA)</f>
        <v>0</v>
      </c>
      <c r="Q10" s="427">
        <f aca="true" t="shared" si="1" ref="Q10:R19">O10-M10</f>
        <v>0</v>
      </c>
      <c r="R10" s="428">
        <f t="shared" si="1"/>
        <v>0</v>
      </c>
      <c r="T10" s="158" t="str">
        <f>ASC($A$9&amp;$K10)</f>
        <v>1B</v>
      </c>
      <c r="V10" s="56" t="s">
        <v>8</v>
      </c>
    </row>
    <row r="11" spans="1:21" s="44" customFormat="1" ht="18" customHeight="1" thickBot="1">
      <c r="A11" s="678"/>
      <c r="B11" s="909"/>
      <c r="C11" s="909"/>
      <c r="D11" s="909"/>
      <c r="E11" s="905"/>
      <c r="F11" s="469"/>
      <c r="G11" s="470"/>
      <c r="H11" s="593">
        <f aca="true" t="shared" si="2" ref="H11:H18">IF(F11="","",IF(ISERROR(F11+ROUNDDOWN(G11*3/74,0)),"",F11+ROUNDDOWN(G11*3/74,0)))</f>
      </c>
      <c r="I11" s="594">
        <f t="shared" si="0"/>
      </c>
      <c r="J11" s="595">
        <f>IF(H11="","",MIN(H11,I11))</f>
      </c>
      <c r="K11" s="155" t="s">
        <v>137</v>
      </c>
      <c r="L11" s="274">
        <v>5220</v>
      </c>
      <c r="M11" s="446"/>
      <c r="N11" s="447"/>
      <c r="O11" s="429">
        <f>SUMIF('6-2_算定表③(旧・旧制度)'!$AF:$AF,T11,'6-2_算定表③(旧・旧制度)'!$AG:$AG)+SUMIF('6-2_算定表③(旧・旧制度)'!$AF:$AF,U11,'6-2_算定表③(旧・旧制度)'!$AG:$AG)</f>
        <v>0</v>
      </c>
      <c r="P11" s="157">
        <f>SUMIF('6-2_算定表③(旧・旧制度)'!$AF:$AF,$T11,'6-2_算定表③(旧・旧制度)'!$AA:$AA)+SUMIF('6-2_算定表③(旧・旧制度)'!$AF:$AF,U11,'6-2_算定表③(旧・旧制度)'!$AA:$AA)</f>
        <v>0</v>
      </c>
      <c r="Q11" s="431">
        <f t="shared" si="1"/>
        <v>0</v>
      </c>
      <c r="R11" s="432">
        <f t="shared" si="1"/>
        <v>0</v>
      </c>
      <c r="T11" s="158" t="str">
        <f>ASC($A$9&amp;$K11)</f>
        <v>1C</v>
      </c>
      <c r="U11" s="306"/>
    </row>
    <row r="12" spans="1:20" s="44" customFormat="1" ht="18" customHeight="1" thickBot="1">
      <c r="A12" s="678"/>
      <c r="B12" s="909"/>
      <c r="C12" s="909"/>
      <c r="D12" s="909"/>
      <c r="E12" s="905"/>
      <c r="F12" s="469"/>
      <c r="G12" s="470"/>
      <c r="H12" s="593"/>
      <c r="I12" s="594"/>
      <c r="J12" s="595"/>
      <c r="K12" s="123" t="s">
        <v>174</v>
      </c>
      <c r="L12" s="275" t="s">
        <v>173</v>
      </c>
      <c r="M12" s="446"/>
      <c r="N12" s="447"/>
      <c r="O12" s="429">
        <f>SUMIF('6-2_算定表③(旧・旧制度)'!$AF:$AF,$T12,'6-2_算定表③(旧・旧制度)'!$AG:$AG)</f>
        <v>0</v>
      </c>
      <c r="P12" s="157">
        <f>SUMIF('6-2_算定表③(旧・旧制度)'!$AF:$AF,$T12,'6-2_算定表③(旧・旧制度)'!$AA:$AA)</f>
        <v>0</v>
      </c>
      <c r="Q12" s="431">
        <f>O12-M12</f>
        <v>0</v>
      </c>
      <c r="R12" s="432">
        <f>P12-N12</f>
        <v>0</v>
      </c>
      <c r="T12" s="158" t="str">
        <f>ASC($A$9&amp;$K12)</f>
        <v>1D</v>
      </c>
    </row>
    <row r="13" spans="1:18" s="44" customFormat="1" ht="18" customHeight="1" thickBot="1">
      <c r="A13" s="678"/>
      <c r="B13" s="909"/>
      <c r="C13" s="909"/>
      <c r="D13" s="909"/>
      <c r="E13" s="906"/>
      <c r="F13" s="471"/>
      <c r="G13" s="472"/>
      <c r="H13" s="596">
        <f t="shared" si="2"/>
      </c>
      <c r="I13" s="597">
        <f t="shared" si="0"/>
      </c>
      <c r="J13" s="598">
        <f>IF(H13="","",MIN(H13,I13))</f>
      </c>
      <c r="K13" s="684" t="s">
        <v>120</v>
      </c>
      <c r="L13" s="685"/>
      <c r="M13" s="433">
        <f aca="true" t="shared" si="3" ref="M13:R13">SUM(M9:M12)</f>
        <v>0</v>
      </c>
      <c r="N13" s="434">
        <f t="shared" si="3"/>
        <v>0</v>
      </c>
      <c r="O13" s="433">
        <f t="shared" si="3"/>
        <v>0</v>
      </c>
      <c r="P13" s="161">
        <f t="shared" si="3"/>
        <v>0</v>
      </c>
      <c r="Q13" s="436">
        <f t="shared" si="3"/>
        <v>0</v>
      </c>
      <c r="R13" s="437">
        <f t="shared" si="3"/>
        <v>0</v>
      </c>
    </row>
    <row r="14" spans="1:23" s="44" customFormat="1" ht="18" customHeight="1" thickBot="1" thickTop="1">
      <c r="A14" s="686">
        <v>2</v>
      </c>
      <c r="B14" s="909"/>
      <c r="C14" s="909"/>
      <c r="D14" s="909"/>
      <c r="E14" s="910"/>
      <c r="F14" s="599"/>
      <c r="G14" s="600"/>
      <c r="H14" s="593">
        <f t="shared" si="2"/>
      </c>
      <c r="I14" s="594">
        <f t="shared" si="0"/>
      </c>
      <c r="J14" s="595">
        <f>IF(H14="","",MIN(H14,I14))</f>
      </c>
      <c r="K14" s="152" t="s">
        <v>84</v>
      </c>
      <c r="L14" s="74">
        <v>1532</v>
      </c>
      <c r="M14" s="444"/>
      <c r="N14" s="445"/>
      <c r="O14" s="425">
        <f>SUMIF('6-2_算定表③(旧・旧制度)'!$AF:$AF,$T14,'6-2_算定表③(旧・旧制度)'!$AG:$AG)</f>
        <v>0</v>
      </c>
      <c r="P14" s="153">
        <f>SUMIF('6-2_算定表③(旧・旧制度)'!$AF:$AF,$T14,'6-2_算定表③(旧・旧制度)'!$AA:$AA)</f>
        <v>0</v>
      </c>
      <c r="Q14" s="438">
        <f t="shared" si="1"/>
        <v>0</v>
      </c>
      <c r="R14" s="439">
        <f t="shared" si="1"/>
        <v>0</v>
      </c>
      <c r="T14" s="154" t="str">
        <f>ASC($A$14&amp;$K14)</f>
        <v>2A</v>
      </c>
      <c r="V14" s="162" t="s">
        <v>9</v>
      </c>
      <c r="W14" s="64" t="str">
        <f>IF(D9&gt;=O13,"OK","ERR")</f>
        <v>OK</v>
      </c>
    </row>
    <row r="15" spans="1:23" s="44" customFormat="1" ht="18" customHeight="1" thickBot="1" thickTop="1">
      <c r="A15" s="678"/>
      <c r="B15" s="909"/>
      <c r="C15" s="909"/>
      <c r="D15" s="909"/>
      <c r="E15" s="911"/>
      <c r="F15" s="599"/>
      <c r="G15" s="600"/>
      <c r="H15" s="593">
        <f t="shared" si="2"/>
      </c>
      <c r="I15" s="594">
        <f t="shared" si="0"/>
      </c>
      <c r="J15" s="595">
        <f>IF(H15="","",MIN(H15,I15))</f>
      </c>
      <c r="K15" s="155" t="s">
        <v>90</v>
      </c>
      <c r="L15" s="273">
        <v>2814</v>
      </c>
      <c r="M15" s="446"/>
      <c r="N15" s="447"/>
      <c r="O15" s="429">
        <f>SUMIF('6-2_算定表③(旧・旧制度)'!$AF:$AF,$T15,'6-2_算定表③(旧・旧制度)'!$AG:$AG)</f>
        <v>0</v>
      </c>
      <c r="P15" s="157">
        <f>SUMIF('6-2_算定表③(旧・旧制度)'!$AF:$AF,$T15,'6-2_算定表③(旧・旧制度)'!$AA:$AA)</f>
        <v>0</v>
      </c>
      <c r="Q15" s="431">
        <f t="shared" si="1"/>
        <v>0</v>
      </c>
      <c r="R15" s="432">
        <f t="shared" si="1"/>
        <v>0</v>
      </c>
      <c r="T15" s="158" t="str">
        <f>ASC($A$14&amp;$K15)</f>
        <v>2B</v>
      </c>
      <c r="V15" s="162" t="s">
        <v>10</v>
      </c>
      <c r="W15" s="64" t="str">
        <f>IF(D14&gt;=O18,"OK","ERR")</f>
        <v>OK</v>
      </c>
    </row>
    <row r="16" spans="1:23" s="44" customFormat="1" ht="18" customHeight="1" thickBot="1" thickTop="1">
      <c r="A16" s="678"/>
      <c r="B16" s="909"/>
      <c r="C16" s="909"/>
      <c r="D16" s="909"/>
      <c r="E16" s="911"/>
      <c r="F16" s="599"/>
      <c r="G16" s="600"/>
      <c r="H16" s="593">
        <f t="shared" si="2"/>
      </c>
      <c r="I16" s="594">
        <f t="shared" si="0"/>
      </c>
      <c r="J16" s="595">
        <f>IF(H16="","",MIN(H16,I16))</f>
      </c>
      <c r="K16" s="155" t="s">
        <v>91</v>
      </c>
      <c r="L16" s="274">
        <v>5220</v>
      </c>
      <c r="M16" s="446"/>
      <c r="N16" s="447"/>
      <c r="O16" s="429">
        <f>SUMIF('6-2_算定表③(旧・旧制度)'!$AF:$AF,T16,'6-2_算定表③(旧・旧制度)'!$AG:$AG)+SUMIF('6-2_算定表③(旧・旧制度)'!$AF:$AF,U16,'6-2_算定表③(旧・旧制度)'!$AG:$AG)</f>
        <v>0</v>
      </c>
      <c r="P16" s="157">
        <f>SUMIF('6-2_算定表③(旧・旧制度)'!$AF:$AF,$T16,'6-2_算定表③(旧・旧制度)'!$AA:$AA)+SUMIF('6-2_算定表③(旧・旧制度)'!$AF:$AF,U16,'6-2_算定表③(旧・旧制度)'!$AA:$AA)</f>
        <v>0</v>
      </c>
      <c r="Q16" s="431">
        <f>O16-M16</f>
        <v>0</v>
      </c>
      <c r="R16" s="432">
        <f>P16-N16</f>
        <v>0</v>
      </c>
      <c r="T16" s="158" t="str">
        <f>ASC($A$14&amp;$K16)</f>
        <v>2C</v>
      </c>
      <c r="U16" s="306"/>
      <c r="V16" s="162" t="s">
        <v>11</v>
      </c>
      <c r="W16" s="64" t="str">
        <f>IF(D19&gt;=O23,"OK","ERR")</f>
        <v>OK</v>
      </c>
    </row>
    <row r="17" spans="1:20" s="44" customFormat="1" ht="18" customHeight="1" thickBot="1">
      <c r="A17" s="678"/>
      <c r="B17" s="909"/>
      <c r="C17" s="909"/>
      <c r="D17" s="909"/>
      <c r="E17" s="911"/>
      <c r="F17" s="599"/>
      <c r="G17" s="600"/>
      <c r="H17" s="593"/>
      <c r="I17" s="594"/>
      <c r="J17" s="595"/>
      <c r="K17" s="123" t="s">
        <v>174</v>
      </c>
      <c r="L17" s="275" t="s">
        <v>155</v>
      </c>
      <c r="M17" s="444"/>
      <c r="N17" s="457"/>
      <c r="O17" s="425">
        <f>SUMIF('6-2_算定表③(旧・旧制度)'!$AF:$AF,$T17,'6-2_算定表③(旧・旧制度)'!$AG:$AG)</f>
        <v>0</v>
      </c>
      <c r="P17" s="284">
        <f>SUMIF('6-2_算定表③(旧・旧制度)'!$AF:$AF,$T17,'6-2_算定表③(旧・旧制度)'!$AA:$AA)</f>
        <v>0</v>
      </c>
      <c r="Q17" s="431">
        <f>O17-M17</f>
        <v>0</v>
      </c>
      <c r="R17" s="432">
        <f>P17-N17</f>
        <v>0</v>
      </c>
      <c r="T17" s="158" t="str">
        <f>ASC($A$14&amp;$K17)</f>
        <v>2D</v>
      </c>
    </row>
    <row r="18" spans="1:22" s="44" customFormat="1" ht="18" customHeight="1" thickBot="1">
      <c r="A18" s="687"/>
      <c r="B18" s="909"/>
      <c r="C18" s="909"/>
      <c r="D18" s="909"/>
      <c r="E18" s="912"/>
      <c r="F18" s="601"/>
      <c r="G18" s="602"/>
      <c r="H18" s="596">
        <f t="shared" si="2"/>
      </c>
      <c r="I18" s="597">
        <f t="shared" si="0"/>
      </c>
      <c r="J18" s="598">
        <f>IF(H18="","",MIN(H18,I18))</f>
      </c>
      <c r="K18" s="684" t="s">
        <v>121</v>
      </c>
      <c r="L18" s="685"/>
      <c r="M18" s="433">
        <f aca="true" t="shared" si="4" ref="M18:R18">SUM(M14:M17)</f>
        <v>0</v>
      </c>
      <c r="N18" s="434">
        <f t="shared" si="4"/>
        <v>0</v>
      </c>
      <c r="O18" s="433">
        <f t="shared" si="4"/>
        <v>0</v>
      </c>
      <c r="P18" s="161">
        <f t="shared" si="4"/>
        <v>0</v>
      </c>
      <c r="Q18" s="436">
        <f t="shared" si="4"/>
        <v>0</v>
      </c>
      <c r="R18" s="437">
        <f t="shared" si="4"/>
        <v>0</v>
      </c>
      <c r="V18" s="56"/>
    </row>
    <row r="19" spans="1:22" s="44" customFormat="1" ht="18" customHeight="1" thickBot="1">
      <c r="A19" s="686">
        <v>3</v>
      </c>
      <c r="B19" s="909"/>
      <c r="C19" s="909"/>
      <c r="D19" s="909"/>
      <c r="E19" s="910"/>
      <c r="F19" s="599"/>
      <c r="G19" s="600"/>
      <c r="H19" s="593">
        <f>IF(F19="","",IF(ISERROR(F19+ROUNDDOWN(G19*3/74,0)),"",F19+ROUNDDOWN(G19*3/74,0)))</f>
      </c>
      <c r="I19" s="594">
        <f>IF(H19="","",IF(H19&gt;10032,10032,H19))</f>
      </c>
      <c r="J19" s="595">
        <f>IF(H19="","",MIN(H19,I19))</f>
      </c>
      <c r="K19" s="152" t="s">
        <v>84</v>
      </c>
      <c r="L19" s="74">
        <v>1532</v>
      </c>
      <c r="M19" s="444"/>
      <c r="N19" s="445"/>
      <c r="O19" s="425">
        <f>SUMIF('6-2_算定表③(旧・旧制度)'!$AF:$AF,$T19,'6-2_算定表③(旧・旧制度)'!$AG:$AG)</f>
        <v>0</v>
      </c>
      <c r="P19" s="153">
        <f>SUMIF('6-2_算定表③(旧・旧制度)'!$AF:$AF,$T19,'6-2_算定表③(旧・旧制度)'!$AA:$AA)</f>
        <v>0</v>
      </c>
      <c r="Q19" s="458">
        <f t="shared" si="1"/>
        <v>0</v>
      </c>
      <c r="R19" s="459">
        <f t="shared" si="1"/>
        <v>0</v>
      </c>
      <c r="T19" s="154" t="str">
        <f>ASC($A$19&amp;$K19)</f>
        <v>3A</v>
      </c>
      <c r="V19" s="56" t="s">
        <v>13</v>
      </c>
    </row>
    <row r="20" spans="1:23" s="44" customFormat="1" ht="18" customHeight="1" thickBot="1" thickTop="1">
      <c r="A20" s="678"/>
      <c r="B20" s="909"/>
      <c r="C20" s="909"/>
      <c r="D20" s="909"/>
      <c r="E20" s="911"/>
      <c r="F20" s="599"/>
      <c r="G20" s="600"/>
      <c r="H20" s="593">
        <f>IF(F20="","",IF(ISERROR(F20+ROUNDDOWN(G20*3/74,0)),"",F20+ROUNDDOWN(G20*3/74,0)))</f>
      </c>
      <c r="I20" s="594">
        <f>IF(H20="","",IF(H20&gt;10032,10032,H20))</f>
      </c>
      <c r="J20" s="595">
        <f>IF(H20="","",MIN(H20,I20))</f>
      </c>
      <c r="K20" s="155" t="s">
        <v>90</v>
      </c>
      <c r="L20" s="273">
        <v>2814</v>
      </c>
      <c r="M20" s="446"/>
      <c r="N20" s="447"/>
      <c r="O20" s="429">
        <f>SUMIF('6-2_算定表③(旧・旧制度)'!$AF:$AF,$T20,'6-2_算定表③(旧・旧制度)'!$AG:$AG)</f>
        <v>0</v>
      </c>
      <c r="P20" s="157">
        <f>SUMIF('6-2_算定表③(旧・旧制度)'!$AF:$AF,$T20,'6-2_算定表③(旧・旧制度)'!$AA:$AA)</f>
        <v>0</v>
      </c>
      <c r="Q20" s="431">
        <f aca="true" t="shared" si="5" ref="Q20:R22">O20-M20</f>
        <v>0</v>
      </c>
      <c r="R20" s="432">
        <f t="shared" si="5"/>
        <v>0</v>
      </c>
      <c r="T20" s="158" t="str">
        <f>ASC($A$19&amp;$K20)</f>
        <v>3B</v>
      </c>
      <c r="V20" s="56" t="s">
        <v>49</v>
      </c>
      <c r="W20" s="64" t="str">
        <f>IF(O28=SUM('6-2_算定表③(旧・旧制度)'!AG8:AG44),"OK","ERR")</f>
        <v>OK</v>
      </c>
    </row>
    <row r="21" spans="1:23" s="44" customFormat="1" ht="18" customHeight="1" thickBot="1" thickTop="1">
      <c r="A21" s="678"/>
      <c r="B21" s="909"/>
      <c r="C21" s="909"/>
      <c r="D21" s="909"/>
      <c r="E21" s="911"/>
      <c r="F21" s="599"/>
      <c r="G21" s="600"/>
      <c r="H21" s="593">
        <f>IF(F21="","",IF(ISERROR(F21+ROUNDDOWN(G21*3/74,0)),"",F21+ROUNDDOWN(G21*3/74,0)))</f>
      </c>
      <c r="I21" s="594">
        <f>IF(H21="","",IF(H21&gt;10032,10032,H21))</f>
      </c>
      <c r="J21" s="595">
        <f>IF(H21="","",MIN(H21,I21))</f>
      </c>
      <c r="K21" s="155" t="s">
        <v>91</v>
      </c>
      <c r="L21" s="274">
        <v>5220</v>
      </c>
      <c r="M21" s="446"/>
      <c r="N21" s="447"/>
      <c r="O21" s="429">
        <f>SUMIF('6-2_算定表③(旧・旧制度)'!$AF:$AF,T21,'6-2_算定表③(旧・旧制度)'!$AG:$AG)+SUMIF('6-2_算定表③(旧・旧制度)'!$AF:$AF,U21,'6-2_算定表③(旧・旧制度)'!$AG:$AG)</f>
        <v>0</v>
      </c>
      <c r="P21" s="157">
        <f>SUMIF('6-2_算定表③(旧・旧制度)'!$AF:$AF,$T21,'6-2_算定表③(旧・旧制度)'!$AA:$AA)+SUMIF('6-2_算定表③(旧・旧制度)'!$AF:$AF,U21,'6-2_算定表③(旧・旧制度)'!$AA:$AA)</f>
        <v>0</v>
      </c>
      <c r="Q21" s="431">
        <f t="shared" si="5"/>
        <v>0</v>
      </c>
      <c r="R21" s="432">
        <f t="shared" si="5"/>
        <v>0</v>
      </c>
      <c r="T21" s="158" t="str">
        <f>ASC($A$19&amp;$K21)</f>
        <v>3C</v>
      </c>
      <c r="U21" s="306"/>
      <c r="V21" s="56" t="s">
        <v>12</v>
      </c>
      <c r="W21" s="64" t="str">
        <f>IF(P28='6-2_算定表③(旧・旧制度)'!AA45,"OK","ERR")</f>
        <v>OK</v>
      </c>
    </row>
    <row r="22" spans="1:20" s="44" customFormat="1" ht="18" customHeight="1" thickBot="1">
      <c r="A22" s="678"/>
      <c r="B22" s="909"/>
      <c r="C22" s="909"/>
      <c r="D22" s="909"/>
      <c r="E22" s="911"/>
      <c r="F22" s="599"/>
      <c r="G22" s="600"/>
      <c r="H22" s="593"/>
      <c r="I22" s="594"/>
      <c r="J22" s="595"/>
      <c r="K22" s="123" t="s">
        <v>174</v>
      </c>
      <c r="L22" s="275" t="s">
        <v>155</v>
      </c>
      <c r="M22" s="444"/>
      <c r="N22" s="457"/>
      <c r="O22" s="425">
        <f>SUMIF('6-2_算定表③(旧・旧制度)'!$AF:$AF,$T22,'6-2_算定表③(旧・旧制度)'!$AG:$AG)</f>
        <v>0</v>
      </c>
      <c r="P22" s="284">
        <f>SUMIF('6-2_算定表③(旧・旧制度)'!$AF:$AF,$T22,'6-2_算定表③(旧・旧制度)'!$AA:$AA)</f>
        <v>0</v>
      </c>
      <c r="Q22" s="431">
        <f t="shared" si="5"/>
        <v>0</v>
      </c>
      <c r="R22" s="432">
        <f t="shared" si="5"/>
        <v>0</v>
      </c>
      <c r="T22" s="158" t="str">
        <f>ASC($A$19&amp;$K22)</f>
        <v>3D</v>
      </c>
    </row>
    <row r="23" spans="1:22" s="44" customFormat="1" ht="18" customHeight="1" thickBot="1">
      <c r="A23" s="687"/>
      <c r="B23" s="909"/>
      <c r="C23" s="909"/>
      <c r="D23" s="909"/>
      <c r="E23" s="912"/>
      <c r="F23" s="601"/>
      <c r="G23" s="602"/>
      <c r="H23" s="596">
        <f>IF(F23="","",IF(ISERROR(F23+ROUNDDOWN(G23*3/74,0)),"",F23+ROUNDDOWN(G23*3/74,0)))</f>
      </c>
      <c r="I23" s="597">
        <f>IF(H23="","",IF(H23&gt;10032,10032,H23))</f>
      </c>
      <c r="J23" s="598">
        <f>IF(H23="","",MIN(H23,I23))</f>
      </c>
      <c r="K23" s="684" t="s">
        <v>122</v>
      </c>
      <c r="L23" s="685"/>
      <c r="M23" s="433">
        <f aca="true" t="shared" si="6" ref="M23:R23">SUM(M19:M22)</f>
        <v>0</v>
      </c>
      <c r="N23" s="434">
        <f t="shared" si="6"/>
        <v>0</v>
      </c>
      <c r="O23" s="433">
        <f t="shared" si="6"/>
        <v>0</v>
      </c>
      <c r="P23" s="161">
        <f t="shared" si="6"/>
        <v>0</v>
      </c>
      <c r="Q23" s="436">
        <f t="shared" si="6"/>
        <v>0</v>
      </c>
      <c r="R23" s="437">
        <f t="shared" si="6"/>
        <v>0</v>
      </c>
      <c r="V23" s="56"/>
    </row>
    <row r="24" spans="1:18" s="44" customFormat="1" ht="18" customHeight="1" thickBot="1">
      <c r="A24" s="696" t="s">
        <v>27</v>
      </c>
      <c r="B24" s="916">
        <f>SUM(B9:B23)</f>
        <v>0</v>
      </c>
      <c r="C24" s="916">
        <f>SUM(C9:C23)</f>
        <v>0</v>
      </c>
      <c r="D24" s="913">
        <f>SUM(D9:D23)</f>
        <v>0</v>
      </c>
      <c r="E24" s="913">
        <f>SUM(E9:E23)</f>
        <v>0</v>
      </c>
      <c r="F24" s="917"/>
      <c r="G24" s="918"/>
      <c r="H24" s="907"/>
      <c r="I24" s="903"/>
      <c r="J24" s="903"/>
      <c r="K24" s="302" t="s">
        <v>138</v>
      </c>
      <c r="L24" s="74">
        <v>1532</v>
      </c>
      <c r="M24" s="441">
        <f aca="true" t="shared" si="7" ref="M24:N27">SUM(M9,M14,M19)</f>
        <v>0</v>
      </c>
      <c r="N24" s="426">
        <f t="shared" si="7"/>
        <v>0</v>
      </c>
      <c r="O24" s="441">
        <f aca="true" t="shared" si="8" ref="O24:R27">SUM(O9,O14,O19)</f>
        <v>0</v>
      </c>
      <c r="P24" s="153">
        <f t="shared" si="8"/>
        <v>0</v>
      </c>
      <c r="Q24" s="460">
        <f t="shared" si="8"/>
        <v>0</v>
      </c>
      <c r="R24" s="461">
        <f t="shared" si="8"/>
        <v>0</v>
      </c>
    </row>
    <row r="25" spans="1:22" s="44" customFormat="1" ht="18" customHeight="1" thickBot="1">
      <c r="A25" s="697"/>
      <c r="B25" s="916"/>
      <c r="C25" s="916"/>
      <c r="D25" s="914"/>
      <c r="E25" s="914"/>
      <c r="F25" s="917"/>
      <c r="G25" s="918"/>
      <c r="H25" s="907"/>
      <c r="I25" s="903"/>
      <c r="J25" s="903"/>
      <c r="K25" s="155" t="s">
        <v>139</v>
      </c>
      <c r="L25" s="156">
        <v>2814</v>
      </c>
      <c r="M25" s="442">
        <f t="shared" si="7"/>
        <v>0</v>
      </c>
      <c r="N25" s="430">
        <f t="shared" si="7"/>
        <v>0</v>
      </c>
      <c r="O25" s="442">
        <f t="shared" si="8"/>
        <v>0</v>
      </c>
      <c r="P25" s="157">
        <f t="shared" si="8"/>
        <v>0</v>
      </c>
      <c r="Q25" s="427">
        <f t="shared" si="8"/>
        <v>0</v>
      </c>
      <c r="R25" s="428">
        <f t="shared" si="8"/>
        <v>0</v>
      </c>
      <c r="V25" s="56"/>
    </row>
    <row r="26" spans="1:18" s="44" customFormat="1" ht="18" customHeight="1" thickBot="1">
      <c r="A26" s="697"/>
      <c r="B26" s="916"/>
      <c r="C26" s="916"/>
      <c r="D26" s="914"/>
      <c r="E26" s="914"/>
      <c r="F26" s="917"/>
      <c r="G26" s="918"/>
      <c r="H26" s="907"/>
      <c r="I26" s="903"/>
      <c r="J26" s="903"/>
      <c r="K26" s="155" t="s">
        <v>140</v>
      </c>
      <c r="L26" s="272">
        <v>5220</v>
      </c>
      <c r="M26" s="442">
        <f t="shared" si="7"/>
        <v>0</v>
      </c>
      <c r="N26" s="430">
        <f t="shared" si="7"/>
        <v>0</v>
      </c>
      <c r="O26" s="442">
        <f t="shared" si="8"/>
        <v>0</v>
      </c>
      <c r="P26" s="157">
        <f t="shared" si="8"/>
        <v>0</v>
      </c>
      <c r="Q26" s="427">
        <f t="shared" si="8"/>
        <v>0</v>
      </c>
      <c r="R26" s="428">
        <f t="shared" si="8"/>
        <v>0</v>
      </c>
    </row>
    <row r="27" spans="1:18" s="44" customFormat="1" ht="18" customHeight="1" thickBot="1">
      <c r="A27" s="697"/>
      <c r="B27" s="916"/>
      <c r="C27" s="916"/>
      <c r="D27" s="914"/>
      <c r="E27" s="914"/>
      <c r="F27" s="917"/>
      <c r="G27" s="918"/>
      <c r="H27" s="907"/>
      <c r="I27" s="903"/>
      <c r="J27" s="903"/>
      <c r="K27" s="123" t="s">
        <v>174</v>
      </c>
      <c r="L27" s="275" t="s">
        <v>155</v>
      </c>
      <c r="M27" s="441">
        <f t="shared" si="7"/>
        <v>0</v>
      </c>
      <c r="N27" s="462">
        <f t="shared" si="7"/>
        <v>0</v>
      </c>
      <c r="O27" s="441">
        <f t="shared" si="8"/>
        <v>0</v>
      </c>
      <c r="P27" s="284">
        <f t="shared" si="8"/>
        <v>0</v>
      </c>
      <c r="Q27" s="431">
        <f t="shared" si="8"/>
        <v>0</v>
      </c>
      <c r="R27" s="432">
        <f t="shared" si="8"/>
        <v>0</v>
      </c>
    </row>
    <row r="28" spans="1:19" s="44" customFormat="1" ht="18" customHeight="1" thickBot="1">
      <c r="A28" s="698"/>
      <c r="B28" s="916"/>
      <c r="C28" s="916"/>
      <c r="D28" s="915"/>
      <c r="E28" s="915"/>
      <c r="F28" s="917"/>
      <c r="G28" s="918"/>
      <c r="H28" s="907"/>
      <c r="I28" s="903"/>
      <c r="J28" s="903"/>
      <c r="K28" s="684" t="s">
        <v>156</v>
      </c>
      <c r="L28" s="685"/>
      <c r="M28" s="433">
        <f aca="true" t="shared" si="9" ref="M28:R28">SUM(M24:M27)</f>
        <v>0</v>
      </c>
      <c r="N28" s="434">
        <f t="shared" si="9"/>
        <v>0</v>
      </c>
      <c r="O28" s="433">
        <f t="shared" si="9"/>
        <v>0</v>
      </c>
      <c r="P28" s="161">
        <f t="shared" si="9"/>
        <v>0</v>
      </c>
      <c r="Q28" s="436">
        <f t="shared" si="9"/>
        <v>0</v>
      </c>
      <c r="R28" s="437">
        <f t="shared" si="9"/>
        <v>0</v>
      </c>
      <c r="S28" s="169"/>
    </row>
    <row r="29" spans="1:18" s="342" customFormat="1" ht="11.25" customHeight="1">
      <c r="A29" s="337" t="s">
        <v>29</v>
      </c>
      <c r="B29" s="338"/>
      <c r="C29" s="338"/>
      <c r="D29" s="338"/>
      <c r="E29" s="338"/>
      <c r="F29" s="339"/>
      <c r="G29" s="339"/>
      <c r="H29" s="339"/>
      <c r="I29" s="339"/>
      <c r="J29" s="339"/>
      <c r="K29" s="340"/>
      <c r="L29" s="340"/>
      <c r="M29" s="338"/>
      <c r="N29" s="341"/>
      <c r="O29" s="338"/>
      <c r="P29" s="341"/>
      <c r="Q29" s="341"/>
      <c r="R29" s="341"/>
    </row>
    <row r="30" s="342" customFormat="1" ht="11.25" customHeight="1">
      <c r="A30" s="343" t="s">
        <v>150</v>
      </c>
    </row>
    <row r="31" s="344" customFormat="1" ht="11.25" customHeight="1">
      <c r="A31" s="343" t="s">
        <v>227</v>
      </c>
    </row>
    <row r="32" s="342" customFormat="1" ht="11.25" customHeight="1">
      <c r="A32" s="343" t="s">
        <v>228</v>
      </c>
    </row>
    <row r="33" s="344" customFormat="1" ht="11.25" customHeight="1">
      <c r="A33" s="343" t="s">
        <v>5</v>
      </c>
    </row>
    <row r="34" s="344" customFormat="1" ht="11.25" customHeight="1">
      <c r="A34" s="337" t="s">
        <v>151</v>
      </c>
    </row>
    <row r="35" spans="1:9" s="344" customFormat="1" ht="11.25" customHeight="1">
      <c r="A35" s="337" t="s">
        <v>152</v>
      </c>
      <c r="E35" s="353"/>
      <c r="F35" s="353"/>
      <c r="G35" s="353"/>
      <c r="H35" s="353"/>
      <c r="I35" s="353"/>
    </row>
    <row r="36" s="344" customFormat="1" ht="11.25" customHeight="1">
      <c r="A36" s="343" t="s">
        <v>6</v>
      </c>
    </row>
    <row r="37" s="344" customFormat="1" ht="11.25" customHeight="1">
      <c r="A37" s="337" t="s">
        <v>210</v>
      </c>
    </row>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sheetData>
  <sheetProtection/>
  <mergeCells count="44">
    <mergeCell ref="Q5:R5"/>
    <mergeCell ref="K5:N5"/>
    <mergeCell ref="O5:P5"/>
    <mergeCell ref="L2:M2"/>
    <mergeCell ref="N2:O2"/>
    <mergeCell ref="P2:Q2"/>
    <mergeCell ref="L3:M3"/>
    <mergeCell ref="N3:O3"/>
    <mergeCell ref="P3:Q3"/>
    <mergeCell ref="A24:A28"/>
    <mergeCell ref="F24:F28"/>
    <mergeCell ref="G24:G28"/>
    <mergeCell ref="B24:B28"/>
    <mergeCell ref="A19:A23"/>
    <mergeCell ref="B19:B23"/>
    <mergeCell ref="C9:C13"/>
    <mergeCell ref="E19:E23"/>
    <mergeCell ref="A9:A13"/>
    <mergeCell ref="C14:C18"/>
    <mergeCell ref="D14:D18"/>
    <mergeCell ref="K23:L23"/>
    <mergeCell ref="K13:L13"/>
    <mergeCell ref="K18:L18"/>
    <mergeCell ref="A14:A18"/>
    <mergeCell ref="E5:E6"/>
    <mergeCell ref="B14:B18"/>
    <mergeCell ref="I24:I28"/>
    <mergeCell ref="I5:I6"/>
    <mergeCell ref="B5:B6"/>
    <mergeCell ref="E24:E28"/>
    <mergeCell ref="D19:D23"/>
    <mergeCell ref="C19:C23"/>
    <mergeCell ref="C24:C28"/>
    <mergeCell ref="D24:D28"/>
    <mergeCell ref="J24:J28"/>
    <mergeCell ref="E9:E13"/>
    <mergeCell ref="J5:J6"/>
    <mergeCell ref="K28:L28"/>
    <mergeCell ref="H24:H28"/>
    <mergeCell ref="A6:A7"/>
    <mergeCell ref="B9:B13"/>
    <mergeCell ref="H5:H6"/>
    <mergeCell ref="D9:D13"/>
    <mergeCell ref="E14:E18"/>
  </mergeCells>
  <dataValidations count="1">
    <dataValidation type="whole" allowBlank="1" showInputMessage="1" showErrorMessage="1" sqref="E9 E14 E19 B9:D23">
      <formula1>0</formula1>
      <formula2>999999</formula2>
    </dataValidation>
  </dataValidations>
  <printOptions/>
  <pageMargins left="0.7480314960629921" right="0.7480314960629921" top="0.984251968503937" bottom="0.984251968503937" header="0.5118110236220472" footer="0.5118110236220472"/>
  <pageSetup cellComments="asDisplayed" fitToWidth="0"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藤井　翔太</cp:lastModifiedBy>
  <cp:lastPrinted>2018-02-15T05:16:30Z</cp:lastPrinted>
  <dcterms:created xsi:type="dcterms:W3CDTF">2010-06-30T04:01:38Z</dcterms:created>
  <dcterms:modified xsi:type="dcterms:W3CDTF">2018-02-15T05:18:38Z</dcterms:modified>
  <cp:category/>
  <cp:version/>
  <cp:contentType/>
  <cp:contentStatus/>
</cp:coreProperties>
</file>