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5-08" sheetId="1" r:id="rId1"/>
  </sheets>
  <definedNames>
    <definedName name="_Regression_Int" localSheetId="0" hidden="1">1</definedName>
    <definedName name="_xlnm.Print_Area" localSheetId="0">'N-15-08'!$A$1:$K$75</definedName>
    <definedName name="Print_Area_MI" localSheetId="0">'N-15-08'!$A$1:$K$75</definedName>
    <definedName name="Print_Titles_MI" localSheetId="0">'N-15-08'!#REF!</definedName>
  </definedNames>
  <calcPr fullCalcOnLoad="1"/>
</workbook>
</file>

<file path=xl/sharedStrings.xml><?xml version="1.0" encoding="utf-8"?>
<sst xmlns="http://schemas.openxmlformats.org/spreadsheetml/2006/main" count="78" uniqueCount="73">
  <si>
    <t xml:space="preserve">          第 ８ 表  </t>
  </si>
  <si>
    <t>市町村別個人住民税負担額</t>
  </si>
  <si>
    <t xml:space="preserve"> </t>
  </si>
  <si>
    <t>住      民      税</t>
  </si>
  <si>
    <t>ア）一人当たり負担額</t>
  </si>
  <si>
    <t>ア）一世帯当たり負担額</t>
  </si>
  <si>
    <t>総    額</t>
  </si>
  <si>
    <t>府 民 税</t>
  </si>
  <si>
    <t>市町村民税</t>
  </si>
  <si>
    <t>総   額</t>
  </si>
  <si>
    <t>府民税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</si>
  <si>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</si>
  <si>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</si>
  <si>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</si>
  <si>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</si>
  <si>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</si>
  <si>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</si>
  <si>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</si>
  <si>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</si>
  <si>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</si>
  <si>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</si>
  <si>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</si>
  <si>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</si>
  <si>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</si>
  <si>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</si>
  <si>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</si>
  <si>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</si>
  <si>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</si>
  <si>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</si>
  <si>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</si>
  <si>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</si>
  <si>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</si>
  <si>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</si>
  <si>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</si>
  <si>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</si>
  <si>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</si>
  <si>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</si>
  <si>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</si>
  <si>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</si>
  <si>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</si>
  <si>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</si>
  <si>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</si>
  <si>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</si>
  <si>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</si>
  <si>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</si>
  <si>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</si>
  <si>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</si>
  <si>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</si>
  <si>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</si>
  <si>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</si>
  <si>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</si>
  <si>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</si>
  <si>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</si>
  <si>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</si>
  <si>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</si>
  <si>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</si>
  <si>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</si>
  <si>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</si>
  <si>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</si>
  <si>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</si>
  <si>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</si>
  <si>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</si>
  <si>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</si>
  <si>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ア）平成１９年３月３１日現在の住民基本台帳による人口、世帯数を用いて算出した。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</si>
  <si>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</si>
  <si>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額</t>
    </r>
  </si>
  <si>
    <t>円</t>
  </si>
  <si>
    <t>１６</t>
  </si>
  <si>
    <t>１７</t>
  </si>
  <si>
    <t>１８</t>
  </si>
  <si>
    <t xml:space="preserve">  資  料    大阪府総務部市町村課、税務室指導課</t>
  </si>
  <si>
    <r>
      <t>平成１５</t>
    </r>
    <r>
      <rPr>
        <sz val="11"/>
        <rFont val="ＭＳ 明朝"/>
        <family val="1"/>
      </rPr>
      <t>年度</t>
    </r>
  </si>
  <si>
    <t>平成１９年度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</si>
</sst>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#\ ##0"/>
    <numFmt numFmtId="178" formatCode="###\ ###\ ###\ ##0;;&quot;ー&quot;"/>
    <numFmt numFmtId="179" formatCode="###\ ###\ ###\ ##0;;&quot;－&quot;"/>
    <numFmt numFmtId="180" formatCode="#\ ###\ ##0;[Red]&quot;△&quot;#\ ##0;&quot;－&quot;"/>
    <numFmt numFmtId="181" formatCode="#\ ###\ ##0;[Red]&quot;△&quot;#\ ##0;"/>
    <numFmt numFmtId="182" formatCode="###\ ###\ ###\ ##0;;"/>
    <numFmt numFmtId="183" formatCode="###\ ###\ ###"/>
    <numFmt numFmtId="184" formatCode="#\ ###\ ###\ ###"/>
    <numFmt numFmtId="185" formatCode="###\ ###\ ###.000"/>
    <numFmt numFmtId="186" formatCode="0.000_);[Red]\(0.000\)"/>
    <numFmt numFmtId="187" formatCode="0.00_);[Red]\(0.00\)"/>
    <numFmt numFmtId="188" formatCode="[&lt;=999]000;[&lt;=99999]000\-00;000\-0000"/>
    <numFmt numFmtId="189" formatCode="###\ ###\ ###;;&quot;-&quot;"/>
    <numFmt numFmtId="190" formatCode="#,##0,"/>
    <numFmt numFmtId="191" formatCode="###.0\ ###\ ###"/>
    <numFmt numFmtId="192" formatCode="###.\ ###\ ###"/>
    <numFmt numFmtId="193" formatCode="##.\ ###\ ###"/>
    <numFmt numFmtId="194" formatCode="#.\ ###\ ###"/>
    <numFmt numFmtId="195" formatCode=".\ ###\ ;####################################################################################################################################################################"/>
    <numFmt numFmtId="196" formatCode="\ #\ ###\ ###\ ###\ ##0"/>
    <numFmt numFmtId="197" formatCode="\ ###\ ###\ ###\ ##0"/>
    <numFmt numFmtId="198" formatCode="\ ###\ ###\ ###\ ###"/>
    <numFmt numFmtId="199" formatCode="#\ ###\ ##0"/>
    <numFmt numFmtId="200" formatCode="###\ ###\ ##0"/>
    <numFmt numFmtId="201" formatCode="\ ###\ ###\ ###\ ###;;&quot;-&quot;"/>
    <numFmt numFmtId="202" formatCode="\ ###\ ###\ ###\ ###;;"/>
    <numFmt numFmtId="203" formatCode="#,##0_ "/>
    <numFmt numFmtId="204" formatCode="#,##0;&quot;△&quot;#,##0;&quot;－&quot;"/>
    <numFmt numFmtId="205" formatCode="###\ ###\ ##0;&quot;△&quot;###\ ###\ ##0;&quot;－&quot;"/>
    <numFmt numFmtId="206" formatCode="###\ ###\ ##0;&quot;△&quot;###\ ###\ ##0;"/>
    <numFmt numFmtId="207" formatCode="###\ ###\ ##0;&quot;△&quot;###\ ###\ ##0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Terminal"/>
      <family val="0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1">
    <xf numFmtId="177" fontId="0" fillId="0" borderId="0" xfId="0" applyAlignment="1">
      <alignment/>
    </xf>
    <xf numFmtId="0" fontId="0" fillId="0" borderId="0" xfId="21" applyFont="1">
      <alignment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Alignment="1" quotePrefix="1">
      <alignment horizontal="left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 applyProtection="1" quotePrefix="1">
      <alignment horizontal="left"/>
      <protection/>
    </xf>
    <xf numFmtId="0" fontId="0" fillId="0" borderId="0" xfId="21" applyFont="1" applyAlignment="1">
      <alignment horizontal="centerContinuous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 applyProtection="1">
      <alignment horizontal="left"/>
      <protection/>
    </xf>
    <xf numFmtId="0" fontId="11" fillId="0" borderId="1" xfId="21" applyFont="1" applyBorder="1" applyAlignment="1">
      <alignment vertical="top"/>
      <protection/>
    </xf>
    <xf numFmtId="0" fontId="0" fillId="0" borderId="1" xfId="21" applyFont="1" applyBorder="1" applyAlignment="1">
      <alignment vertical="top"/>
      <protection/>
    </xf>
    <xf numFmtId="0" fontId="0" fillId="0" borderId="1" xfId="21" applyFont="1" applyBorder="1" applyAlignment="1" quotePrefix="1">
      <alignment horizontal="left" vertical="top"/>
      <protection/>
    </xf>
    <xf numFmtId="0" fontId="0" fillId="0" borderId="0" xfId="21" applyFont="1" applyAlignment="1">
      <alignment vertical="top"/>
      <protection/>
    </xf>
    <xf numFmtId="0" fontId="0" fillId="0" borderId="2" xfId="21" applyFont="1" applyBorder="1" applyAlignment="1" applyProtection="1">
      <alignment horizontal="centerContinuous" vertical="center"/>
      <protection/>
    </xf>
    <xf numFmtId="0" fontId="0" fillId="0" borderId="3" xfId="21" applyFont="1" applyBorder="1" applyAlignment="1" applyProtection="1">
      <alignment horizontal="centerContinuous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2" xfId="21" applyFont="1" applyBorder="1" applyAlignment="1" applyProtection="1" quotePrefix="1">
      <alignment horizontal="centerContinuous" vertical="center"/>
      <protection/>
    </xf>
    <xf numFmtId="0" fontId="0" fillId="0" borderId="2" xfId="21" applyFont="1" applyBorder="1" applyAlignment="1" applyProtection="1">
      <alignment horizontal="center" vertical="center"/>
      <protection/>
    </xf>
    <xf numFmtId="0" fontId="0" fillId="0" borderId="0" xfId="21" applyFont="1" applyAlignment="1">
      <alignment horizontal="distributed"/>
      <protection/>
    </xf>
    <xf numFmtId="0" fontId="0" fillId="0" borderId="4" xfId="21" applyFont="1" applyBorder="1" applyAlignment="1">
      <alignment horizontal="right"/>
      <protection/>
    </xf>
    <xf numFmtId="197" fontId="0" fillId="0" borderId="0" xfId="21" applyNumberFormat="1" applyFont="1" applyAlignment="1">
      <alignment horizontal="right"/>
      <protection/>
    </xf>
    <xf numFmtId="0" fontId="0" fillId="0" borderId="0" xfId="21" applyFont="1" applyAlignment="1" applyProtection="1" quotePrefix="1">
      <alignment horizontal="center"/>
      <protection/>
    </xf>
    <xf numFmtId="197" fontId="0" fillId="0" borderId="4" xfId="21" applyNumberFormat="1" applyFont="1" applyBorder="1" applyProtection="1">
      <alignment/>
      <protection/>
    </xf>
    <xf numFmtId="197" fontId="0" fillId="0" borderId="0" xfId="21" applyNumberFormat="1" applyFont="1" applyProtection="1">
      <alignment/>
      <protection/>
    </xf>
    <xf numFmtId="198" fontId="0" fillId="0" borderId="0" xfId="21" applyNumberFormat="1" applyFont="1" applyProtection="1">
      <alignment/>
      <protection/>
    </xf>
    <xf numFmtId="198" fontId="0" fillId="0" borderId="4" xfId="21" applyNumberFormat="1" applyFont="1" applyBorder="1" applyProtection="1">
      <alignment/>
      <protection/>
    </xf>
    <xf numFmtId="198" fontId="0" fillId="0" borderId="0" xfId="21" applyNumberFormat="1" applyFont="1" applyBorder="1" applyProtection="1">
      <alignment/>
      <protection/>
    </xf>
    <xf numFmtId="198" fontId="0" fillId="0" borderId="0" xfId="21" applyNumberFormat="1" applyFont="1" applyAlignment="1" applyProtection="1">
      <alignment horizontal="right"/>
      <protection/>
    </xf>
    <xf numFmtId="198" fontId="8" fillId="0" borderId="4" xfId="21" applyNumberFormat="1" applyFont="1" applyBorder="1" applyProtection="1">
      <alignment/>
      <protection/>
    </xf>
    <xf numFmtId="0" fontId="8" fillId="0" borderId="0" xfId="21" applyFont="1" applyAlignment="1" applyProtection="1" quotePrefix="1">
      <alignment horizontal="left"/>
      <protection/>
    </xf>
    <xf numFmtId="202" fontId="8" fillId="0" borderId="4" xfId="21" applyNumberFormat="1" applyFont="1" applyFill="1" applyBorder="1" applyProtection="1">
      <alignment/>
      <protection/>
    </xf>
    <xf numFmtId="202" fontId="8" fillId="0" borderId="0" xfId="21" applyNumberFormat="1" applyFont="1" applyFill="1" applyBorder="1" applyProtection="1">
      <alignment/>
      <protection/>
    </xf>
    <xf numFmtId="198" fontId="8" fillId="0" borderId="0" xfId="21" applyNumberFormat="1" applyFont="1" applyAlignment="1" applyProtection="1">
      <alignment horizontal="right"/>
      <protection/>
    </xf>
    <xf numFmtId="198" fontId="8" fillId="0" borderId="0" xfId="21" applyNumberFormat="1" applyFont="1" applyProtection="1">
      <alignment/>
      <protection/>
    </xf>
    <xf numFmtId="198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198" fontId="8" fillId="0" borderId="4" xfId="21" applyNumberFormat="1" applyFont="1" applyFill="1" applyBorder="1" applyProtection="1">
      <alignment/>
      <protection/>
    </xf>
    <xf numFmtId="198" fontId="8" fillId="0" borderId="0" xfId="21" applyNumberFormat="1" applyFont="1" applyFill="1" applyBorder="1" applyProtection="1">
      <alignment/>
      <protection/>
    </xf>
    <xf numFmtId="198" fontId="8" fillId="0" borderId="0" xfId="21" applyNumberFormat="1" applyFont="1" applyBorder="1" applyProtection="1">
      <alignment/>
      <protection/>
    </xf>
    <xf numFmtId="0" fontId="8" fillId="0" borderId="0" xfId="21" applyFont="1" applyAlignment="1" applyProtection="1">
      <alignment horizontal="distributed"/>
      <protection/>
    </xf>
    <xf numFmtId="0" fontId="0" fillId="0" borderId="0" xfId="21" applyFont="1" applyAlignment="1" applyProtection="1">
      <alignment horizontal="distributed"/>
      <protection/>
    </xf>
    <xf numFmtId="198" fontId="0" fillId="0" borderId="0" xfId="21" applyNumberFormat="1" applyFont="1">
      <alignment/>
      <protection/>
    </xf>
    <xf numFmtId="197" fontId="0" fillId="0" borderId="0" xfId="21" applyNumberFormat="1" applyFont="1" applyAlignment="1">
      <alignment horizontal="right" vertical="center"/>
      <protection/>
    </xf>
    <xf numFmtId="199" fontId="0" fillId="0" borderId="0" xfId="21" applyNumberFormat="1" applyFont="1" applyAlignment="1">
      <alignment horizontal="right" vertical="center"/>
      <protection/>
    </xf>
    <xf numFmtId="199" fontId="0" fillId="0" borderId="0" xfId="21" applyNumberFormat="1" applyFont="1" applyAlignment="1">
      <alignment horizontal="right"/>
      <protection/>
    </xf>
    <xf numFmtId="199" fontId="0" fillId="0" borderId="0" xfId="21" applyNumberFormat="1" applyFont="1" applyAlignment="1">
      <alignment vertical="center"/>
      <protection/>
    </xf>
    <xf numFmtId="199" fontId="0" fillId="0" borderId="0" xfId="21" applyNumberFormat="1" applyFont="1">
      <alignment/>
      <protection/>
    </xf>
    <xf numFmtId="0" fontId="0" fillId="0" borderId="3" xfId="21" applyFont="1" applyBorder="1">
      <alignment/>
      <protection/>
    </xf>
    <xf numFmtId="0" fontId="0" fillId="0" borderId="5" xfId="21" applyFont="1" applyBorder="1">
      <alignment/>
      <protection/>
    </xf>
    <xf numFmtId="198" fontId="0" fillId="0" borderId="3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 quotePrefix="1">
      <alignment horizontal="left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6" xfId="21" applyFont="1" applyBorder="1">
      <alignment/>
      <protection/>
    </xf>
    <xf numFmtId="0" fontId="0" fillId="0" borderId="0" xfId="21" applyFont="1" applyAlignment="1" applyProtection="1" quotePrefix="1">
      <alignment horizontal="distributed"/>
      <protection/>
    </xf>
    <xf numFmtId="0" fontId="8" fillId="0" borderId="0" xfId="21" applyFont="1" applyAlignment="1" applyProtection="1" quotePrefix="1">
      <alignment horizontal="distributed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税政Ｇ）④n-19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5.59765625" style="1" customWidth="1"/>
    <col min="2" max="2" width="0.4921875" style="1" customWidth="1"/>
    <col min="3" max="5" width="15.19921875" style="1" customWidth="1"/>
    <col min="6" max="11" width="11.59765625" style="1" customWidth="1"/>
    <col min="12" max="12" width="19.09765625" style="1" bestFit="1" customWidth="1"/>
    <col min="13" max="14" width="13.19921875" style="1" bestFit="1" customWidth="1"/>
    <col min="15" max="16384" width="10.59765625" style="1" customWidth="1"/>
  </cols>
  <sheetData>
    <row r="1" spans="1:10" ht="21.75" customHeight="1">
      <c r="A1" s="2" t="s">
        <v>0</v>
      </c>
      <c r="B1" s="2"/>
      <c r="C1" s="3"/>
      <c r="D1" s="4"/>
      <c r="E1" s="5" t="s">
        <v>1</v>
      </c>
      <c r="F1" s="6"/>
      <c r="G1" s="6"/>
      <c r="H1" s="6"/>
      <c r="I1" s="6"/>
      <c r="J1" s="6"/>
    </row>
    <row r="2" spans="3:5" ht="24" customHeight="1">
      <c r="C2" s="7" t="s">
        <v>2</v>
      </c>
      <c r="D2" s="8" t="s">
        <v>2</v>
      </c>
      <c r="E2" s="8" t="s">
        <v>2</v>
      </c>
    </row>
    <row r="3" spans="1:11" s="12" customFormat="1" ht="15" customHeight="1" thickBot="1">
      <c r="A3" s="9" t="s">
        <v>63</v>
      </c>
      <c r="B3" s="10"/>
      <c r="C3" s="11"/>
      <c r="D3" s="10"/>
      <c r="E3" s="10"/>
      <c r="F3" s="10"/>
      <c r="G3" s="10"/>
      <c r="H3" s="10"/>
      <c r="I3" s="10"/>
      <c r="J3" s="10"/>
      <c r="K3" s="10"/>
    </row>
    <row r="4" spans="1:11" ht="25.5" customHeight="1">
      <c r="A4" s="57" t="s">
        <v>64</v>
      </c>
      <c r="B4" s="58"/>
      <c r="C4" s="13" t="s">
        <v>3</v>
      </c>
      <c r="D4" s="14"/>
      <c r="E4" s="15"/>
      <c r="F4" s="16" t="s">
        <v>4</v>
      </c>
      <c r="G4" s="15"/>
      <c r="H4" s="15"/>
      <c r="I4" s="16" t="s">
        <v>5</v>
      </c>
      <c r="J4" s="15"/>
      <c r="K4" s="15"/>
    </row>
    <row r="5" spans="1:11" s="18" customFormat="1" ht="25.5" customHeight="1">
      <c r="A5" s="59"/>
      <c r="B5" s="60"/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65</v>
      </c>
      <c r="J5" s="17" t="s">
        <v>10</v>
      </c>
      <c r="K5" s="17" t="s">
        <v>8</v>
      </c>
    </row>
    <row r="6" spans="3:6" ht="15" customHeight="1">
      <c r="C6" s="19" t="s">
        <v>11</v>
      </c>
      <c r="F6" s="20" t="s">
        <v>66</v>
      </c>
    </row>
    <row r="7" spans="1:11" ht="15" customHeight="1">
      <c r="A7" s="55" t="s">
        <v>71</v>
      </c>
      <c r="B7" s="21"/>
      <c r="C7" s="22">
        <v>541168481</v>
      </c>
      <c r="D7" s="23">
        <v>152591641</v>
      </c>
      <c r="E7" s="23">
        <v>388576840</v>
      </c>
      <c r="F7" s="23">
        <v>62609</v>
      </c>
      <c r="G7" s="23">
        <v>17654</v>
      </c>
      <c r="H7" s="23">
        <v>44955</v>
      </c>
      <c r="I7" s="23">
        <v>149656</v>
      </c>
      <c r="J7" s="23">
        <v>42198</v>
      </c>
      <c r="K7" s="23">
        <v>107458</v>
      </c>
    </row>
    <row r="8" spans="1:11" ht="15" customHeight="1">
      <c r="A8" s="21" t="s">
        <v>67</v>
      </c>
      <c r="B8" s="21"/>
      <c r="C8" s="22">
        <v>522820880</v>
      </c>
      <c r="D8" s="23">
        <v>147921448</v>
      </c>
      <c r="E8" s="23">
        <v>374899432</v>
      </c>
      <c r="F8" s="23">
        <v>60104.58393260134</v>
      </c>
      <c r="G8" s="23">
        <v>16773.51266415021</v>
      </c>
      <c r="H8" s="23">
        <v>43331.07126845113</v>
      </c>
      <c r="I8" s="23">
        <v>143358.89932670316</v>
      </c>
      <c r="J8" s="23">
        <v>40850.28301192219</v>
      </c>
      <c r="K8" s="23">
        <v>102508.61631478096</v>
      </c>
    </row>
    <row r="9" spans="1:11" ht="15" customHeight="1">
      <c r="A9" s="21" t="s">
        <v>68</v>
      </c>
      <c r="B9" s="21"/>
      <c r="C9" s="22">
        <v>540682107</v>
      </c>
      <c r="D9" s="23">
        <v>152783903</v>
      </c>
      <c r="E9" s="23">
        <v>387898204</v>
      </c>
      <c r="F9" s="24">
        <v>62566</v>
      </c>
      <c r="G9" s="24">
        <v>17729</v>
      </c>
      <c r="H9" s="24">
        <v>44837</v>
      </c>
      <c r="I9" s="24">
        <v>146623</v>
      </c>
      <c r="J9" s="24">
        <v>41547</v>
      </c>
      <c r="K9" s="24">
        <v>105076</v>
      </c>
    </row>
    <row r="10" spans="1:11" ht="15" customHeight="1">
      <c r="A10" s="21" t="s">
        <v>69</v>
      </c>
      <c r="B10" s="21"/>
      <c r="C10" s="25">
        <v>590286530</v>
      </c>
      <c r="D10" s="26">
        <v>168475389</v>
      </c>
      <c r="E10" s="26">
        <v>421811144</v>
      </c>
      <c r="F10" s="27">
        <v>68133</v>
      </c>
      <c r="G10" s="27">
        <v>19446</v>
      </c>
      <c r="H10" s="24">
        <v>48687</v>
      </c>
      <c r="I10" s="27">
        <v>157928</v>
      </c>
      <c r="J10" s="27">
        <v>45075</v>
      </c>
      <c r="K10" s="24">
        <v>112853</v>
      </c>
    </row>
    <row r="11" spans="1:11" ht="12" customHeight="1">
      <c r="A11" s="21"/>
      <c r="B11" s="21"/>
      <c r="C11" s="28"/>
      <c r="D11" s="23"/>
      <c r="E11" s="23"/>
      <c r="F11" s="23"/>
      <c r="G11" s="23"/>
      <c r="H11" s="23"/>
      <c r="I11" s="23"/>
      <c r="J11" s="23"/>
      <c r="K11" s="23"/>
    </row>
    <row r="12" spans="1:14" s="35" customFormat="1" ht="15" customHeight="1">
      <c r="A12" s="56" t="s">
        <v>72</v>
      </c>
      <c r="B12" s="29"/>
      <c r="C12" s="30">
        <f>SUM(D12:E12)</f>
        <v>797630425</v>
      </c>
      <c r="D12" s="31">
        <v>311857219</v>
      </c>
      <c r="E12" s="31">
        <f>SUM(E14:E21)</f>
        <v>485773206</v>
      </c>
      <c r="F12" s="32">
        <f>SUM(G12:H12)</f>
        <v>92051</v>
      </c>
      <c r="G12" s="32">
        <f>ROUNDDOWN(D12/8665105*1000,1)</f>
        <v>35990</v>
      </c>
      <c r="H12" s="33">
        <v>56061</v>
      </c>
      <c r="I12" s="32">
        <f>SUM(J12:K12)</f>
        <v>211066.5</v>
      </c>
      <c r="J12" s="32">
        <f>ROUNDDOWN(D12/3779054*1000,1)</f>
        <v>82522.5</v>
      </c>
      <c r="K12" s="33">
        <v>128544</v>
      </c>
      <c r="L12" s="34"/>
      <c r="M12" s="34"/>
      <c r="N12" s="34"/>
    </row>
    <row r="13" spans="1:11" s="35" customFormat="1" ht="12" customHeight="1">
      <c r="A13" s="29"/>
      <c r="B13" s="29"/>
      <c r="C13" s="36"/>
      <c r="D13" s="37"/>
      <c r="E13" s="37"/>
      <c r="F13" s="32"/>
      <c r="G13" s="32"/>
      <c r="H13" s="38"/>
      <c r="I13" s="32"/>
      <c r="J13" s="32"/>
      <c r="K13" s="33"/>
    </row>
    <row r="14" spans="1:14" s="35" customFormat="1" ht="15" customHeight="1">
      <c r="A14" s="39" t="s">
        <v>12</v>
      </c>
      <c r="B14" s="39"/>
      <c r="C14" s="30">
        <f>SUM(D14:E14)</f>
        <v>223490697</v>
      </c>
      <c r="D14" s="31">
        <v>87761429</v>
      </c>
      <c r="E14" s="31">
        <f>E23</f>
        <v>135729268</v>
      </c>
      <c r="F14" s="32">
        <f aca="true" t="shared" si="0" ref="F14:F73">SUM(G14:H14)</f>
        <v>89024.3</v>
      </c>
      <c r="G14" s="32">
        <f>ROUNDDOWN(D14/2510459*1000,1)</f>
        <v>34958.3</v>
      </c>
      <c r="H14" s="31">
        <v>54066</v>
      </c>
      <c r="I14" s="32">
        <f aca="true" t="shared" si="1" ref="I14:I73">SUM(J14:K14)</f>
        <v>179835.9</v>
      </c>
      <c r="J14" s="32">
        <f>ROUNDDOWN(D14/1242746*1000,1)</f>
        <v>70618.9</v>
      </c>
      <c r="K14" s="31">
        <v>109217</v>
      </c>
      <c r="L14" s="32"/>
      <c r="M14" s="32"/>
      <c r="N14" s="32"/>
    </row>
    <row r="15" spans="1:14" s="35" customFormat="1" ht="15" customHeight="1">
      <c r="A15" s="39" t="s">
        <v>13</v>
      </c>
      <c r="B15" s="39"/>
      <c r="C15" s="30">
        <f aca="true" t="shared" si="2" ref="C15:C21">SUM(D15:E15)</f>
        <v>118496147</v>
      </c>
      <c r="D15" s="31">
        <v>46156034</v>
      </c>
      <c r="E15" s="31">
        <f>E29+E31+E36+E51+E63</f>
        <v>72340113</v>
      </c>
      <c r="F15" s="32">
        <f t="shared" si="0"/>
        <v>109599.9</v>
      </c>
      <c r="G15" s="32">
        <f>ROUNDDOWN(D15/1081166*1000,1)</f>
        <v>42690.9</v>
      </c>
      <c r="H15" s="31">
        <v>66909</v>
      </c>
      <c r="I15" s="32">
        <f t="shared" si="1"/>
        <v>261178.9</v>
      </c>
      <c r="J15" s="32">
        <f>ROUNDDOWN(D15/453698*1000,1)</f>
        <v>101732.9</v>
      </c>
      <c r="K15" s="31">
        <v>159446</v>
      </c>
      <c r="L15" s="32"/>
      <c r="M15" s="32"/>
      <c r="N15" s="32"/>
    </row>
    <row r="16" spans="1:14" s="35" customFormat="1" ht="15" customHeight="1">
      <c r="A16" s="39" t="s">
        <v>14</v>
      </c>
      <c r="B16" s="39"/>
      <c r="C16" s="30">
        <f t="shared" si="2"/>
        <v>78789836</v>
      </c>
      <c r="D16" s="31">
        <v>30670454</v>
      </c>
      <c r="E16" s="31">
        <f>E26+E27+E47+E64+E65</f>
        <v>48119382</v>
      </c>
      <c r="F16" s="32">
        <f t="shared" si="0"/>
        <v>120824.1</v>
      </c>
      <c r="G16" s="32">
        <f>ROUNDDOWN(D16/652103*1000,1)</f>
        <v>47033.1</v>
      </c>
      <c r="H16" s="31">
        <v>73791</v>
      </c>
      <c r="I16" s="32">
        <f t="shared" si="1"/>
        <v>281883.5</v>
      </c>
      <c r="J16" s="32">
        <f>ROUNDDOWN(D16/279512*1000,1)</f>
        <v>109728.5</v>
      </c>
      <c r="K16" s="31">
        <v>172155</v>
      </c>
      <c r="L16" s="32"/>
      <c r="M16" s="32"/>
      <c r="N16" s="32"/>
    </row>
    <row r="17" spans="1:14" s="35" customFormat="1" ht="15" customHeight="1">
      <c r="A17" s="39" t="s">
        <v>15</v>
      </c>
      <c r="B17" s="39"/>
      <c r="C17" s="30">
        <f t="shared" si="2"/>
        <v>103846047</v>
      </c>
      <c r="D17" s="31">
        <v>40657356</v>
      </c>
      <c r="E17" s="31">
        <f>E33+E35+E41+E44+E50+E57+E59</f>
        <v>63188691</v>
      </c>
      <c r="F17" s="32">
        <f t="shared" si="0"/>
        <v>87746</v>
      </c>
      <c r="G17" s="32">
        <f>ROUNDDOWN(D17/1183482*1000,1)</f>
        <v>34354</v>
      </c>
      <c r="H17" s="31">
        <v>53392</v>
      </c>
      <c r="I17" s="32">
        <f t="shared" si="1"/>
        <v>211469.4</v>
      </c>
      <c r="J17" s="32">
        <f>ROUNDDOWN(D17/491070*1000,1)</f>
        <v>82793.4</v>
      </c>
      <c r="K17" s="31">
        <v>128676</v>
      </c>
      <c r="L17" s="32"/>
      <c r="M17" s="32"/>
      <c r="N17" s="32"/>
    </row>
    <row r="18" spans="1:14" s="35" customFormat="1" ht="15" customHeight="1">
      <c r="A18" s="39" t="s">
        <v>16</v>
      </c>
      <c r="B18" s="39"/>
      <c r="C18" s="30">
        <f t="shared" si="2"/>
        <v>71830702</v>
      </c>
      <c r="D18" s="31">
        <v>28161914</v>
      </c>
      <c r="E18" s="31">
        <f>E37+E48+E55</f>
        <v>43668788</v>
      </c>
      <c r="F18" s="32">
        <f t="shared" si="0"/>
        <v>86157.8</v>
      </c>
      <c r="G18" s="32">
        <f>ROUNDDOWN(D18/833715*1000,1)</f>
        <v>33778.8</v>
      </c>
      <c r="H18" s="31">
        <v>52379</v>
      </c>
      <c r="I18" s="32">
        <f t="shared" si="1"/>
        <v>203235.6</v>
      </c>
      <c r="J18" s="32">
        <f>ROUNDDOWN(D18/353435*1000,1)</f>
        <v>79680.6</v>
      </c>
      <c r="K18" s="31">
        <v>123555</v>
      </c>
      <c r="L18" s="32"/>
      <c r="M18" s="32"/>
      <c r="N18" s="32"/>
    </row>
    <row r="19" spans="1:14" s="35" customFormat="1" ht="15" customHeight="1">
      <c r="A19" s="39" t="s">
        <v>17</v>
      </c>
      <c r="B19" s="39"/>
      <c r="C19" s="30">
        <f t="shared" si="2"/>
        <v>56870120</v>
      </c>
      <c r="D19" s="31">
        <v>22130730</v>
      </c>
      <c r="E19" s="31">
        <f>E39+E42+E43+E49+E54+E60+E71+E72+E73</f>
        <v>34739390</v>
      </c>
      <c r="F19" s="32">
        <f t="shared" si="0"/>
        <v>87829.1</v>
      </c>
      <c r="G19" s="32">
        <f>ROUNDDOWN(D19/647512*1000,1)</f>
        <v>34178.1</v>
      </c>
      <c r="H19" s="31">
        <v>53651</v>
      </c>
      <c r="I19" s="32">
        <f t="shared" si="1"/>
        <v>223190.5</v>
      </c>
      <c r="J19" s="32">
        <f>ROUNDDOWN(D19/254805*1000,1)</f>
        <v>86853.5</v>
      </c>
      <c r="K19" s="31">
        <v>136337</v>
      </c>
      <c r="L19" s="32"/>
      <c r="M19" s="32"/>
      <c r="N19" s="32"/>
    </row>
    <row r="20" spans="1:14" s="35" customFormat="1" ht="15" customHeight="1">
      <c r="A20" s="39" t="s">
        <v>18</v>
      </c>
      <c r="B20" s="39"/>
      <c r="C20" s="30">
        <f t="shared" si="2"/>
        <v>100528984</v>
      </c>
      <c r="D20" s="31">
        <v>39202588</v>
      </c>
      <c r="E20" s="31">
        <f>E24+E30+E45+E53+E66</f>
        <v>61326396</v>
      </c>
      <c r="F20" s="32">
        <f t="shared" si="0"/>
        <v>86101.3</v>
      </c>
      <c r="G20" s="32">
        <f>ROUNDDOWN(D20/1167566*1000,1)</f>
        <v>33576.3</v>
      </c>
      <c r="H20" s="31">
        <v>52525</v>
      </c>
      <c r="I20" s="32">
        <f t="shared" si="1"/>
        <v>210741.2</v>
      </c>
      <c r="J20" s="32">
        <f>ROUNDDOWN(D20/477026*1000,1)</f>
        <v>82181.2</v>
      </c>
      <c r="K20" s="31">
        <v>128560</v>
      </c>
      <c r="L20" s="32"/>
      <c r="M20" s="32"/>
      <c r="N20" s="32"/>
    </row>
    <row r="21" spans="1:14" s="35" customFormat="1" ht="15" customHeight="1">
      <c r="A21" s="39" t="s">
        <v>19</v>
      </c>
      <c r="B21" s="39"/>
      <c r="C21" s="30">
        <f t="shared" si="2"/>
        <v>43777893</v>
      </c>
      <c r="D21" s="31">
        <v>17116715</v>
      </c>
      <c r="E21" s="31">
        <f>E25+E32+E38+E56+E61+E67+E69+E70</f>
        <v>26661178</v>
      </c>
      <c r="F21" s="32">
        <f t="shared" si="0"/>
        <v>74312.6</v>
      </c>
      <c r="G21" s="32">
        <f>ROUNDDOWN(D21/589102*1000,1)</f>
        <v>29055.6</v>
      </c>
      <c r="H21" s="31">
        <v>45257</v>
      </c>
      <c r="I21" s="32">
        <f t="shared" si="1"/>
        <v>193056.1</v>
      </c>
      <c r="J21" s="32">
        <f>ROUNDDOWN(D21/226762*1000,1)</f>
        <v>75483.1</v>
      </c>
      <c r="K21" s="31">
        <v>117573</v>
      </c>
      <c r="L21" s="32"/>
      <c r="M21" s="32"/>
      <c r="N21" s="32"/>
    </row>
    <row r="22" spans="1:11" s="35" customFormat="1" ht="12" customHeight="1">
      <c r="A22" s="39"/>
      <c r="B22" s="39"/>
      <c r="C22" s="28"/>
      <c r="D22" s="38"/>
      <c r="E22" s="38"/>
      <c r="F22" s="32"/>
      <c r="G22" s="27"/>
      <c r="H22" s="33"/>
      <c r="I22" s="32"/>
      <c r="J22" s="27"/>
      <c r="K22" s="33"/>
    </row>
    <row r="23" spans="1:14" ht="15" customHeight="1">
      <c r="A23" s="40" t="s">
        <v>20</v>
      </c>
      <c r="B23" s="40"/>
      <c r="C23" s="25">
        <f>SUM(D23:E23)</f>
        <v>223490697</v>
      </c>
      <c r="D23" s="26">
        <v>87761429</v>
      </c>
      <c r="E23" s="26">
        <v>135729268</v>
      </c>
      <c r="F23" s="27">
        <f t="shared" si="0"/>
        <v>89024.3</v>
      </c>
      <c r="G23" s="27">
        <f>ROUNDDOWN(D23/2510459*1000,1)</f>
        <v>34958.3</v>
      </c>
      <c r="H23" s="24">
        <v>54066</v>
      </c>
      <c r="I23" s="27">
        <f t="shared" si="1"/>
        <v>179835.9</v>
      </c>
      <c r="J23" s="27">
        <f>ROUNDDOWN(D23/1242746*1000,1)</f>
        <v>70618.9</v>
      </c>
      <c r="K23" s="24">
        <v>109217</v>
      </c>
      <c r="L23" s="42"/>
      <c r="M23" s="43"/>
      <c r="N23" s="44"/>
    </row>
    <row r="24" spans="1:14" ht="15" customHeight="1">
      <c r="A24" s="40" t="s">
        <v>21</v>
      </c>
      <c r="B24" s="40"/>
      <c r="C24" s="25">
        <f aca="true" t="shared" si="3" ref="C24:C74">SUM(D24:E24)</f>
        <v>72746283</v>
      </c>
      <c r="D24" s="26">
        <v>28349747</v>
      </c>
      <c r="E24" s="26">
        <v>44396536</v>
      </c>
      <c r="F24" s="27">
        <f t="shared" si="0"/>
        <v>87465.8</v>
      </c>
      <c r="G24" s="27">
        <f>ROUNDDOWN(D24/831715*1000,1)</f>
        <v>34085.8</v>
      </c>
      <c r="H24" s="24">
        <v>53380</v>
      </c>
      <c r="I24" s="27">
        <f t="shared" si="1"/>
        <v>209255.2</v>
      </c>
      <c r="J24" s="27">
        <f>ROUNDDOWN(D24/347644*1000,1)</f>
        <v>81548.2</v>
      </c>
      <c r="K24" s="24">
        <v>127707</v>
      </c>
      <c r="L24" s="42"/>
      <c r="M24" s="45"/>
      <c r="N24" s="46"/>
    </row>
    <row r="25" spans="1:14" ht="15" customHeight="1">
      <c r="A25" s="40" t="s">
        <v>22</v>
      </c>
      <c r="B25" s="40"/>
      <c r="C25" s="25">
        <f t="shared" si="3"/>
        <v>15198100</v>
      </c>
      <c r="D25" s="26">
        <v>5937070</v>
      </c>
      <c r="E25" s="26">
        <v>9261030</v>
      </c>
      <c r="F25" s="27">
        <f t="shared" si="0"/>
        <v>75044.6</v>
      </c>
      <c r="G25" s="27">
        <f>ROUNDDOWN(D25/202522*1000,1)</f>
        <v>29315.6</v>
      </c>
      <c r="H25" s="24">
        <v>45729</v>
      </c>
      <c r="I25" s="27">
        <f t="shared" si="1"/>
        <v>192981.5</v>
      </c>
      <c r="J25" s="27">
        <f>ROUNDDOWN(D25/78754*1000,1)</f>
        <v>75387.5</v>
      </c>
      <c r="K25" s="24">
        <v>117594</v>
      </c>
      <c r="L25" s="42"/>
      <c r="M25" s="45"/>
      <c r="N25" s="46"/>
    </row>
    <row r="26" spans="1:14" ht="15" customHeight="1">
      <c r="A26" s="40" t="s">
        <v>23</v>
      </c>
      <c r="B26" s="40"/>
      <c r="C26" s="25">
        <f t="shared" si="3"/>
        <v>46297922</v>
      </c>
      <c r="D26" s="26">
        <v>18060735</v>
      </c>
      <c r="E26" s="26">
        <v>28237187</v>
      </c>
      <c r="F26" s="27">
        <f t="shared" si="0"/>
        <v>119255</v>
      </c>
      <c r="G26" s="27">
        <f>ROUNDDOWN(D26/388227*1000,1)</f>
        <v>46521</v>
      </c>
      <c r="H26" s="24">
        <v>72734</v>
      </c>
      <c r="I26" s="27">
        <f t="shared" si="1"/>
        <v>270223.6</v>
      </c>
      <c r="J26" s="27">
        <f>ROUNDDOWN(D26/171332*1000,1)</f>
        <v>105413.6</v>
      </c>
      <c r="K26" s="24">
        <v>164810</v>
      </c>
      <c r="L26" s="42"/>
      <c r="M26" s="45"/>
      <c r="N26" s="46"/>
    </row>
    <row r="27" spans="1:14" ht="15" customHeight="1">
      <c r="A27" s="40" t="s">
        <v>24</v>
      </c>
      <c r="B27" s="40"/>
      <c r="C27" s="25">
        <f t="shared" si="3"/>
        <v>11628684</v>
      </c>
      <c r="D27" s="26">
        <v>4527182</v>
      </c>
      <c r="E27" s="26">
        <v>7101502</v>
      </c>
      <c r="F27" s="27">
        <f t="shared" si="0"/>
        <v>114780.1</v>
      </c>
      <c r="G27" s="27">
        <f>ROUNDDOWN(D27/101313*1000,1)</f>
        <v>44685.1</v>
      </c>
      <c r="H27" s="24">
        <v>70095</v>
      </c>
      <c r="I27" s="27">
        <f t="shared" si="1"/>
        <v>268133.5</v>
      </c>
      <c r="J27" s="27">
        <f>ROUNDDOWN(D27/43369*1000,1)</f>
        <v>104387.5</v>
      </c>
      <c r="K27" s="24">
        <v>163746</v>
      </c>
      <c r="L27" s="42"/>
      <c r="M27" s="45"/>
      <c r="N27" s="46"/>
    </row>
    <row r="28" spans="1:12" ht="12" customHeight="1">
      <c r="A28" s="40"/>
      <c r="B28" s="40"/>
      <c r="C28" s="25"/>
      <c r="D28" s="26"/>
      <c r="E28" s="41"/>
      <c r="F28" s="27"/>
      <c r="G28" s="27"/>
      <c r="H28" s="41"/>
      <c r="I28" s="27"/>
      <c r="J28" s="27"/>
      <c r="K28" s="41"/>
      <c r="L28" s="42"/>
    </row>
    <row r="29" spans="1:14" ht="15" customHeight="1">
      <c r="A29" s="40" t="s">
        <v>25</v>
      </c>
      <c r="B29" s="40"/>
      <c r="C29" s="25">
        <f t="shared" si="3"/>
        <v>44066842</v>
      </c>
      <c r="D29" s="26">
        <v>17113070</v>
      </c>
      <c r="E29" s="41">
        <v>26953772</v>
      </c>
      <c r="F29" s="27">
        <f t="shared" si="0"/>
        <v>127353.8</v>
      </c>
      <c r="G29" s="27">
        <f>ROUNDDOWN(D29/346020*1000,1)</f>
        <v>49456.8</v>
      </c>
      <c r="H29" s="41">
        <v>77897</v>
      </c>
      <c r="I29" s="27">
        <f t="shared" si="1"/>
        <v>296355.6</v>
      </c>
      <c r="J29" s="27">
        <f>ROUNDDOWN(D29/148696*1000,1)</f>
        <v>115087.6</v>
      </c>
      <c r="K29" s="41">
        <v>181268</v>
      </c>
      <c r="L29" s="42"/>
      <c r="M29" s="45"/>
      <c r="N29" s="46"/>
    </row>
    <row r="30" spans="1:14" ht="15" customHeight="1">
      <c r="A30" s="40" t="s">
        <v>26</v>
      </c>
      <c r="B30" s="40"/>
      <c r="C30" s="25">
        <f t="shared" si="3"/>
        <v>6078597</v>
      </c>
      <c r="D30" s="26">
        <v>2373771</v>
      </c>
      <c r="E30" s="26">
        <v>3704826</v>
      </c>
      <c r="F30" s="27">
        <f t="shared" si="0"/>
        <v>78839.8</v>
      </c>
      <c r="G30" s="27">
        <f>ROUNDDOWN(D30/77101*1000,1)</f>
        <v>30787.8</v>
      </c>
      <c r="H30" s="24">
        <v>48052</v>
      </c>
      <c r="I30" s="27">
        <f t="shared" si="1"/>
        <v>194005.8</v>
      </c>
      <c r="J30" s="27">
        <f>ROUNDDOWN(D30/31332*1000,1)</f>
        <v>75761.8</v>
      </c>
      <c r="K30" s="24">
        <v>118244</v>
      </c>
      <c r="L30" s="42"/>
      <c r="M30" s="45"/>
      <c r="N30" s="46"/>
    </row>
    <row r="31" spans="1:14" ht="15" customHeight="1">
      <c r="A31" s="40" t="s">
        <v>27</v>
      </c>
      <c r="B31" s="40"/>
      <c r="C31" s="25">
        <f t="shared" si="3"/>
        <v>35181107</v>
      </c>
      <c r="D31" s="26">
        <v>13719059</v>
      </c>
      <c r="E31" s="26">
        <v>21462048</v>
      </c>
      <c r="F31" s="27">
        <f t="shared" si="0"/>
        <v>98802.4</v>
      </c>
      <c r="G31" s="27">
        <f>ROUNDDOWN(D31/356076*1000,1)</f>
        <v>38528.4</v>
      </c>
      <c r="H31" s="24">
        <v>60274</v>
      </c>
      <c r="I31" s="27">
        <f t="shared" si="1"/>
        <v>237159.3</v>
      </c>
      <c r="J31" s="27">
        <f>ROUNDDOWN(D31/148344*1000,1)</f>
        <v>92481.3</v>
      </c>
      <c r="K31" s="24">
        <v>144678</v>
      </c>
      <c r="L31" s="42"/>
      <c r="M31" s="45"/>
      <c r="N31" s="46"/>
    </row>
    <row r="32" spans="1:14" ht="15" customHeight="1">
      <c r="A32" s="40" t="s">
        <v>28</v>
      </c>
      <c r="B32" s="40"/>
      <c r="C32" s="25">
        <f t="shared" si="3"/>
        <v>6623501</v>
      </c>
      <c r="D32" s="26">
        <v>2585985</v>
      </c>
      <c r="E32" s="26">
        <v>4037516</v>
      </c>
      <c r="F32" s="27">
        <f t="shared" si="0"/>
        <v>73588.9</v>
      </c>
      <c r="G32" s="27">
        <f>ROUNDDOWN(D32/90007*1000,1)</f>
        <v>28730.9</v>
      </c>
      <c r="H32" s="24">
        <v>44858</v>
      </c>
      <c r="I32" s="27">
        <f t="shared" si="1"/>
        <v>193466</v>
      </c>
      <c r="J32" s="27">
        <f>ROUNDDOWN(D32/34236*1000,1)</f>
        <v>75534</v>
      </c>
      <c r="K32" s="24">
        <v>117932</v>
      </c>
      <c r="L32" s="42"/>
      <c r="M32" s="45"/>
      <c r="N32" s="46"/>
    </row>
    <row r="33" spans="1:14" ht="15" customHeight="1">
      <c r="A33" s="40" t="s">
        <v>29</v>
      </c>
      <c r="B33" s="40"/>
      <c r="C33" s="25">
        <f t="shared" si="3"/>
        <v>11452126</v>
      </c>
      <c r="D33" s="26">
        <v>4511267</v>
      </c>
      <c r="E33" s="26">
        <v>6940859</v>
      </c>
      <c r="F33" s="27">
        <f t="shared" si="0"/>
        <v>78826.5</v>
      </c>
      <c r="G33" s="27">
        <f>ROUNDDOWN(D33/145283*1000,1)</f>
        <v>31051.5</v>
      </c>
      <c r="H33" s="24">
        <v>47775</v>
      </c>
      <c r="I33" s="27">
        <f t="shared" si="1"/>
        <v>174527.4</v>
      </c>
      <c r="J33" s="27">
        <f>ROUNDDOWN(D33/65618*1000,1)</f>
        <v>68750.4</v>
      </c>
      <c r="K33" s="24">
        <v>105777</v>
      </c>
      <c r="L33" s="42"/>
      <c r="M33" s="45"/>
      <c r="N33" s="46"/>
    </row>
    <row r="34" spans="1:14" ht="12" customHeight="1">
      <c r="A34" s="40"/>
      <c r="B34" s="40"/>
      <c r="C34" s="25"/>
      <c r="D34" s="26"/>
      <c r="F34" s="27"/>
      <c r="G34" s="27"/>
      <c r="H34" s="41"/>
      <c r="I34" s="27"/>
      <c r="J34" s="27"/>
      <c r="K34" s="41"/>
      <c r="L34" s="42"/>
      <c r="M34" s="45"/>
      <c r="N34" s="46"/>
    </row>
    <row r="35" spans="1:14" ht="15" customHeight="1">
      <c r="A35" s="40" t="s">
        <v>30</v>
      </c>
      <c r="B35" s="40"/>
      <c r="C35" s="25">
        <f t="shared" si="3"/>
        <v>40321202</v>
      </c>
      <c r="D35" s="26">
        <v>15694380</v>
      </c>
      <c r="E35" s="41">
        <v>24626822</v>
      </c>
      <c r="F35" s="27">
        <f t="shared" si="0"/>
        <v>99571.9</v>
      </c>
      <c r="G35" s="27">
        <f>ROUNDDOWN(D35/404944*1000,1)</f>
        <v>38756.9</v>
      </c>
      <c r="H35" s="24">
        <v>60815</v>
      </c>
      <c r="I35" s="27">
        <f t="shared" si="1"/>
        <v>249044.3</v>
      </c>
      <c r="J35" s="27">
        <f>ROUNDDOWN(D35/161904*1000,1)</f>
        <v>96936.3</v>
      </c>
      <c r="K35" s="24">
        <v>152108</v>
      </c>
      <c r="L35" s="42"/>
      <c r="M35" s="45"/>
      <c r="N35" s="46"/>
    </row>
    <row r="36" spans="1:14" ht="15" customHeight="1">
      <c r="A36" s="40" t="s">
        <v>31</v>
      </c>
      <c r="B36" s="40"/>
      <c r="C36" s="25">
        <f t="shared" si="3"/>
        <v>28875860</v>
      </c>
      <c r="D36" s="26">
        <v>11254979</v>
      </c>
      <c r="E36" s="26">
        <v>17620881</v>
      </c>
      <c r="F36" s="27">
        <f t="shared" si="0"/>
        <v>108332.9</v>
      </c>
      <c r="G36" s="27">
        <f>ROUNDDOWN(D36/266548*1000,1)</f>
        <v>42224.9</v>
      </c>
      <c r="H36" s="41">
        <v>66108</v>
      </c>
      <c r="I36" s="27">
        <f t="shared" si="1"/>
        <v>262863.7</v>
      </c>
      <c r="J36" s="27">
        <f>ROUNDDOWN(D36/109851*1000,1)</f>
        <v>102456.7</v>
      </c>
      <c r="K36" s="41">
        <v>160407</v>
      </c>
      <c r="L36" s="42"/>
      <c r="M36" s="45"/>
      <c r="N36" s="46"/>
    </row>
    <row r="37" spans="1:14" ht="15" customHeight="1">
      <c r="A37" s="40" t="s">
        <v>32</v>
      </c>
      <c r="B37" s="40"/>
      <c r="C37" s="25">
        <f t="shared" si="3"/>
        <v>24052229</v>
      </c>
      <c r="D37" s="26">
        <v>9370452</v>
      </c>
      <c r="E37" s="41">
        <v>14681777</v>
      </c>
      <c r="F37" s="27">
        <f t="shared" si="0"/>
        <v>90202.7</v>
      </c>
      <c r="G37" s="27">
        <f>ROUNDDOWN(D37/266647*1000,1)</f>
        <v>35141.7</v>
      </c>
      <c r="H37" s="24">
        <v>55061</v>
      </c>
      <c r="I37" s="27">
        <f t="shared" si="1"/>
        <v>217150.1</v>
      </c>
      <c r="J37" s="27">
        <f>ROUNDDOWN(D37/110763*1000,1)</f>
        <v>84599.1</v>
      </c>
      <c r="K37" s="24">
        <v>132551</v>
      </c>
      <c r="L37" s="42"/>
      <c r="M37" s="45"/>
      <c r="N37" s="46"/>
    </row>
    <row r="38" spans="1:14" ht="15" customHeight="1">
      <c r="A38" s="40" t="s">
        <v>33</v>
      </c>
      <c r="B38" s="40"/>
      <c r="C38" s="25">
        <f t="shared" si="3"/>
        <v>7295979</v>
      </c>
      <c r="D38" s="26">
        <v>2856900</v>
      </c>
      <c r="E38" s="26">
        <v>4439079</v>
      </c>
      <c r="F38" s="27">
        <f t="shared" si="0"/>
        <v>71933</v>
      </c>
      <c r="G38" s="27">
        <f>ROUNDDOWN(D38/101427*1000,1)</f>
        <v>28167</v>
      </c>
      <c r="H38" s="24">
        <v>43766</v>
      </c>
      <c r="I38" s="27">
        <f t="shared" si="1"/>
        <v>179055.1</v>
      </c>
      <c r="J38" s="27">
        <f>ROUNDDOWN(D38/40747*1000,1)</f>
        <v>70113.1</v>
      </c>
      <c r="K38" s="24">
        <v>108942</v>
      </c>
      <c r="L38" s="42"/>
      <c r="M38" s="45"/>
      <c r="N38" s="46"/>
    </row>
    <row r="39" spans="1:14" ht="15" customHeight="1">
      <c r="A39" s="40" t="s">
        <v>34</v>
      </c>
      <c r="B39" s="40"/>
      <c r="C39" s="25">
        <f t="shared" si="3"/>
        <v>11011311</v>
      </c>
      <c r="D39" s="26">
        <v>4290941</v>
      </c>
      <c r="E39" s="26">
        <v>6720370</v>
      </c>
      <c r="F39" s="27">
        <f t="shared" si="0"/>
        <v>89961.7</v>
      </c>
      <c r="G39" s="27">
        <f>ROUNDDOWN(D39/122400*1000,1)</f>
        <v>35056.7</v>
      </c>
      <c r="H39" s="24">
        <v>54905</v>
      </c>
      <c r="I39" s="27">
        <f t="shared" si="1"/>
        <v>226803.8</v>
      </c>
      <c r="J39" s="27">
        <f>ROUNDDOWN(D39/48550*1000,1)</f>
        <v>88381.8</v>
      </c>
      <c r="K39" s="24">
        <v>138422</v>
      </c>
      <c r="L39" s="42"/>
      <c r="M39" s="45"/>
      <c r="N39" s="46"/>
    </row>
    <row r="40" spans="1:14" ht="12" customHeight="1">
      <c r="A40" s="40"/>
      <c r="B40" s="40"/>
      <c r="C40" s="25"/>
      <c r="D40" s="26"/>
      <c r="F40" s="27"/>
      <c r="G40" s="27"/>
      <c r="H40" s="41"/>
      <c r="I40" s="27"/>
      <c r="J40" s="27"/>
      <c r="K40" s="41"/>
      <c r="L40" s="42"/>
      <c r="M40" s="45"/>
      <c r="N40" s="46"/>
    </row>
    <row r="41" spans="1:14" ht="15" customHeight="1">
      <c r="A41" s="40" t="s">
        <v>35</v>
      </c>
      <c r="B41" s="40"/>
      <c r="C41" s="25">
        <f t="shared" si="3"/>
        <v>19869794</v>
      </c>
      <c r="D41" s="26">
        <v>7810738</v>
      </c>
      <c r="E41" s="26">
        <v>12059056</v>
      </c>
      <c r="F41" s="27">
        <f t="shared" si="0"/>
        <v>82438.2</v>
      </c>
      <c r="G41" s="27">
        <f>ROUNDDOWN(D41/241026*1000,1)</f>
        <v>32406.2</v>
      </c>
      <c r="H41" s="24">
        <v>50032</v>
      </c>
      <c r="I41" s="27">
        <f t="shared" si="1"/>
        <v>195900.7</v>
      </c>
      <c r="J41" s="27">
        <f>ROUNDDOWN(D41/101428*1000,1)</f>
        <v>77007.7</v>
      </c>
      <c r="K41" s="24">
        <v>118893</v>
      </c>
      <c r="L41" s="42"/>
      <c r="M41" s="45"/>
      <c r="N41" s="46"/>
    </row>
    <row r="42" spans="1:14" ht="15" customHeight="1">
      <c r="A42" s="40" t="s">
        <v>36</v>
      </c>
      <c r="B42" s="40"/>
      <c r="C42" s="25">
        <f t="shared" si="3"/>
        <v>11434579</v>
      </c>
      <c r="D42" s="26">
        <v>4431151</v>
      </c>
      <c r="E42" s="41">
        <v>7003428</v>
      </c>
      <c r="F42" s="27">
        <f t="shared" si="0"/>
        <v>97499.3</v>
      </c>
      <c r="G42" s="27">
        <f>ROUNDDOWN(D42/117278*1000,1)</f>
        <v>37783.3</v>
      </c>
      <c r="H42" s="24">
        <v>59716</v>
      </c>
      <c r="I42" s="27">
        <f t="shared" si="1"/>
        <v>255475.4</v>
      </c>
      <c r="J42" s="27">
        <f>ROUNDDOWN(D42/44758*1000,1)</f>
        <v>99002.4</v>
      </c>
      <c r="K42" s="24">
        <v>156473</v>
      </c>
      <c r="L42" s="42"/>
      <c r="M42" s="45"/>
      <c r="N42" s="46"/>
    </row>
    <row r="43" spans="1:14" ht="15" customHeight="1">
      <c r="A43" s="40" t="s">
        <v>37</v>
      </c>
      <c r="B43" s="40"/>
      <c r="C43" s="25">
        <f t="shared" si="3"/>
        <v>9328889</v>
      </c>
      <c r="D43" s="26">
        <v>3645744</v>
      </c>
      <c r="E43" s="26">
        <v>5683145</v>
      </c>
      <c r="F43" s="27">
        <f t="shared" si="0"/>
        <v>73729.9</v>
      </c>
      <c r="G43" s="27">
        <f>ROUNDDOWN(D43/126527*1000,1)</f>
        <v>28813.9</v>
      </c>
      <c r="H43" s="41">
        <v>44916</v>
      </c>
      <c r="I43" s="27">
        <f t="shared" si="1"/>
        <v>181340.2</v>
      </c>
      <c r="J43" s="27">
        <f>ROUNDDOWN(D43/51444*1000,1)</f>
        <v>70868.2</v>
      </c>
      <c r="K43" s="41">
        <v>110472</v>
      </c>
      <c r="L43" s="42"/>
      <c r="M43" s="45"/>
      <c r="N43" s="46"/>
    </row>
    <row r="44" spans="1:14" ht="15" customHeight="1">
      <c r="A44" s="40" t="s">
        <v>38</v>
      </c>
      <c r="B44" s="40"/>
      <c r="C44" s="25">
        <f t="shared" si="3"/>
        <v>9889798</v>
      </c>
      <c r="D44" s="26">
        <v>3890859</v>
      </c>
      <c r="E44" s="26">
        <v>5998939</v>
      </c>
      <c r="F44" s="27">
        <f t="shared" si="0"/>
        <v>78637.7</v>
      </c>
      <c r="G44" s="27">
        <f>ROUNDDOWN(D44/125764*1000,1)</f>
        <v>30937.7</v>
      </c>
      <c r="H44" s="24">
        <v>47700</v>
      </c>
      <c r="I44" s="27">
        <f t="shared" si="1"/>
        <v>190816</v>
      </c>
      <c r="J44" s="27">
        <f>ROUNDDOWN(D44/51829*1000,1)</f>
        <v>75071</v>
      </c>
      <c r="K44" s="24">
        <v>115745</v>
      </c>
      <c r="L44" s="42"/>
      <c r="M44" s="45"/>
      <c r="N44" s="46"/>
    </row>
    <row r="45" spans="1:14" ht="15" customHeight="1">
      <c r="A45" s="40" t="s">
        <v>39</v>
      </c>
      <c r="B45" s="40"/>
      <c r="C45" s="25">
        <f t="shared" si="3"/>
        <v>15035733</v>
      </c>
      <c r="D45" s="26">
        <v>5873036</v>
      </c>
      <c r="E45" s="41">
        <v>9162697</v>
      </c>
      <c r="F45" s="27">
        <f t="shared" si="0"/>
        <v>83256.6</v>
      </c>
      <c r="G45" s="27">
        <f>ROUNDDOWN(D45/180594*1000,1)</f>
        <v>32520.6</v>
      </c>
      <c r="H45" s="24">
        <v>50736</v>
      </c>
      <c r="I45" s="27">
        <f t="shared" si="1"/>
        <v>224032.3</v>
      </c>
      <c r="J45" s="27">
        <f>ROUNDDOWN(D45/67114*1000,1)</f>
        <v>87508.3</v>
      </c>
      <c r="K45" s="24">
        <v>136524</v>
      </c>
      <c r="L45" s="42"/>
      <c r="M45" s="45"/>
      <c r="N45" s="46"/>
    </row>
    <row r="46" spans="1:14" ht="12" customHeight="1">
      <c r="A46" s="40"/>
      <c r="B46" s="40"/>
      <c r="C46" s="25"/>
      <c r="D46" s="26"/>
      <c r="F46" s="27"/>
      <c r="G46" s="27"/>
      <c r="H46" s="41"/>
      <c r="I46" s="27"/>
      <c r="J46" s="27"/>
      <c r="K46" s="41"/>
      <c r="L46" s="42"/>
      <c r="M46" s="45"/>
      <c r="N46" s="46"/>
    </row>
    <row r="47" spans="1:14" ht="15" customHeight="1">
      <c r="A47" s="40" t="s">
        <v>40</v>
      </c>
      <c r="B47" s="40"/>
      <c r="C47" s="25">
        <f t="shared" si="3"/>
        <v>17220508</v>
      </c>
      <c r="D47" s="26">
        <v>6671374</v>
      </c>
      <c r="E47" s="26">
        <v>10549134</v>
      </c>
      <c r="F47" s="27">
        <f t="shared" si="0"/>
        <v>137824</v>
      </c>
      <c r="G47" s="27">
        <f>ROUNDDOWN(D47/124946*1000,1)</f>
        <v>53394</v>
      </c>
      <c r="H47" s="24">
        <v>84430</v>
      </c>
      <c r="I47" s="27">
        <f t="shared" si="1"/>
        <v>334144.7</v>
      </c>
      <c r="J47" s="27">
        <f>ROUNDDOWN(D47/51536*1000,1)</f>
        <v>129450.7</v>
      </c>
      <c r="K47" s="24">
        <v>204694</v>
      </c>
      <c r="L47" s="42"/>
      <c r="M47" s="45"/>
      <c r="N47" s="46"/>
    </row>
    <row r="48" spans="1:14" ht="15" customHeight="1">
      <c r="A48" s="40" t="s">
        <v>41</v>
      </c>
      <c r="B48" s="40"/>
      <c r="C48" s="25">
        <f t="shared" si="3"/>
        <v>6328116</v>
      </c>
      <c r="D48" s="26">
        <v>2475330</v>
      </c>
      <c r="E48" s="26">
        <v>3852786</v>
      </c>
      <c r="F48" s="27">
        <f t="shared" si="0"/>
        <v>84832.5</v>
      </c>
      <c r="G48" s="27">
        <f>ROUNDDOWN(D48/74595*1000,1)</f>
        <v>33183.5</v>
      </c>
      <c r="H48" s="24">
        <v>51649</v>
      </c>
      <c r="I48" s="27">
        <f t="shared" si="1"/>
        <v>214716.2</v>
      </c>
      <c r="J48" s="27">
        <f>ROUNDDOWN(D48/29472*1000,1)</f>
        <v>83989.2</v>
      </c>
      <c r="K48" s="24">
        <v>130727</v>
      </c>
      <c r="L48" s="42"/>
      <c r="M48" s="45"/>
      <c r="N48" s="46"/>
    </row>
    <row r="49" spans="1:14" ht="15" customHeight="1">
      <c r="A49" s="40" t="s">
        <v>42</v>
      </c>
      <c r="B49" s="40"/>
      <c r="C49" s="25">
        <f t="shared" si="3"/>
        <v>9702152</v>
      </c>
      <c r="D49" s="26">
        <v>3783577</v>
      </c>
      <c r="E49" s="41">
        <v>5918575</v>
      </c>
      <c r="F49" s="27">
        <f t="shared" si="0"/>
        <v>81189.9</v>
      </c>
      <c r="G49" s="27">
        <f>ROUNDDOWN(D49/119499*1000,1)</f>
        <v>31661.9</v>
      </c>
      <c r="H49" s="24">
        <v>49528</v>
      </c>
      <c r="I49" s="27">
        <f t="shared" si="1"/>
        <v>205876.4</v>
      </c>
      <c r="J49" s="27">
        <f>ROUNDDOWN(D49/47126*1000,1)</f>
        <v>80286.4</v>
      </c>
      <c r="K49" s="24">
        <v>125590</v>
      </c>
      <c r="L49" s="42"/>
      <c r="M49" s="45"/>
      <c r="N49" s="46"/>
    </row>
    <row r="50" spans="1:14" ht="15" customHeight="1">
      <c r="A50" s="40" t="s">
        <v>43</v>
      </c>
      <c r="B50" s="40"/>
      <c r="C50" s="25">
        <f t="shared" si="3"/>
        <v>9504761</v>
      </c>
      <c r="D50" s="26">
        <v>3767037</v>
      </c>
      <c r="E50" s="26">
        <v>5737724</v>
      </c>
      <c r="F50" s="27">
        <f t="shared" si="0"/>
        <v>72662.2</v>
      </c>
      <c r="G50" s="27">
        <f>ROUNDDOWN(D50/130808*1000,1)</f>
        <v>28798.2</v>
      </c>
      <c r="H50" s="41">
        <v>43864</v>
      </c>
      <c r="I50" s="27">
        <f t="shared" si="1"/>
        <v>162624.2</v>
      </c>
      <c r="J50" s="27">
        <f>ROUNDDOWN(D50/58446*1000,1)</f>
        <v>64453.2</v>
      </c>
      <c r="K50" s="41">
        <v>98171</v>
      </c>
      <c r="L50" s="42"/>
      <c r="M50" s="45"/>
      <c r="N50" s="46"/>
    </row>
    <row r="51" spans="1:14" ht="15" customHeight="1">
      <c r="A51" s="40" t="s">
        <v>44</v>
      </c>
      <c r="B51" s="40"/>
      <c r="C51" s="25">
        <f t="shared" si="3"/>
        <v>7435784</v>
      </c>
      <c r="D51" s="26">
        <v>2931856</v>
      </c>
      <c r="E51" s="26">
        <v>4503928</v>
      </c>
      <c r="F51" s="27">
        <f t="shared" si="0"/>
        <v>89167.9</v>
      </c>
      <c r="G51" s="27">
        <f>ROUNDDOWN(D51/83391*1000,1)</f>
        <v>35157.9</v>
      </c>
      <c r="H51" s="24">
        <v>54010</v>
      </c>
      <c r="I51" s="27">
        <f t="shared" si="1"/>
        <v>210472.2</v>
      </c>
      <c r="J51" s="27">
        <f>ROUNDDOWN(D51/35329*1000,1)</f>
        <v>82987.2</v>
      </c>
      <c r="K51" s="24">
        <v>127485</v>
      </c>
      <c r="L51" s="42"/>
      <c r="M51" s="45"/>
      <c r="N51" s="46"/>
    </row>
    <row r="52" spans="1:14" ht="12" customHeight="1">
      <c r="A52" s="40"/>
      <c r="B52" s="40"/>
      <c r="C52" s="25"/>
      <c r="D52" s="26"/>
      <c r="F52" s="27"/>
      <c r="G52" s="27"/>
      <c r="H52" s="41"/>
      <c r="I52" s="27"/>
      <c r="J52" s="27"/>
      <c r="K52" s="41"/>
      <c r="L52" s="42"/>
      <c r="M52" s="45"/>
      <c r="N52" s="46"/>
    </row>
    <row r="53" spans="1:14" ht="15" customHeight="1">
      <c r="A53" s="40" t="s">
        <v>45</v>
      </c>
      <c r="B53" s="40"/>
      <c r="C53" s="25">
        <f t="shared" si="3"/>
        <v>5458866</v>
      </c>
      <c r="D53" s="26">
        <v>2131186</v>
      </c>
      <c r="E53" s="26">
        <v>3327680</v>
      </c>
      <c r="F53" s="27">
        <f t="shared" si="0"/>
        <v>90334</v>
      </c>
      <c r="G53" s="27">
        <f>ROUNDDOWN(D53/60430*1000,1)</f>
        <v>35267</v>
      </c>
      <c r="H53" s="24">
        <v>55067</v>
      </c>
      <c r="I53" s="27">
        <f t="shared" si="1"/>
        <v>228567.4</v>
      </c>
      <c r="J53" s="27">
        <f>ROUNDDOWN(D53/23883*1000,1)</f>
        <v>89234.4</v>
      </c>
      <c r="K53" s="24">
        <v>139333</v>
      </c>
      <c r="L53" s="42"/>
      <c r="M53" s="45"/>
      <c r="N53" s="46"/>
    </row>
    <row r="54" spans="1:14" ht="15" customHeight="1">
      <c r="A54" s="40" t="s">
        <v>46</v>
      </c>
      <c r="B54" s="40"/>
      <c r="C54" s="25">
        <f t="shared" si="3"/>
        <v>5883073</v>
      </c>
      <c r="D54" s="26">
        <v>2297732</v>
      </c>
      <c r="E54" s="41">
        <v>3585341</v>
      </c>
      <c r="F54" s="27">
        <f t="shared" si="0"/>
        <v>88806.8</v>
      </c>
      <c r="G54" s="27">
        <f>ROUNDDOWN(D54/66246*1000,1)</f>
        <v>34684.8</v>
      </c>
      <c r="H54" s="24">
        <v>54122</v>
      </c>
      <c r="I54" s="27">
        <f t="shared" si="1"/>
        <v>221151.4</v>
      </c>
      <c r="J54" s="27">
        <f>ROUNDDOWN(D54/26602*1000,1)</f>
        <v>86374.4</v>
      </c>
      <c r="K54" s="24">
        <v>134777</v>
      </c>
      <c r="L54" s="42"/>
      <c r="M54" s="45"/>
      <c r="N54" s="46"/>
    </row>
    <row r="55" spans="1:14" ht="15" customHeight="1">
      <c r="A55" s="40" t="s">
        <v>47</v>
      </c>
      <c r="B55" s="40"/>
      <c r="C55" s="25">
        <f t="shared" si="3"/>
        <v>41450357</v>
      </c>
      <c r="D55" s="26">
        <v>16316132</v>
      </c>
      <c r="E55" s="26">
        <v>25134225</v>
      </c>
      <c r="F55" s="27">
        <f t="shared" si="0"/>
        <v>84168</v>
      </c>
      <c r="G55" s="27">
        <f>ROUNDDOWN(D55/492473*1000,1)</f>
        <v>33131</v>
      </c>
      <c r="H55" s="24">
        <v>51037</v>
      </c>
      <c r="I55" s="27">
        <f t="shared" si="1"/>
        <v>194419.6</v>
      </c>
      <c r="J55" s="27">
        <f>ROUNDDOWN(D55/213200*1000,1)</f>
        <v>76529.6</v>
      </c>
      <c r="K55" s="24">
        <v>117890</v>
      </c>
      <c r="L55" s="42"/>
      <c r="M55" s="45"/>
      <c r="N55" s="46"/>
    </row>
    <row r="56" spans="1:14" ht="15" customHeight="1">
      <c r="A56" s="40" t="s">
        <v>48</v>
      </c>
      <c r="B56" s="40"/>
      <c r="C56" s="25">
        <f t="shared" si="3"/>
        <v>4247291</v>
      </c>
      <c r="D56" s="26">
        <v>1651609</v>
      </c>
      <c r="E56" s="41">
        <v>2595682</v>
      </c>
      <c r="F56" s="27">
        <f t="shared" si="0"/>
        <v>64900.3</v>
      </c>
      <c r="G56" s="27">
        <f>ROUNDDOWN(D56/65443*1000,1)</f>
        <v>25237.3</v>
      </c>
      <c r="H56" s="24">
        <v>39663</v>
      </c>
      <c r="I56" s="27">
        <f t="shared" si="1"/>
        <v>175682</v>
      </c>
      <c r="J56" s="27">
        <f>ROUNDDOWN(D56/24176*1000,1)</f>
        <v>68316</v>
      </c>
      <c r="K56" s="24">
        <v>107366</v>
      </c>
      <c r="L56" s="42"/>
      <c r="M56" s="45"/>
      <c r="N56" s="46"/>
    </row>
    <row r="57" spans="1:14" ht="15" customHeight="1">
      <c r="A57" s="40" t="s">
        <v>49</v>
      </c>
      <c r="B57" s="40"/>
      <c r="C57" s="25">
        <f t="shared" si="3"/>
        <v>4923197</v>
      </c>
      <c r="D57" s="26">
        <v>1923876</v>
      </c>
      <c r="E57" s="26">
        <v>2999321</v>
      </c>
      <c r="F57" s="27">
        <f t="shared" si="0"/>
        <v>86328</v>
      </c>
      <c r="G57" s="27">
        <f>ROUNDDOWN(D57/57029*1000,1)</f>
        <v>33735</v>
      </c>
      <c r="H57" s="41">
        <v>52593</v>
      </c>
      <c r="I57" s="27">
        <f t="shared" si="1"/>
        <v>218944.8</v>
      </c>
      <c r="J57" s="27">
        <f>ROUNDDOWN(D57/22486*1000,1)</f>
        <v>85558.8</v>
      </c>
      <c r="K57" s="41">
        <v>133386</v>
      </c>
      <c r="L57" s="42"/>
      <c r="M57" s="45"/>
      <c r="N57" s="46"/>
    </row>
    <row r="58" spans="1:14" ht="12" customHeight="1">
      <c r="A58" s="40"/>
      <c r="B58" s="40"/>
      <c r="C58" s="25"/>
      <c r="D58" s="26"/>
      <c r="F58" s="27"/>
      <c r="G58" s="27"/>
      <c r="H58" s="41"/>
      <c r="I58" s="27"/>
      <c r="J58" s="27"/>
      <c r="K58" s="41"/>
      <c r="L58" s="42"/>
      <c r="M58" s="45"/>
      <c r="N58" s="46"/>
    </row>
    <row r="59" spans="1:14" ht="15" customHeight="1">
      <c r="A59" s="40" t="s">
        <v>50</v>
      </c>
      <c r="B59" s="40"/>
      <c r="C59" s="25">
        <f t="shared" si="3"/>
        <v>7885169</v>
      </c>
      <c r="D59" s="26">
        <v>3059199</v>
      </c>
      <c r="E59" s="26">
        <v>4825970</v>
      </c>
      <c r="F59" s="27">
        <f t="shared" si="0"/>
        <v>100284.2</v>
      </c>
      <c r="G59" s="27">
        <f>ROUNDDOWN(D59/78628*1000,1)</f>
        <v>38907.2</v>
      </c>
      <c r="H59" s="24">
        <v>61377</v>
      </c>
      <c r="I59" s="27">
        <f t="shared" si="1"/>
        <v>268577.7</v>
      </c>
      <c r="J59" s="27">
        <f>ROUNDDOWN(D59/29359*1000,1)</f>
        <v>104199.7</v>
      </c>
      <c r="K59" s="24">
        <v>164378</v>
      </c>
      <c r="L59" s="42"/>
      <c r="M59" s="45"/>
      <c r="N59" s="46"/>
    </row>
    <row r="60" spans="1:14" ht="15" customHeight="1">
      <c r="A60" s="40" t="s">
        <v>51</v>
      </c>
      <c r="B60" s="40"/>
      <c r="C60" s="25">
        <f t="shared" si="3"/>
        <v>6303105</v>
      </c>
      <c r="D60" s="26">
        <v>2437968</v>
      </c>
      <c r="E60" s="26">
        <v>3865137</v>
      </c>
      <c r="F60" s="27">
        <f t="shared" si="0"/>
        <v>109102.8</v>
      </c>
      <c r="G60" s="27">
        <f>ROUNDDOWN(D60/57772*1000,1)</f>
        <v>42199.8</v>
      </c>
      <c r="H60" s="24">
        <v>66903</v>
      </c>
      <c r="I60" s="27">
        <f t="shared" si="1"/>
        <v>273952.7</v>
      </c>
      <c r="J60" s="27">
        <f>ROUNDDOWN(D60/23008*1000,1)</f>
        <v>105961.7</v>
      </c>
      <c r="K60" s="24">
        <v>167991</v>
      </c>
      <c r="L60" s="42"/>
      <c r="M60" s="45"/>
      <c r="N60" s="46"/>
    </row>
    <row r="61" spans="1:14" ht="15" customHeight="1">
      <c r="A61" s="40" t="s">
        <v>52</v>
      </c>
      <c r="B61" s="40"/>
      <c r="C61" s="25">
        <f t="shared" si="3"/>
        <v>4537338</v>
      </c>
      <c r="D61" s="26">
        <v>1809006</v>
      </c>
      <c r="E61" s="26">
        <v>2728332</v>
      </c>
      <c r="F61" s="27">
        <f t="shared" si="0"/>
        <v>77240.2</v>
      </c>
      <c r="G61" s="27">
        <f>ROUNDDOWN(D61/58743*1000,1)</f>
        <v>30795.2</v>
      </c>
      <c r="H61" s="24">
        <v>46445</v>
      </c>
      <c r="I61" s="27">
        <f t="shared" si="1"/>
        <v>205570.3</v>
      </c>
      <c r="J61" s="27">
        <f>ROUNDDOWN(D61/22072*1000,1)</f>
        <v>81959.3</v>
      </c>
      <c r="K61" s="24">
        <v>123611</v>
      </c>
      <c r="L61" s="42"/>
      <c r="M61" s="45"/>
      <c r="N61" s="46"/>
    </row>
    <row r="62" spans="1:14" ht="12" customHeight="1">
      <c r="A62" s="40"/>
      <c r="B62" s="40"/>
      <c r="C62" s="25"/>
      <c r="D62" s="26"/>
      <c r="F62" s="27"/>
      <c r="G62" s="27"/>
      <c r="H62" s="41"/>
      <c r="I62" s="27"/>
      <c r="J62" s="27"/>
      <c r="K62" s="41"/>
      <c r="L62" s="42"/>
      <c r="M62" s="45"/>
      <c r="N62" s="46"/>
    </row>
    <row r="63" spans="1:14" ht="15" customHeight="1">
      <c r="A63" s="40" t="s">
        <v>53</v>
      </c>
      <c r="B63" s="40"/>
      <c r="C63" s="25">
        <f t="shared" si="3"/>
        <v>2936556</v>
      </c>
      <c r="D63" s="26">
        <v>1137072</v>
      </c>
      <c r="E63" s="41">
        <v>1799484</v>
      </c>
      <c r="F63" s="27">
        <f t="shared" si="0"/>
        <v>100805</v>
      </c>
      <c r="G63" s="27">
        <f>ROUNDDOWN(D63/29131*1000,1)</f>
        <v>39033</v>
      </c>
      <c r="H63" s="24">
        <v>61772</v>
      </c>
      <c r="I63" s="27">
        <f t="shared" si="1"/>
        <v>255842.3</v>
      </c>
      <c r="J63" s="27">
        <f>ROUNDDOWN(D63/11478*1000,1)</f>
        <v>99065.3</v>
      </c>
      <c r="K63" s="24">
        <v>156777</v>
      </c>
      <c r="L63" s="42"/>
      <c r="M63" s="45"/>
      <c r="N63" s="46"/>
    </row>
    <row r="64" spans="1:14" ht="15" customHeight="1">
      <c r="A64" s="40" t="s">
        <v>54</v>
      </c>
      <c r="B64" s="40"/>
      <c r="C64" s="25">
        <f t="shared" si="3"/>
        <v>2746178</v>
      </c>
      <c r="D64" s="26">
        <v>1059496</v>
      </c>
      <c r="E64" s="41">
        <v>1686682</v>
      </c>
      <c r="F64" s="27">
        <f t="shared" si="0"/>
        <v>112043</v>
      </c>
      <c r="G64" s="27">
        <f>ROUNDDOWN(D64/24510*1000,1)</f>
        <v>43227</v>
      </c>
      <c r="H64" s="24">
        <v>68816</v>
      </c>
      <c r="I64" s="27">
        <f t="shared" si="1"/>
        <v>314748.2</v>
      </c>
      <c r="J64" s="27">
        <f>ROUNDDOWN(D64/8725*1000,1)</f>
        <v>121432.2</v>
      </c>
      <c r="K64" s="24">
        <v>193316</v>
      </c>
      <c r="L64" s="42"/>
      <c r="M64" s="45"/>
      <c r="N64" s="46"/>
    </row>
    <row r="65" spans="1:14" ht="15" customHeight="1">
      <c r="A65" s="40" t="s">
        <v>55</v>
      </c>
      <c r="B65" s="40"/>
      <c r="C65" s="25">
        <f t="shared" si="3"/>
        <v>896544</v>
      </c>
      <c r="D65" s="26">
        <v>351667</v>
      </c>
      <c r="E65" s="26">
        <v>544877</v>
      </c>
      <c r="F65" s="27">
        <f t="shared" si="0"/>
        <v>68401.4</v>
      </c>
      <c r="G65" s="27">
        <f>ROUNDDOWN(D65/13107*1000,1)</f>
        <v>26830.4</v>
      </c>
      <c r="H65" s="24">
        <v>41571</v>
      </c>
      <c r="I65" s="27">
        <f t="shared" si="1"/>
        <v>197042.4</v>
      </c>
      <c r="J65" s="27">
        <f>ROUNDDOWN(D65/4550*1000,1)</f>
        <v>77289.4</v>
      </c>
      <c r="K65" s="24">
        <v>119753</v>
      </c>
      <c r="L65" s="42"/>
      <c r="M65" s="45"/>
      <c r="N65" s="46"/>
    </row>
    <row r="66" spans="1:14" ht="15" customHeight="1">
      <c r="A66" s="40" t="s">
        <v>56</v>
      </c>
      <c r="B66" s="40"/>
      <c r="C66" s="25">
        <f t="shared" si="3"/>
        <v>1209504</v>
      </c>
      <c r="D66" s="26">
        <v>474847</v>
      </c>
      <c r="E66" s="26">
        <v>734657</v>
      </c>
      <c r="F66" s="27">
        <f t="shared" si="0"/>
        <v>68233.1</v>
      </c>
      <c r="G66" s="27">
        <f>ROUNDDOWN(D66/17726*1000,1)</f>
        <v>26788.1</v>
      </c>
      <c r="H66" s="24">
        <v>41445</v>
      </c>
      <c r="I66" s="27">
        <f t="shared" si="1"/>
        <v>171487.5</v>
      </c>
      <c r="J66" s="27">
        <f>ROUNDDOWN(D66/7053*1000,1)</f>
        <v>67325.5</v>
      </c>
      <c r="K66" s="24">
        <v>104162</v>
      </c>
      <c r="L66" s="42"/>
      <c r="M66" s="45"/>
      <c r="N66" s="46"/>
    </row>
    <row r="67" spans="1:14" ht="15" customHeight="1">
      <c r="A67" s="40" t="s">
        <v>57</v>
      </c>
      <c r="B67" s="40"/>
      <c r="C67" s="25">
        <f t="shared" si="3"/>
        <v>3982488</v>
      </c>
      <c r="D67" s="26">
        <v>1540571</v>
      </c>
      <c r="E67" s="26">
        <v>2441917</v>
      </c>
      <c r="F67" s="27">
        <f t="shared" si="0"/>
        <v>89981</v>
      </c>
      <c r="G67" s="27">
        <f>ROUNDDOWN(D67/44259*1000,1)</f>
        <v>34808</v>
      </c>
      <c r="H67" s="24">
        <v>55173</v>
      </c>
      <c r="I67" s="27">
        <f t="shared" si="1"/>
        <v>250755</v>
      </c>
      <c r="J67" s="27">
        <f>ROUNDDOWN(D67/15882*1000,1)</f>
        <v>97001</v>
      </c>
      <c r="K67" s="24">
        <v>153754</v>
      </c>
      <c r="L67" s="42"/>
      <c r="M67" s="45"/>
      <c r="N67" s="46"/>
    </row>
    <row r="68" spans="1:14" ht="12" customHeight="1">
      <c r="A68" s="40"/>
      <c r="B68" s="40"/>
      <c r="C68" s="25"/>
      <c r="D68" s="26"/>
      <c r="F68" s="27"/>
      <c r="G68" s="27"/>
      <c r="H68" s="41"/>
      <c r="I68" s="27"/>
      <c r="J68" s="27"/>
      <c r="K68" s="41"/>
      <c r="L68" s="42"/>
      <c r="M68" s="45"/>
      <c r="N68" s="46"/>
    </row>
    <row r="69" spans="1:14" ht="15" customHeight="1">
      <c r="A69" s="40" t="s">
        <v>58</v>
      </c>
      <c r="B69" s="40"/>
      <c r="C69" s="25">
        <f t="shared" si="3"/>
        <v>559593</v>
      </c>
      <c r="D69" s="26">
        <v>215963</v>
      </c>
      <c r="E69" s="41">
        <v>343630</v>
      </c>
      <c r="F69" s="27">
        <f t="shared" si="0"/>
        <v>70843.5</v>
      </c>
      <c r="G69" s="27">
        <f>ROUNDDOWN(D69/7899*1000,1)</f>
        <v>27340.5</v>
      </c>
      <c r="H69" s="24">
        <v>43503</v>
      </c>
      <c r="I69" s="27">
        <f t="shared" si="1"/>
        <v>177930.6</v>
      </c>
      <c r="J69" s="27">
        <f>ROUNDDOWN(D69/3145*1000,1)</f>
        <v>68668.6</v>
      </c>
      <c r="K69" s="24">
        <v>109262</v>
      </c>
      <c r="L69" s="42"/>
      <c r="M69" s="45"/>
      <c r="N69" s="46"/>
    </row>
    <row r="70" spans="1:14" ht="15" customHeight="1">
      <c r="A70" s="40" t="s">
        <v>59</v>
      </c>
      <c r="B70" s="40"/>
      <c r="C70" s="25">
        <f t="shared" si="3"/>
        <v>1333604</v>
      </c>
      <c r="D70" s="26">
        <v>519612</v>
      </c>
      <c r="E70" s="26">
        <v>813992</v>
      </c>
      <c r="F70" s="27">
        <f t="shared" si="0"/>
        <v>70928.9</v>
      </c>
      <c r="G70" s="27">
        <f>ROUNDDOWN(D70/18802*1000,1)</f>
        <v>27635.9</v>
      </c>
      <c r="H70" s="24">
        <v>43293</v>
      </c>
      <c r="I70" s="27">
        <f t="shared" si="1"/>
        <v>172077.7</v>
      </c>
      <c r="J70" s="27">
        <f>ROUNDDOWN(D70/7750*1000,1)</f>
        <v>67046.7</v>
      </c>
      <c r="K70" s="24">
        <v>105031</v>
      </c>
      <c r="L70" s="42"/>
      <c r="M70" s="45"/>
      <c r="N70" s="46"/>
    </row>
    <row r="71" spans="1:14" ht="15" customHeight="1">
      <c r="A71" s="40" t="s">
        <v>60</v>
      </c>
      <c r="B71" s="40"/>
      <c r="C71" s="25">
        <f t="shared" si="3"/>
        <v>1234493</v>
      </c>
      <c r="D71" s="26">
        <v>481520</v>
      </c>
      <c r="E71" s="26">
        <v>752973</v>
      </c>
      <c r="F71" s="27">
        <f t="shared" si="0"/>
        <v>85066.8</v>
      </c>
      <c r="G71" s="27">
        <f>ROUNDDOWN(D71/14512*1000,1)</f>
        <v>33180.8</v>
      </c>
      <c r="H71" s="24">
        <v>51886</v>
      </c>
      <c r="I71" s="27">
        <f t="shared" si="1"/>
        <v>245377.5</v>
      </c>
      <c r="J71" s="27">
        <f>ROUNDDOWN(D71/5031*1000,1)</f>
        <v>95710.5</v>
      </c>
      <c r="K71" s="24">
        <v>149667</v>
      </c>
      <c r="L71" s="42"/>
      <c r="M71" s="45"/>
      <c r="N71" s="46"/>
    </row>
    <row r="72" spans="1:14" ht="15" customHeight="1">
      <c r="A72" s="40" t="s">
        <v>61</v>
      </c>
      <c r="B72" s="40"/>
      <c r="C72" s="25">
        <f t="shared" si="3"/>
        <v>1428995</v>
      </c>
      <c r="D72" s="26">
        <v>554988</v>
      </c>
      <c r="E72" s="26">
        <v>874007</v>
      </c>
      <c r="F72" s="27">
        <f t="shared" si="0"/>
        <v>85640.6</v>
      </c>
      <c r="G72" s="27">
        <f>ROUNDDOWN(D72/16686*1000,1)</f>
        <v>33260.6</v>
      </c>
      <c r="H72" s="24">
        <v>52380</v>
      </c>
      <c r="I72" s="27">
        <f t="shared" si="1"/>
        <v>239162</v>
      </c>
      <c r="J72" s="27">
        <f>ROUNDDOWN(D72/5975*1000,1)</f>
        <v>92885</v>
      </c>
      <c r="K72" s="24">
        <v>146277</v>
      </c>
      <c r="L72" s="42"/>
      <c r="M72" s="45"/>
      <c r="N72" s="46"/>
    </row>
    <row r="73" spans="1:14" ht="15" customHeight="1">
      <c r="A73" s="40" t="s">
        <v>62</v>
      </c>
      <c r="B73" s="40"/>
      <c r="C73" s="25">
        <f t="shared" si="3"/>
        <v>543524</v>
      </c>
      <c r="D73" s="26">
        <v>207110</v>
      </c>
      <c r="E73" s="26">
        <v>336414</v>
      </c>
      <c r="F73" s="27">
        <f t="shared" si="0"/>
        <v>82452.3</v>
      </c>
      <c r="G73" s="27">
        <f>ROUNDDOWN(D73/6592*1000,1)</f>
        <v>31418.3</v>
      </c>
      <c r="H73" s="24">
        <v>51034</v>
      </c>
      <c r="I73" s="27">
        <f t="shared" si="1"/>
        <v>235190.2</v>
      </c>
      <c r="J73" s="27">
        <f>ROUNDDOWN(D73/2311*1000,1)</f>
        <v>89619.2</v>
      </c>
      <c r="K73" s="24">
        <v>145571</v>
      </c>
      <c r="L73" s="42"/>
      <c r="M73" s="45"/>
      <c r="N73" s="46"/>
    </row>
    <row r="74" spans="1:12" ht="8.25" customHeight="1">
      <c r="A74" s="47"/>
      <c r="B74" s="48"/>
      <c r="C74" s="25">
        <f t="shared" si="3"/>
        <v>0</v>
      </c>
      <c r="D74" s="47"/>
      <c r="E74" s="49"/>
      <c r="F74" s="49"/>
      <c r="G74" s="49"/>
      <c r="H74" s="49"/>
      <c r="I74" s="49"/>
      <c r="J74" s="49"/>
      <c r="K74" s="49"/>
      <c r="L74" s="50"/>
    </row>
    <row r="75" spans="1:5" ht="18" customHeight="1">
      <c r="A75" s="51" t="s">
        <v>70</v>
      </c>
      <c r="B75" s="51"/>
      <c r="C75" s="54"/>
      <c r="E75" s="26"/>
    </row>
    <row r="76" spans="5:12" s="52" customFormat="1" ht="13.5">
      <c r="E76" s="26"/>
      <c r="L76" s="1"/>
    </row>
    <row r="77" spans="4:12" ht="13.5">
      <c r="D77" s="53"/>
      <c r="E77" s="26"/>
      <c r="L77" s="52"/>
    </row>
    <row r="78" ht="13.5">
      <c r="E78" s="26"/>
    </row>
    <row r="79" ht="13.5">
      <c r="E79" s="26"/>
    </row>
    <row r="80" ht="13.5">
      <c r="E80" s="41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2009-01-30T05:16:33Z</cp:lastPrinted>
  <dcterms:created xsi:type="dcterms:W3CDTF">2008-11-14T07:20:48Z</dcterms:created>
  <dcterms:modified xsi:type="dcterms:W3CDTF">2009-03-04T05:51:33Z</dcterms:modified>
  <cp:category/>
  <cp:version/>
  <cp:contentType/>
  <cp:contentStatus/>
</cp:coreProperties>
</file>