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31" windowWidth="12705" windowHeight="7800" activeTab="0"/>
  </bookViews>
  <sheets>
    <sheet name="N-15-08" sheetId="1" r:id="rId1"/>
  </sheets>
  <definedNames>
    <definedName name="_Regression_Int" localSheetId="0" hidden="1">1</definedName>
    <definedName name="Print_Area_MI" localSheetId="0">'N-15-08'!$A$1:$K$75</definedName>
    <definedName name="Print_Titles_MI" localSheetId="0">'N-15-08'!#REF!</definedName>
  </definedNames>
  <calcPr fullCalcOnLoad="1"/>
</workbook>
</file>

<file path=xl/sharedStrings.xml><?xml version="1.0" encoding="utf-8"?>
<sst xmlns="http://schemas.openxmlformats.org/spreadsheetml/2006/main" count="78" uniqueCount="73">
  <si>
    <t>市町村別個人住民税負担額</t>
  </si>
  <si>
    <t xml:space="preserve"> </t>
  </si>
  <si>
    <t>住      民      税</t>
  </si>
  <si>
    <t>ア）一人当たり負担額</t>
  </si>
  <si>
    <t>ア）一世帯当たり負担額</t>
  </si>
  <si>
    <t>総    額</t>
  </si>
  <si>
    <t>府 民 税</t>
  </si>
  <si>
    <t>市町村民税</t>
  </si>
  <si>
    <t>総   額</t>
  </si>
  <si>
    <t>府民税</t>
  </si>
  <si>
    <t>千円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</si>
  <si>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</si>
  <si>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</si>
  <si>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</si>
  <si>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</si>
  <si>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</si>
  <si>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</si>
  <si>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</si>
  <si>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</si>
  <si>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</si>
  <si>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</si>
  <si>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</si>
  <si>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</si>
  <si>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</si>
  <si>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</si>
  <si>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</si>
  <si>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</si>
  <si>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</si>
  <si>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</si>
  <si>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</si>
  <si>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</si>
  <si>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</si>
  <si>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</si>
  <si>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</si>
  <si>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</si>
  <si>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</si>
  <si>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</si>
  <si>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</si>
  <si>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</si>
  <si>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</si>
  <si>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</si>
  <si>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</si>
  <si>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</si>
  <si>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</si>
  <si>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</si>
  <si>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</si>
  <si>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</si>
  <si>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</si>
  <si>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</si>
  <si>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</si>
  <si>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</si>
  <si>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</si>
  <si>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</si>
  <si>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</si>
  <si>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</si>
  <si>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</si>
  <si>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</si>
  <si>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</si>
  <si>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</si>
  <si>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</si>
  <si>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</si>
  <si>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</si>
  <si>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r>
      <t xml:space="preserve">市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村</t>
    </r>
  </si>
  <si>
    <r>
      <t xml:space="preserve">総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額</t>
    </r>
  </si>
  <si>
    <t>円</t>
  </si>
  <si>
    <t>平成１６年度</t>
  </si>
  <si>
    <t>１７</t>
  </si>
  <si>
    <t>１８</t>
  </si>
  <si>
    <t>１９</t>
  </si>
  <si>
    <t>平成２０年度</t>
  </si>
  <si>
    <t xml:space="preserve">         １５－８</t>
  </si>
  <si>
    <t xml:space="preserve">        ア）平成２０年３月３１日現在の住民基本台帳による人口、世帯数を用いて算出した。</t>
  </si>
  <si>
    <t xml:space="preserve">  資  料    大阪府総務部市町村課、税務室徴税対策課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</si>
</sst>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#\ ##0"/>
    <numFmt numFmtId="178" formatCode="###\ ###\ ###\ ##0;;&quot;ー&quot;"/>
    <numFmt numFmtId="179" formatCode="###\ ###\ ###\ ##0;;&quot;－&quot;"/>
    <numFmt numFmtId="180" formatCode="#\ ###\ ##0;[Red]&quot;△&quot;#\ ##0;&quot;－&quot;"/>
    <numFmt numFmtId="181" formatCode="#\ ###\ ##0;[Red]&quot;△&quot;#\ ##0;"/>
    <numFmt numFmtId="182" formatCode="###\ ###\ ###\ ##0;;"/>
    <numFmt numFmtId="183" formatCode="###\ ###\ ###"/>
    <numFmt numFmtId="184" formatCode="#\ ###\ ###\ ###"/>
    <numFmt numFmtId="185" formatCode="###\ ###\ ###.000"/>
    <numFmt numFmtId="186" formatCode="0.000_);[Red]\(0.000\)"/>
    <numFmt numFmtId="187" formatCode="0.00_);[Red]\(0.00\)"/>
    <numFmt numFmtId="188" formatCode="[&lt;=999]000;[&lt;=99999]000\-00;000\-0000"/>
    <numFmt numFmtId="189" formatCode="###\ ###\ ###;;&quot;-&quot;"/>
    <numFmt numFmtId="190" formatCode="#,##0,"/>
    <numFmt numFmtId="191" formatCode="###.0\ ###\ ###"/>
    <numFmt numFmtId="192" formatCode="###.\ ###\ ###"/>
    <numFmt numFmtId="193" formatCode="##.\ ###\ ###"/>
    <numFmt numFmtId="194" formatCode="#.\ ###\ ###"/>
    <numFmt numFmtId="195" formatCode=".\ ###\ ;####################################################################################################################################################################"/>
    <numFmt numFmtId="196" formatCode="\ #\ ###\ ###\ ###\ ##0"/>
    <numFmt numFmtId="197" formatCode="\ ###\ ###\ ###\ ##0"/>
    <numFmt numFmtId="198" formatCode="\ ###\ ###\ ###\ ###"/>
    <numFmt numFmtId="199" formatCode="#\ ###\ ##0"/>
    <numFmt numFmtId="200" formatCode="###\ ###\ ##0"/>
    <numFmt numFmtId="201" formatCode="\ ###\ ###\ ###\ ###;;&quot;-&quot;"/>
    <numFmt numFmtId="202" formatCode="\ ###\ ###\ ###\ ###;;"/>
    <numFmt numFmtId="203" formatCode="#,##0_ "/>
    <numFmt numFmtId="204" formatCode="#,##0;&quot;△&quot;#,##0;&quot;－&quot;"/>
    <numFmt numFmtId="205" formatCode="###\ ###\ ##0;&quot;△&quot;###\ ###\ ##0;&quot;－&quot;"/>
    <numFmt numFmtId="206" formatCode="###\ ###\ ##0;&quot;△&quot;###\ ###\ ##0;"/>
    <numFmt numFmtId="207" formatCode="###\ ###\ ##0;&quot;△&quot;###\ ###\ ##0;&quot;-&quot;"/>
  </numFmts>
  <fonts count="1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Terminal"/>
      <family val="0"/>
    </font>
    <font>
      <sz val="11"/>
      <color indexed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3">
    <xf numFmtId="177" fontId="0" fillId="0" borderId="0" xfId="0" applyAlignment="1">
      <alignment/>
    </xf>
    <xf numFmtId="202" fontId="8" fillId="0" borderId="0" xfId="21" applyNumberFormat="1" applyFont="1" applyFill="1" applyBorder="1" applyProtection="1">
      <alignment/>
      <protection/>
    </xf>
    <xf numFmtId="198" fontId="8" fillId="0" borderId="1" xfId="21" applyNumberFormat="1" applyFont="1" applyFill="1" applyBorder="1" applyProtection="1">
      <alignment/>
      <protection/>
    </xf>
    <xf numFmtId="198" fontId="8" fillId="0" borderId="0" xfId="21" applyNumberFormat="1" applyFont="1" applyFill="1" applyBorder="1" applyProtection="1">
      <alignment/>
      <protection/>
    </xf>
    <xf numFmtId="0" fontId="0" fillId="0" borderId="0" xfId="21" applyFont="1" applyFill="1">
      <alignment/>
      <protection/>
    </xf>
    <xf numFmtId="0" fontId="14" fillId="0" borderId="0" xfId="21" applyFont="1" applyFill="1" applyAlignment="1">
      <alignment horizontal="left" vertical="center"/>
      <protection/>
    </xf>
    <xf numFmtId="0" fontId="9" fillId="0" borderId="0" xfId="21" applyFont="1" applyFill="1" applyAlignment="1">
      <alignment horizontal="left" vertical="center"/>
      <protection/>
    </xf>
    <xf numFmtId="0" fontId="9" fillId="0" borderId="0" xfId="21" applyFont="1" applyFill="1" applyAlignment="1" quotePrefix="1">
      <alignment horizontal="left"/>
      <protection/>
    </xf>
    <xf numFmtId="0" fontId="0" fillId="0" borderId="0" xfId="21" applyFill="1" applyAlignment="1">
      <alignment vertical="center"/>
      <protection/>
    </xf>
    <xf numFmtId="0" fontId="10" fillId="0" borderId="0" xfId="21" applyFont="1" applyFill="1" applyAlignment="1" applyProtection="1" quotePrefix="1">
      <alignment horizontal="left"/>
      <protection/>
    </xf>
    <xf numFmtId="0" fontId="0" fillId="0" borderId="0" xfId="21" applyFont="1" applyFill="1" applyAlignment="1">
      <alignment horizontal="centerContinuous"/>
      <protection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 applyAlignment="1" applyProtection="1">
      <alignment horizontal="left"/>
      <protection/>
    </xf>
    <xf numFmtId="0" fontId="11" fillId="0" borderId="2" xfId="21" applyFont="1" applyFill="1" applyBorder="1" applyAlignment="1">
      <alignment vertical="top"/>
      <protection/>
    </xf>
    <xf numFmtId="0" fontId="0" fillId="0" borderId="2" xfId="21" applyFont="1" applyFill="1" applyBorder="1" applyAlignment="1">
      <alignment vertical="top"/>
      <protection/>
    </xf>
    <xf numFmtId="0" fontId="0" fillId="0" borderId="2" xfId="21" applyFont="1" applyFill="1" applyBorder="1" applyAlignment="1" quotePrefix="1">
      <alignment horizontal="left" vertical="top"/>
      <protection/>
    </xf>
    <xf numFmtId="0" fontId="0" fillId="0" borderId="0" xfId="21" applyFont="1" applyFill="1" applyAlignment="1">
      <alignment vertical="top"/>
      <protection/>
    </xf>
    <xf numFmtId="0" fontId="0" fillId="0" borderId="3" xfId="21" applyFont="1" applyFill="1" applyBorder="1" applyAlignment="1" applyProtection="1">
      <alignment horizontal="centerContinuous" vertical="center"/>
      <protection/>
    </xf>
    <xf numFmtId="0" fontId="0" fillId="0" borderId="4" xfId="21" applyFont="1" applyFill="1" applyBorder="1" applyAlignment="1" applyProtection="1">
      <alignment horizontal="centerContinuous" vertical="center"/>
      <protection/>
    </xf>
    <xf numFmtId="0" fontId="0" fillId="0" borderId="4" xfId="21" applyFont="1" applyFill="1" applyBorder="1" applyAlignment="1">
      <alignment horizontal="centerContinuous" vertical="center"/>
      <protection/>
    </xf>
    <xf numFmtId="0" fontId="0" fillId="0" borderId="3" xfId="21" applyFont="1" applyFill="1" applyBorder="1" applyAlignment="1" applyProtection="1" quotePrefix="1">
      <alignment horizontal="centerContinuous" vertical="center"/>
      <protection/>
    </xf>
    <xf numFmtId="0" fontId="0" fillId="0" borderId="3" xfId="21" applyFont="1" applyFill="1" applyBorder="1" applyAlignment="1" applyProtection="1">
      <alignment horizontal="center" vertical="center"/>
      <protection/>
    </xf>
    <xf numFmtId="0" fontId="0" fillId="0" borderId="0" xfId="21" applyFont="1" applyFill="1" applyAlignment="1">
      <alignment horizontal="distributed"/>
      <protection/>
    </xf>
    <xf numFmtId="0" fontId="0" fillId="0" borderId="1" xfId="21" applyFont="1" applyFill="1" applyBorder="1" applyAlignment="1">
      <alignment horizontal="right"/>
      <protection/>
    </xf>
    <xf numFmtId="197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 applyProtection="1" quotePrefix="1">
      <alignment horizontal="distributed"/>
      <protection/>
    </xf>
    <xf numFmtId="0" fontId="0" fillId="0" borderId="0" xfId="21" applyFont="1" applyFill="1" applyAlignment="1" applyProtection="1" quotePrefix="1">
      <alignment horizontal="center"/>
      <protection/>
    </xf>
    <xf numFmtId="197" fontId="0" fillId="0" borderId="1" xfId="21" applyNumberFormat="1" applyFont="1" applyFill="1" applyBorder="1" applyProtection="1">
      <alignment/>
      <protection/>
    </xf>
    <xf numFmtId="197" fontId="0" fillId="0" borderId="0" xfId="21" applyNumberFormat="1" applyFont="1" applyFill="1" applyProtection="1">
      <alignment/>
      <protection/>
    </xf>
    <xf numFmtId="198" fontId="0" fillId="0" borderId="0" xfId="21" applyNumberFormat="1" applyFont="1" applyFill="1" applyProtection="1">
      <alignment/>
      <protection/>
    </xf>
    <xf numFmtId="198" fontId="0" fillId="0" borderId="1" xfId="21" applyNumberFormat="1" applyFont="1" applyFill="1" applyBorder="1" applyProtection="1">
      <alignment/>
      <protection/>
    </xf>
    <xf numFmtId="198" fontId="0" fillId="0" borderId="0" xfId="21" applyNumberFormat="1" applyFont="1" applyFill="1" applyBorder="1" applyProtection="1">
      <alignment/>
      <protection/>
    </xf>
    <xf numFmtId="198" fontId="0" fillId="0" borderId="0" xfId="21" applyNumberFormat="1" applyFont="1" applyFill="1" applyAlignment="1" applyProtection="1">
      <alignment horizontal="right"/>
      <protection/>
    </xf>
    <xf numFmtId="0" fontId="8" fillId="0" borderId="0" xfId="21" applyFont="1" applyFill="1" applyAlignment="1" applyProtection="1" quotePrefix="1">
      <alignment horizontal="distributed"/>
      <protection/>
    </xf>
    <xf numFmtId="0" fontId="8" fillId="0" borderId="0" xfId="21" applyFont="1" applyFill="1" applyAlignment="1" applyProtection="1" quotePrefix="1">
      <alignment horizontal="left"/>
      <protection/>
    </xf>
    <xf numFmtId="202" fontId="8" fillId="0" borderId="1" xfId="21" applyNumberFormat="1" applyFont="1" applyFill="1" applyBorder="1" applyProtection="1">
      <alignment/>
      <protection/>
    </xf>
    <xf numFmtId="198" fontId="8" fillId="0" borderId="0" xfId="21" applyNumberFormat="1" applyFont="1" applyFill="1" applyAlignment="1" applyProtection="1">
      <alignment horizontal="right"/>
      <protection/>
    </xf>
    <xf numFmtId="198" fontId="8" fillId="0" borderId="0" xfId="21" applyNumberFormat="1" applyFont="1" applyFill="1" applyProtection="1">
      <alignment/>
      <protection/>
    </xf>
    <xf numFmtId="0" fontId="8" fillId="0" borderId="0" xfId="21" applyFont="1" applyFill="1">
      <alignment/>
      <protection/>
    </xf>
    <xf numFmtId="0" fontId="8" fillId="0" borderId="0" xfId="21" applyFont="1" applyFill="1" applyAlignment="1" applyProtection="1">
      <alignment horizontal="distributed"/>
      <protection/>
    </xf>
    <xf numFmtId="0" fontId="0" fillId="0" borderId="0" xfId="21" applyFont="1" applyFill="1" applyAlignment="1" applyProtection="1">
      <alignment horizontal="distributed"/>
      <protection/>
    </xf>
    <xf numFmtId="198" fontId="0" fillId="0" borderId="0" xfId="21" applyNumberFormat="1" applyFont="1" applyFill="1">
      <alignment/>
      <protection/>
    </xf>
    <xf numFmtId="0" fontId="0" fillId="0" borderId="4" xfId="21" applyFont="1" applyFill="1" applyBorder="1">
      <alignment/>
      <protection/>
    </xf>
    <xf numFmtId="0" fontId="0" fillId="0" borderId="5" xfId="21" applyFont="1" applyFill="1" applyBorder="1">
      <alignment/>
      <protection/>
    </xf>
    <xf numFmtId="198" fontId="0" fillId="0" borderId="4" xfId="21" applyNumberFormat="1" applyFont="1" applyFill="1" applyBorder="1" applyProtection="1">
      <alignment/>
      <protection/>
    </xf>
    <xf numFmtId="0" fontId="0" fillId="0" borderId="0" xfId="21" applyFont="1" applyFill="1" applyAlignment="1" quotePrefix="1">
      <alignment horizontal="left"/>
      <protection/>
    </xf>
    <xf numFmtId="0" fontId="0" fillId="0" borderId="6" xfId="21" applyFont="1" applyFill="1" applyBorder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（税政Ｇ）④n-19-0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5.59765625" style="4" customWidth="1"/>
    <col min="2" max="2" width="0.4921875" style="4" customWidth="1"/>
    <col min="3" max="5" width="15.19921875" style="4" customWidth="1"/>
    <col min="6" max="11" width="11.59765625" style="4" customWidth="1"/>
    <col min="12" max="16384" width="10.59765625" style="4" customWidth="1"/>
  </cols>
  <sheetData>
    <row r="1" spans="1:10" ht="21.75" customHeight="1">
      <c r="A1" s="5" t="s">
        <v>70</v>
      </c>
      <c r="B1" s="6"/>
      <c r="C1" s="7"/>
      <c r="D1" s="8"/>
      <c r="E1" s="9" t="s">
        <v>0</v>
      </c>
      <c r="F1" s="10"/>
      <c r="G1" s="10"/>
      <c r="H1" s="10"/>
      <c r="I1" s="10"/>
      <c r="J1" s="10"/>
    </row>
    <row r="2" spans="3:5" ht="24" customHeight="1">
      <c r="C2" s="11" t="s">
        <v>1</v>
      </c>
      <c r="D2" s="12" t="s">
        <v>1</v>
      </c>
      <c r="E2" s="12" t="s">
        <v>1</v>
      </c>
    </row>
    <row r="3" spans="1:11" s="16" customFormat="1" ht="15" customHeight="1" thickBot="1">
      <c r="A3" s="13" t="s">
        <v>71</v>
      </c>
      <c r="B3" s="14"/>
      <c r="C3" s="15"/>
      <c r="D3" s="14"/>
      <c r="E3" s="14"/>
      <c r="F3" s="14"/>
      <c r="G3" s="14"/>
      <c r="H3" s="14"/>
      <c r="I3" s="14"/>
      <c r="J3" s="14"/>
      <c r="K3" s="14"/>
    </row>
    <row r="4" spans="1:11" ht="25.5" customHeight="1">
      <c r="A4" s="49" t="s">
        <v>62</v>
      </c>
      <c r="B4" s="50"/>
      <c r="C4" s="17" t="s">
        <v>2</v>
      </c>
      <c r="D4" s="18"/>
      <c r="E4" s="19"/>
      <c r="F4" s="20" t="s">
        <v>3</v>
      </c>
      <c r="G4" s="19"/>
      <c r="H4" s="19"/>
      <c r="I4" s="20" t="s">
        <v>4</v>
      </c>
      <c r="J4" s="19"/>
      <c r="K4" s="19"/>
    </row>
    <row r="5" spans="1:11" s="22" customFormat="1" ht="25.5" customHeight="1">
      <c r="A5" s="51"/>
      <c r="B5" s="52"/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7</v>
      </c>
      <c r="I5" s="21" t="s">
        <v>63</v>
      </c>
      <c r="J5" s="21" t="s">
        <v>9</v>
      </c>
      <c r="K5" s="21" t="s">
        <v>7</v>
      </c>
    </row>
    <row r="6" spans="3:6" ht="15" customHeight="1">
      <c r="C6" s="23" t="s">
        <v>10</v>
      </c>
      <c r="F6" s="24" t="s">
        <v>64</v>
      </c>
    </row>
    <row r="7" spans="1:11" ht="15" customHeight="1">
      <c r="A7" s="25" t="s">
        <v>65</v>
      </c>
      <c r="B7" s="26"/>
      <c r="C7" s="27">
        <v>522820880</v>
      </c>
      <c r="D7" s="28">
        <v>147921448</v>
      </c>
      <c r="E7" s="28">
        <v>374899432</v>
      </c>
      <c r="F7" s="28">
        <v>60104.58393260134</v>
      </c>
      <c r="G7" s="28">
        <v>16773.51266415021</v>
      </c>
      <c r="H7" s="28">
        <v>43331.07126845113</v>
      </c>
      <c r="I7" s="28">
        <v>143358.89932670316</v>
      </c>
      <c r="J7" s="28">
        <v>40850.28301192219</v>
      </c>
      <c r="K7" s="28">
        <v>102508.61631478096</v>
      </c>
    </row>
    <row r="8" spans="1:11" ht="15" customHeight="1">
      <c r="A8" s="26" t="s">
        <v>66</v>
      </c>
      <c r="B8" s="26"/>
      <c r="C8" s="27">
        <v>540682107</v>
      </c>
      <c r="D8" s="28">
        <v>152783903</v>
      </c>
      <c r="E8" s="28">
        <v>387898204</v>
      </c>
      <c r="F8" s="28">
        <v>62566</v>
      </c>
      <c r="G8" s="28">
        <v>17729</v>
      </c>
      <c r="H8" s="28">
        <v>44837</v>
      </c>
      <c r="I8" s="28">
        <v>146623</v>
      </c>
      <c r="J8" s="28">
        <v>41547</v>
      </c>
      <c r="K8" s="28">
        <v>105076</v>
      </c>
    </row>
    <row r="9" spans="1:11" ht="15" customHeight="1">
      <c r="A9" s="26" t="s">
        <v>67</v>
      </c>
      <c r="B9" s="26"/>
      <c r="C9" s="27">
        <v>590286530</v>
      </c>
      <c r="D9" s="28">
        <v>168475389</v>
      </c>
      <c r="E9" s="28">
        <v>421811144</v>
      </c>
      <c r="F9" s="29">
        <v>68133</v>
      </c>
      <c r="G9" s="29">
        <v>19446</v>
      </c>
      <c r="H9" s="29">
        <v>48687</v>
      </c>
      <c r="I9" s="29">
        <v>157928</v>
      </c>
      <c r="J9" s="29">
        <v>45075</v>
      </c>
      <c r="K9" s="29">
        <v>112853</v>
      </c>
    </row>
    <row r="10" spans="1:11" ht="15" customHeight="1">
      <c r="A10" s="26" t="s">
        <v>68</v>
      </c>
      <c r="B10" s="26"/>
      <c r="C10" s="30">
        <v>797630425</v>
      </c>
      <c r="D10" s="31">
        <v>311857219</v>
      </c>
      <c r="E10" s="31">
        <v>485773206</v>
      </c>
      <c r="F10" s="32">
        <v>92051</v>
      </c>
      <c r="G10" s="32">
        <v>35990</v>
      </c>
      <c r="H10" s="29">
        <v>56061</v>
      </c>
      <c r="I10" s="32">
        <v>211066.5</v>
      </c>
      <c r="J10" s="32">
        <v>82522.5</v>
      </c>
      <c r="K10" s="29">
        <v>128544</v>
      </c>
    </row>
    <row r="11" spans="1:11" ht="12" customHeight="1">
      <c r="A11" s="26"/>
      <c r="B11" s="26"/>
      <c r="C11" s="2"/>
      <c r="D11" s="28"/>
      <c r="E11" s="28"/>
      <c r="F11" s="28"/>
      <c r="G11" s="28"/>
      <c r="H11" s="28"/>
      <c r="I11" s="28"/>
      <c r="J11" s="28"/>
      <c r="K11" s="28"/>
    </row>
    <row r="12" spans="1:11" s="38" customFormat="1" ht="15" customHeight="1">
      <c r="A12" s="33" t="s">
        <v>69</v>
      </c>
      <c r="B12" s="34"/>
      <c r="C12" s="35">
        <f>SUM(D12:E12)</f>
        <v>821976918</v>
      </c>
      <c r="D12" s="1">
        <v>328660901</v>
      </c>
      <c r="E12" s="1">
        <f>SUM(E14:E21)</f>
        <v>493316017</v>
      </c>
      <c r="F12" s="36">
        <f>SUM(G12:H12)</f>
        <v>94803.5</v>
      </c>
      <c r="G12" s="36">
        <f>ROUNDDOWN(D12/8670302*1000,1)</f>
        <v>37906.5</v>
      </c>
      <c r="H12" s="37">
        <v>56897</v>
      </c>
      <c r="I12" s="36">
        <f>SUM(J12:K12)</f>
        <v>215080.2</v>
      </c>
      <c r="J12" s="36">
        <f>ROUNDDOWN(D12/3821714*1000,1)</f>
        <v>85998.2</v>
      </c>
      <c r="K12" s="37">
        <v>129082</v>
      </c>
    </row>
    <row r="13" spans="1:11" s="38" customFormat="1" ht="12" customHeight="1">
      <c r="A13" s="34"/>
      <c r="B13" s="34"/>
      <c r="C13" s="2"/>
      <c r="D13" s="3"/>
      <c r="E13" s="3"/>
      <c r="F13" s="36"/>
      <c r="G13" s="36"/>
      <c r="H13" s="3"/>
      <c r="I13" s="36"/>
      <c r="J13" s="36"/>
      <c r="K13" s="37"/>
    </row>
    <row r="14" spans="1:11" s="38" customFormat="1" ht="15" customHeight="1">
      <c r="A14" s="39" t="s">
        <v>11</v>
      </c>
      <c r="B14" s="39"/>
      <c r="C14" s="35">
        <f>SUM(D14:E14)</f>
        <v>233661719</v>
      </c>
      <c r="D14" s="1">
        <v>93626081</v>
      </c>
      <c r="E14" s="1">
        <f>E23</f>
        <v>140035638</v>
      </c>
      <c r="F14" s="36">
        <f aca="true" t="shared" si="0" ref="F14:F73">SUM(G14:H14)</f>
        <v>92850.2</v>
      </c>
      <c r="G14" s="36">
        <f>ROUNDDOWN(D14/2516543*1000,1)</f>
        <v>37204.2</v>
      </c>
      <c r="H14" s="1">
        <v>55646</v>
      </c>
      <c r="I14" s="36">
        <f aca="true" t="shared" si="1" ref="I14:I73">SUM(J14:K14)</f>
        <v>185792.2</v>
      </c>
      <c r="J14" s="36">
        <f>ROUNDDOWN(D14/1257650*1000,1)</f>
        <v>74445.2</v>
      </c>
      <c r="K14" s="1">
        <v>111347</v>
      </c>
    </row>
    <row r="15" spans="1:11" s="38" customFormat="1" ht="15" customHeight="1">
      <c r="A15" s="39" t="s">
        <v>12</v>
      </c>
      <c r="B15" s="39"/>
      <c r="C15" s="35">
        <f aca="true" t="shared" si="2" ref="C15:C21">SUM(D15:E15)</f>
        <v>121566954</v>
      </c>
      <c r="D15" s="1">
        <v>48510185</v>
      </c>
      <c r="E15" s="1">
        <f>E29+E31+E36+E51+E63</f>
        <v>73056769</v>
      </c>
      <c r="F15" s="36">
        <f t="shared" si="0"/>
        <v>112149</v>
      </c>
      <c r="G15" s="36">
        <f>ROUNDDOWN(D15/1083977*1000,1)</f>
        <v>44752</v>
      </c>
      <c r="H15" s="1">
        <v>67397</v>
      </c>
      <c r="I15" s="36">
        <f t="shared" si="1"/>
        <v>264765.1</v>
      </c>
      <c r="J15" s="36">
        <f>ROUNDDOWN(D15/459150*1000,1)</f>
        <v>105652.1</v>
      </c>
      <c r="K15" s="1">
        <v>159113</v>
      </c>
    </row>
    <row r="16" spans="1:11" s="38" customFormat="1" ht="15" customHeight="1">
      <c r="A16" s="39" t="s">
        <v>13</v>
      </c>
      <c r="B16" s="39"/>
      <c r="C16" s="35">
        <f t="shared" si="2"/>
        <v>80757951</v>
      </c>
      <c r="D16" s="1">
        <v>32310143</v>
      </c>
      <c r="E16" s="1">
        <f>E26+E27+E47+E64+E65</f>
        <v>48447808</v>
      </c>
      <c r="F16" s="36">
        <f t="shared" si="0"/>
        <v>123674.3</v>
      </c>
      <c r="G16" s="36">
        <f>ROUNDDOWN(D16/652989*1000,1)</f>
        <v>49480.3</v>
      </c>
      <c r="H16" s="1">
        <v>74194</v>
      </c>
      <c r="I16" s="36">
        <f t="shared" si="1"/>
        <v>285874.2</v>
      </c>
      <c r="J16" s="36">
        <f>ROUNDDOWN(D16/282495*1000,1)</f>
        <v>114374.2</v>
      </c>
      <c r="K16" s="1">
        <v>171500</v>
      </c>
    </row>
    <row r="17" spans="1:11" s="38" customFormat="1" ht="15" customHeight="1">
      <c r="A17" s="39" t="s">
        <v>14</v>
      </c>
      <c r="B17" s="39"/>
      <c r="C17" s="35">
        <f t="shared" si="2"/>
        <v>106294007</v>
      </c>
      <c r="D17" s="1">
        <v>42535031</v>
      </c>
      <c r="E17" s="1">
        <f>E33+E35+E41+E44+E50+E57+E59</f>
        <v>63758976</v>
      </c>
      <c r="F17" s="36">
        <f t="shared" si="0"/>
        <v>89895.9</v>
      </c>
      <c r="G17" s="36">
        <f>ROUNDDOWN(D17/1182416*1000,1)</f>
        <v>35972.9</v>
      </c>
      <c r="H17" s="1">
        <v>53923</v>
      </c>
      <c r="I17" s="36">
        <f t="shared" si="1"/>
        <v>214468.5</v>
      </c>
      <c r="J17" s="36">
        <f>ROUNDDOWN(D17/495616*1000,1)</f>
        <v>85822.5</v>
      </c>
      <c r="K17" s="1">
        <v>128646</v>
      </c>
    </row>
    <row r="18" spans="1:11" s="38" customFormat="1" ht="15" customHeight="1">
      <c r="A18" s="39" t="s">
        <v>15</v>
      </c>
      <c r="B18" s="39"/>
      <c r="C18" s="35">
        <f t="shared" si="2"/>
        <v>73220826</v>
      </c>
      <c r="D18" s="1">
        <v>29285003</v>
      </c>
      <c r="E18" s="1">
        <f>E37+E48+E55</f>
        <v>43935823</v>
      </c>
      <c r="F18" s="36">
        <f t="shared" si="0"/>
        <v>88101.7</v>
      </c>
      <c r="G18" s="36">
        <f>ROUNDDOWN(D18/831092*1000,1)</f>
        <v>35236.7</v>
      </c>
      <c r="H18" s="1">
        <v>52865</v>
      </c>
      <c r="I18" s="36">
        <f t="shared" si="1"/>
        <v>205680.8</v>
      </c>
      <c r="J18" s="36">
        <f>ROUNDDOWN(D18/355993*1000,1)</f>
        <v>82262.8</v>
      </c>
      <c r="K18" s="1">
        <v>123418</v>
      </c>
    </row>
    <row r="19" spans="1:11" s="38" customFormat="1" ht="15" customHeight="1">
      <c r="A19" s="39" t="s">
        <v>16</v>
      </c>
      <c r="B19" s="39"/>
      <c r="C19" s="35">
        <f t="shared" si="2"/>
        <v>57580720</v>
      </c>
      <c r="D19" s="1">
        <v>22977350</v>
      </c>
      <c r="E19" s="1">
        <f>E39+E42+E43+E49+E54+E60+E71+E72+E73</f>
        <v>34603370</v>
      </c>
      <c r="F19" s="36">
        <f t="shared" si="0"/>
        <v>89351.3</v>
      </c>
      <c r="G19" s="36">
        <f>ROUNDDOWN(D19/644429*1000,1)</f>
        <v>35655.3</v>
      </c>
      <c r="H19" s="1">
        <v>53696</v>
      </c>
      <c r="I19" s="36">
        <f t="shared" si="1"/>
        <v>223972</v>
      </c>
      <c r="J19" s="36">
        <f>ROUNDDOWN(D19/257089*1000,1)</f>
        <v>89375</v>
      </c>
      <c r="K19" s="1">
        <v>134597</v>
      </c>
    </row>
    <row r="20" spans="1:11" s="38" customFormat="1" ht="15" customHeight="1">
      <c r="A20" s="39" t="s">
        <v>17</v>
      </c>
      <c r="B20" s="39"/>
      <c r="C20" s="35">
        <f t="shared" si="2"/>
        <v>104157970</v>
      </c>
      <c r="D20" s="1">
        <v>41583081</v>
      </c>
      <c r="E20" s="1">
        <f>E24+E30+E45+E53+E66</f>
        <v>62574889</v>
      </c>
      <c r="F20" s="36">
        <f t="shared" si="0"/>
        <v>88999</v>
      </c>
      <c r="G20" s="36">
        <f>ROUNDDOWN(D20/1170332*1000,1)</f>
        <v>35531</v>
      </c>
      <c r="H20" s="1">
        <v>53468</v>
      </c>
      <c r="I20" s="36">
        <f t="shared" si="1"/>
        <v>215142.4</v>
      </c>
      <c r="J20" s="36">
        <f>ROUNDDOWN(D20/484135*1000,1)</f>
        <v>85891.4</v>
      </c>
      <c r="K20" s="1">
        <v>129251</v>
      </c>
    </row>
    <row r="21" spans="1:11" s="38" customFormat="1" ht="15" customHeight="1">
      <c r="A21" s="39" t="s">
        <v>18</v>
      </c>
      <c r="B21" s="39"/>
      <c r="C21" s="35">
        <f t="shared" si="2"/>
        <v>44736772</v>
      </c>
      <c r="D21" s="1">
        <v>17834028</v>
      </c>
      <c r="E21" s="1">
        <f>E25+E32+E38+E56+E61+E67+E69+E70</f>
        <v>26902744</v>
      </c>
      <c r="F21" s="36">
        <f t="shared" si="0"/>
        <v>76014.9</v>
      </c>
      <c r="G21" s="36">
        <f>ROUNDDOWN(D21/588524*1000,1)</f>
        <v>30302.9</v>
      </c>
      <c r="H21" s="1">
        <v>45712</v>
      </c>
      <c r="I21" s="36">
        <f t="shared" si="1"/>
        <v>194858</v>
      </c>
      <c r="J21" s="36">
        <f>ROUNDDOWN(D21/229586*1000,1)</f>
        <v>77679</v>
      </c>
      <c r="K21" s="1">
        <v>117179</v>
      </c>
    </row>
    <row r="22" spans="1:11" s="38" customFormat="1" ht="12" customHeight="1">
      <c r="A22" s="39"/>
      <c r="B22" s="39"/>
      <c r="C22" s="2"/>
      <c r="D22" s="3"/>
      <c r="E22" s="3"/>
      <c r="F22" s="36"/>
      <c r="G22" s="32"/>
      <c r="H22" s="37"/>
      <c r="I22" s="36"/>
      <c r="J22" s="32"/>
      <c r="K22" s="37"/>
    </row>
    <row r="23" spans="1:11" ht="15" customHeight="1">
      <c r="A23" s="40" t="s">
        <v>19</v>
      </c>
      <c r="B23" s="40"/>
      <c r="C23" s="30">
        <f>SUM(D23:E23)</f>
        <v>233661719</v>
      </c>
      <c r="D23" s="31">
        <v>93626081</v>
      </c>
      <c r="E23" s="31">
        <v>140035638</v>
      </c>
      <c r="F23" s="32">
        <f t="shared" si="0"/>
        <v>92850.2</v>
      </c>
      <c r="G23" s="32">
        <f>ROUNDDOWN(D23/2516543*1000,1)</f>
        <v>37204.2</v>
      </c>
      <c r="H23" s="29">
        <v>55646</v>
      </c>
      <c r="I23" s="32">
        <f t="shared" si="1"/>
        <v>185792.2</v>
      </c>
      <c r="J23" s="32">
        <f>ROUNDDOWN(D23/1257650*1000,1)</f>
        <v>74445.2</v>
      </c>
      <c r="K23" s="29">
        <v>111347</v>
      </c>
    </row>
    <row r="24" spans="1:11" ht="15" customHeight="1">
      <c r="A24" s="40" t="s">
        <v>20</v>
      </c>
      <c r="B24" s="40"/>
      <c r="C24" s="30">
        <f aca="true" t="shared" si="3" ref="C24:C74">SUM(D24:E24)</f>
        <v>75677357</v>
      </c>
      <c r="D24" s="31">
        <v>30195904</v>
      </c>
      <c r="E24" s="31">
        <v>45481453</v>
      </c>
      <c r="F24" s="32">
        <f t="shared" si="0"/>
        <v>90773.4</v>
      </c>
      <c r="G24" s="32">
        <f>ROUNDDOWN(D24/833694*1000,1)</f>
        <v>36219.4</v>
      </c>
      <c r="H24" s="29">
        <v>54554</v>
      </c>
      <c r="I24" s="32">
        <f t="shared" si="1"/>
        <v>214470.4</v>
      </c>
      <c r="J24" s="32">
        <f>ROUNDDOWN(D24/352857*1000,1)</f>
        <v>85575.4</v>
      </c>
      <c r="K24" s="29">
        <v>128895</v>
      </c>
    </row>
    <row r="25" spans="1:11" ht="15" customHeight="1">
      <c r="A25" s="40" t="s">
        <v>21</v>
      </c>
      <c r="B25" s="40"/>
      <c r="C25" s="30">
        <f t="shared" si="3"/>
        <v>15437158</v>
      </c>
      <c r="D25" s="31">
        <v>6156246</v>
      </c>
      <c r="E25" s="31">
        <v>9280912</v>
      </c>
      <c r="F25" s="32">
        <f t="shared" si="0"/>
        <v>76492.7</v>
      </c>
      <c r="G25" s="32">
        <f>ROUNDDOWN(D25/201813*1000,1)</f>
        <v>30504.7</v>
      </c>
      <c r="H25" s="29">
        <v>45988</v>
      </c>
      <c r="I25" s="32">
        <f t="shared" si="1"/>
        <v>193965.4</v>
      </c>
      <c r="J25" s="32">
        <f>ROUNDDOWN(D25/79587*1000,1)</f>
        <v>77352.4</v>
      </c>
      <c r="K25" s="29">
        <v>116613</v>
      </c>
    </row>
    <row r="26" spans="1:11" ht="15" customHeight="1">
      <c r="A26" s="40" t="s">
        <v>22</v>
      </c>
      <c r="B26" s="40"/>
      <c r="C26" s="30">
        <f t="shared" si="3"/>
        <v>47588015</v>
      </c>
      <c r="D26" s="31">
        <v>19053117</v>
      </c>
      <c r="E26" s="31">
        <v>28534898</v>
      </c>
      <c r="F26" s="32">
        <f t="shared" si="0"/>
        <v>122390</v>
      </c>
      <c r="G26" s="32">
        <f>ROUNDDOWN(D26/388823*1000,1)</f>
        <v>49002</v>
      </c>
      <c r="H26" s="29">
        <v>73388</v>
      </c>
      <c r="I26" s="32">
        <f t="shared" si="1"/>
        <v>275122.7</v>
      </c>
      <c r="J26" s="32">
        <f>ROUNDDOWN(D26/172970*1000,1)</f>
        <v>110152.7</v>
      </c>
      <c r="K26" s="29">
        <v>164970</v>
      </c>
    </row>
    <row r="27" spans="1:11" ht="15" customHeight="1">
      <c r="A27" s="40" t="s">
        <v>23</v>
      </c>
      <c r="B27" s="40"/>
      <c r="C27" s="30">
        <f t="shared" si="3"/>
        <v>12152790</v>
      </c>
      <c r="D27" s="31">
        <v>4861876</v>
      </c>
      <c r="E27" s="31">
        <v>7290914</v>
      </c>
      <c r="F27" s="32">
        <f t="shared" si="0"/>
        <v>118920.4</v>
      </c>
      <c r="G27" s="32">
        <f>ROUNDDOWN(D27/102193*1000,1)</f>
        <v>47575.4</v>
      </c>
      <c r="H27" s="29">
        <v>71345</v>
      </c>
      <c r="I27" s="32">
        <f t="shared" si="1"/>
        <v>275242.2</v>
      </c>
      <c r="J27" s="32">
        <f>ROUNDDOWN(D27/44153*1000,1)</f>
        <v>110114.2</v>
      </c>
      <c r="K27" s="29">
        <v>165128</v>
      </c>
    </row>
    <row r="28" spans="1:11" ht="12" customHeight="1">
      <c r="A28" s="40"/>
      <c r="B28" s="40"/>
      <c r="C28" s="30"/>
      <c r="D28" s="31"/>
      <c r="E28" s="41"/>
      <c r="F28" s="32"/>
      <c r="G28" s="32"/>
      <c r="H28" s="41"/>
      <c r="I28" s="32"/>
      <c r="J28" s="32"/>
      <c r="K28" s="41"/>
    </row>
    <row r="29" spans="1:11" ht="15" customHeight="1">
      <c r="A29" s="40" t="s">
        <v>24</v>
      </c>
      <c r="B29" s="40"/>
      <c r="C29" s="30">
        <f t="shared" si="3"/>
        <v>45052131</v>
      </c>
      <c r="D29" s="31">
        <v>17954898</v>
      </c>
      <c r="E29" s="41">
        <v>27097233</v>
      </c>
      <c r="F29" s="32">
        <f t="shared" si="0"/>
        <v>129830</v>
      </c>
      <c r="G29" s="32">
        <f>ROUNDDOWN(D29/347008*1000,1)</f>
        <v>51742</v>
      </c>
      <c r="H29" s="41">
        <v>78088</v>
      </c>
      <c r="I29" s="32">
        <f t="shared" si="1"/>
        <v>299461</v>
      </c>
      <c r="J29" s="32">
        <f>ROUNDDOWN(D29/150444*1000,1)</f>
        <v>119346</v>
      </c>
      <c r="K29" s="41">
        <v>180115</v>
      </c>
    </row>
    <row r="30" spans="1:11" ht="15" customHeight="1">
      <c r="A30" s="40" t="s">
        <v>25</v>
      </c>
      <c r="B30" s="40"/>
      <c r="C30" s="30">
        <f t="shared" si="3"/>
        <v>6264994</v>
      </c>
      <c r="D30" s="31">
        <v>2496638</v>
      </c>
      <c r="E30" s="31">
        <v>3768356</v>
      </c>
      <c r="F30" s="32">
        <f t="shared" si="0"/>
        <v>81403.8</v>
      </c>
      <c r="G30" s="32">
        <f>ROUNDDOWN(D30/76962*1000,1)</f>
        <v>32439.8</v>
      </c>
      <c r="H30" s="29">
        <v>48964</v>
      </c>
      <c r="I30" s="32">
        <f t="shared" si="1"/>
        <v>197540</v>
      </c>
      <c r="J30" s="32">
        <f>ROUNDDOWN(D30/31715*1000,1)</f>
        <v>78721</v>
      </c>
      <c r="K30" s="29">
        <v>118819</v>
      </c>
    </row>
    <row r="31" spans="1:11" ht="15" customHeight="1">
      <c r="A31" s="40" t="s">
        <v>26</v>
      </c>
      <c r="B31" s="40"/>
      <c r="C31" s="30">
        <f t="shared" si="3"/>
        <v>36037650</v>
      </c>
      <c r="D31" s="31">
        <v>14381640</v>
      </c>
      <c r="E31" s="31">
        <v>21656010</v>
      </c>
      <c r="F31" s="32">
        <f t="shared" si="0"/>
        <v>101248.5</v>
      </c>
      <c r="G31" s="32">
        <f>ROUNDDOWN(D31/355932*1000,1)</f>
        <v>40405.5</v>
      </c>
      <c r="H31" s="29">
        <v>60843</v>
      </c>
      <c r="I31" s="32">
        <f t="shared" si="1"/>
        <v>240819.4</v>
      </c>
      <c r="J31" s="32">
        <f>ROUNDDOWN(D31/149646*1000,1)</f>
        <v>96104.4</v>
      </c>
      <c r="K31" s="29">
        <v>144715</v>
      </c>
    </row>
    <row r="32" spans="1:11" ht="15" customHeight="1">
      <c r="A32" s="40" t="s">
        <v>27</v>
      </c>
      <c r="B32" s="40"/>
      <c r="C32" s="30">
        <f t="shared" si="3"/>
        <v>6766930</v>
      </c>
      <c r="D32" s="31">
        <v>2696583</v>
      </c>
      <c r="E32" s="31">
        <v>4070347</v>
      </c>
      <c r="F32" s="32">
        <f t="shared" si="0"/>
        <v>75138</v>
      </c>
      <c r="G32" s="32">
        <f>ROUNDDOWN(D32/90060*1000,1)</f>
        <v>29942</v>
      </c>
      <c r="H32" s="29">
        <v>45196</v>
      </c>
      <c r="I32" s="32">
        <f t="shared" si="1"/>
        <v>195163.8</v>
      </c>
      <c r="J32" s="32">
        <f>ROUNDDOWN(D32/34673*1000,1)</f>
        <v>77771.8</v>
      </c>
      <c r="K32" s="29">
        <v>117392</v>
      </c>
    </row>
    <row r="33" spans="1:11" ht="15" customHeight="1">
      <c r="A33" s="40" t="s">
        <v>28</v>
      </c>
      <c r="B33" s="40"/>
      <c r="C33" s="30">
        <f t="shared" si="3"/>
        <v>11750829</v>
      </c>
      <c r="D33" s="31">
        <v>4721704</v>
      </c>
      <c r="E33" s="31">
        <v>7029125</v>
      </c>
      <c r="F33" s="32">
        <f t="shared" si="0"/>
        <v>80889.9</v>
      </c>
      <c r="G33" s="32">
        <f>ROUNDDOWN(D33/145270*1000,1)</f>
        <v>32502.9</v>
      </c>
      <c r="H33" s="29">
        <v>48387</v>
      </c>
      <c r="I33" s="32">
        <f t="shared" si="1"/>
        <v>177267</v>
      </c>
      <c r="J33" s="32">
        <f>ROUNDDOWN(D33/66289*1000,1)</f>
        <v>71229</v>
      </c>
      <c r="K33" s="29">
        <v>106038</v>
      </c>
    </row>
    <row r="34" spans="1:11" ht="12" customHeight="1">
      <c r="A34" s="40"/>
      <c r="B34" s="40"/>
      <c r="C34" s="30"/>
      <c r="D34" s="31"/>
      <c r="F34" s="32"/>
      <c r="G34" s="32"/>
      <c r="H34" s="41"/>
      <c r="I34" s="32"/>
      <c r="J34" s="32"/>
      <c r="K34" s="41"/>
    </row>
    <row r="35" spans="1:11" ht="15" customHeight="1">
      <c r="A35" s="40" t="s">
        <v>29</v>
      </c>
      <c r="B35" s="40"/>
      <c r="C35" s="30">
        <f t="shared" si="3"/>
        <v>41264362</v>
      </c>
      <c r="D35" s="31">
        <v>16448737</v>
      </c>
      <c r="E35" s="41">
        <v>24815625</v>
      </c>
      <c r="F35" s="32">
        <f t="shared" si="0"/>
        <v>101670.6</v>
      </c>
      <c r="G35" s="32">
        <f>ROUNDDOWN(D35/405865*1000,1)</f>
        <v>40527.6</v>
      </c>
      <c r="H35" s="29">
        <v>61143</v>
      </c>
      <c r="I35" s="32">
        <f t="shared" si="1"/>
        <v>251703.8</v>
      </c>
      <c r="J35" s="32">
        <f>ROUNDDOWN(D35/163940*1000,1)</f>
        <v>100333.8</v>
      </c>
      <c r="K35" s="29">
        <v>151370</v>
      </c>
    </row>
    <row r="36" spans="1:11" ht="15" customHeight="1">
      <c r="A36" s="40" t="s">
        <v>30</v>
      </c>
      <c r="B36" s="40"/>
      <c r="C36" s="30">
        <f t="shared" si="3"/>
        <v>29926768</v>
      </c>
      <c r="D36" s="31">
        <v>11949267</v>
      </c>
      <c r="E36" s="31">
        <v>17977501</v>
      </c>
      <c r="F36" s="32">
        <f t="shared" si="0"/>
        <v>111463.4</v>
      </c>
      <c r="G36" s="32">
        <f>ROUNDDOWN(D36/268490*1000,1)</f>
        <v>44505.4</v>
      </c>
      <c r="H36" s="41">
        <v>66958</v>
      </c>
      <c r="I36" s="32">
        <f t="shared" si="1"/>
        <v>268060</v>
      </c>
      <c r="J36" s="32">
        <f>ROUNDDOWN(D36/111642*1000,1)</f>
        <v>107032</v>
      </c>
      <c r="K36" s="41">
        <v>161028</v>
      </c>
    </row>
    <row r="37" spans="1:11" ht="15" customHeight="1">
      <c r="A37" s="40" t="s">
        <v>31</v>
      </c>
      <c r="B37" s="40"/>
      <c r="C37" s="30">
        <f t="shared" si="3"/>
        <v>24433204</v>
      </c>
      <c r="D37" s="31">
        <v>9751301</v>
      </c>
      <c r="E37" s="41">
        <v>14681903</v>
      </c>
      <c r="F37" s="32">
        <f t="shared" si="0"/>
        <v>91804.3</v>
      </c>
      <c r="G37" s="32">
        <f>ROUNDDOWN(D37/266143*1000,1)</f>
        <v>36639.3</v>
      </c>
      <c r="H37" s="29">
        <v>55165</v>
      </c>
      <c r="I37" s="32">
        <f t="shared" si="1"/>
        <v>218510.6</v>
      </c>
      <c r="J37" s="32">
        <f>ROUNDDOWN(D37/111817*1000,1)</f>
        <v>87207.6</v>
      </c>
      <c r="K37" s="29">
        <v>131303</v>
      </c>
    </row>
    <row r="38" spans="1:11" ht="15" customHeight="1">
      <c r="A38" s="40" t="s">
        <v>32</v>
      </c>
      <c r="B38" s="40"/>
      <c r="C38" s="30">
        <f t="shared" si="3"/>
        <v>7624944</v>
      </c>
      <c r="D38" s="31">
        <v>3033029</v>
      </c>
      <c r="E38" s="31">
        <v>4591915</v>
      </c>
      <c r="F38" s="32">
        <f t="shared" si="0"/>
        <v>74942.1</v>
      </c>
      <c r="G38" s="32">
        <f>ROUNDDOWN(D38/101745*1000,1)</f>
        <v>29810.1</v>
      </c>
      <c r="H38" s="29">
        <v>45132</v>
      </c>
      <c r="I38" s="32">
        <f t="shared" si="1"/>
        <v>183862.1</v>
      </c>
      <c r="J38" s="32">
        <f>ROUNDDOWN(D38/41471*1000,1)</f>
        <v>73136.1</v>
      </c>
      <c r="K38" s="29">
        <v>110726</v>
      </c>
    </row>
    <row r="39" spans="1:11" ht="15" customHeight="1">
      <c r="A39" s="40" t="s">
        <v>33</v>
      </c>
      <c r="B39" s="40"/>
      <c r="C39" s="30">
        <f t="shared" si="3"/>
        <v>11140768</v>
      </c>
      <c r="D39" s="31">
        <v>4453879</v>
      </c>
      <c r="E39" s="31">
        <v>6686889</v>
      </c>
      <c r="F39" s="32">
        <f t="shared" si="0"/>
        <v>91673.5</v>
      </c>
      <c r="G39" s="32">
        <f>ROUNDDOWN(D39/121526*1000,1)</f>
        <v>36649.5</v>
      </c>
      <c r="H39" s="29">
        <v>55024</v>
      </c>
      <c r="I39" s="32">
        <f t="shared" si="1"/>
        <v>227487.6</v>
      </c>
      <c r="J39" s="32">
        <f>ROUNDDOWN(D39/48973*1000,1)</f>
        <v>90945.6</v>
      </c>
      <c r="K39" s="29">
        <v>136542</v>
      </c>
    </row>
    <row r="40" spans="1:11" ht="12" customHeight="1">
      <c r="A40" s="40"/>
      <c r="B40" s="40"/>
      <c r="C40" s="30"/>
      <c r="D40" s="31"/>
      <c r="F40" s="32"/>
      <c r="G40" s="32"/>
      <c r="H40" s="41"/>
      <c r="I40" s="32"/>
      <c r="J40" s="32"/>
      <c r="K40" s="41"/>
    </row>
    <row r="41" spans="1:11" ht="15" customHeight="1">
      <c r="A41" s="40" t="s">
        <v>34</v>
      </c>
      <c r="B41" s="40"/>
      <c r="C41" s="30">
        <f t="shared" si="3"/>
        <v>20245338</v>
      </c>
      <c r="D41" s="31">
        <v>8146194</v>
      </c>
      <c r="E41" s="31">
        <v>12099144</v>
      </c>
      <c r="F41" s="32">
        <f t="shared" si="0"/>
        <v>84245.1</v>
      </c>
      <c r="G41" s="32">
        <f>ROUNDDOWN(D41/240314*1000,1)</f>
        <v>33898.1</v>
      </c>
      <c r="H41" s="29">
        <v>50347</v>
      </c>
      <c r="I41" s="32">
        <f t="shared" si="1"/>
        <v>197973.2</v>
      </c>
      <c r="J41" s="32">
        <f>ROUNDDOWN(D41/102263*1000,1)</f>
        <v>79659.2</v>
      </c>
      <c r="K41" s="29">
        <v>118314</v>
      </c>
    </row>
    <row r="42" spans="1:11" ht="15" customHeight="1">
      <c r="A42" s="40" t="s">
        <v>35</v>
      </c>
      <c r="B42" s="40"/>
      <c r="C42" s="30">
        <f t="shared" si="3"/>
        <v>11496035</v>
      </c>
      <c r="D42" s="31">
        <v>4579099</v>
      </c>
      <c r="E42" s="41">
        <v>6916936</v>
      </c>
      <c r="F42" s="32">
        <f t="shared" si="0"/>
        <v>98758.6</v>
      </c>
      <c r="G42" s="32">
        <f>ROUNDDOWN(D42/116405*1000,1)</f>
        <v>39337.6</v>
      </c>
      <c r="H42" s="29">
        <v>59421</v>
      </c>
      <c r="I42" s="32">
        <f t="shared" si="1"/>
        <v>254590.4</v>
      </c>
      <c r="J42" s="32">
        <f>ROUNDDOWN(D42/45155*1000,1)</f>
        <v>101408.4</v>
      </c>
      <c r="K42" s="29">
        <v>153182</v>
      </c>
    </row>
    <row r="43" spans="1:11" ht="15" customHeight="1">
      <c r="A43" s="40" t="s">
        <v>36</v>
      </c>
      <c r="B43" s="40"/>
      <c r="C43" s="30">
        <f t="shared" si="3"/>
        <v>9570940</v>
      </c>
      <c r="D43" s="31">
        <v>3812210</v>
      </c>
      <c r="E43" s="31">
        <v>5758730</v>
      </c>
      <c r="F43" s="32">
        <f t="shared" si="0"/>
        <v>75982.7</v>
      </c>
      <c r="G43" s="32">
        <f>ROUNDDOWN(D43/125962*1000,1)</f>
        <v>30264.7</v>
      </c>
      <c r="H43" s="41">
        <v>45718</v>
      </c>
      <c r="I43" s="32">
        <f t="shared" si="1"/>
        <v>184163</v>
      </c>
      <c r="J43" s="32">
        <f>ROUNDDOWN(D43/51970*1000,1)</f>
        <v>73354</v>
      </c>
      <c r="K43" s="41">
        <v>110809</v>
      </c>
    </row>
    <row r="44" spans="1:11" ht="15" customHeight="1">
      <c r="A44" s="40" t="s">
        <v>37</v>
      </c>
      <c r="B44" s="40"/>
      <c r="C44" s="30">
        <f t="shared" si="3"/>
        <v>10230503</v>
      </c>
      <c r="D44" s="31">
        <v>4098680</v>
      </c>
      <c r="E44" s="31">
        <v>6131823</v>
      </c>
      <c r="F44" s="32">
        <f t="shared" si="0"/>
        <v>81396.2</v>
      </c>
      <c r="G44" s="32">
        <f>ROUNDDOWN(D44/125687*1000,1)</f>
        <v>32610.2</v>
      </c>
      <c r="H44" s="29">
        <v>48786</v>
      </c>
      <c r="I44" s="32">
        <f t="shared" si="1"/>
        <v>195645.1</v>
      </c>
      <c r="J44" s="32">
        <f>ROUNDDOWN(D44/52291*1000,1)</f>
        <v>78382.1</v>
      </c>
      <c r="K44" s="29">
        <v>117263</v>
      </c>
    </row>
    <row r="45" spans="1:11" ht="15" customHeight="1">
      <c r="A45" s="40" t="s">
        <v>38</v>
      </c>
      <c r="B45" s="40"/>
      <c r="C45" s="30">
        <f t="shared" si="3"/>
        <v>15460320</v>
      </c>
      <c r="D45" s="31">
        <v>6193139</v>
      </c>
      <c r="E45" s="41">
        <v>9267181</v>
      </c>
      <c r="F45" s="32">
        <f t="shared" si="0"/>
        <v>85155.8</v>
      </c>
      <c r="G45" s="32">
        <f>ROUNDDOWN(D45/181554*1000,1)</f>
        <v>34111.8</v>
      </c>
      <c r="H45" s="29">
        <v>51044</v>
      </c>
      <c r="I45" s="32">
        <f t="shared" si="1"/>
        <v>226405.1</v>
      </c>
      <c r="J45" s="32">
        <f>ROUNDDOWN(D45/68286*1000,1)</f>
        <v>90694.1</v>
      </c>
      <c r="K45" s="29">
        <v>135711</v>
      </c>
    </row>
    <row r="46" spans="1:11" ht="12" customHeight="1">
      <c r="A46" s="40"/>
      <c r="B46" s="40"/>
      <c r="C46" s="30"/>
      <c r="D46" s="31"/>
      <c r="F46" s="32"/>
      <c r="G46" s="32"/>
      <c r="H46" s="41"/>
      <c r="I46" s="32"/>
      <c r="J46" s="32"/>
      <c r="K46" s="41"/>
    </row>
    <row r="47" spans="1:11" ht="15" customHeight="1">
      <c r="A47" s="40" t="s">
        <v>39</v>
      </c>
      <c r="B47" s="40"/>
      <c r="C47" s="30">
        <f t="shared" si="3"/>
        <v>17309577</v>
      </c>
      <c r="D47" s="31">
        <v>6921360</v>
      </c>
      <c r="E47" s="31">
        <v>10388217</v>
      </c>
      <c r="F47" s="32">
        <f t="shared" si="0"/>
        <v>138438.8</v>
      </c>
      <c r="G47" s="32">
        <f>ROUNDDOWN(D47/125034*1000,1)</f>
        <v>55355.8</v>
      </c>
      <c r="H47" s="29">
        <v>83083</v>
      </c>
      <c r="I47" s="32">
        <f t="shared" si="1"/>
        <v>332505.7</v>
      </c>
      <c r="J47" s="32">
        <f>ROUNDDOWN(D47/52058*1000,1)</f>
        <v>132954.7</v>
      </c>
      <c r="K47" s="29">
        <v>199551</v>
      </c>
    </row>
    <row r="48" spans="1:11" ht="15" customHeight="1">
      <c r="A48" s="40" t="s">
        <v>40</v>
      </c>
      <c r="B48" s="40"/>
      <c r="C48" s="30">
        <f t="shared" si="3"/>
        <v>6451694</v>
      </c>
      <c r="D48" s="31">
        <v>2571778</v>
      </c>
      <c r="E48" s="31">
        <v>3879916</v>
      </c>
      <c r="F48" s="32">
        <f t="shared" si="0"/>
        <v>86812</v>
      </c>
      <c r="G48" s="32">
        <f>ROUNDDOWN(D48/74318*1000,1)</f>
        <v>34605</v>
      </c>
      <c r="H48" s="29">
        <v>52207</v>
      </c>
      <c r="I48" s="32">
        <f t="shared" si="1"/>
        <v>217031.2</v>
      </c>
      <c r="J48" s="32">
        <f>ROUNDDOWN(D48/29727*1000,1)</f>
        <v>86513.2</v>
      </c>
      <c r="K48" s="29">
        <v>130518</v>
      </c>
    </row>
    <row r="49" spans="1:11" ht="15" customHeight="1">
      <c r="A49" s="40" t="s">
        <v>41</v>
      </c>
      <c r="B49" s="40"/>
      <c r="C49" s="30">
        <f t="shared" si="3"/>
        <v>9911444</v>
      </c>
      <c r="D49" s="31">
        <v>3964111</v>
      </c>
      <c r="E49" s="41">
        <v>5947333</v>
      </c>
      <c r="F49" s="32">
        <f t="shared" si="0"/>
        <v>83213.3</v>
      </c>
      <c r="G49" s="32">
        <f>ROUNDDOWN(D49/119109*1000,1)</f>
        <v>33281.3</v>
      </c>
      <c r="H49" s="29">
        <v>49932</v>
      </c>
      <c r="I49" s="32">
        <f t="shared" si="1"/>
        <v>208245.3</v>
      </c>
      <c r="J49" s="32">
        <f>ROUNDDOWN(D49/47595*1000,1)</f>
        <v>83288.3</v>
      </c>
      <c r="K49" s="29">
        <v>124957</v>
      </c>
    </row>
    <row r="50" spans="1:11" ht="15" customHeight="1">
      <c r="A50" s="40" t="s">
        <v>42</v>
      </c>
      <c r="B50" s="40"/>
      <c r="C50" s="30">
        <f t="shared" si="3"/>
        <v>9782575</v>
      </c>
      <c r="D50" s="31">
        <v>3931217</v>
      </c>
      <c r="E50" s="31">
        <v>5851358</v>
      </c>
      <c r="F50" s="32">
        <f t="shared" si="0"/>
        <v>75438.4</v>
      </c>
      <c r="G50" s="32">
        <f>ROUNDDOWN(D50/129677*1000,1)</f>
        <v>30315.4</v>
      </c>
      <c r="H50" s="41">
        <v>45123</v>
      </c>
      <c r="I50" s="32">
        <f t="shared" si="1"/>
        <v>167231.7</v>
      </c>
      <c r="J50" s="32">
        <f>ROUNDDOWN(D50/58497*1000,1)</f>
        <v>67203.7</v>
      </c>
      <c r="K50" s="41">
        <v>100028</v>
      </c>
    </row>
    <row r="51" spans="1:11" ht="15" customHeight="1">
      <c r="A51" s="40" t="s">
        <v>43</v>
      </c>
      <c r="B51" s="40"/>
      <c r="C51" s="30">
        <f t="shared" si="3"/>
        <v>7556458</v>
      </c>
      <c r="D51" s="31">
        <v>3032108</v>
      </c>
      <c r="E51" s="31">
        <v>4524350</v>
      </c>
      <c r="F51" s="32">
        <f t="shared" si="0"/>
        <v>90855.7</v>
      </c>
      <c r="G51" s="32">
        <f>ROUNDDOWN(D51/83170*1000,1)</f>
        <v>36456.7</v>
      </c>
      <c r="H51" s="29">
        <v>54399</v>
      </c>
      <c r="I51" s="32">
        <f t="shared" si="1"/>
        <v>211731.1</v>
      </c>
      <c r="J51" s="32">
        <f>ROUNDDOWN(D51/35689*1000,1)</f>
        <v>84959.1</v>
      </c>
      <c r="K51" s="29">
        <v>126772</v>
      </c>
    </row>
    <row r="52" spans="1:11" ht="12" customHeight="1">
      <c r="A52" s="40"/>
      <c r="B52" s="40"/>
      <c r="C52" s="30"/>
      <c r="D52" s="31"/>
      <c r="F52" s="32"/>
      <c r="G52" s="32"/>
      <c r="H52" s="41"/>
      <c r="I52" s="32"/>
      <c r="J52" s="32"/>
      <c r="K52" s="41"/>
    </row>
    <row r="53" spans="1:11" ht="15" customHeight="1">
      <c r="A53" s="40" t="s">
        <v>44</v>
      </c>
      <c r="B53" s="40"/>
      <c r="C53" s="30">
        <f t="shared" si="3"/>
        <v>5536153</v>
      </c>
      <c r="D53" s="31">
        <v>2209246</v>
      </c>
      <c r="E53" s="31">
        <v>3326907</v>
      </c>
      <c r="F53" s="32">
        <f t="shared" si="0"/>
        <v>91834.3</v>
      </c>
      <c r="G53" s="32">
        <f>ROUNDDOWN(D53/60284*1000,1)</f>
        <v>36647.3</v>
      </c>
      <c r="H53" s="29">
        <v>55187</v>
      </c>
      <c r="I53" s="32">
        <f t="shared" si="1"/>
        <v>229811</v>
      </c>
      <c r="J53" s="32">
        <f>ROUNDDOWN(D53/24090*1000,1)</f>
        <v>91708</v>
      </c>
      <c r="K53" s="29">
        <v>138103</v>
      </c>
    </row>
    <row r="54" spans="1:11" ht="15" customHeight="1">
      <c r="A54" s="40" t="s">
        <v>45</v>
      </c>
      <c r="B54" s="40"/>
      <c r="C54" s="30">
        <f t="shared" si="3"/>
        <v>5952827</v>
      </c>
      <c r="D54" s="31">
        <v>2375741</v>
      </c>
      <c r="E54" s="41">
        <v>3577086</v>
      </c>
      <c r="F54" s="32">
        <f t="shared" si="0"/>
        <v>90165.6</v>
      </c>
      <c r="G54" s="32">
        <f>ROUNDDOWN(D54/66021*1000,1)</f>
        <v>35984.6</v>
      </c>
      <c r="H54" s="29">
        <v>54181</v>
      </c>
      <c r="I54" s="32">
        <f t="shared" si="1"/>
        <v>222677.2</v>
      </c>
      <c r="J54" s="32">
        <f>ROUNDDOWN(D54/26733*1000,1)</f>
        <v>88869.2</v>
      </c>
      <c r="K54" s="29">
        <v>133808</v>
      </c>
    </row>
    <row r="55" spans="1:11" ht="15" customHeight="1">
      <c r="A55" s="40" t="s">
        <v>46</v>
      </c>
      <c r="B55" s="40"/>
      <c r="C55" s="30">
        <f t="shared" si="3"/>
        <v>42335928</v>
      </c>
      <c r="D55" s="31">
        <v>16961924</v>
      </c>
      <c r="E55" s="31">
        <v>25374004</v>
      </c>
      <c r="F55" s="32">
        <f t="shared" si="0"/>
        <v>86288.6</v>
      </c>
      <c r="G55" s="32">
        <f>ROUNDDOWN(D55/490631*1000,1)</f>
        <v>34571.6</v>
      </c>
      <c r="H55" s="29">
        <v>51717</v>
      </c>
      <c r="I55" s="32">
        <f t="shared" si="1"/>
        <v>197417.3</v>
      </c>
      <c r="J55" s="32">
        <f>ROUNDDOWN(D55/214449*1000,1)</f>
        <v>79095.3</v>
      </c>
      <c r="K55" s="29">
        <v>118322</v>
      </c>
    </row>
    <row r="56" spans="1:11" ht="15" customHeight="1">
      <c r="A56" s="40" t="s">
        <v>47</v>
      </c>
      <c r="B56" s="40"/>
      <c r="C56" s="30">
        <f t="shared" si="3"/>
        <v>4305086</v>
      </c>
      <c r="D56" s="31">
        <v>1713651</v>
      </c>
      <c r="E56" s="41">
        <v>2591435</v>
      </c>
      <c r="F56" s="32">
        <f t="shared" si="0"/>
        <v>65857.6</v>
      </c>
      <c r="G56" s="32">
        <f>ROUNDDOWN(D56/65370*1000,1)</f>
        <v>26214.6</v>
      </c>
      <c r="H56" s="29">
        <v>39643</v>
      </c>
      <c r="I56" s="32">
        <f t="shared" si="1"/>
        <v>176322.5</v>
      </c>
      <c r="J56" s="32">
        <f>ROUNDDOWN(D56/24416*1000,1)</f>
        <v>70185.5</v>
      </c>
      <c r="K56" s="29">
        <v>106137</v>
      </c>
    </row>
    <row r="57" spans="1:11" ht="15" customHeight="1">
      <c r="A57" s="40" t="s">
        <v>48</v>
      </c>
      <c r="B57" s="40"/>
      <c r="C57" s="30">
        <f t="shared" si="3"/>
        <v>5021629</v>
      </c>
      <c r="D57" s="31">
        <v>2002717</v>
      </c>
      <c r="E57" s="31">
        <v>3018912</v>
      </c>
      <c r="F57" s="32">
        <f t="shared" si="0"/>
        <v>87999.9</v>
      </c>
      <c r="G57" s="32">
        <f>ROUNDDOWN(D57/57064*1000,1)</f>
        <v>35095.9</v>
      </c>
      <c r="H57" s="41">
        <v>52904</v>
      </c>
      <c r="I57" s="32">
        <f t="shared" si="1"/>
        <v>221450.7</v>
      </c>
      <c r="J57" s="32">
        <f>ROUNDDOWN(D57/22676*1000,1)</f>
        <v>88318.7</v>
      </c>
      <c r="K57" s="41">
        <v>133132</v>
      </c>
    </row>
    <row r="58" spans="1:11" ht="12" customHeight="1">
      <c r="A58" s="40"/>
      <c r="B58" s="40"/>
      <c r="C58" s="30"/>
      <c r="D58" s="31"/>
      <c r="F58" s="32"/>
      <c r="G58" s="32"/>
      <c r="H58" s="41"/>
      <c r="I58" s="32"/>
      <c r="J58" s="32"/>
      <c r="K58" s="41"/>
    </row>
    <row r="59" spans="1:11" ht="15" customHeight="1">
      <c r="A59" s="40" t="s">
        <v>49</v>
      </c>
      <c r="B59" s="40"/>
      <c r="C59" s="30">
        <f t="shared" si="3"/>
        <v>7998772</v>
      </c>
      <c r="D59" s="31">
        <v>3185783</v>
      </c>
      <c r="E59" s="31">
        <v>4812989</v>
      </c>
      <c r="F59" s="32">
        <f t="shared" si="0"/>
        <v>101845</v>
      </c>
      <c r="G59" s="32">
        <f>ROUNDDOWN(D59/78539*1000,1)</f>
        <v>40563</v>
      </c>
      <c r="H59" s="29">
        <v>61282</v>
      </c>
      <c r="I59" s="32">
        <f t="shared" si="1"/>
        <v>269682</v>
      </c>
      <c r="J59" s="32">
        <f>ROUNDDOWN(D59/29660*1000,1)</f>
        <v>107410</v>
      </c>
      <c r="K59" s="29">
        <v>162272</v>
      </c>
    </row>
    <row r="60" spans="1:11" ht="15" customHeight="1">
      <c r="A60" s="40" t="s">
        <v>50</v>
      </c>
      <c r="B60" s="40"/>
      <c r="C60" s="30">
        <f t="shared" si="3"/>
        <v>6303102</v>
      </c>
      <c r="D60" s="31">
        <v>2512162</v>
      </c>
      <c r="E60" s="31">
        <v>3790940</v>
      </c>
      <c r="F60" s="32">
        <f t="shared" si="0"/>
        <v>109046.5</v>
      </c>
      <c r="G60" s="32">
        <f>ROUNDDOWN(D60/57802*1000,1)</f>
        <v>43461.5</v>
      </c>
      <c r="H60" s="29">
        <v>65585</v>
      </c>
      <c r="I60" s="32">
        <f t="shared" si="1"/>
        <v>271428.2</v>
      </c>
      <c r="J60" s="32">
        <f>ROUNDDOWN(D60/23222*1000,1)</f>
        <v>108180.2</v>
      </c>
      <c r="K60" s="29">
        <v>163248</v>
      </c>
    </row>
    <row r="61" spans="1:11" ht="15" customHeight="1">
      <c r="A61" s="40" t="s">
        <v>51</v>
      </c>
      <c r="B61" s="40"/>
      <c r="C61" s="30">
        <f t="shared" si="3"/>
        <v>4591108</v>
      </c>
      <c r="D61" s="31">
        <v>1836929</v>
      </c>
      <c r="E61" s="31">
        <v>2754179</v>
      </c>
      <c r="F61" s="32">
        <f t="shared" si="0"/>
        <v>78594.1</v>
      </c>
      <c r="G61" s="32">
        <f>ROUNDDOWN(D61/58415*1000,1)</f>
        <v>31446.1</v>
      </c>
      <c r="H61" s="29">
        <v>47148</v>
      </c>
      <c r="I61" s="32">
        <f t="shared" si="1"/>
        <v>206388.1</v>
      </c>
      <c r="J61" s="32">
        <f>ROUNDDOWN(D61/22245*1000,1)</f>
        <v>82577.1</v>
      </c>
      <c r="K61" s="29">
        <v>123811</v>
      </c>
    </row>
    <row r="62" spans="1:11" ht="12" customHeight="1">
      <c r="A62" s="40"/>
      <c r="B62" s="40"/>
      <c r="C62" s="30"/>
      <c r="D62" s="31"/>
      <c r="F62" s="32"/>
      <c r="G62" s="32"/>
      <c r="H62" s="41"/>
      <c r="I62" s="32"/>
      <c r="J62" s="32"/>
      <c r="K62" s="41"/>
    </row>
    <row r="63" spans="1:11" ht="15" customHeight="1">
      <c r="A63" s="40" t="s">
        <v>52</v>
      </c>
      <c r="B63" s="40"/>
      <c r="C63" s="30">
        <f t="shared" si="3"/>
        <v>2993948</v>
      </c>
      <c r="D63" s="31">
        <v>1192273</v>
      </c>
      <c r="E63" s="41">
        <v>1801675</v>
      </c>
      <c r="F63" s="32">
        <f t="shared" si="0"/>
        <v>101914.2</v>
      </c>
      <c r="G63" s="32">
        <f>ROUNDDOWN(D63/29377*1000,1)</f>
        <v>40585.2</v>
      </c>
      <c r="H63" s="29">
        <v>61329</v>
      </c>
      <c r="I63" s="32">
        <f t="shared" si="1"/>
        <v>255260.7</v>
      </c>
      <c r="J63" s="32">
        <f>ROUNDDOWN(D63/11729*1000,1)</f>
        <v>101651.7</v>
      </c>
      <c r="K63" s="29">
        <v>153609</v>
      </c>
    </row>
    <row r="64" spans="1:11" ht="15" customHeight="1">
      <c r="A64" s="40" t="s">
        <v>53</v>
      </c>
      <c r="B64" s="40"/>
      <c r="C64" s="30">
        <f t="shared" si="3"/>
        <v>2800918</v>
      </c>
      <c r="D64" s="31">
        <v>1112086</v>
      </c>
      <c r="E64" s="41">
        <v>1688832</v>
      </c>
      <c r="F64" s="32">
        <f t="shared" si="0"/>
        <v>116467.5</v>
      </c>
      <c r="G64" s="32">
        <f>ROUNDDOWN(D64/24049*1000,1)</f>
        <v>46242.5</v>
      </c>
      <c r="H64" s="29">
        <v>70225</v>
      </c>
      <c r="I64" s="32">
        <f t="shared" si="1"/>
        <v>321353.3</v>
      </c>
      <c r="J64" s="32">
        <f>ROUNDDOWN(D64/8716*1000,1)</f>
        <v>127591.3</v>
      </c>
      <c r="K64" s="29">
        <v>193762</v>
      </c>
    </row>
    <row r="65" spans="1:11" ht="15" customHeight="1">
      <c r="A65" s="40" t="s">
        <v>54</v>
      </c>
      <c r="B65" s="40"/>
      <c r="C65" s="30">
        <f t="shared" si="3"/>
        <v>906649</v>
      </c>
      <c r="D65" s="31">
        <v>361702</v>
      </c>
      <c r="E65" s="31">
        <v>544947</v>
      </c>
      <c r="F65" s="32">
        <f t="shared" si="0"/>
        <v>70337.6</v>
      </c>
      <c r="G65" s="32">
        <f>ROUNDDOWN(D65/12890*1000,1)</f>
        <v>28060.6</v>
      </c>
      <c r="H65" s="29">
        <v>42277</v>
      </c>
      <c r="I65" s="32">
        <f t="shared" si="1"/>
        <v>197183</v>
      </c>
      <c r="J65" s="32">
        <f>ROUNDDOWN(D65/4598*1000,1)</f>
        <v>78665</v>
      </c>
      <c r="K65" s="29">
        <v>118518</v>
      </c>
    </row>
    <row r="66" spans="1:11" ht="15" customHeight="1">
      <c r="A66" s="40" t="s">
        <v>55</v>
      </c>
      <c r="B66" s="40"/>
      <c r="C66" s="30">
        <f t="shared" si="3"/>
        <v>1219146</v>
      </c>
      <c r="D66" s="31">
        <v>488154</v>
      </c>
      <c r="E66" s="31">
        <v>730992</v>
      </c>
      <c r="F66" s="32">
        <f t="shared" si="0"/>
        <v>68344.9</v>
      </c>
      <c r="G66" s="32">
        <f>ROUNDDOWN(D66/17838*1000,1)</f>
        <v>27365.9</v>
      </c>
      <c r="H66" s="29">
        <v>40979</v>
      </c>
      <c r="I66" s="32">
        <f t="shared" si="1"/>
        <v>169631.8</v>
      </c>
      <c r="J66" s="32">
        <f>ROUNDDOWN(D66/7187*1000,1)</f>
        <v>67921.8</v>
      </c>
      <c r="K66" s="29">
        <v>101710</v>
      </c>
    </row>
    <row r="67" spans="1:11" ht="15" customHeight="1">
      <c r="A67" s="40" t="s">
        <v>56</v>
      </c>
      <c r="B67" s="40"/>
      <c r="C67" s="30">
        <f t="shared" si="3"/>
        <v>4076538</v>
      </c>
      <c r="D67" s="31">
        <v>1625877</v>
      </c>
      <c r="E67" s="31">
        <v>2450661</v>
      </c>
      <c r="F67" s="32">
        <f t="shared" si="0"/>
        <v>91758.5</v>
      </c>
      <c r="G67" s="32">
        <f>ROUNDDOWN(D67/44427*1000,1)</f>
        <v>36596.5</v>
      </c>
      <c r="H67" s="29">
        <v>55162</v>
      </c>
      <c r="I67" s="32">
        <f t="shared" si="1"/>
        <v>252730.3</v>
      </c>
      <c r="J67" s="32">
        <f>ROUNDDOWN(D67/16130*1000,1)</f>
        <v>100798.3</v>
      </c>
      <c r="K67" s="29">
        <v>151932</v>
      </c>
    </row>
    <row r="68" spans="1:11" ht="12" customHeight="1">
      <c r="A68" s="40"/>
      <c r="B68" s="40"/>
      <c r="C68" s="30"/>
      <c r="D68" s="31"/>
      <c r="F68" s="32"/>
      <c r="G68" s="32"/>
      <c r="H68" s="41"/>
      <c r="I68" s="32"/>
      <c r="J68" s="32"/>
      <c r="K68" s="41"/>
    </row>
    <row r="69" spans="1:11" ht="15" customHeight="1">
      <c r="A69" s="40" t="s">
        <v>57</v>
      </c>
      <c r="B69" s="40"/>
      <c r="C69" s="30">
        <f t="shared" si="3"/>
        <v>578244</v>
      </c>
      <c r="D69" s="31">
        <v>229793</v>
      </c>
      <c r="E69" s="41">
        <v>348451</v>
      </c>
      <c r="F69" s="32">
        <f t="shared" si="0"/>
        <v>71573.2</v>
      </c>
      <c r="G69" s="32">
        <f>ROUNDDOWN(D69/8079*1000,1)</f>
        <v>28443.2</v>
      </c>
      <c r="H69" s="29">
        <v>43130</v>
      </c>
      <c r="I69" s="32">
        <f t="shared" si="1"/>
        <v>176240.4</v>
      </c>
      <c r="J69" s="32">
        <f>ROUNDDOWN(D69/3281*1000,1)</f>
        <v>70037.4</v>
      </c>
      <c r="K69" s="29">
        <v>106203</v>
      </c>
    </row>
    <row r="70" spans="1:11" ht="15" customHeight="1">
      <c r="A70" s="40" t="s">
        <v>58</v>
      </c>
      <c r="B70" s="40"/>
      <c r="C70" s="30">
        <f t="shared" si="3"/>
        <v>1356765</v>
      </c>
      <c r="D70" s="31">
        <v>541921</v>
      </c>
      <c r="E70" s="31">
        <v>814844</v>
      </c>
      <c r="F70" s="32">
        <f t="shared" si="0"/>
        <v>72886</v>
      </c>
      <c r="G70" s="32">
        <f>ROUNDDOWN(D70/18615*1000,1)</f>
        <v>29112</v>
      </c>
      <c r="H70" s="29">
        <v>43774</v>
      </c>
      <c r="I70" s="32">
        <f t="shared" si="1"/>
        <v>174323.8</v>
      </c>
      <c r="J70" s="32">
        <f>ROUNDDOWN(D70/7783*1000,1)</f>
        <v>69628.8</v>
      </c>
      <c r="K70" s="29">
        <v>104695</v>
      </c>
    </row>
    <row r="71" spans="1:11" ht="15" customHeight="1">
      <c r="A71" s="40" t="s">
        <v>59</v>
      </c>
      <c r="B71" s="40"/>
      <c r="C71" s="30">
        <f t="shared" si="3"/>
        <v>1263890</v>
      </c>
      <c r="D71" s="31">
        <v>503435</v>
      </c>
      <c r="E71" s="31">
        <v>760455</v>
      </c>
      <c r="F71" s="32">
        <f t="shared" si="0"/>
        <v>87593.4</v>
      </c>
      <c r="G71" s="32">
        <f>ROUNDDOWN(D71/14429*1000,1)</f>
        <v>34890.4</v>
      </c>
      <c r="H71" s="29">
        <v>52703</v>
      </c>
      <c r="I71" s="32">
        <f t="shared" si="1"/>
        <v>250176.6</v>
      </c>
      <c r="J71" s="32">
        <f>ROUNDDOWN(D71/5052*1000,1)</f>
        <v>99650.6</v>
      </c>
      <c r="K71" s="29">
        <v>150526</v>
      </c>
    </row>
    <row r="72" spans="1:11" ht="15" customHeight="1">
      <c r="A72" s="40" t="s">
        <v>60</v>
      </c>
      <c r="B72" s="40"/>
      <c r="C72" s="30">
        <f t="shared" si="3"/>
        <v>1418913</v>
      </c>
      <c r="D72" s="31">
        <v>567899</v>
      </c>
      <c r="E72" s="31">
        <v>851014</v>
      </c>
      <c r="F72" s="32">
        <f t="shared" si="0"/>
        <v>84949.8</v>
      </c>
      <c r="G72" s="32">
        <f>ROUNDDOWN(D72/16703*1000,1)</f>
        <v>33999.8</v>
      </c>
      <c r="H72" s="29">
        <v>50950</v>
      </c>
      <c r="I72" s="32">
        <f t="shared" si="1"/>
        <v>233719.9</v>
      </c>
      <c r="J72" s="32">
        <f>ROUNDDOWN(D72/6071*1000,1)</f>
        <v>93542.9</v>
      </c>
      <c r="K72" s="29">
        <v>140177</v>
      </c>
    </row>
    <row r="73" spans="1:11" ht="15" customHeight="1">
      <c r="A73" s="40" t="s">
        <v>61</v>
      </c>
      <c r="B73" s="40"/>
      <c r="C73" s="30">
        <f t="shared" si="3"/>
        <v>522801</v>
      </c>
      <c r="D73" s="31">
        <v>208814</v>
      </c>
      <c r="E73" s="31">
        <v>313987</v>
      </c>
      <c r="F73" s="32">
        <f t="shared" si="0"/>
        <v>80779.2</v>
      </c>
      <c r="G73" s="32">
        <f>ROUNDDOWN(D73/6472*1000,1)</f>
        <v>32264.2</v>
      </c>
      <c r="H73" s="29">
        <v>48515</v>
      </c>
      <c r="I73" s="32">
        <f t="shared" si="1"/>
        <v>225539.6</v>
      </c>
      <c r="J73" s="32">
        <f>ROUNDDOWN(D73/2318*1000,1)</f>
        <v>90083.6</v>
      </c>
      <c r="K73" s="29">
        <v>135456</v>
      </c>
    </row>
    <row r="74" spans="1:11" ht="8.25" customHeight="1">
      <c r="A74" s="42"/>
      <c r="B74" s="43"/>
      <c r="C74" s="30">
        <f t="shared" si="3"/>
        <v>0</v>
      </c>
      <c r="D74" s="42"/>
      <c r="E74" s="44"/>
      <c r="F74" s="44"/>
      <c r="G74" s="44"/>
      <c r="H74" s="44"/>
      <c r="I74" s="44"/>
      <c r="J74" s="44"/>
      <c r="K74" s="44"/>
    </row>
    <row r="75" spans="1:5" ht="18" customHeight="1">
      <c r="A75" s="45" t="s">
        <v>72</v>
      </c>
      <c r="B75" s="45"/>
      <c r="C75" s="46"/>
      <c r="E75" s="31"/>
    </row>
    <row r="76" s="47" customFormat="1" ht="13.5">
      <c r="E76" s="31"/>
    </row>
    <row r="77" spans="4:5" ht="13.5">
      <c r="D77" s="48"/>
      <c r="E77" s="31"/>
    </row>
    <row r="78" ht="13.5">
      <c r="E78" s="31"/>
    </row>
    <row r="79" ht="13.5">
      <c r="E79" s="31"/>
    </row>
    <row r="80" ht="13.5">
      <c r="E80" s="41"/>
    </row>
  </sheetData>
  <mergeCells count="1">
    <mergeCell ref="A4:B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KijiS</dc:creator>
  <cp:keywords/>
  <dc:description/>
  <cp:lastModifiedBy>KijiS</cp:lastModifiedBy>
  <cp:lastPrinted>2010-01-06T07:22:06Z</cp:lastPrinted>
  <dcterms:created xsi:type="dcterms:W3CDTF">2008-11-14T07:20:48Z</dcterms:created>
  <dcterms:modified xsi:type="dcterms:W3CDTF">2010-03-04T04:47:16Z</dcterms:modified>
  <cp:category/>
  <cp:version/>
  <cp:contentType/>
  <cp:contentStatus/>
</cp:coreProperties>
</file>