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消費量結果表示" sheetId="4" r:id="rId4"/>
    <sheet name="目標入力" sheetId="5" r:id="rId5"/>
    <sheet name="消費量入力 (1年目)" sheetId="6" r:id="rId6"/>
    <sheet name="消費量入力 (2年目) " sheetId="7" r:id="rId7"/>
    <sheet name="消費量入力 (3年目) " sheetId="8" r:id="rId8"/>
    <sheet name="消費量入力 (4年目) " sheetId="9" r:id="rId9"/>
    <sheet name="別表" sheetId="10" r:id="rId10"/>
    <sheet name="クレジット" sheetId="11" r:id="rId11"/>
  </sheets>
  <definedNames>
    <definedName name="OLE_LINK1" localSheetId="2">'重点評価入力'!$E$70</definedName>
    <definedName name="OLE_LINK1" localSheetId="1">'評価結果表示'!#REF!</definedName>
    <definedName name="_xlnm.Print_Area" localSheetId="10">'クレジット'!$A$1:$S$37</definedName>
    <definedName name="_xlnm.Print_Area" localSheetId="2">'重点評価入力'!$B$2:$Q$48</definedName>
    <definedName name="_xlnm.Print_Area" localSheetId="3">'消費量結果表示'!$B$1:$T$61</definedName>
    <definedName name="_xlnm.Print_Area" localSheetId="5">'消費量入力 (1年目)'!$B$1:$W$37</definedName>
    <definedName name="_xlnm.Print_Area" localSheetId="6">'消費量入力 (2年目) '!$B$1:$W$37</definedName>
    <definedName name="_xlnm.Print_Area" localSheetId="7">'消費量入力 (3年目) '!$B$1:$W$37</definedName>
    <definedName name="_xlnm.Print_Area" localSheetId="8">'消費量入力 (4年目) '!$B$1:$W$37</definedName>
    <definedName name="_xlnm.Print_Area" localSheetId="0">'表紙'!$A$1:$J$36</definedName>
    <definedName name="_xlnm.Print_Area" localSheetId="1">'評価結果表示'!$A$1:$U$52</definedName>
    <definedName name="_xlnm.Print_Area" localSheetId="4">'目標入力'!$B$1:$S$124</definedName>
  </definedNames>
  <calcPr fullCalcOnLoad="1"/>
</workbook>
</file>

<file path=xl/comments4.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6.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<sst xmlns="http://schemas.openxmlformats.org/spreadsheetml/2006/main" count="1016" uniqueCount="449">
  <si>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</si>
  <si>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</si>
  <si>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</si>
  <si>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</si>
  <si>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</si>
  <si>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</si>
  <si>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</si>
  <si>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</si>
  <si>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</si>
  <si>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</si>
  <si>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</si>
  <si>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</si>
  <si>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</si>
  <si>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</si>
  <si>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</si>
  <si>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</si>
  <si>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</si>
  <si>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</si>
  <si>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</si>
  <si>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</si>
  <si>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</si>
  <si>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</si>
  <si>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</si>
  <si>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</si>
  <si>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</si>
  <si>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</si>
  <si>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</si>
  <si>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</si>
  <si>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</si>
  <si>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</si>
  <si>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</si>
  <si>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</si>
  <si>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</si>
  <si>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</si>
  <si>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</si>
  <si>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</si>
  <si>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</si>
  <si>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</si>
  <si>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</si>
  <si>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</si>
  <si>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</si>
  <si>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</si>
  <si>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</si>
  <si>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</si>
  <si>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</si>
  <si>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</si>
  <si>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</si>
  <si>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</si>
  <si>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</si>
  <si>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</si>
  <si>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</si>
  <si>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</si>
  <si>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</si>
  <si>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</si>
  <si>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</si>
  <si>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</si>
  <si>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</si>
  <si>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</si>
  <si>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</si>
  <si>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</si>
  <si>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</si>
  <si>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</si>
  <si>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</si>
  <si>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</si>
  <si>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</si>
  <si>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</si>
  <si>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</si>
  <si>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</si>
  <si>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</si>
  <si>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</si>
  <si>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</si>
  <si>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</si>
  <si>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</si>
  <si>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</si>
  <si>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</si>
  <si>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</si>
  <si>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</si>
  <si>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</si>
  <si>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</si>
  <si>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</si>
  <si>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</si>
  <si>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</si>
  <si>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</si>
  <si>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</si>
  <si>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</si>
  <si>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</si>
  <si>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</si>
  <si>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</si>
  <si>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</si>
  <si>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</si>
  <si>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</si>
  <si>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</si>
  <si>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</si>
  <si>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</si>
  <si>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</si>
  <si>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</si>
  <si>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</si>
  <si>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</si>
  <si>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</si>
  <si>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</si>
  <si>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</si>
  <si>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</si>
  <si>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</si>
  <si>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</si>
  <si>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</si>
  <si>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</si>
  <si>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</si>
  <si>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</si>
  <si>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</si>
  <si>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</si>
  <si>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</si>
  <si>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</si>
  <si>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</si>
  <si>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</si>
  <si>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</si>
  <si>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</si>
  <si>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</si>
  <si>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</si>
  <si>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</si>
  <si>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</si>
  <si>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</si>
  <si>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</si>
  <si>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</si>
  <si>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</si>
  <si>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</si>
  <si>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</si>
  <si>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</si>
  <si>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</si>
  <si>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</si>
  <si>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</si>
  <si>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</si>
  <si>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</si>
  <si>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</si>
  <si>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</si>
  <si>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</si>
  <si>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</si>
  <si>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</si>
  <si>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</si>
  <si>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</si>
  <si>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</si>
  <si>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</si>
  <si>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</si>
  <si>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</si>
  <si>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</si>
  <si>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</si>
  <si>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</si>
  <si>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</si>
  <si>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</si>
  <si>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</si>
  <si>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</si>
  <si>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</si>
  <si>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</si>
  <si>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</si>
  <si>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</si>
  <si>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</si>
  <si>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</si>
  <si>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</si>
  <si>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</si>
  <si>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</si>
  <si>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</si>
  <si>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</si>
  <si>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</si>
  <si>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</si>
  <si>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</si>
  <si>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</si>
  <si>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</si>
  <si>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</si>
  <si>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</si>
  <si>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</si>
  <si>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</si>
  <si>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</si>
  <si>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</si>
  <si>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</si>
  <si>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</si>
  <si>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</si>
  <si>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</si>
  <si>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</si>
  <si>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</si>
  <si>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</si>
  <si>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</si>
  <si>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</si>
  <si>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</si>
  <si>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</si>
  <si>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</si>
  <si>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</si>
  <si>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</si>
  <si>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</si>
  <si>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</si>
  <si>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</si>
  <si>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</si>
  <si>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</si>
  <si>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</si>
  <si>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</si>
  <si>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</si>
  <si>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</si>
  <si>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</si>
  <si>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</si>
  <si>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</si>
  <si>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</si>
  <si>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</si>
  <si>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</si>
  <si>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</si>
  <si>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</si>
  <si>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</si>
  <si>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</si>
  <si>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</si>
  <si>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</si>
  <si>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</si>
  <si>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</si>
  <si>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</si>
  <si>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</si>
  <si>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</si>
  <si>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</si>
  <si>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</si>
  <si>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</si>
  <si>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</si>
  <si>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</si>
  <si>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</si>
  <si>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</si>
  <si>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</si>
  <si>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</si>
  <si>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</si>
  <si>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</si>
  <si>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</si>
  <si>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</si>
  <si>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</si>
  <si>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</si>
  <si>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</si>
  <si>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</si>
  <si>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</si>
  <si>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</si>
  <si>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</si>
  <si>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</si>
  <si>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</si>
  <si>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</si>
  <si>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</si>
  <si>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</si>
  <si>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</si>
  <si>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</si>
  <si>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</si>
  <si>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</si>
  <si>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</si>
  <si>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</si>
  <si>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</si>
  <si>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</si>
  <si>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</si>
  <si>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</si>
  <si>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</si>
  <si>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</si>
  <si>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</si>
  <si>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</si>
  <si>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</si>
  <si>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</si>
  <si>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</si>
  <si>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</si>
  <si>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</si>
  <si>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</si>
  <si>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</si>
  <si>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</si>
  <si>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</si>
  <si>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</si>
  <si>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</si>
  <si>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</si>
  <si>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</si>
  <si>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</si>
  <si>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</si>
  <si>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</si>
  <si>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</si>
  <si>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</si>
  <si>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</si>
  <si>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</si>
  <si>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</si>
  <si>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</si>
  <si>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</si>
  <si>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</si>
  <si>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</si>
  <si>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</si>
  <si>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</si>
  <si>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</si>
  <si>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</si>
  <si>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</si>
  <si>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</si>
  <si>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</si>
  <si>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</si>
  <si>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</si>
  <si>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</si>
  <si>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</si>
  <si>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</si>
  <si>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</si>
  <si>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</si>
  <si>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</si>
  <si>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</si>
  <si>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</si>
  <si>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</si>
  <si>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</si>
  <si>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</si>
  <si>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</si>
  <si>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</si>
  <si>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</si>
  <si>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</si>
  <si>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</si>
  <si>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</si>
  <si>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</si>
  <si>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</si>
  <si>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</si>
  <si>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</si>
  <si>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</si>
  <si>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</si>
  <si>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</si>
  <si>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</si>
  <si>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</si>
  <si>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</si>
  <si>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</si>
  <si>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</si>
  <si>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</si>
  <si>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</si>
  <si>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</si>
  <si>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</si>
  <si>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</si>
  <si>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</si>
  <si>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</si>
  <si>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</si>
  <si>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</si>
  <si>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</si>
  <si>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</si>
  <si>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</si>
  <si>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</si>
  <si>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</si>
  <si>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</si>
  <si>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</si>
  <si>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</si>
  <si>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</si>
  <si>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</si>
  <si>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</si>
  <si>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</si>
  <si>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</si>
  <si>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</si>
  <si>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</si>
  <si>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</si>
  <si>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</si>
  <si>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</si>
  <si>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</si>
  <si>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</si>
  <si>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</si>
  <si>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</si>
  <si>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</si>
  <si>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</si>
  <si>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</si>
  <si>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</si>
  <si>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</si>
  <si>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</si>
  <si>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</si>
  <si>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</si>
  <si>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</si>
  <si>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</si>
  <si>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</si>
  <si>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</si>
  <si>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</si>
  <si>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</si>
  <si>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</si>
  <si>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</si>
  <si>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</si>
  <si>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</si>
  <si>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</si>
  <si>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</si>
  <si>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</si>
  <si>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</si>
  <si>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</si>
  <si>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</si>
  <si>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</si>
  <si>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</si>
  <si>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</si>
  <si>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</si>
  <si>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</si>
  <si>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</si>
  <si>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</si>
  <si>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</si>
  <si>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</si>
  <si>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</si>
  <si>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</si>
  <si>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</si>
  <si>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</si>
  <si>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</si>
  <si>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</si>
  <si>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</si>
  <si>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</si>
  <si>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</si>
  <si>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</si>
  <si>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</si>
  <si>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</si>
  <si>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</si>
  <si>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</si>
  <si>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</si>
  <si>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</si>
  <si>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</si>
  <si>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</si>
  <si>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</si>
  <si>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</si>
  <si>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</si>
  <si>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</si>
  <si>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</si>
  <si>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</si>
  <si>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大阪府営○○住宅新築工事</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</si>
  <si>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</si>
  <si>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</si>
  <si>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</si>
  <si>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</si>
  <si>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</si>
  <si>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</si>
  <si>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</si>
  <si>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</si>
  <si>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</si>
  <si>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</si>
  <si>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</si>
  <si>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</si>
  <si>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</si>
  <si>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</si>
  <si>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太陽光発電</t>
  </si>
  <si>
    <t>受付番号</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</si>
  <si>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</si>
  <si>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</si>
  <si>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</si>
  <si>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</si>
  <si>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</si>
  <si>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</si>
  <si>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</si>
  <si>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</si>
  <si>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</si>
  <si>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</si>
  <si>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</si>
  <si>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</si>
  <si>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</si>
  <si>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</si>
  <si>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</si>
  <si>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</si>
  <si>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</si>
  <si>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</si>
  <si>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</si>
  <si>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</si>
  <si>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</si>
  <si>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実績</t>
  </si>
  <si>
    <t>CASBEE評価ソフトは、</t>
  </si>
  <si>
    <t xml:space="preserve"> ＣＡＳＢＥＥ「Ｑ１－２．１．２」
 のスコアによる評価</t>
  </si>
  <si>
    <t xml:space="preserve"> ＣＡＳＢＥＥ「Ｑ１－２．１．２」
のスコアによる評価</t>
  </si>
  <si>
    <t xml:space="preserve"> 建物外皮の熱負荷抑制</t>
  </si>
  <si>
    <t>H27-0000</t>
  </si>
  <si>
    <t>http://www.pref.osaka.lg.jp/kenshi_shinsa/casbee_index_html/index.html</t>
  </si>
  <si>
    <t>住居・宿泊部分の比率</t>
  </si>
  <si>
    <r>
      <t>Osakafu-</t>
    </r>
    <r>
      <rPr>
        <b/>
        <sz val="18"/>
        <color indexed="9"/>
        <rFont val="ＭＳ Ｐゴシック"/>
        <family val="3"/>
      </rPr>
      <t>新築・既存</t>
    </r>
    <r>
      <rPr>
        <b/>
        <sz val="18"/>
        <color indexed="9"/>
        <rFont val="Arial"/>
        <family val="2"/>
      </rPr>
      <t xml:space="preserve"> 2015V1.03</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</si>
</sst>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s>
  <fonts count="166">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b/>
      <sz val="10"/>
      <color indexed="10"/>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2"/>
      <color indexed="10"/>
      <name val="Arial"/>
      <family val="2"/>
    </font>
    <font>
      <sz val="8"/>
      <color indexed="10"/>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2"/>
      <color indexed="10"/>
      <name val="Arial"/>
      <family val="2"/>
    </font>
    <font>
      <b/>
      <sz val="28"/>
      <color indexed="10"/>
      <name val="ＭＳ Ｐゴシック"/>
      <family val="3"/>
    </font>
    <font>
      <b/>
      <sz val="18"/>
      <color indexed="8"/>
      <name val="ＭＳ Ｐゴシック"/>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sz val="11"/>
      <color rgb="FFFF0000"/>
      <name val="Arial"/>
      <family val="2"/>
    </font>
    <font>
      <b/>
      <sz val="12"/>
      <color rgb="FFFF0000"/>
      <name val="Arial"/>
      <family val="2"/>
    </font>
    <font>
      <b/>
      <sz val="28"/>
      <color rgb="FFFF3300"/>
      <name val="ＭＳ Ｐゴシック"/>
      <family val="3"/>
    </font>
    <font>
      <sz val="14"/>
      <color rgb="FFFF000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1"/>
        <bgColor indexed="64"/>
      </patternFill>
    </fill>
    <fill>
      <patternFill patternType="solid">
        <fgColor theme="0" tint="-0.24993999302387238"/>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thin"/>
      <bottom style="double"/>
    </border>
    <border>
      <left/>
      <right style="thin"/>
      <top style="medium"/>
      <bottom style="thin"/>
    </border>
    <border>
      <left/>
      <right style="thin"/>
      <top style="thin"/>
      <bottom style="medium"/>
    </border>
    <border>
      <left style="thin"/>
      <right style="medium"/>
      <top style="medium"/>
      <bottom style="medium"/>
    </border>
    <border>
      <left style="medium"/>
      <right/>
      <top style="medium"/>
      <bottom style="thin"/>
    </border>
    <border>
      <left/>
      <right style="thin"/>
      <top>
        <color indexed="63"/>
      </top>
      <bottom style="hair"/>
    </border>
    <border>
      <left/>
      <right style="medium"/>
      <top/>
      <bottom style="hair"/>
    </border>
    <border>
      <left style="medium"/>
      <right/>
      <top style="thin"/>
      <bottom style="medium"/>
    </border>
    <border>
      <left/>
      <right style="thin"/>
      <top/>
      <bottom style="thin"/>
    </border>
    <border>
      <left/>
      <right style="thin"/>
      <top style="thin"/>
      <bottom/>
    </border>
    <border>
      <left style="thin"/>
      <right style="thin"/>
      <top style="double"/>
      <bottom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medium"/>
      <top/>
      <bottom style="double"/>
    </border>
    <border>
      <left/>
      <right style="medium"/>
      <top style="double"/>
      <bottom/>
    </border>
    <border>
      <left style="medium"/>
      <right style="thin"/>
      <top/>
      <bottom style="medium"/>
    </border>
    <border>
      <left style="thin"/>
      <right style="thin"/>
      <top style="medium"/>
      <bottom/>
    </border>
    <border>
      <left style="medium"/>
      <right style="thin"/>
      <top/>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thin"/>
      <top style="medium"/>
      <bottom style="medium"/>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44" fillId="0" borderId="3" applyNumberFormat="0" applyFill="0" applyAlignment="0" applyProtection="0"/>
    <xf numFmtId="0" fontId="145" fillId="29" borderId="0" applyNumberFormat="0" applyBorder="0" applyAlignment="0" applyProtection="0"/>
    <xf numFmtId="0" fontId="146" fillId="30" borderId="4" applyNumberFormat="0" applyAlignment="0" applyProtection="0"/>
    <xf numFmtId="0" fontId="1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8" fillId="0" borderId="5" applyNumberFormat="0" applyFill="0" applyAlignment="0" applyProtection="0"/>
    <xf numFmtId="0" fontId="149" fillId="0" borderId="6" applyNumberFormat="0" applyFill="0" applyAlignment="0" applyProtection="0"/>
    <xf numFmtId="0" fontId="150" fillId="0" borderId="7" applyNumberFormat="0" applyFill="0" applyAlignment="0" applyProtection="0"/>
    <xf numFmtId="0" fontId="150" fillId="0" borderId="0" applyNumberFormat="0" applyFill="0" applyBorder="0" applyAlignment="0" applyProtection="0"/>
    <xf numFmtId="0" fontId="151" fillId="0" borderId="8" applyNumberFormat="0" applyFill="0" applyAlignment="0" applyProtection="0"/>
    <xf numFmtId="0" fontId="152" fillId="30" borderId="9" applyNumberFormat="0" applyAlignment="0" applyProtection="0"/>
    <xf numFmtId="0" fontId="1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4" fillId="31" borderId="4" applyNumberFormat="0" applyAlignment="0" applyProtection="0"/>
    <xf numFmtId="0" fontId="3" fillId="0" borderId="0">
      <alignment/>
      <protection/>
    </xf>
    <xf numFmtId="0" fontId="155" fillId="0" borderId="0" applyNumberFormat="0" applyFill="0" applyBorder="0" applyAlignment="0" applyProtection="0"/>
    <xf numFmtId="0" fontId="156" fillId="32" borderId="0" applyNumberFormat="0" applyBorder="0" applyAlignment="0" applyProtection="0"/>
  </cellStyleXfs>
  <cellXfs count="1460">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4" fillId="39" borderId="28" xfId="0" applyNumberFormat="1" applyFont="1" applyFill="1" applyBorder="1" applyAlignment="1" applyProtection="1">
      <alignment horizontal="right" vertical="center"/>
      <protection locked="0"/>
    </xf>
    <xf numFmtId="186" fontId="64" fillId="39" borderId="29" xfId="0" applyNumberFormat="1" applyFont="1" applyFill="1" applyBorder="1" applyAlignment="1" applyProtection="1">
      <alignment horizontal="right" vertical="center"/>
      <protection locked="0"/>
    </xf>
    <xf numFmtId="186" fontId="64" fillId="39" borderId="30" xfId="0" applyNumberFormat="1" applyFont="1" applyFill="1" applyBorder="1" applyAlignment="1" applyProtection="1" quotePrefix="1">
      <alignment horizontal="right" vertical="center"/>
      <protection locked="0"/>
    </xf>
    <xf numFmtId="186" fontId="64"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60"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72" fillId="35" borderId="0" xfId="0" applyFont="1" applyFill="1" applyBorder="1" applyAlignment="1" applyProtection="1">
      <alignment vertical="center"/>
      <protection hidden="1"/>
    </xf>
    <xf numFmtId="177" fontId="72" fillId="35" borderId="0" xfId="0" applyNumberFormat="1" applyFont="1" applyFill="1" applyBorder="1" applyAlignment="1" applyProtection="1">
      <alignment vertical="center"/>
      <protection hidden="1"/>
    </xf>
    <xf numFmtId="0" fontId="35" fillId="35" borderId="0" xfId="0" applyFont="1" applyFill="1" applyBorder="1" applyAlignment="1" applyProtection="1">
      <alignment vertical="center"/>
      <protection hidden="1"/>
    </xf>
    <xf numFmtId="177" fontId="35" fillId="35" borderId="0" xfId="0" applyNumberFormat="1" applyFont="1" applyFill="1" applyBorder="1" applyAlignment="1" applyProtection="1">
      <alignment vertical="center"/>
      <protection hidden="1"/>
    </xf>
    <xf numFmtId="3" fontId="58" fillId="35" borderId="0" xfId="0" applyNumberFormat="1" applyFont="1" applyFill="1" applyBorder="1" applyAlignment="1" applyProtection="1">
      <alignment horizontal="left" vertical="center"/>
      <protection hidden="1"/>
    </xf>
    <xf numFmtId="3" fontId="58" fillId="35" borderId="0" xfId="0" applyNumberFormat="1" applyFont="1" applyFill="1" applyBorder="1" applyAlignment="1" applyProtection="1">
      <alignment horizontal="center" vertical="center"/>
      <protection hidden="1"/>
    </xf>
    <xf numFmtId="3" fontId="41" fillId="35" borderId="0" xfId="0" applyNumberFormat="1" applyFont="1" applyFill="1" applyBorder="1" applyAlignment="1" applyProtection="1">
      <alignment horizontal="left" vertical="center"/>
      <protection hidden="1"/>
    </xf>
    <xf numFmtId="0" fontId="73" fillId="35" borderId="0" xfId="0" applyFont="1" applyFill="1" applyBorder="1" applyAlignment="1" applyProtection="1">
      <alignment horizontal="left"/>
      <protection hidden="1"/>
    </xf>
    <xf numFmtId="0" fontId="47" fillId="35" borderId="0" xfId="0" applyFont="1" applyFill="1" applyBorder="1" applyAlignment="1" applyProtection="1">
      <alignment vertical="center"/>
      <protection hidden="1"/>
    </xf>
    <xf numFmtId="176" fontId="35" fillId="35" borderId="0" xfId="0" applyNumberFormat="1" applyFont="1" applyFill="1" applyBorder="1" applyAlignment="1" applyProtection="1">
      <alignment horizontal="right"/>
      <protection hidden="1"/>
    </xf>
    <xf numFmtId="176" fontId="35" fillId="35" borderId="0" xfId="0" applyNumberFormat="1" applyFont="1" applyFill="1" applyBorder="1" applyAlignment="1" applyProtection="1">
      <alignment vertical="center"/>
      <protection hidden="1"/>
    </xf>
    <xf numFmtId="0" fontId="47" fillId="35" borderId="0" xfId="0" applyFont="1" applyFill="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0" fontId="34" fillId="39" borderId="59" xfId="0" applyFont="1" applyFill="1" applyBorder="1" applyAlignment="1" applyProtection="1">
      <alignment vertical="center"/>
      <protection hidden="1"/>
    </xf>
    <xf numFmtId="188" fontId="0" fillId="33" borderId="60" xfId="0" applyNumberFormat="1" applyFont="1" applyFill="1" applyBorder="1" applyAlignment="1" applyProtection="1">
      <alignment horizontal="center" vertical="center" wrapText="1"/>
      <protection hidden="1"/>
    </xf>
    <xf numFmtId="0" fontId="32" fillId="33" borderId="61"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2"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3"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2"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4"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left" vertical="center" shrinkToFit="1"/>
      <protection hidden="1"/>
    </xf>
    <xf numFmtId="3" fontId="40" fillId="38" borderId="68" xfId="0" applyNumberFormat="1" applyFont="1" applyFill="1" applyBorder="1" applyAlignment="1" applyProtection="1">
      <alignment horizontal="center" vertical="center" shrinkToFit="1"/>
      <protection hidden="1"/>
    </xf>
    <xf numFmtId="40" fontId="40" fillId="35" borderId="69" xfId="49" applyNumberFormat="1" applyFont="1" applyFill="1" applyBorder="1" applyAlignment="1" applyProtection="1">
      <alignment horizontal="center" vertical="center" shrinkToFit="1"/>
      <protection hidden="1"/>
    </xf>
    <xf numFmtId="38" fontId="40" fillId="0" borderId="70" xfId="49" applyFont="1" applyFill="1" applyBorder="1" applyAlignment="1" applyProtection="1">
      <alignment vertical="center"/>
      <protection hidden="1"/>
    </xf>
    <xf numFmtId="38" fontId="40" fillId="0" borderId="71" xfId="49" applyFont="1" applyFill="1" applyBorder="1" applyAlignment="1" applyProtection="1">
      <alignment horizontal="right" vertical="center"/>
      <protection hidden="1"/>
    </xf>
    <xf numFmtId="38" fontId="40" fillId="0" borderId="72" xfId="49" applyFont="1" applyFill="1" applyBorder="1" applyAlignment="1" applyProtection="1">
      <alignment vertical="center"/>
      <protection hidden="1"/>
    </xf>
    <xf numFmtId="0" fontId="40" fillId="38" borderId="73"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4"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5"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6"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7" xfId="0" applyFont="1" applyFill="1" applyBorder="1" applyAlignment="1" applyProtection="1">
      <alignment vertical="center"/>
      <protection hidden="1"/>
    </xf>
    <xf numFmtId="0" fontId="40" fillId="38" borderId="78" xfId="0" applyFont="1" applyFill="1" applyBorder="1" applyAlignment="1" applyProtection="1">
      <alignment vertical="center"/>
      <protection hidden="1"/>
    </xf>
    <xf numFmtId="0" fontId="0" fillId="0" borderId="73" xfId="0" applyBorder="1" applyAlignment="1" applyProtection="1">
      <alignment vertical="center"/>
      <protection hidden="1"/>
    </xf>
    <xf numFmtId="0" fontId="0" fillId="0" borderId="79" xfId="0" applyBorder="1" applyAlignment="1" applyProtection="1">
      <alignment vertical="center"/>
      <protection hidden="1"/>
    </xf>
    <xf numFmtId="0" fontId="65"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3"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7"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3" xfId="0" applyNumberFormat="1" applyFont="1" applyFill="1" applyBorder="1" applyAlignment="1" applyProtection="1">
      <alignment horizontal="right" vertical="center"/>
      <protection hidden="1"/>
    </xf>
    <xf numFmtId="0" fontId="67"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7" fillId="35" borderId="15" xfId="0" applyNumberFormat="1" applyFont="1" applyFill="1" applyBorder="1" applyAlignment="1" applyProtection="1">
      <alignment vertical="center"/>
      <protection hidden="1"/>
    </xf>
    <xf numFmtId="185" fontId="67" fillId="35" borderId="0" xfId="0" applyNumberFormat="1" applyFont="1" applyFill="1" applyAlignment="1" applyProtection="1">
      <alignment vertical="center"/>
      <protection hidden="1"/>
    </xf>
    <xf numFmtId="0" fontId="62"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4" xfId="0" applyNumberFormat="1" applyFont="1" applyFill="1" applyBorder="1" applyAlignment="1" applyProtection="1">
      <alignment horizontal="center" vertical="center"/>
      <protection hidden="1"/>
    </xf>
    <xf numFmtId="3" fontId="34" fillId="38" borderId="80" xfId="0" applyNumberFormat="1" applyFont="1" applyFill="1" applyBorder="1" applyAlignment="1" applyProtection="1">
      <alignment horizontal="center" vertical="top"/>
      <protection hidden="1"/>
    </xf>
    <xf numFmtId="0" fontId="67" fillId="35" borderId="0" xfId="0" applyFont="1" applyFill="1" applyBorder="1" applyAlignment="1" applyProtection="1">
      <alignment vertical="center"/>
      <protection hidden="1"/>
    </xf>
    <xf numFmtId="3" fontId="34" fillId="38" borderId="67" xfId="0" applyNumberFormat="1" applyFont="1" applyFill="1" applyBorder="1" applyAlignment="1" applyProtection="1">
      <alignment horizontal="left" vertical="center"/>
      <protection hidden="1"/>
    </xf>
    <xf numFmtId="3" fontId="34" fillId="38" borderId="68"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4"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5"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6" xfId="0" applyFont="1" applyFill="1" applyBorder="1" applyAlignment="1" applyProtection="1">
      <alignment horizontal="center" vertical="center"/>
      <protection hidden="1"/>
    </xf>
    <xf numFmtId="0" fontId="34" fillId="38" borderId="77" xfId="0" applyFont="1" applyFill="1" applyBorder="1" applyAlignment="1" applyProtection="1">
      <alignment vertical="center"/>
      <protection hidden="1"/>
    </xf>
    <xf numFmtId="0" fontId="34" fillId="38" borderId="78" xfId="0" applyFont="1" applyFill="1" applyBorder="1" applyAlignment="1" applyProtection="1">
      <alignment vertical="center"/>
      <protection hidden="1"/>
    </xf>
    <xf numFmtId="0" fontId="34" fillId="38" borderId="78" xfId="0" applyFont="1" applyFill="1" applyBorder="1" applyAlignment="1" applyProtection="1">
      <alignment horizontal="right" vertical="center"/>
      <protection hidden="1"/>
    </xf>
    <xf numFmtId="0" fontId="34" fillId="38" borderId="81"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3"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9" xfId="0" applyNumberFormat="1" applyFont="1" applyFill="1" applyBorder="1" applyAlignment="1" applyProtection="1" quotePrefix="1">
      <alignment horizontal="left" vertical="center"/>
      <protection hidden="1"/>
    </xf>
    <xf numFmtId="0" fontId="34" fillId="0" borderId="73" xfId="0" applyFont="1" applyFill="1" applyBorder="1" applyAlignment="1" applyProtection="1">
      <alignment vertical="center"/>
      <protection hidden="1"/>
    </xf>
    <xf numFmtId="0" fontId="34" fillId="0" borderId="79"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2"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3"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9"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3"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4" xfId="0" applyNumberFormat="1" applyFont="1" applyFill="1" applyBorder="1" applyAlignment="1" applyProtection="1">
      <alignment horizontal="center" vertical="center"/>
      <protection hidden="1"/>
    </xf>
    <xf numFmtId="3" fontId="34" fillId="35" borderId="80" xfId="0" applyNumberFormat="1" applyFont="1" applyFill="1" applyBorder="1" applyAlignment="1" applyProtection="1">
      <alignment horizontal="center" vertical="top"/>
      <protection hidden="1"/>
    </xf>
    <xf numFmtId="3" fontId="34" fillId="35" borderId="67" xfId="0" applyNumberFormat="1" applyFont="1" applyFill="1" applyBorder="1" applyAlignment="1" applyProtection="1">
      <alignment horizontal="left" vertical="center"/>
      <protection hidden="1"/>
    </xf>
    <xf numFmtId="3" fontId="34" fillId="35" borderId="68"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4"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5"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6" xfId="0" applyFont="1" applyFill="1" applyBorder="1" applyAlignment="1" applyProtection="1">
      <alignment horizontal="center" vertical="center"/>
      <protection hidden="1"/>
    </xf>
    <xf numFmtId="0" fontId="34" fillId="35" borderId="77" xfId="0" applyFont="1" applyFill="1" applyBorder="1" applyAlignment="1" applyProtection="1">
      <alignment vertical="center"/>
      <protection hidden="1"/>
    </xf>
    <xf numFmtId="0" fontId="34" fillId="35" borderId="78" xfId="0" applyFont="1" applyFill="1" applyBorder="1" applyAlignment="1" applyProtection="1">
      <alignment vertical="center"/>
      <protection hidden="1"/>
    </xf>
    <xf numFmtId="0" fontId="34" fillId="35" borderId="78" xfId="0" applyFont="1" applyFill="1" applyBorder="1" applyAlignment="1" applyProtection="1">
      <alignment horizontal="right" vertical="center"/>
      <protection hidden="1"/>
    </xf>
    <xf numFmtId="0" fontId="34" fillId="35" borderId="81"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1"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8"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3"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3" xfId="0" applyFill="1" applyBorder="1" applyAlignment="1" applyProtection="1">
      <alignment vertical="center"/>
      <protection hidden="1"/>
    </xf>
    <xf numFmtId="0" fontId="69" fillId="43" borderId="60" xfId="0" applyFont="1" applyFill="1" applyBorder="1" applyAlignment="1" applyProtection="1">
      <alignment horizontal="left" vertical="center"/>
      <protection hidden="1"/>
    </xf>
    <xf numFmtId="0" fontId="68" fillId="43" borderId="61" xfId="0" applyFont="1" applyFill="1" applyBorder="1" applyAlignment="1" applyProtection="1">
      <alignment horizontal="left" vertical="center"/>
      <protection hidden="1"/>
    </xf>
    <xf numFmtId="0" fontId="0" fillId="35" borderId="82"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3"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4"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5"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60"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6" xfId="0" applyFont="1" applyFill="1" applyBorder="1" applyAlignment="1" applyProtection="1">
      <alignment vertical="center" wrapText="1"/>
      <protection hidden="1"/>
    </xf>
    <xf numFmtId="0" fontId="0" fillId="35" borderId="87" xfId="0" applyFill="1" applyBorder="1" applyAlignment="1" applyProtection="1">
      <alignment vertical="center"/>
      <protection hidden="1"/>
    </xf>
    <xf numFmtId="3" fontId="46" fillId="35" borderId="87" xfId="0" applyNumberFormat="1" applyFont="1" applyFill="1" applyBorder="1" applyAlignment="1" applyProtection="1">
      <alignment horizontal="center" vertical="center" shrinkToFit="1"/>
      <protection hidden="1"/>
    </xf>
    <xf numFmtId="3" fontId="46" fillId="35" borderId="88"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9"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90"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1"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4"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2" xfId="0" applyFont="1" applyFill="1" applyBorder="1" applyAlignment="1" applyProtection="1">
      <alignment horizontal="center" vertical="center" shrinkToFit="1"/>
      <protection hidden="1"/>
    </xf>
    <xf numFmtId="38" fontId="8" fillId="35" borderId="92" xfId="49" applyFont="1" applyFill="1" applyBorder="1" applyAlignment="1" applyProtection="1">
      <alignment horizontal="center" vertical="center"/>
      <protection hidden="1"/>
    </xf>
    <xf numFmtId="38" fontId="8" fillId="35" borderId="92" xfId="49" applyFont="1" applyFill="1" applyBorder="1" applyAlignment="1" applyProtection="1">
      <alignment horizontal="center" vertical="center" shrinkToFit="1"/>
      <protection hidden="1"/>
    </xf>
    <xf numFmtId="0" fontId="0" fillId="36" borderId="92" xfId="0" applyFont="1" applyFill="1" applyBorder="1" applyAlignment="1" applyProtection="1">
      <alignment vertical="center" wrapText="1"/>
      <protection hidden="1"/>
    </xf>
    <xf numFmtId="0" fontId="0" fillId="35" borderId="93" xfId="0" applyFill="1" applyBorder="1" applyAlignment="1" applyProtection="1">
      <alignment vertical="center"/>
      <protection hidden="1"/>
    </xf>
    <xf numFmtId="3" fontId="46" fillId="35" borderId="93" xfId="0" applyNumberFormat="1"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35" borderId="94"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3"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8"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vertical="center"/>
      <protection hidden="1"/>
    </xf>
    <xf numFmtId="38" fontId="40" fillId="0" borderId="99" xfId="49" applyFont="1" applyFill="1" applyBorder="1" applyAlignment="1" applyProtection="1">
      <alignment horizontal="right" vertical="center"/>
      <protection hidden="1"/>
    </xf>
    <xf numFmtId="38" fontId="40" fillId="0" borderId="97" xfId="49" applyFont="1" applyFill="1" applyBorder="1" applyAlignment="1" applyProtection="1">
      <alignment horizontal="right" vertical="center"/>
      <protection hidden="1"/>
    </xf>
    <xf numFmtId="38" fontId="40" fillId="0" borderId="100" xfId="49" applyFont="1" applyFill="1" applyBorder="1" applyAlignment="1" applyProtection="1">
      <alignment horizontal="right" vertical="center"/>
      <protection hidden="1"/>
    </xf>
    <xf numFmtId="38" fontId="40" fillId="0" borderId="81" xfId="49" applyFont="1" applyFill="1" applyBorder="1" applyAlignment="1" applyProtection="1">
      <alignment vertical="center"/>
      <protection hidden="1"/>
    </xf>
    <xf numFmtId="182" fontId="34" fillId="39" borderId="60"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5"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0" borderId="0" xfId="0" applyFont="1" applyFill="1" applyBorder="1" applyAlignment="1" applyProtection="1">
      <alignment vertical="center"/>
      <protection hidden="1"/>
    </xf>
    <xf numFmtId="0" fontId="89" fillId="0" borderId="36" xfId="0" applyFont="1" applyFill="1" applyBorder="1" applyAlignment="1" applyProtection="1">
      <alignment vertical="center"/>
      <protection hidden="1"/>
    </xf>
    <xf numFmtId="0" fontId="90" fillId="33" borderId="0" xfId="0" applyFont="1" applyFill="1" applyBorder="1" applyAlignment="1" applyProtection="1">
      <alignment vertical="center"/>
      <protection hidden="1"/>
    </xf>
    <xf numFmtId="0" fontId="91" fillId="0" borderId="36" xfId="0" applyFont="1" applyFill="1" applyBorder="1" applyAlignment="1" applyProtection="1">
      <alignment horizontal="left" vertical="center"/>
      <protection hidden="1"/>
    </xf>
    <xf numFmtId="0" fontId="93" fillId="40" borderId="11" xfId="0" applyFont="1" applyFill="1" applyBorder="1" applyAlignment="1" applyProtection="1">
      <alignment vertical="center"/>
      <protection hidden="1"/>
    </xf>
    <xf numFmtId="0" fontId="93" fillId="40" borderId="13" xfId="0" applyFont="1" applyFill="1" applyBorder="1" applyAlignment="1" applyProtection="1">
      <alignment vertical="center"/>
      <protection hidden="1"/>
    </xf>
    <xf numFmtId="0" fontId="85" fillId="0" borderId="36" xfId="0" applyFont="1" applyFill="1" applyBorder="1" applyAlignment="1" applyProtection="1">
      <alignment horizontal="left" vertical="center"/>
      <protection hidden="1"/>
    </xf>
    <xf numFmtId="0" fontId="92" fillId="33" borderId="63" xfId="0" applyFont="1" applyFill="1" applyBorder="1" applyAlignment="1" applyProtection="1">
      <alignment vertical="center"/>
      <protection hidden="1"/>
    </xf>
    <xf numFmtId="0" fontId="95" fillId="0" borderId="36" xfId="0" applyFont="1" applyFill="1" applyBorder="1" applyAlignment="1" applyProtection="1">
      <alignment horizontal="center" vertical="center"/>
      <protection hidden="1"/>
    </xf>
    <xf numFmtId="0" fontId="89"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3" xfId="0" applyFont="1" applyFill="1" applyBorder="1" applyAlignment="1" applyProtection="1">
      <alignment vertical="center"/>
      <protection hidden="1"/>
    </xf>
    <xf numFmtId="0" fontId="12" fillId="33" borderId="79"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3" xfId="0" applyNumberFormat="1" applyFont="1" applyFill="1" applyBorder="1" applyAlignment="1" applyProtection="1">
      <alignment vertical="center"/>
      <protection hidden="1"/>
    </xf>
    <xf numFmtId="0" fontId="87" fillId="44" borderId="11" xfId="0" applyFont="1" applyFill="1" applyBorder="1" applyAlignment="1" applyProtection="1">
      <alignment vertical="center"/>
      <protection hidden="1"/>
    </xf>
    <xf numFmtId="0" fontId="80" fillId="44" borderId="11" xfId="0" applyFont="1" applyFill="1" applyBorder="1" applyAlignment="1" applyProtection="1">
      <alignment horizontal="left" vertical="center"/>
      <protection hidden="1"/>
    </xf>
    <xf numFmtId="0" fontId="81" fillId="44" borderId="11" xfId="0" applyFont="1" applyFill="1" applyBorder="1" applyAlignment="1" applyProtection="1">
      <alignment horizontal="right" vertical="center"/>
      <protection hidden="1"/>
    </xf>
    <xf numFmtId="0" fontId="81" fillId="44" borderId="11" xfId="0" applyFont="1" applyFill="1" applyBorder="1" applyAlignment="1" applyProtection="1">
      <alignment vertical="center"/>
      <protection hidden="1"/>
    </xf>
    <xf numFmtId="0" fontId="82" fillId="44" borderId="11" xfId="0" applyFont="1" applyFill="1" applyBorder="1" applyAlignment="1" applyProtection="1">
      <alignment vertical="center"/>
      <protection hidden="1"/>
    </xf>
    <xf numFmtId="0" fontId="79" fillId="44" borderId="11" xfId="0" applyFont="1" applyFill="1" applyBorder="1" applyAlignment="1" applyProtection="1">
      <alignment horizontal="left" vertical="center"/>
      <protection hidden="1"/>
    </xf>
    <xf numFmtId="0" fontId="83" fillId="44" borderId="11" xfId="0" applyFont="1" applyFill="1" applyBorder="1" applyAlignment="1" applyProtection="1">
      <alignment horizontal="center" vertical="center"/>
      <protection hidden="1"/>
    </xf>
    <xf numFmtId="0" fontId="86" fillId="44" borderId="13" xfId="0" applyFont="1" applyFill="1" applyBorder="1" applyAlignment="1" applyProtection="1">
      <alignment vertical="top"/>
      <protection hidden="1"/>
    </xf>
    <xf numFmtId="0" fontId="81" fillId="44" borderId="13" xfId="0" applyFont="1" applyFill="1" applyBorder="1" applyAlignment="1" applyProtection="1">
      <alignment horizontal="left" vertical="center"/>
      <protection hidden="1"/>
    </xf>
    <xf numFmtId="0" fontId="81" fillId="44" borderId="13" xfId="0" applyFont="1" applyFill="1" applyBorder="1" applyAlignment="1" applyProtection="1">
      <alignment horizontal="right" vertical="center"/>
      <protection hidden="1"/>
    </xf>
    <xf numFmtId="0" fontId="81" fillId="44" borderId="13" xfId="0" applyFont="1" applyFill="1" applyBorder="1" applyAlignment="1" applyProtection="1">
      <alignment vertical="center"/>
      <protection hidden="1"/>
    </xf>
    <xf numFmtId="0" fontId="82" fillId="44" borderId="13" xfId="0" applyFont="1" applyFill="1" applyBorder="1" applyAlignment="1" applyProtection="1">
      <alignment vertical="center"/>
      <protection hidden="1"/>
    </xf>
    <xf numFmtId="0" fontId="84" fillId="44" borderId="13" xfId="0" applyFont="1" applyFill="1" applyBorder="1" applyAlignment="1" applyProtection="1">
      <alignment horizontal="left" vertical="top"/>
      <protection hidden="1"/>
    </xf>
    <xf numFmtId="0" fontId="82" fillId="44" borderId="13" xfId="0" applyFont="1" applyFill="1" applyBorder="1" applyAlignment="1" applyProtection="1">
      <alignment horizontal="center" vertical="center"/>
      <protection hidden="1"/>
    </xf>
    <xf numFmtId="0" fontId="81" fillId="44" borderId="22" xfId="0" applyFont="1" applyFill="1" applyBorder="1" applyAlignment="1" applyProtection="1">
      <alignment vertical="center"/>
      <protection hidden="1"/>
    </xf>
    <xf numFmtId="0" fontId="97"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8"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2" xfId="0" applyFont="1" applyFill="1" applyBorder="1" applyAlignment="1" applyProtection="1">
      <alignment vertical="center"/>
      <protection hidden="1"/>
    </xf>
    <xf numFmtId="14" fontId="44" fillId="44" borderId="103" xfId="0" applyNumberFormat="1" applyFont="1" applyFill="1" applyBorder="1" applyAlignment="1" applyProtection="1">
      <alignment horizontal="right" vertical="center"/>
      <protection hidden="1"/>
    </xf>
    <xf numFmtId="0" fontId="30" fillId="44" borderId="73"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5" xfId="0" applyFont="1" applyFill="1" applyBorder="1" applyAlignment="1" applyProtection="1">
      <alignment horizontal="left" vertical="center"/>
      <protection hidden="1"/>
    </xf>
    <xf numFmtId="14" fontId="30" fillId="44" borderId="92" xfId="0" applyNumberFormat="1" applyFont="1" applyFill="1" applyBorder="1" applyAlignment="1" applyProtection="1">
      <alignment horizontal="right" vertical="center"/>
      <protection hidden="1"/>
    </xf>
    <xf numFmtId="0" fontId="18" fillId="44" borderId="62" xfId="0" applyFont="1" applyFill="1" applyBorder="1" applyAlignment="1" applyProtection="1">
      <alignment vertical="center"/>
      <protection hidden="1"/>
    </xf>
    <xf numFmtId="14" fontId="30" fillId="44" borderId="62" xfId="0" applyNumberFormat="1" applyFont="1" applyFill="1" applyBorder="1" applyAlignment="1" applyProtection="1">
      <alignment horizontal="right" vertical="center"/>
      <protection hidden="1"/>
    </xf>
    <xf numFmtId="0" fontId="17" fillId="45" borderId="20" xfId="0" applyFont="1" applyFill="1" applyBorder="1" applyAlignment="1" applyProtection="1">
      <alignment horizontal="left" vertical="center"/>
      <protection hidden="1"/>
    </xf>
    <xf numFmtId="0" fontId="30" fillId="45" borderId="32" xfId="0" applyFont="1" applyFill="1" applyBorder="1" applyAlignment="1" applyProtection="1">
      <alignment horizontal="left" vertical="center"/>
      <protection hidden="1"/>
    </xf>
    <xf numFmtId="0" fontId="37" fillId="45" borderId="32" xfId="0" applyFont="1" applyFill="1" applyBorder="1" applyAlignment="1" applyProtection="1">
      <alignment horizontal="left" vertical="center"/>
      <protection hidden="1"/>
    </xf>
    <xf numFmtId="0" fontId="38" fillId="45" borderId="32" xfId="0" applyFont="1" applyFill="1" applyBorder="1" applyAlignment="1" applyProtection="1">
      <alignment horizontal="right" vertical="top"/>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2"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100" fillId="36" borderId="106" xfId="0" applyFont="1" applyFill="1" applyBorder="1" applyAlignment="1" applyProtection="1">
      <alignment horizontal="center" vertical="center" wrapText="1"/>
      <protection hidden="1"/>
    </xf>
    <xf numFmtId="0" fontId="100" fillId="36" borderId="79" xfId="0" applyFont="1" applyFill="1" applyBorder="1" applyAlignment="1" applyProtection="1">
      <alignment horizontal="center" vertical="center" wrapText="1"/>
      <protection hidden="1"/>
    </xf>
    <xf numFmtId="0" fontId="85" fillId="0" borderId="11" xfId="0" applyFont="1" applyFill="1" applyBorder="1" applyAlignment="1" applyProtection="1">
      <alignment horizontal="left" vertical="center"/>
      <protection hidden="1"/>
    </xf>
    <xf numFmtId="0" fontId="85" fillId="0" borderId="13" xfId="0" applyFont="1" applyFill="1" applyBorder="1" applyAlignment="1" applyProtection="1">
      <alignment horizontal="left" vertical="center"/>
      <protection hidden="1"/>
    </xf>
    <xf numFmtId="37" fontId="75" fillId="0" borderId="49" xfId="0" applyNumberFormat="1" applyFont="1" applyFill="1" applyBorder="1" applyAlignment="1" applyProtection="1">
      <alignment vertical="center"/>
      <protection hidden="1"/>
    </xf>
    <xf numFmtId="0" fontId="34" fillId="0" borderId="20" xfId="0" applyFont="1" applyFill="1" applyBorder="1" applyAlignment="1" applyProtection="1">
      <alignment horizontal="left" vertical="center"/>
      <protection hidden="1"/>
    </xf>
    <xf numFmtId="3" fontId="0" fillId="0" borderId="49" xfId="0" applyNumberFormat="1" applyFont="1" applyFill="1" applyBorder="1" applyAlignment="1" applyProtection="1">
      <alignment vertical="center"/>
      <protection hidden="1"/>
    </xf>
    <xf numFmtId="0" fontId="32" fillId="0" borderId="63"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34" fillId="0" borderId="26" xfId="0" applyFont="1" applyFill="1" applyBorder="1" applyAlignment="1" applyProtection="1">
      <alignment vertical="center"/>
      <protection hidden="1"/>
    </xf>
    <xf numFmtId="0" fontId="34" fillId="0" borderId="34" xfId="0" applyFont="1" applyFill="1" applyBorder="1" applyAlignment="1" applyProtection="1">
      <alignment vertical="center"/>
      <protection hidden="1"/>
    </xf>
    <xf numFmtId="0" fontId="34" fillId="0" borderId="107" xfId="0" applyFont="1" applyFill="1" applyBorder="1" applyAlignment="1" applyProtection="1">
      <alignment vertical="center"/>
      <protection hidden="1"/>
    </xf>
    <xf numFmtId="0" fontId="100" fillId="36" borderId="106" xfId="0" applyFont="1" applyFill="1" applyBorder="1" applyAlignment="1" applyProtection="1">
      <alignment vertical="center" wrapText="1"/>
      <protection hidden="1"/>
    </xf>
    <xf numFmtId="0" fontId="100" fillId="36" borderId="79"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3"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103" fillId="0" borderId="106" xfId="0" applyFont="1" applyFill="1" applyBorder="1" applyAlignment="1" applyProtection="1">
      <alignment horizontal="center" vertical="center" wrapText="1"/>
      <protection hidden="1"/>
    </xf>
    <xf numFmtId="0" fontId="85" fillId="0" borderId="22" xfId="0"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center" vertical="center"/>
      <protection hidden="1"/>
    </xf>
    <xf numFmtId="3" fontId="34" fillId="0" borderId="49" xfId="0" applyNumberFormat="1" applyFont="1" applyFill="1" applyBorder="1" applyAlignment="1" applyProtection="1">
      <alignment vertical="center"/>
      <protection hidden="1"/>
    </xf>
    <xf numFmtId="0" fontId="17" fillId="46" borderId="20" xfId="0" applyFont="1" applyFill="1" applyBorder="1" applyAlignment="1" applyProtection="1">
      <alignment vertical="center"/>
      <protection hidden="1"/>
    </xf>
    <xf numFmtId="0" fontId="17" fillId="46" borderId="32" xfId="0" applyFont="1" applyFill="1" applyBorder="1" applyAlignment="1" applyProtection="1">
      <alignment vertical="center"/>
      <protection hidden="1"/>
    </xf>
    <xf numFmtId="0" fontId="26" fillId="46" borderId="32" xfId="0" applyFont="1" applyFill="1" applyBorder="1" applyAlignment="1" applyProtection="1">
      <alignment vertical="center"/>
      <protection hidden="1"/>
    </xf>
    <xf numFmtId="0" fontId="26" fillId="46" borderId="32" xfId="0" applyFont="1" applyFill="1" applyBorder="1" applyAlignment="1" applyProtection="1">
      <alignment horizontal="right" vertical="center"/>
      <protection hidden="1"/>
    </xf>
    <xf numFmtId="0" fontId="17" fillId="47" borderId="20" xfId="0" applyFont="1" applyFill="1" applyBorder="1" applyAlignment="1" applyProtection="1">
      <alignment horizontal="left" vertical="center"/>
      <protection hidden="1"/>
    </xf>
    <xf numFmtId="0" fontId="30" fillId="47" borderId="32" xfId="0" applyFont="1" applyFill="1" applyBorder="1" applyAlignment="1" applyProtection="1">
      <alignment horizontal="left" vertical="center"/>
      <protection hidden="1"/>
    </xf>
    <xf numFmtId="0" fontId="37" fillId="47" borderId="32" xfId="0" applyFont="1" applyFill="1" applyBorder="1" applyAlignment="1" applyProtection="1">
      <alignment horizontal="left" vertical="center"/>
      <protection hidden="1"/>
    </xf>
    <xf numFmtId="0" fontId="38" fillId="47" borderId="32" xfId="0" applyFont="1" applyFill="1" applyBorder="1" applyAlignment="1" applyProtection="1">
      <alignment horizontal="right" vertical="top"/>
      <protection hidden="1"/>
    </xf>
    <xf numFmtId="0" fontId="37" fillId="47" borderId="49" xfId="0" applyFont="1" applyFill="1" applyBorder="1" applyAlignment="1" applyProtection="1">
      <alignment horizontal="left" vertical="center"/>
      <protection hidden="1"/>
    </xf>
    <xf numFmtId="0" fontId="95" fillId="0" borderId="11" xfId="0" applyFont="1" applyFill="1" applyBorder="1" applyAlignment="1" applyProtection="1">
      <alignment horizontal="center" vertical="center"/>
      <protection hidden="1"/>
    </xf>
    <xf numFmtId="0" fontId="103" fillId="0" borderId="22" xfId="0" applyFont="1" applyFill="1" applyBorder="1" applyAlignment="1" applyProtection="1">
      <alignment vertical="center" wrapText="1"/>
      <protection hidden="1"/>
    </xf>
    <xf numFmtId="0" fontId="103" fillId="0" borderId="49" xfId="0" applyFont="1" applyFill="1" applyBorder="1" applyAlignment="1" applyProtection="1">
      <alignment horizontal="center" vertical="center" wrapText="1"/>
      <protection hidden="1"/>
    </xf>
    <xf numFmtId="0" fontId="100" fillId="45" borderId="101" xfId="0" applyFont="1" applyFill="1" applyBorder="1" applyAlignment="1" applyProtection="1">
      <alignment vertical="center" wrapText="1"/>
      <protection hidden="1"/>
    </xf>
    <xf numFmtId="0" fontId="100" fillId="36" borderId="49" xfId="0" applyFont="1" applyFill="1" applyBorder="1" applyAlignment="1" applyProtection="1">
      <alignment vertical="center" wrapText="1"/>
      <protection hidden="1"/>
    </xf>
    <xf numFmtId="0" fontId="17" fillId="46" borderId="21" xfId="0" applyFont="1" applyFill="1" applyBorder="1" applyAlignment="1" applyProtection="1">
      <alignment vertical="center"/>
      <protection hidden="1"/>
    </xf>
    <xf numFmtId="0" fontId="17" fillId="46" borderId="57" xfId="0" applyFont="1" applyFill="1" applyBorder="1" applyAlignment="1" applyProtection="1">
      <alignment vertical="center"/>
      <protection hidden="1"/>
    </xf>
    <xf numFmtId="0" fontId="26" fillId="46" borderId="57" xfId="0" applyFont="1" applyFill="1" applyBorder="1" applyAlignment="1" applyProtection="1">
      <alignment vertical="center"/>
      <protection hidden="1"/>
    </xf>
    <xf numFmtId="0" fontId="26" fillId="46" borderId="57" xfId="0" applyFont="1" applyFill="1" applyBorder="1" applyAlignment="1" applyProtection="1">
      <alignment horizontal="right" vertical="center"/>
      <protection hidden="1"/>
    </xf>
    <xf numFmtId="3" fontId="40" fillId="35" borderId="15" xfId="0" applyNumberFormat="1" applyFont="1" applyFill="1" applyBorder="1" applyAlignment="1" applyProtection="1">
      <alignment horizontal="center" vertical="center" wrapText="1"/>
      <protection hidden="1"/>
    </xf>
    <xf numFmtId="14" fontId="30" fillId="45" borderId="32" xfId="0" applyNumberFormat="1" applyFont="1" applyFill="1" applyBorder="1" applyAlignment="1" applyProtection="1">
      <alignment horizontal="right" vertical="center"/>
      <protection hidden="1"/>
    </xf>
    <xf numFmtId="0" fontId="32" fillId="45" borderId="32" xfId="0" applyFont="1" applyFill="1" applyBorder="1" applyAlignment="1" applyProtection="1">
      <alignment horizontal="center" vertical="center" wrapText="1"/>
      <protection hidden="1"/>
    </xf>
    <xf numFmtId="0" fontId="32" fillId="45" borderId="49" xfId="0" applyFont="1" applyFill="1" applyBorder="1" applyAlignment="1" applyProtection="1">
      <alignment horizontal="center" vertical="center" wrapText="1"/>
      <protection hidden="1"/>
    </xf>
    <xf numFmtId="0" fontId="17" fillId="46" borderId="19" xfId="0" applyFont="1" applyFill="1" applyBorder="1" applyAlignment="1" applyProtection="1">
      <alignment vertical="center"/>
      <protection hidden="1"/>
    </xf>
    <xf numFmtId="0" fontId="17" fillId="46" borderId="33" xfId="0" applyFont="1" applyFill="1" applyBorder="1" applyAlignment="1" applyProtection="1">
      <alignment vertical="center"/>
      <protection hidden="1"/>
    </xf>
    <xf numFmtId="0" fontId="17" fillId="46" borderId="106" xfId="0" applyFont="1" applyFill="1" applyBorder="1" applyAlignment="1" applyProtection="1">
      <alignment vertical="center"/>
      <protection hidden="1"/>
    </xf>
    <xf numFmtId="0" fontId="17" fillId="46" borderId="101" xfId="0" applyFont="1" applyFill="1" applyBorder="1" applyAlignment="1" applyProtection="1">
      <alignment vertical="center"/>
      <protection hidden="1"/>
    </xf>
    <xf numFmtId="0" fontId="17" fillId="45" borderId="24" xfId="0" applyFont="1" applyFill="1" applyBorder="1" applyAlignment="1" applyProtection="1">
      <alignment horizontal="left" vertical="center"/>
      <protection hidden="1"/>
    </xf>
    <xf numFmtId="0" fontId="17" fillId="47" borderId="24" xfId="0" applyFont="1" applyFill="1" applyBorder="1" applyAlignment="1" applyProtection="1">
      <alignment horizontal="left" vertical="center"/>
      <protection hidden="1"/>
    </xf>
    <xf numFmtId="0" fontId="35" fillId="35" borderId="0" xfId="0" applyFont="1" applyFill="1" applyBorder="1" applyAlignment="1" applyProtection="1">
      <alignment horizontal="center" vertical="center"/>
      <protection hidden="1"/>
    </xf>
    <xf numFmtId="0" fontId="33" fillId="33" borderId="63"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horizontal="center" vertical="center" wrapText="1"/>
      <protection hidden="1"/>
    </xf>
    <xf numFmtId="3" fontId="34" fillId="35"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vertical="center" wrapText="1"/>
      <protection hidden="1"/>
    </xf>
    <xf numFmtId="0" fontId="100" fillId="36" borderId="24" xfId="0" applyFont="1" applyFill="1" applyBorder="1" applyAlignment="1" applyProtection="1">
      <alignment horizontal="center" vertical="center" wrapText="1"/>
      <protection hidden="1"/>
    </xf>
    <xf numFmtId="0" fontId="103" fillId="0" borderId="106" xfId="0" applyNumberFormat="1" applyFont="1" applyFill="1" applyBorder="1" applyAlignment="1" applyProtection="1">
      <alignment vertical="center" wrapText="1"/>
      <protection hidden="1"/>
    </xf>
    <xf numFmtId="0" fontId="103" fillId="0" borderId="79" xfId="0" applyNumberFormat="1" applyFont="1" applyFill="1" applyBorder="1" applyAlignment="1" applyProtection="1">
      <alignment vertical="center" wrapText="1"/>
      <protection hidden="1"/>
    </xf>
    <xf numFmtId="0" fontId="103" fillId="0" borderId="101" xfId="0" applyNumberFormat="1" applyFont="1" applyFill="1" applyBorder="1" applyAlignment="1" applyProtection="1">
      <alignment vertical="center" wrapText="1"/>
      <protection hidden="1"/>
    </xf>
    <xf numFmtId="0" fontId="34" fillId="0" borderId="15" xfId="0" applyFont="1" applyFill="1" applyBorder="1" applyAlignment="1" applyProtection="1">
      <alignment horizontal="center" vertical="center" shrinkToFi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7" fillId="44" borderId="108" xfId="0" applyFont="1" applyFill="1" applyBorder="1" applyAlignment="1" applyProtection="1">
      <alignment horizontal="center" vertical="center" wrapText="1"/>
      <protection hidden="1"/>
    </xf>
    <xf numFmtId="0" fontId="77" fillId="44" borderId="58" xfId="0" applyFont="1" applyFill="1" applyBorder="1" applyAlignment="1" applyProtection="1">
      <alignment horizontal="center" vertical="center" wrapText="1"/>
      <protection hidden="1"/>
    </xf>
    <xf numFmtId="0" fontId="77" fillId="44" borderId="109"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protection hidden="1"/>
    </xf>
    <xf numFmtId="177" fontId="0" fillId="35" borderId="0" xfId="0" applyNumberFormat="1" applyFont="1" applyFill="1" applyBorder="1" applyAlignment="1" applyProtection="1">
      <alignment vertical="center"/>
      <protection hidden="1"/>
    </xf>
    <xf numFmtId="3" fontId="78" fillId="35" borderId="0" xfId="0" applyNumberFormat="1" applyFont="1" applyFill="1" applyBorder="1" applyAlignment="1" applyProtection="1">
      <alignment horizontal="left" vertical="center"/>
      <protection hidden="1"/>
    </xf>
    <xf numFmtId="177" fontId="0" fillId="35" borderId="0" xfId="0" applyNumberFormat="1"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35" borderId="57" xfId="0" applyFont="1" applyFill="1" applyBorder="1" applyAlignment="1" applyProtection="1">
      <alignment vertical="center"/>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64" fillId="35" borderId="0" xfId="0" applyFont="1" applyFill="1" applyBorder="1" applyAlignment="1" applyProtection="1">
      <alignment horizontal="left" vertical="center"/>
      <protection hidden="1"/>
    </xf>
    <xf numFmtId="3" fontId="27" fillId="35" borderId="0" xfId="0" applyNumberFormat="1" applyFont="1" applyFill="1" applyBorder="1" applyAlignment="1" applyProtection="1">
      <alignment horizontal="lef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89" fillId="40" borderId="54" xfId="0" applyFont="1" applyFill="1" applyBorder="1" applyAlignment="1" applyProtection="1">
      <alignment horizontal="left" vertical="center"/>
      <protection hidden="1"/>
    </xf>
    <xf numFmtId="0" fontId="26" fillId="40" borderId="63" xfId="0" applyFont="1" applyFill="1" applyBorder="1" applyAlignment="1" applyProtection="1">
      <alignment vertical="center"/>
      <protection hidden="1"/>
    </xf>
    <xf numFmtId="0" fontId="31" fillId="47" borderId="15" xfId="0" applyFont="1" applyFill="1" applyBorder="1" applyAlignment="1" applyProtection="1">
      <alignment horizontal="center" vertical="center"/>
      <protection hidden="1"/>
    </xf>
    <xf numFmtId="0" fontId="31" fillId="48" borderId="15" xfId="0" applyFont="1" applyFill="1" applyBorder="1" applyAlignment="1" applyProtection="1">
      <alignment horizontal="center" vertical="center"/>
      <protection hidden="1"/>
    </xf>
    <xf numFmtId="0" fontId="31" fillId="45" borderId="58" xfId="0" applyFont="1" applyFill="1" applyBorder="1" applyAlignment="1" applyProtection="1">
      <alignment horizontal="center" vertical="center"/>
      <protection hidden="1"/>
    </xf>
    <xf numFmtId="0" fontId="99" fillId="47" borderId="15" xfId="0" applyFont="1" applyFill="1" applyBorder="1" applyAlignment="1" applyProtection="1">
      <alignment horizontal="center" vertical="center"/>
      <protection hidden="1"/>
    </xf>
    <xf numFmtId="181" fontId="31" fillId="48" borderId="15" xfId="0" applyNumberFormat="1" applyFont="1" applyFill="1" applyBorder="1" applyAlignment="1" applyProtection="1">
      <alignment horizontal="center" vertical="center"/>
      <protection hidden="1"/>
    </xf>
    <xf numFmtId="181" fontId="99" fillId="45" borderId="58" xfId="0" applyNumberFormat="1" applyFont="1" applyFill="1" applyBorder="1" applyAlignment="1" applyProtection="1">
      <alignment horizontal="center" vertical="center"/>
      <protection hidden="1"/>
    </xf>
    <xf numFmtId="0" fontId="31" fillId="49" borderId="15" xfId="0" applyFont="1" applyFill="1" applyBorder="1" applyAlignment="1" applyProtection="1">
      <alignment vertical="center"/>
      <protection hidden="1"/>
    </xf>
    <xf numFmtId="0" fontId="99" fillId="50" borderId="15" xfId="0" applyFont="1" applyFill="1" applyBorder="1" applyAlignment="1" applyProtection="1">
      <alignment vertical="center"/>
      <protection hidden="1"/>
    </xf>
    <xf numFmtId="182" fontId="99" fillId="49" borderId="15" xfId="0" applyNumberFormat="1" applyFont="1" applyFill="1" applyBorder="1" applyAlignment="1" applyProtection="1">
      <alignment vertical="center"/>
      <protection hidden="1"/>
    </xf>
    <xf numFmtId="176" fontId="99" fillId="49" borderId="15" xfId="0" applyNumberFormat="1" applyFont="1" applyFill="1" applyBorder="1" applyAlignment="1" applyProtection="1">
      <alignment vertical="center"/>
      <protection hidden="1"/>
    </xf>
    <xf numFmtId="0" fontId="99" fillId="49" borderId="15" xfId="0" applyFont="1" applyFill="1" applyBorder="1" applyAlignment="1" applyProtection="1">
      <alignment vertical="center"/>
      <protection hidden="1"/>
    </xf>
    <xf numFmtId="181" fontId="99" fillId="49" borderId="15" xfId="0" applyNumberFormat="1" applyFont="1" applyFill="1" applyBorder="1" applyAlignment="1" applyProtection="1">
      <alignment vertical="center"/>
      <protection hidden="1"/>
    </xf>
    <xf numFmtId="0" fontId="31" fillId="49" borderId="15" xfId="0" applyFont="1" applyFill="1" applyBorder="1" applyAlignment="1" applyProtection="1">
      <alignment horizontal="center" vertical="center"/>
      <protection hidden="1"/>
    </xf>
    <xf numFmtId="0" fontId="31" fillId="50" borderId="15" xfId="0" applyFont="1" applyFill="1" applyBorder="1" applyAlignment="1" applyProtection="1">
      <alignment vertical="center"/>
      <protection hidden="1"/>
    </xf>
    <xf numFmtId="0" fontId="31" fillId="50" borderId="15" xfId="0" applyFont="1" applyFill="1" applyBorder="1" applyAlignment="1" applyProtection="1">
      <alignment horizontal="center" vertical="center" wrapText="1"/>
      <protection hidden="1"/>
    </xf>
    <xf numFmtId="0" fontId="104" fillId="44" borderId="12" xfId="0" applyFont="1" applyFill="1" applyBorder="1" applyAlignment="1" applyProtection="1">
      <alignment vertical="top"/>
      <protection hidden="1"/>
    </xf>
    <xf numFmtId="0" fontId="88" fillId="0" borderId="36" xfId="0" applyFont="1" applyFill="1" applyBorder="1" applyAlignment="1" applyProtection="1">
      <alignment vertical="center"/>
      <protection hidden="1"/>
    </xf>
    <xf numFmtId="0" fontId="88" fillId="0" borderId="63"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49" fontId="40" fillId="35" borderId="15" xfId="0" applyNumberFormat="1" applyFont="1" applyFill="1" applyBorder="1" applyAlignment="1" applyProtection="1">
      <alignment horizontal="center" vertical="center"/>
      <protection hidden="1"/>
    </xf>
    <xf numFmtId="182" fontId="31" fillId="39" borderId="15" xfId="0" applyNumberFormat="1" applyFont="1" applyFill="1" applyBorder="1" applyAlignment="1" applyProtection="1">
      <alignment horizontal="center" vertical="center"/>
      <protection locked="0"/>
    </xf>
    <xf numFmtId="182"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protection locked="0"/>
    </xf>
    <xf numFmtId="0" fontId="105" fillId="0" borderId="54" xfId="0" applyFont="1" applyFill="1" applyBorder="1" applyAlignment="1" applyProtection="1">
      <alignment vertical="center"/>
      <protection hidden="1"/>
    </xf>
    <xf numFmtId="0" fontId="105" fillId="0" borderId="36" xfId="0" applyFont="1" applyFill="1" applyBorder="1" applyAlignment="1" applyProtection="1">
      <alignment vertical="center"/>
      <protection hidden="1"/>
    </xf>
    <xf numFmtId="0" fontId="105" fillId="0" borderId="63"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protection hidden="1"/>
    </xf>
    <xf numFmtId="0" fontId="8" fillId="51" borderId="15" xfId="0" applyFont="1" applyFill="1" applyBorder="1" applyAlignment="1" applyProtection="1">
      <alignment vertical="center"/>
      <protection hidden="1"/>
    </xf>
    <xf numFmtId="49" fontId="17" fillId="52" borderId="73" xfId="0" applyNumberFormat="1" applyFont="1" applyFill="1" applyBorder="1" applyAlignment="1" applyProtection="1">
      <alignment vertical="center" wrapText="1"/>
      <protection hidden="1"/>
    </xf>
    <xf numFmtId="0" fontId="35" fillId="52" borderId="0" xfId="0" applyFont="1" applyFill="1" applyBorder="1" applyAlignment="1" applyProtection="1">
      <alignment vertical="center"/>
      <protection hidden="1"/>
    </xf>
    <xf numFmtId="49" fontId="34" fillId="53" borderId="15" xfId="0" applyNumberFormat="1" applyFont="1" applyFill="1" applyBorder="1" applyAlignment="1" applyProtection="1">
      <alignment horizontal="center" vertical="center" wrapText="1"/>
      <protection hidden="1"/>
    </xf>
    <xf numFmtId="3" fontId="34" fillId="52" borderId="73" xfId="0" applyNumberFormat="1" applyFont="1" applyFill="1" applyBorder="1" applyAlignment="1" applyProtection="1">
      <alignment vertical="center" wrapText="1"/>
      <protection hidden="1"/>
    </xf>
    <xf numFmtId="49" fontId="34" fillId="54" borderId="15" xfId="0" applyNumberFormat="1" applyFont="1" applyFill="1" applyBorder="1" applyAlignment="1" applyProtection="1">
      <alignment horizontal="center" vertical="center" wrapText="1"/>
      <protection locked="0"/>
    </xf>
    <xf numFmtId="0" fontId="157" fillId="0" borderId="70" xfId="0" applyFont="1" applyFill="1" applyBorder="1" applyAlignment="1" applyProtection="1">
      <alignment horizontal="center" vertical="center"/>
      <protection hidden="1"/>
    </xf>
    <xf numFmtId="0" fontId="157" fillId="33" borderId="70" xfId="0" applyNumberFormat="1"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protection hidden="1"/>
    </xf>
    <xf numFmtId="0" fontId="92" fillId="33" borderId="61" xfId="0" applyFont="1" applyFill="1" applyBorder="1" applyAlignment="1" applyProtection="1">
      <alignment vertical="center"/>
      <protection hidden="1"/>
    </xf>
    <xf numFmtId="0" fontId="157" fillId="0" borderId="17" xfId="0" applyFont="1" applyFill="1" applyBorder="1" applyAlignment="1" applyProtection="1">
      <alignment horizontal="center" vertical="center"/>
      <protection hidden="1"/>
    </xf>
    <xf numFmtId="0" fontId="157" fillId="33" borderId="17" xfId="0" applyNumberFormat="1" applyFont="1" applyFill="1" applyBorder="1" applyAlignment="1" applyProtection="1">
      <alignment horizontal="center" vertical="center"/>
      <protection hidden="1"/>
    </xf>
    <xf numFmtId="0" fontId="157" fillId="33" borderId="92" xfId="0" applyNumberFormat="1" applyFont="1" applyFill="1" applyBorder="1" applyAlignment="1" applyProtection="1">
      <alignment horizontal="center" vertical="center"/>
      <protection hidden="1"/>
    </xf>
    <xf numFmtId="0" fontId="92" fillId="33" borderId="53" xfId="0" applyFont="1" applyFill="1" applyBorder="1" applyAlignment="1" applyProtection="1">
      <alignment vertical="center"/>
      <protection hidden="1"/>
    </xf>
    <xf numFmtId="0" fontId="157" fillId="0" borderId="70" xfId="0" applyFont="1" applyFill="1" applyBorder="1" applyAlignment="1" applyProtection="1">
      <alignment horizontal="center" vertical="center" shrinkToFit="1"/>
      <protection hidden="1"/>
    </xf>
    <xf numFmtId="0" fontId="157" fillId="0" borderId="17" xfId="0" applyFont="1" applyFill="1" applyBorder="1" applyAlignment="1" applyProtection="1">
      <alignment horizontal="center" vertical="center" shrinkToFit="1"/>
      <protection hidden="1"/>
    </xf>
    <xf numFmtId="0" fontId="158" fillId="55" borderId="54" xfId="0" applyFont="1" applyFill="1" applyBorder="1" applyAlignment="1" applyProtection="1">
      <alignment horizontal="center" vertical="center"/>
      <protection hidden="1"/>
    </xf>
    <xf numFmtId="0" fontId="5" fillId="56" borderId="0" xfId="0" applyFont="1" applyFill="1" applyAlignment="1" applyProtection="1">
      <alignment vertical="center"/>
      <protection hidden="1"/>
    </xf>
    <xf numFmtId="0" fontId="17" fillId="56" borderId="0" xfId="43" applyNumberFormat="1" applyFont="1" applyFill="1" applyBorder="1" applyAlignment="1" applyProtection="1">
      <alignment horizontal="center" vertical="center"/>
      <protection hidden="1"/>
    </xf>
    <xf numFmtId="0" fontId="8" fillId="56" borderId="0" xfId="0" applyFont="1" applyFill="1" applyAlignment="1" applyProtection="1">
      <alignment vertical="center"/>
      <protection hidden="1"/>
    </xf>
    <xf numFmtId="0" fontId="35" fillId="56" borderId="0" xfId="0" applyFont="1" applyFill="1" applyBorder="1" applyAlignment="1" applyProtection="1">
      <alignment vertical="center"/>
      <protection hidden="1"/>
    </xf>
    <xf numFmtId="3" fontId="34" fillId="56" borderId="0" xfId="0" applyNumberFormat="1" applyFont="1" applyFill="1" applyBorder="1" applyAlignment="1" applyProtection="1">
      <alignment vertical="top" wrapText="1"/>
      <protection hidden="1"/>
    </xf>
    <xf numFmtId="0" fontId="8" fillId="56" borderId="0" xfId="0" applyFont="1" applyFill="1" applyBorder="1" applyAlignment="1" applyProtection="1">
      <alignment vertical="center"/>
      <protection hidden="1"/>
    </xf>
    <xf numFmtId="0" fontId="18" fillId="56" borderId="0" xfId="0" applyFont="1" applyFill="1" applyBorder="1" applyAlignment="1" applyProtection="1">
      <alignment vertical="center"/>
      <protection hidden="1"/>
    </xf>
    <xf numFmtId="0" fontId="159" fillId="56" borderId="0" xfId="0" applyFont="1" applyFill="1" applyAlignment="1" applyProtection="1">
      <alignment vertical="center"/>
      <protection hidden="1"/>
    </xf>
    <xf numFmtId="0" fontId="159" fillId="56" borderId="0"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wrapText="1"/>
      <protection hidden="1"/>
    </xf>
    <xf numFmtId="0" fontId="47" fillId="57" borderId="15" xfId="0" applyFont="1" applyFill="1" applyBorder="1" applyAlignment="1" applyProtection="1">
      <alignment horizontal="center" vertical="center"/>
      <protection hidden="1"/>
    </xf>
    <xf numFmtId="0" fontId="35" fillId="57" borderId="15" xfId="0" applyFont="1" applyFill="1" applyBorder="1" applyAlignment="1" applyProtection="1">
      <alignment horizontal="center" vertical="center"/>
      <protection hidden="1"/>
    </xf>
    <xf numFmtId="0" fontId="9" fillId="53" borderId="0" xfId="0" applyFont="1" applyFill="1" applyBorder="1" applyAlignment="1" applyProtection="1">
      <alignment vertical="center"/>
      <protection hidden="1"/>
    </xf>
    <xf numFmtId="0" fontId="18" fillId="53" borderId="0" xfId="0" applyFont="1" applyFill="1" applyBorder="1" applyAlignment="1" applyProtection="1">
      <alignment vertical="center"/>
      <protection hidden="1"/>
    </xf>
    <xf numFmtId="0" fontId="18" fillId="53" borderId="0" xfId="0" applyFont="1" applyFill="1" applyAlignment="1" applyProtection="1">
      <alignment vertical="center"/>
      <protection hidden="1"/>
    </xf>
    <xf numFmtId="3" fontId="34" fillId="54" borderId="49" xfId="0" applyNumberFormat="1" applyFont="1" applyFill="1" applyBorder="1" applyAlignment="1" applyProtection="1">
      <alignment vertical="center" wrapText="1"/>
      <protection locked="0"/>
    </xf>
    <xf numFmtId="0" fontId="12" fillId="33" borderId="105" xfId="0" applyFont="1" applyFill="1" applyBorder="1" applyAlignment="1" applyProtection="1">
      <alignment horizontal="right" vertical="center"/>
      <protection hidden="1"/>
    </xf>
    <xf numFmtId="3" fontId="34" fillId="54" borderId="106" xfId="0" applyNumberFormat="1" applyFont="1" applyFill="1" applyBorder="1" applyAlignment="1" applyProtection="1">
      <alignment vertical="top" wrapText="1"/>
      <protection hidden="1"/>
    </xf>
    <xf numFmtId="3" fontId="34" fillId="54" borderId="79" xfId="0" applyNumberFormat="1" applyFont="1" applyFill="1" applyBorder="1" applyAlignment="1" applyProtection="1">
      <alignment vertical="top" wrapText="1"/>
      <protection hidden="1"/>
    </xf>
    <xf numFmtId="55" fontId="40" fillId="54" borderId="14" xfId="0" applyNumberFormat="1" applyFont="1" applyFill="1" applyBorder="1" applyAlignment="1" applyProtection="1">
      <alignment vertical="center"/>
      <protection hidden="1"/>
    </xf>
    <xf numFmtId="179" fontId="40" fillId="54" borderId="13" xfId="0" applyNumberFormat="1" applyFont="1" applyFill="1" applyBorder="1" applyAlignment="1" applyProtection="1">
      <alignment horizontal="right" vertical="center"/>
      <protection hidden="1"/>
    </xf>
    <xf numFmtId="0" fontId="0" fillId="54" borderId="13" xfId="0" applyFill="1" applyBorder="1" applyAlignment="1" applyProtection="1">
      <alignment vertical="center"/>
      <protection hidden="1"/>
    </xf>
    <xf numFmtId="3" fontId="39" fillId="54" borderId="13" xfId="0" applyNumberFormat="1" applyFont="1" applyFill="1" applyBorder="1" applyAlignment="1" applyProtection="1">
      <alignment horizontal="left" vertical="center"/>
      <protection hidden="1"/>
    </xf>
    <xf numFmtId="2" fontId="26" fillId="54" borderId="13" xfId="0" applyNumberFormat="1" applyFont="1" applyFill="1" applyBorder="1" applyAlignment="1" applyProtection="1">
      <alignment horizontal="left" vertical="center"/>
      <protection hidden="1"/>
    </xf>
    <xf numFmtId="0" fontId="33" fillId="54" borderId="22" xfId="0" applyFont="1" applyFill="1" applyBorder="1" applyAlignment="1" applyProtection="1">
      <alignment vertical="center"/>
      <protection hidden="1"/>
    </xf>
    <xf numFmtId="0" fontId="55" fillId="57" borderId="15" xfId="0" applyFont="1" applyFill="1" applyBorder="1" applyAlignment="1" applyProtection="1">
      <alignment horizontal="center" vertical="center" wrapText="1"/>
      <protection hidden="1"/>
    </xf>
    <xf numFmtId="0" fontId="160" fillId="54" borderId="110" xfId="0" applyFont="1" applyFill="1" applyBorder="1" applyAlignment="1" applyProtection="1">
      <alignment vertical="center"/>
      <protection locked="0"/>
    </xf>
    <xf numFmtId="0" fontId="44" fillId="58" borderId="54" xfId="0" applyFont="1" applyFill="1" applyBorder="1" applyAlignment="1" applyProtection="1">
      <alignment vertical="center" wrapText="1"/>
      <protection hidden="1"/>
    </xf>
    <xf numFmtId="3" fontId="0" fillId="35" borderId="0" xfId="0" applyNumberFormat="1" applyFill="1" applyAlignment="1" applyProtection="1">
      <alignment vertical="center"/>
      <protection hidden="1"/>
    </xf>
    <xf numFmtId="0" fontId="161" fillId="0" borderId="54" xfId="0" applyFont="1" applyFill="1" applyBorder="1" applyAlignment="1" applyProtection="1">
      <alignment vertical="center"/>
      <protection hidden="1"/>
    </xf>
    <xf numFmtId="0" fontId="0" fillId="53" borderId="0" xfId="0" applyFill="1" applyAlignment="1" applyProtection="1">
      <alignment vertical="center"/>
      <protection hidden="1"/>
    </xf>
    <xf numFmtId="0" fontId="67" fillId="53" borderId="0" xfId="0" applyFont="1" applyFill="1" applyAlignment="1" applyProtection="1">
      <alignment vertical="center"/>
      <protection hidden="1"/>
    </xf>
    <xf numFmtId="3" fontId="0" fillId="53" borderId="0" xfId="0" applyNumberFormat="1" applyFill="1" applyAlignment="1" applyProtection="1">
      <alignment vertical="center"/>
      <protection hidden="1"/>
    </xf>
    <xf numFmtId="0" fontId="8" fillId="53" borderId="0" xfId="0" applyFont="1" applyFill="1" applyBorder="1" applyAlignment="1" applyProtection="1">
      <alignment vertical="center"/>
      <protection hidden="1"/>
    </xf>
    <xf numFmtId="0" fontId="0" fillId="53" borderId="0" xfId="0" applyNumberFormat="1" applyFill="1" applyAlignment="1" applyProtection="1">
      <alignment vertical="center"/>
      <protection hidden="1"/>
    </xf>
    <xf numFmtId="0" fontId="40" fillId="53" borderId="103" xfId="0" applyNumberFormat="1" applyFont="1" applyFill="1" applyBorder="1" applyAlignment="1" applyProtection="1">
      <alignment horizontal="center" vertical="center"/>
      <protection hidden="1"/>
    </xf>
    <xf numFmtId="0" fontId="40" fillId="53" borderId="60" xfId="0" applyNumberFormat="1" applyFont="1" applyFill="1" applyBorder="1" applyAlignment="1" applyProtection="1">
      <alignment horizontal="center" vertical="center"/>
      <protection hidden="1"/>
    </xf>
    <xf numFmtId="0" fontId="40" fillId="53" borderId="61" xfId="0" applyNumberFormat="1" applyFont="1" applyFill="1" applyBorder="1" applyAlignment="1" applyProtection="1">
      <alignment horizontal="center" vertical="center"/>
      <protection hidden="1"/>
    </xf>
    <xf numFmtId="0" fontId="40" fillId="53" borderId="111" xfId="0" applyNumberFormat="1" applyFont="1" applyFill="1" applyBorder="1" applyAlignment="1" applyProtection="1">
      <alignment horizontal="center" vertical="center"/>
      <protection hidden="1"/>
    </xf>
    <xf numFmtId="0" fontId="74" fillId="53" borderId="0" xfId="0" applyFont="1" applyFill="1" applyBorder="1" applyAlignment="1" applyProtection="1">
      <alignment vertical="center"/>
      <protection hidden="1"/>
    </xf>
    <xf numFmtId="0" fontId="40" fillId="53" borderId="0" xfId="0" applyNumberFormat="1" applyFont="1" applyFill="1" applyBorder="1" applyAlignment="1" applyProtection="1">
      <alignment horizontal="center" vertical="center"/>
      <protection hidden="1"/>
    </xf>
    <xf numFmtId="0" fontId="67" fillId="53" borderId="0" xfId="0" applyNumberFormat="1" applyFont="1" applyFill="1" applyAlignment="1" applyProtection="1">
      <alignment vertical="center"/>
      <protection hidden="1"/>
    </xf>
    <xf numFmtId="0" fontId="62" fillId="53" borderId="0" xfId="0" applyNumberFormat="1" applyFont="1" applyFill="1" applyBorder="1" applyAlignment="1" applyProtection="1">
      <alignment vertical="center"/>
      <protection hidden="1"/>
    </xf>
    <xf numFmtId="0" fontId="40" fillId="53" borderId="45" xfId="0" applyFont="1" applyFill="1" applyBorder="1" applyAlignment="1" applyProtection="1">
      <alignment horizontal="center" vertical="center" wrapText="1"/>
      <protection hidden="1"/>
    </xf>
    <xf numFmtId="3" fontId="40" fillId="53" borderId="45" xfId="0" applyNumberFormat="1" applyFont="1" applyFill="1" applyBorder="1" applyAlignment="1" applyProtection="1">
      <alignment horizontal="center" vertical="center" wrapText="1"/>
      <protection hidden="1"/>
    </xf>
    <xf numFmtId="3" fontId="40" fillId="53" borderId="65" xfId="0" applyNumberFormat="1" applyFont="1" applyFill="1" applyBorder="1" applyAlignment="1" applyProtection="1">
      <alignment horizontal="center" vertical="center" wrapText="1"/>
      <protection hidden="1"/>
    </xf>
    <xf numFmtId="0" fontId="40" fillId="53" borderId="66" xfId="0" applyFont="1" applyFill="1" applyBorder="1" applyAlignment="1" applyProtection="1">
      <alignment horizontal="center" vertical="center" wrapText="1"/>
      <protection hidden="1"/>
    </xf>
    <xf numFmtId="3" fontId="40" fillId="53" borderId="0" xfId="0" applyNumberFormat="1" applyFont="1" applyFill="1" applyBorder="1" applyAlignment="1" applyProtection="1">
      <alignment horizontal="center" vertical="center" wrapText="1"/>
      <protection hidden="1"/>
    </xf>
    <xf numFmtId="0" fontId="62" fillId="53" borderId="0" xfId="0" applyFont="1" applyFill="1" applyBorder="1" applyAlignment="1" applyProtection="1">
      <alignment vertical="center"/>
      <protection hidden="1"/>
    </xf>
    <xf numFmtId="38" fontId="40" fillId="53" borderId="70" xfId="49" applyFont="1" applyFill="1" applyBorder="1" applyAlignment="1" applyProtection="1">
      <alignment vertical="center"/>
      <protection hidden="1"/>
    </xf>
    <xf numFmtId="38" fontId="40" fillId="53" borderId="71" xfId="49" applyFont="1" applyFill="1" applyBorder="1" applyAlignment="1" applyProtection="1">
      <alignment horizontal="right" vertical="center"/>
      <protection hidden="1"/>
    </xf>
    <xf numFmtId="38" fontId="40" fillId="53" borderId="72" xfId="49" applyFont="1" applyFill="1" applyBorder="1" applyAlignment="1" applyProtection="1">
      <alignment vertical="center"/>
      <protection hidden="1"/>
    </xf>
    <xf numFmtId="186" fontId="41" fillId="53" borderId="0" xfId="0" applyNumberFormat="1" applyFont="1" applyFill="1" applyBorder="1" applyAlignment="1" applyProtection="1">
      <alignment horizontal="right" vertical="center"/>
      <protection hidden="1"/>
    </xf>
    <xf numFmtId="0" fontId="62" fillId="53" borderId="15" xfId="0" applyFont="1" applyFill="1" applyBorder="1" applyAlignment="1" applyProtection="1">
      <alignment vertical="center"/>
      <protection hidden="1"/>
    </xf>
    <xf numFmtId="0" fontId="62" fillId="53" borderId="72" xfId="0" applyFont="1" applyFill="1" applyBorder="1" applyAlignment="1" applyProtection="1">
      <alignment vertical="center"/>
      <protection hidden="1"/>
    </xf>
    <xf numFmtId="0" fontId="62" fillId="53" borderId="70" xfId="0" applyFont="1" applyFill="1" applyBorder="1" applyAlignment="1" applyProtection="1">
      <alignment vertical="center"/>
      <protection hidden="1"/>
    </xf>
    <xf numFmtId="0" fontId="0" fillId="53" borderId="70" xfId="0" applyFill="1" applyBorder="1" applyAlignment="1" applyProtection="1">
      <alignment vertical="center"/>
      <protection hidden="1"/>
    </xf>
    <xf numFmtId="0" fontId="0" fillId="53" borderId="103" xfId="0" applyFill="1" applyBorder="1" applyAlignment="1" applyProtection="1">
      <alignment vertical="center"/>
      <protection hidden="1"/>
    </xf>
    <xf numFmtId="0" fontId="67" fillId="53" borderId="72" xfId="0" applyFont="1" applyFill="1" applyBorder="1" applyAlignment="1" applyProtection="1">
      <alignment vertical="center"/>
      <protection hidden="1"/>
    </xf>
    <xf numFmtId="0" fontId="67" fillId="53" borderId="70" xfId="0" applyFont="1" applyFill="1" applyBorder="1" applyAlignment="1" applyProtection="1">
      <alignment vertical="center"/>
      <protection hidden="1"/>
    </xf>
    <xf numFmtId="0" fontId="67" fillId="53" borderId="71" xfId="0" applyFont="1" applyFill="1" applyBorder="1" applyAlignment="1" applyProtection="1">
      <alignment vertical="center"/>
      <protection hidden="1"/>
    </xf>
    <xf numFmtId="0" fontId="0" fillId="53" borderId="88" xfId="0" applyFill="1" applyBorder="1" applyAlignment="1" applyProtection="1">
      <alignment vertical="center"/>
      <protection hidden="1"/>
    </xf>
    <xf numFmtId="40" fontId="0" fillId="53" borderId="15" xfId="0" applyNumberFormat="1" applyFill="1" applyBorder="1" applyAlignment="1" applyProtection="1">
      <alignment vertical="center"/>
      <protection hidden="1"/>
    </xf>
    <xf numFmtId="0" fontId="0" fillId="53" borderId="15" xfId="0" applyFill="1" applyBorder="1" applyAlignment="1" applyProtection="1">
      <alignment vertical="center"/>
      <protection hidden="1"/>
    </xf>
    <xf numFmtId="0" fontId="67" fillId="53" borderId="15" xfId="0" applyFont="1" applyFill="1" applyBorder="1" applyAlignment="1" applyProtection="1">
      <alignment vertical="center"/>
      <protection hidden="1"/>
    </xf>
    <xf numFmtId="0" fontId="67" fillId="53" borderId="24" xfId="0" applyFont="1" applyFill="1" applyBorder="1" applyAlignment="1" applyProtection="1">
      <alignment vertical="center"/>
      <protection hidden="1"/>
    </xf>
    <xf numFmtId="40" fontId="67" fillId="53" borderId="88" xfId="0" applyNumberFormat="1" applyFont="1" applyFill="1" applyBorder="1" applyAlignment="1" applyProtection="1">
      <alignment vertical="center"/>
      <protection hidden="1"/>
    </xf>
    <xf numFmtId="40" fontId="67" fillId="53" borderId="15" xfId="0" applyNumberFormat="1" applyFont="1" applyFill="1" applyBorder="1" applyAlignment="1" applyProtection="1">
      <alignment vertical="center"/>
      <protection hidden="1"/>
    </xf>
    <xf numFmtId="40" fontId="67" fillId="53" borderId="16" xfId="0" applyNumberFormat="1" applyFont="1" applyFill="1" applyBorder="1" applyAlignment="1" applyProtection="1">
      <alignment vertical="center"/>
      <protection hidden="1"/>
    </xf>
    <xf numFmtId="186" fontId="67" fillId="53" borderId="0" xfId="0" applyNumberFormat="1" applyFont="1" applyFill="1" applyAlignment="1" applyProtection="1">
      <alignment vertical="center"/>
      <protection hidden="1"/>
    </xf>
    <xf numFmtId="0" fontId="0" fillId="53" borderId="84" xfId="0" applyFill="1" applyBorder="1" applyAlignment="1" applyProtection="1">
      <alignment vertical="center"/>
      <protection hidden="1"/>
    </xf>
    <xf numFmtId="40" fontId="0" fillId="53" borderId="17" xfId="0" applyNumberFormat="1" applyFill="1" applyBorder="1" applyAlignment="1" applyProtection="1">
      <alignment vertical="center"/>
      <protection hidden="1"/>
    </xf>
    <xf numFmtId="0" fontId="0" fillId="53" borderId="17" xfId="0" applyFill="1" applyBorder="1" applyAlignment="1" applyProtection="1">
      <alignment vertical="center"/>
      <protection hidden="1"/>
    </xf>
    <xf numFmtId="0" fontId="67" fillId="53" borderId="17" xfId="0" applyFont="1" applyFill="1" applyBorder="1" applyAlignment="1" applyProtection="1">
      <alignment vertical="center"/>
      <protection hidden="1"/>
    </xf>
    <xf numFmtId="0" fontId="67" fillId="53" borderId="92" xfId="0" applyFont="1" applyFill="1" applyBorder="1" applyAlignment="1" applyProtection="1">
      <alignment vertical="center"/>
      <protection hidden="1"/>
    </xf>
    <xf numFmtId="40" fontId="67" fillId="53" borderId="84" xfId="0" applyNumberFormat="1" applyFont="1" applyFill="1" applyBorder="1" applyAlignment="1" applyProtection="1">
      <alignment vertical="center"/>
      <protection hidden="1"/>
    </xf>
    <xf numFmtId="40" fontId="67" fillId="53" borderId="17" xfId="0" applyNumberFormat="1" applyFont="1" applyFill="1" applyBorder="1" applyAlignment="1" applyProtection="1">
      <alignment vertical="center"/>
      <protection hidden="1"/>
    </xf>
    <xf numFmtId="40" fontId="67" fillId="53" borderId="18" xfId="0" applyNumberFormat="1" applyFont="1" applyFill="1" applyBorder="1" applyAlignment="1" applyProtection="1">
      <alignment vertical="center"/>
      <protection hidden="1"/>
    </xf>
    <xf numFmtId="38" fontId="0" fillId="53" borderId="0" xfId="0" applyNumberFormat="1" applyFill="1" applyAlignment="1" applyProtection="1">
      <alignment vertical="center"/>
      <protection hidden="1"/>
    </xf>
    <xf numFmtId="0" fontId="8" fillId="53" borderId="0" xfId="0" applyFont="1" applyFill="1" applyAlignment="1" applyProtection="1">
      <alignment vertical="center"/>
      <protection hidden="1"/>
    </xf>
    <xf numFmtId="0" fontId="12" fillId="53" borderId="0" xfId="0" applyFont="1" applyFill="1" applyBorder="1" applyAlignment="1" applyProtection="1">
      <alignment horizontal="left" vertical="center"/>
      <protection hidden="1"/>
    </xf>
    <xf numFmtId="0" fontId="12" fillId="53" borderId="0" xfId="0" applyFont="1" applyFill="1" applyBorder="1" applyAlignment="1" applyProtection="1">
      <alignment horizontal="right" vertical="center"/>
      <protection hidden="1"/>
    </xf>
    <xf numFmtId="0" fontId="12" fillId="53" borderId="0" xfId="0" applyFont="1" applyFill="1" applyBorder="1" applyAlignment="1" applyProtection="1">
      <alignment vertical="center"/>
      <protection hidden="1"/>
    </xf>
    <xf numFmtId="0" fontId="13" fillId="53" borderId="0" xfId="0" applyFont="1" applyFill="1" applyBorder="1" applyAlignment="1" applyProtection="1">
      <alignment vertical="center"/>
      <protection hidden="1"/>
    </xf>
    <xf numFmtId="0" fontId="13" fillId="53" borderId="0" xfId="0" applyFont="1" applyFill="1" applyBorder="1" applyAlignment="1" applyProtection="1">
      <alignment horizontal="center" vertical="center"/>
      <protection hidden="1"/>
    </xf>
    <xf numFmtId="0" fontId="13" fillId="53" borderId="0" xfId="0" applyNumberFormat="1" applyFont="1" applyFill="1" applyBorder="1" applyAlignment="1" applyProtection="1">
      <alignment horizontal="center" vertical="center"/>
      <protection hidden="1"/>
    </xf>
    <xf numFmtId="0" fontId="36" fillId="53" borderId="0" xfId="0" applyFont="1" applyFill="1" applyBorder="1" applyAlignment="1" applyProtection="1">
      <alignment horizontal="center" vertical="center"/>
      <protection hidden="1"/>
    </xf>
    <xf numFmtId="38" fontId="40" fillId="53" borderId="70"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7" fillId="35" borderId="0" xfId="0" applyFont="1" applyFill="1" applyBorder="1" applyAlignment="1" applyProtection="1">
      <alignment vertical="center"/>
      <protection hidden="1"/>
    </xf>
    <xf numFmtId="3" fontId="8" fillId="38" borderId="112" xfId="0" applyNumberFormat="1" applyFont="1" applyFill="1" applyBorder="1" applyAlignment="1" applyProtection="1">
      <alignment horizontal="left" vertical="center"/>
      <protection hidden="1"/>
    </xf>
    <xf numFmtId="3" fontId="0" fillId="35" borderId="86" xfId="0" applyNumberFormat="1" applyFont="1" applyFill="1" applyBorder="1" applyAlignment="1" applyProtection="1">
      <alignment horizontal="center" vertical="center"/>
      <protection hidden="1"/>
    </xf>
    <xf numFmtId="40" fontId="8" fillId="35" borderId="86" xfId="49" applyNumberFormat="1" applyFont="1" applyFill="1" applyBorder="1" applyAlignment="1" applyProtection="1">
      <alignment horizontal="center" vertical="center"/>
      <protection hidden="1"/>
    </xf>
    <xf numFmtId="177" fontId="35" fillId="35" borderId="86" xfId="0" applyNumberFormat="1" applyFont="1" applyFill="1" applyBorder="1" applyAlignment="1" applyProtection="1">
      <alignment horizontal="center" vertical="center" shrinkToFit="1"/>
      <protection hidden="1"/>
    </xf>
    <xf numFmtId="187" fontId="8" fillId="39" borderId="113"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2" xfId="0" applyNumberFormat="1" applyFont="1" applyFill="1" applyBorder="1" applyAlignment="1" applyProtection="1">
      <alignment horizontal="center" vertical="center" wrapText="1"/>
      <protection hidden="1"/>
    </xf>
    <xf numFmtId="3" fontId="0" fillId="38" borderId="92" xfId="0" applyNumberFormat="1" applyFont="1" applyFill="1" applyBorder="1" applyAlignment="1" applyProtection="1">
      <alignment horizontal="center" vertical="center" shrinkToFit="1"/>
      <protection hidden="1"/>
    </xf>
    <xf numFmtId="3" fontId="8" fillId="35" borderId="112"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2" xfId="0" applyNumberFormat="1" applyFont="1" applyFill="1" applyBorder="1" applyAlignment="1" applyProtection="1">
      <alignment horizontal="center" vertical="center" wrapText="1"/>
      <protection hidden="1"/>
    </xf>
    <xf numFmtId="3" fontId="0" fillId="35" borderId="92" xfId="0" applyNumberFormat="1" applyFont="1" applyFill="1" applyBorder="1" applyAlignment="1" applyProtection="1">
      <alignment horizontal="center" vertical="center" shrinkToFit="1"/>
      <protection hidden="1"/>
    </xf>
    <xf numFmtId="0" fontId="162" fillId="41" borderId="0" xfId="0" applyFont="1" applyFill="1" applyAlignment="1" applyProtection="1">
      <alignment vertical="center"/>
      <protection hidden="1"/>
    </xf>
    <xf numFmtId="0" fontId="114" fillId="41" borderId="0" xfId="43" applyFont="1" applyFill="1" applyAlignment="1" applyProtection="1">
      <alignment horizontal="left" vertical="center"/>
      <protection locked="0"/>
    </xf>
    <xf numFmtId="37" fontId="94" fillId="33" borderId="54" xfId="0" applyNumberFormat="1" applyFont="1" applyFill="1" applyBorder="1" applyAlignment="1" applyProtection="1">
      <alignment horizontal="center" vertical="center" shrinkToFit="1"/>
      <protection hidden="1"/>
    </xf>
    <xf numFmtId="37" fontId="94" fillId="33" borderId="36" xfId="0" applyNumberFormat="1" applyFont="1" applyFill="1" applyBorder="1" applyAlignment="1" applyProtection="1">
      <alignment horizontal="center" vertical="center" shrinkToFit="1"/>
      <protection hidden="1"/>
    </xf>
    <xf numFmtId="0" fontId="157" fillId="0" borderId="114" xfId="0" applyFont="1" applyFill="1" applyBorder="1" applyAlignment="1" applyProtection="1">
      <alignment horizontal="center" vertical="center" shrinkToFit="1"/>
      <protection hidden="1"/>
    </xf>
    <xf numFmtId="0" fontId="157" fillId="0" borderId="62" xfId="0" applyFont="1" applyFill="1" applyBorder="1" applyAlignment="1" applyProtection="1">
      <alignment horizontal="center" vertical="center" shrinkToFit="1"/>
      <protection hidden="1"/>
    </xf>
    <xf numFmtId="0" fontId="157" fillId="0" borderId="109" xfId="0" applyFont="1" applyFill="1" applyBorder="1" applyAlignment="1" applyProtection="1">
      <alignment horizontal="center" vertical="center" shrinkToFit="1"/>
      <protection hidden="1"/>
    </xf>
    <xf numFmtId="49" fontId="157" fillId="33" borderId="92" xfId="0" applyNumberFormat="1" applyFont="1" applyFill="1" applyBorder="1" applyAlignment="1" applyProtection="1">
      <alignment horizontal="center" vertical="center" shrinkToFit="1"/>
      <protection hidden="1"/>
    </xf>
    <xf numFmtId="0" fontId="157" fillId="33" borderId="62" xfId="0" applyNumberFormat="1" applyFont="1" applyFill="1" applyBorder="1" applyAlignment="1" applyProtection="1">
      <alignment horizontal="center" vertical="center" shrinkToFit="1"/>
      <protection hidden="1"/>
    </xf>
    <xf numFmtId="0" fontId="157" fillId="33" borderId="109" xfId="0" applyNumberFormat="1" applyFont="1" applyFill="1" applyBorder="1" applyAlignment="1" applyProtection="1">
      <alignment horizontal="center" vertical="center" shrinkToFit="1"/>
      <protection hidden="1"/>
    </xf>
    <xf numFmtId="0" fontId="96" fillId="45" borderId="36" xfId="0" applyFont="1" applyFill="1" applyBorder="1" applyAlignment="1" applyProtection="1">
      <alignment horizontal="center" vertical="center"/>
      <protection hidden="1"/>
    </xf>
    <xf numFmtId="0" fontId="96" fillId="45" borderId="63" xfId="0"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shrinkToFit="1"/>
      <protection hidden="1"/>
    </xf>
    <xf numFmtId="0" fontId="157" fillId="33" borderId="60" xfId="0" applyNumberFormat="1" applyFont="1" applyFill="1" applyBorder="1" applyAlignment="1" applyProtection="1">
      <alignment horizontal="center" vertical="center" shrinkToFit="1"/>
      <protection hidden="1"/>
    </xf>
    <xf numFmtId="0" fontId="157" fillId="33" borderId="108" xfId="0" applyNumberFormat="1" applyFont="1" applyFill="1" applyBorder="1" applyAlignment="1" applyProtection="1">
      <alignment horizontal="center" vertical="center" shrinkToFit="1"/>
      <protection hidden="1"/>
    </xf>
    <xf numFmtId="0" fontId="157" fillId="0" borderId="111" xfId="0" applyFont="1" applyFill="1" applyBorder="1" applyAlignment="1" applyProtection="1">
      <alignment horizontal="center" vertical="center" shrinkToFit="1"/>
      <protection hidden="1"/>
    </xf>
    <xf numFmtId="0" fontId="157" fillId="0" borderId="60" xfId="0" applyFont="1" applyFill="1" applyBorder="1" applyAlignment="1" applyProtection="1">
      <alignment horizontal="center" vertical="center" shrinkToFit="1"/>
      <protection hidden="1"/>
    </xf>
    <xf numFmtId="0" fontId="157" fillId="0" borderId="108"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6" fillId="0" borderId="24" xfId="0" applyNumberFormat="1" applyFont="1" applyFill="1" applyBorder="1" applyAlignment="1" applyProtection="1">
      <alignment horizontal="center" vertical="center"/>
      <protection hidden="1"/>
    </xf>
    <xf numFmtId="0" fontId="106" fillId="0" borderId="32" xfId="0" applyNumberFormat="1" applyFont="1" applyFill="1" applyBorder="1" applyAlignment="1" applyProtection="1">
      <alignment horizontal="center" vertical="center"/>
      <protection hidden="1"/>
    </xf>
    <xf numFmtId="0" fontId="96" fillId="0" borderId="54"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protection hidden="1"/>
    </xf>
    <xf numFmtId="0" fontId="96" fillId="0" borderId="63" xfId="0" applyFont="1" applyFill="1" applyBorder="1" applyAlignment="1" applyProtection="1">
      <alignment horizontal="center" vertical="center"/>
      <protection hidden="1"/>
    </xf>
    <xf numFmtId="0" fontId="96" fillId="51" borderId="13" xfId="0" applyFont="1" applyFill="1" applyBorder="1" applyAlignment="1" applyProtection="1">
      <alignment horizontal="center" vertical="center" wrapText="1"/>
      <protection hidden="1"/>
    </xf>
    <xf numFmtId="0" fontId="96" fillId="51" borderId="13" xfId="0" applyFont="1" applyFill="1" applyBorder="1" applyAlignment="1" applyProtection="1">
      <alignment horizontal="center" vertical="center"/>
      <protection hidden="1"/>
    </xf>
    <xf numFmtId="0" fontId="96" fillId="51" borderId="22" xfId="0" applyFont="1" applyFill="1" applyBorder="1" applyAlignment="1" applyProtection="1">
      <alignment horizontal="center" vertical="center"/>
      <protection hidden="1"/>
    </xf>
    <xf numFmtId="182" fontId="102"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1" xfId="0" applyNumberFormat="1" applyFont="1" applyFill="1" applyBorder="1" applyAlignment="1" applyProtection="1">
      <alignment horizontal="center" vertical="center"/>
      <protection hidden="1"/>
    </xf>
    <xf numFmtId="49" fontId="34" fillId="0" borderId="57" xfId="0" applyNumberFormat="1" applyFont="1" applyFill="1" applyBorder="1" applyAlignment="1" applyProtection="1">
      <alignment horizontal="center" vertical="center"/>
      <protection hidden="1"/>
    </xf>
    <xf numFmtId="49" fontId="34" fillId="0" borderId="115" xfId="0" applyNumberFormat="1" applyFont="1" applyFill="1" applyBorder="1" applyAlignment="1" applyProtection="1">
      <alignment horizontal="center" vertical="center"/>
      <protection hidden="1"/>
    </xf>
    <xf numFmtId="0" fontId="163" fillId="55" borderId="54" xfId="0" applyFont="1" applyFill="1" applyBorder="1" applyAlignment="1" applyProtection="1">
      <alignment horizontal="center" vertical="center"/>
      <protection hidden="1"/>
    </xf>
    <xf numFmtId="0" fontId="108" fillId="55" borderId="36" xfId="0" applyFont="1" applyFill="1" applyBorder="1" applyAlignment="1" applyProtection="1">
      <alignment horizontal="center" vertical="center"/>
      <protection hidden="1"/>
    </xf>
    <xf numFmtId="0" fontId="164" fillId="52" borderId="36" xfId="0" applyFont="1" applyFill="1" applyBorder="1" applyAlignment="1" applyProtection="1">
      <alignment horizontal="center" vertical="center"/>
      <protection hidden="1"/>
    </xf>
    <xf numFmtId="0" fontId="164" fillId="52" borderId="63" xfId="0" applyFont="1" applyFill="1" applyBorder="1" applyAlignment="1" applyProtection="1">
      <alignment horizontal="center" vertical="center"/>
      <protection hidden="1"/>
    </xf>
    <xf numFmtId="0" fontId="96" fillId="0" borderId="36" xfId="0" applyFont="1" applyBorder="1" applyAlignment="1" applyProtection="1">
      <alignment horizontal="left" vertical="center" shrinkToFit="1"/>
      <protection hidden="1"/>
    </xf>
    <xf numFmtId="0" fontId="30" fillId="40" borderId="54" xfId="0" applyFont="1" applyFill="1" applyBorder="1" applyAlignment="1" applyProtection="1">
      <alignment horizontal="center" vertical="center"/>
      <protection hidden="1"/>
    </xf>
    <xf numFmtId="0" fontId="30" fillId="40" borderId="36" xfId="0" applyFont="1" applyFill="1" applyBorder="1" applyAlignment="1" applyProtection="1">
      <alignment horizontal="center" vertical="center"/>
      <protection hidden="1"/>
    </xf>
    <xf numFmtId="0" fontId="96" fillId="47" borderId="13" xfId="0" applyFont="1" applyFill="1" applyBorder="1" applyAlignment="1" applyProtection="1">
      <alignment horizontal="center" vertical="center" shrinkToFit="1"/>
      <protection hidden="1"/>
    </xf>
    <xf numFmtId="0" fontId="96" fillId="47" borderId="22" xfId="0" applyFont="1" applyFill="1" applyBorder="1" applyAlignment="1" applyProtection="1">
      <alignment horizontal="center" vertical="center" shrinkToFit="1"/>
      <protection hidden="1"/>
    </xf>
    <xf numFmtId="0" fontId="17" fillId="47" borderId="19" xfId="0" applyFont="1" applyFill="1" applyBorder="1" applyAlignment="1" applyProtection="1">
      <alignment horizontal="left" vertical="center"/>
      <protection hidden="1"/>
    </xf>
    <xf numFmtId="0" fontId="17" fillId="47" borderId="33" xfId="0" applyFont="1" applyFill="1" applyBorder="1" applyAlignment="1" applyProtection="1">
      <alignment horizontal="left" vertical="center"/>
      <protection hidden="1"/>
    </xf>
    <xf numFmtId="0" fontId="17" fillId="47" borderId="116" xfId="0" applyFont="1" applyFill="1" applyBorder="1" applyAlignment="1" applyProtection="1">
      <alignment horizontal="left" vertical="center"/>
      <protection hidden="1"/>
    </xf>
    <xf numFmtId="0" fontId="17" fillId="47" borderId="21" xfId="0" applyFont="1" applyFill="1" applyBorder="1" applyAlignment="1" applyProtection="1">
      <alignment horizontal="left" vertical="center"/>
      <protection hidden="1"/>
    </xf>
    <xf numFmtId="0" fontId="17" fillId="47" borderId="57" xfId="0" applyFont="1" applyFill="1" applyBorder="1" applyAlignment="1" applyProtection="1">
      <alignment horizontal="left" vertical="center"/>
      <protection hidden="1"/>
    </xf>
    <xf numFmtId="0" fontId="17" fillId="47" borderId="115" xfId="0" applyFont="1" applyFill="1" applyBorder="1" applyAlignment="1" applyProtection="1">
      <alignment horizontal="left" vertical="center"/>
      <protection hidden="1"/>
    </xf>
    <xf numFmtId="0" fontId="96" fillId="51" borderId="11" xfId="0" applyFont="1" applyFill="1" applyBorder="1" applyAlignment="1" applyProtection="1">
      <alignment horizontal="center" vertical="center" wrapText="1"/>
      <protection hidden="1"/>
    </xf>
    <xf numFmtId="0" fontId="96" fillId="51" borderId="11" xfId="0" applyFont="1" applyFill="1" applyBorder="1" applyAlignment="1" applyProtection="1">
      <alignment horizontal="center" vertical="center"/>
      <protection hidden="1"/>
    </xf>
    <xf numFmtId="0" fontId="96" fillId="51" borderId="23" xfId="0" applyFont="1" applyFill="1" applyBorder="1" applyAlignment="1" applyProtection="1">
      <alignment horizontal="center" vertical="center"/>
      <protection hidden="1"/>
    </xf>
    <xf numFmtId="0" fontId="96" fillId="46" borderId="36" xfId="0" applyFont="1" applyFill="1" applyBorder="1" applyAlignment="1" applyProtection="1">
      <alignment horizontal="center" vertical="center" wrapText="1"/>
      <protection hidden="1"/>
    </xf>
    <xf numFmtId="0" fontId="96" fillId="46" borderId="36" xfId="0" applyFont="1" applyFill="1" applyBorder="1" applyAlignment="1" applyProtection="1">
      <alignment horizontal="center" vertical="center"/>
      <protection hidden="1"/>
    </xf>
    <xf numFmtId="0" fontId="96" fillId="46" borderId="63" xfId="0" applyFont="1" applyFill="1" applyBorder="1" applyAlignment="1" applyProtection="1">
      <alignment horizontal="center" vertical="center"/>
      <protection hidden="1"/>
    </xf>
    <xf numFmtId="3" fontId="96" fillId="0" borderId="54" xfId="0" applyNumberFormat="1" applyFont="1" applyFill="1" applyBorder="1" applyAlignment="1" applyProtection="1">
      <alignment horizontal="center" vertical="center" wrapText="1"/>
      <protection hidden="1"/>
    </xf>
    <xf numFmtId="0" fontId="96" fillId="0" borderId="36" xfId="0" applyFont="1" applyFill="1" applyBorder="1" applyAlignment="1" applyProtection="1">
      <alignment horizontal="center" vertical="center" wrapText="1"/>
      <protection hidden="1"/>
    </xf>
    <xf numFmtId="0" fontId="96" fillId="33" borderId="54" xfId="0" applyFont="1" applyFill="1" applyBorder="1" applyAlignment="1" applyProtection="1">
      <alignment horizontal="center" vertical="center" wrapText="1"/>
      <protection hidden="1"/>
    </xf>
    <xf numFmtId="0" fontId="96" fillId="33" borderId="36" xfId="0" applyFont="1" applyFill="1" applyBorder="1" applyAlignment="1" applyProtection="1">
      <alignment horizontal="center" vertical="center"/>
      <protection hidden="1"/>
    </xf>
    <xf numFmtId="0" fontId="34" fillId="0" borderId="117" xfId="0" applyFont="1" applyFill="1" applyBorder="1" applyAlignment="1" applyProtection="1">
      <alignment horizontal="left" vertical="center"/>
      <protection hidden="1"/>
    </xf>
    <xf numFmtId="3" fontId="34" fillId="0" borderId="118" xfId="0" applyNumberFormat="1" applyFont="1" applyFill="1" applyBorder="1" applyAlignment="1" applyProtection="1">
      <alignment horizontal="center" vertical="center" wrapText="1"/>
      <protection hidden="1"/>
    </xf>
    <xf numFmtId="3" fontId="34" fillId="0" borderId="119"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5"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91" fillId="44" borderId="36" xfId="0" applyFont="1" applyFill="1" applyBorder="1" applyAlignment="1" applyProtection="1">
      <alignment horizontal="center" vertical="center" shrinkToFit="1"/>
      <protection hidden="1"/>
    </xf>
    <xf numFmtId="0" fontId="96" fillId="0" borderId="36" xfId="0" applyNumberFormat="1" applyFont="1" applyFill="1" applyBorder="1" applyAlignment="1" applyProtection="1">
      <alignment horizontal="left" vertical="center" shrinkToFit="1"/>
      <protection hidden="1"/>
    </xf>
    <xf numFmtId="49" fontId="34" fillId="0" borderId="19" xfId="0" applyNumberFormat="1" applyFont="1" applyFill="1" applyBorder="1" applyAlignment="1" applyProtection="1">
      <alignment horizontal="center" vertical="center" wrapText="1"/>
      <protection hidden="1"/>
    </xf>
    <xf numFmtId="49" fontId="34" fillId="0" borderId="116" xfId="0" applyNumberFormat="1" applyFont="1" applyFill="1" applyBorder="1" applyAlignment="1" applyProtection="1">
      <alignment horizontal="center" vertical="center" wrapText="1"/>
      <protection hidden="1"/>
    </xf>
    <xf numFmtId="49" fontId="34" fillId="0" borderId="73" xfId="0" applyNumberFormat="1" applyFont="1" applyFill="1" applyBorder="1" applyAlignment="1" applyProtection="1">
      <alignment horizontal="center" vertical="center" wrapText="1"/>
      <protection hidden="1"/>
    </xf>
    <xf numFmtId="49" fontId="34" fillId="0" borderId="104" xfId="0" applyNumberFormat="1" applyFont="1" applyFill="1" applyBorder="1" applyAlignment="1" applyProtection="1">
      <alignment horizontal="center" vertical="center" wrapText="1"/>
      <protection hidden="1"/>
    </xf>
    <xf numFmtId="49" fontId="34" fillId="0" borderId="21" xfId="0" applyNumberFormat="1" applyFont="1" applyFill="1" applyBorder="1" applyAlignment="1" applyProtection="1">
      <alignment horizontal="center" vertical="center" wrapText="1"/>
      <protection hidden="1"/>
    </xf>
    <xf numFmtId="49" fontId="34" fillId="0" borderId="115" xfId="0" applyNumberFormat="1" applyFont="1" applyFill="1" applyBorder="1" applyAlignment="1" applyProtection="1">
      <alignment horizontal="center" vertical="center" wrapText="1"/>
      <protection hidden="1"/>
    </xf>
    <xf numFmtId="37" fontId="34" fillId="0" borderId="33" xfId="0" applyNumberFormat="1" applyFont="1" applyFill="1" applyBorder="1" applyAlignment="1" applyProtection="1">
      <alignment horizontal="left" vertical="center"/>
      <protection hidden="1"/>
    </xf>
    <xf numFmtId="37" fontId="34" fillId="0" borderId="116" xfId="0" applyNumberFormat="1" applyFont="1" applyFill="1" applyBorder="1" applyAlignment="1" applyProtection="1">
      <alignment horizontal="left" vertical="center"/>
      <protection hidden="1"/>
    </xf>
    <xf numFmtId="37" fontId="34" fillId="0" borderId="57" xfId="0" applyNumberFormat="1" applyFont="1" applyFill="1" applyBorder="1" applyAlignment="1" applyProtection="1">
      <alignment horizontal="left" vertical="center"/>
      <protection hidden="1"/>
    </xf>
    <xf numFmtId="37" fontId="34" fillId="0" borderId="115" xfId="0" applyNumberFormat="1" applyFont="1" applyFill="1" applyBorder="1" applyAlignment="1" applyProtection="1">
      <alignment horizontal="left" vertical="center"/>
      <protection hidden="1"/>
    </xf>
    <xf numFmtId="49" fontId="34" fillId="0" borderId="58" xfId="0" applyNumberFormat="1" applyFont="1" applyFill="1" applyBorder="1" applyAlignment="1" applyProtection="1">
      <alignment horizontal="left" vertical="center"/>
      <protection hidden="1"/>
    </xf>
    <xf numFmtId="49" fontId="34" fillId="0" borderId="15"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wrapText="1"/>
      <protection hidden="1"/>
    </xf>
    <xf numFmtId="0" fontId="34" fillId="0" borderId="33"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182" fontId="102" fillId="0" borderId="24" xfId="0" applyNumberFormat="1" applyFont="1" applyFill="1" applyBorder="1" applyAlignment="1" applyProtection="1">
      <alignment horizontal="center" vertical="center" wrapText="1"/>
      <protection hidden="1"/>
    </xf>
    <xf numFmtId="182" fontId="102" fillId="0" borderId="32" xfId="0" applyNumberFormat="1" applyFont="1" applyFill="1" applyBorder="1" applyAlignment="1" applyProtection="1">
      <alignment horizontal="center" vertical="center" wrapText="1"/>
      <protection hidden="1"/>
    </xf>
    <xf numFmtId="182" fontId="102" fillId="0" borderId="58" xfId="0" applyNumberFormat="1" applyFont="1" applyFill="1" applyBorder="1" applyAlignment="1" applyProtection="1">
      <alignment horizontal="center" vertical="center" wrapText="1"/>
      <protection hidden="1"/>
    </xf>
    <xf numFmtId="0" fontId="34" fillId="0" borderId="119"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115" xfId="0" applyFont="1" applyFill="1" applyBorder="1" applyAlignment="1" applyProtection="1">
      <alignment horizontal="left" vertical="center"/>
      <protection hidden="1"/>
    </xf>
    <xf numFmtId="0" fontId="17" fillId="46" borderId="76" xfId="0" applyFont="1" applyFill="1" applyBorder="1" applyAlignment="1" applyProtection="1">
      <alignment horizontal="left" vertical="center"/>
      <protection hidden="1"/>
    </xf>
    <xf numFmtId="0" fontId="7" fillId="46" borderId="33" xfId="0" applyFont="1" applyFill="1" applyBorder="1" applyAlignment="1" applyProtection="1">
      <alignment horizontal="left" vertical="center"/>
      <protection hidden="1"/>
    </xf>
    <xf numFmtId="0" fontId="7" fillId="46" borderId="106" xfId="0" applyFont="1" applyFill="1" applyBorder="1" applyAlignment="1" applyProtection="1">
      <alignment horizontal="left" vertical="center"/>
      <protection hidden="1"/>
    </xf>
    <xf numFmtId="0" fontId="7" fillId="46" borderId="25" xfId="0" applyFont="1" applyFill="1" applyBorder="1" applyAlignment="1" applyProtection="1">
      <alignment horizontal="left" vertical="center"/>
      <protection hidden="1"/>
    </xf>
    <xf numFmtId="0" fontId="7" fillId="46" borderId="57" xfId="0" applyFont="1" applyFill="1" applyBorder="1" applyAlignment="1" applyProtection="1">
      <alignment horizontal="left" vertical="center"/>
      <protection hidden="1"/>
    </xf>
    <xf numFmtId="0" fontId="7" fillId="46" borderId="101" xfId="0" applyFont="1" applyFill="1" applyBorder="1" applyAlignment="1" applyProtection="1">
      <alignment horizontal="left" vertical="center"/>
      <protection hidden="1"/>
    </xf>
    <xf numFmtId="0" fontId="106" fillId="0" borderId="76" xfId="0" applyNumberFormat="1" applyFont="1" applyFill="1" applyBorder="1" applyAlignment="1" applyProtection="1">
      <alignment horizontal="center" vertical="center" wrapText="1"/>
      <protection hidden="1"/>
    </xf>
    <xf numFmtId="0" fontId="106" fillId="0" borderId="33"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wrapText="1"/>
      <protection hidden="1"/>
    </xf>
    <xf numFmtId="0" fontId="106" fillId="0" borderId="0" xfId="0" applyNumberFormat="1" applyFont="1" applyFill="1" applyBorder="1" applyAlignment="1" applyProtection="1">
      <alignment horizontal="center" vertical="center" wrapText="1"/>
      <protection hidden="1"/>
    </xf>
    <xf numFmtId="0" fontId="106" fillId="0" borderId="25" xfId="0" applyNumberFormat="1" applyFont="1" applyFill="1" applyBorder="1" applyAlignment="1" applyProtection="1">
      <alignment horizontal="center" vertical="center" wrapText="1"/>
      <protection hidden="1"/>
    </xf>
    <xf numFmtId="0" fontId="106" fillId="0" borderId="57"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protection hidden="1"/>
    </xf>
    <xf numFmtId="0" fontId="106" fillId="0" borderId="0" xfId="0" applyNumberFormat="1" applyFont="1" applyFill="1" applyBorder="1" applyAlignment="1" applyProtection="1">
      <alignment horizontal="center" vertical="center"/>
      <protection hidden="1"/>
    </xf>
    <xf numFmtId="0" fontId="106" fillId="0" borderId="121" xfId="0" applyNumberFormat="1" applyFont="1" applyFill="1" applyBorder="1" applyAlignment="1" applyProtection="1">
      <alignment horizontal="center" vertical="center"/>
      <protection hidden="1"/>
    </xf>
    <xf numFmtId="0" fontId="106" fillId="0" borderId="122" xfId="0" applyNumberFormat="1" applyFont="1" applyFill="1" applyBorder="1" applyAlignment="1" applyProtection="1">
      <alignment horizontal="center" vertical="center"/>
      <protection hidden="1"/>
    </xf>
    <xf numFmtId="37" fontId="75" fillId="0" borderId="79" xfId="0" applyNumberFormat="1" applyFont="1" applyFill="1" applyBorder="1" applyAlignment="1" applyProtection="1">
      <alignment horizontal="center" vertical="center"/>
      <protection hidden="1"/>
    </xf>
    <xf numFmtId="37" fontId="75" fillId="0" borderId="123" xfId="0" applyNumberFormat="1" applyFont="1" applyFill="1" applyBorder="1" applyAlignment="1" applyProtection="1">
      <alignment horizontal="center" vertical="center"/>
      <protection hidden="1"/>
    </xf>
    <xf numFmtId="49" fontId="34" fillId="0" borderId="116" xfId="0" applyNumberFormat="1" applyFont="1" applyFill="1" applyBorder="1" applyAlignment="1" applyProtection="1">
      <alignment horizontal="left" vertical="center"/>
      <protection hidden="1"/>
    </xf>
    <xf numFmtId="49" fontId="34" fillId="0" borderId="45" xfId="0" applyNumberFormat="1" applyFont="1" applyFill="1" applyBorder="1" applyAlignment="1" applyProtection="1">
      <alignment horizontal="left" vertical="center"/>
      <protection hidden="1"/>
    </xf>
    <xf numFmtId="3" fontId="107" fillId="0" borderId="118" xfId="0" applyNumberFormat="1" applyFont="1" applyFill="1" applyBorder="1" applyAlignment="1" applyProtection="1">
      <alignment horizontal="center" vertical="center" shrinkToFit="1"/>
      <protection hidden="1"/>
    </xf>
    <xf numFmtId="3" fontId="107" fillId="0" borderId="119" xfId="0" applyNumberFormat="1" applyFont="1" applyFill="1" applyBorder="1" applyAlignment="1" applyProtection="1">
      <alignment horizontal="center" vertical="center" shrinkToFit="1"/>
      <protection hidden="1"/>
    </xf>
    <xf numFmtId="3" fontId="107" fillId="0" borderId="25" xfId="0" applyNumberFormat="1" applyFont="1" applyFill="1" applyBorder="1" applyAlignment="1" applyProtection="1">
      <alignment horizontal="center" vertical="center" shrinkToFit="1"/>
      <protection hidden="1"/>
    </xf>
    <xf numFmtId="3" fontId="107" fillId="0" borderId="57" xfId="0" applyNumberFormat="1" applyFont="1" applyFill="1" applyBorder="1" applyAlignment="1" applyProtection="1">
      <alignment horizontal="center" vertical="center" shrinkToFit="1"/>
      <protection hidden="1"/>
    </xf>
    <xf numFmtId="0" fontId="75" fillId="0" borderId="124" xfId="0" applyNumberFormat="1" applyFont="1" applyFill="1" applyBorder="1" applyAlignment="1" applyProtection="1">
      <alignment horizontal="center" vertical="center"/>
      <protection hidden="1"/>
    </xf>
    <xf numFmtId="0" fontId="75" fillId="0" borderId="101" xfId="0" applyNumberFormat="1" applyFont="1" applyFill="1" applyBorder="1" applyAlignment="1" applyProtection="1">
      <alignment horizontal="center" vertical="center"/>
      <protection hidden="1"/>
    </xf>
    <xf numFmtId="182" fontId="102" fillId="0" borderId="45" xfId="0" applyNumberFormat="1" applyFont="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49" fontId="34" fillId="0" borderId="73"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5"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6"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9" borderId="73" xfId="0" applyNumberFormat="1" applyFont="1" applyFill="1" applyBorder="1" applyAlignment="1" applyProtection="1">
      <alignment horizontal="left" vertical="center" wrapText="1"/>
      <protection hidden="1"/>
    </xf>
    <xf numFmtId="49" fontId="17" fillId="59" borderId="0" xfId="0" applyNumberFormat="1" applyFont="1" applyFill="1" applyBorder="1" applyAlignment="1" applyProtection="1">
      <alignment horizontal="left" vertical="center" wrapText="1"/>
      <protection hidden="1"/>
    </xf>
    <xf numFmtId="49" fontId="17" fillId="59" borderId="79" xfId="0" applyNumberFormat="1" applyFont="1" applyFill="1" applyBorder="1" applyAlignment="1" applyProtection="1">
      <alignment horizontal="left" vertical="center" wrapText="1"/>
      <protection hidden="1"/>
    </xf>
    <xf numFmtId="3" fontId="34" fillId="54" borderId="76" xfId="0" applyNumberFormat="1" applyFont="1" applyFill="1" applyBorder="1" applyAlignment="1" applyProtection="1">
      <alignment vertical="top" wrapText="1"/>
      <protection locked="0"/>
    </xf>
    <xf numFmtId="3" fontId="34" fillId="54" borderId="33" xfId="0" applyNumberFormat="1" applyFont="1" applyFill="1" applyBorder="1" applyAlignment="1" applyProtection="1">
      <alignment vertical="top" wrapText="1"/>
      <protection locked="0"/>
    </xf>
    <xf numFmtId="3" fontId="34" fillId="54" borderId="27" xfId="0" applyNumberFormat="1" applyFont="1" applyFill="1" applyBorder="1" applyAlignment="1" applyProtection="1">
      <alignment vertical="top" wrapText="1"/>
      <protection locked="0"/>
    </xf>
    <xf numFmtId="3" fontId="34" fillId="54" borderId="0" xfId="0" applyNumberFormat="1" applyFont="1" applyFill="1" applyBorder="1" applyAlignment="1" applyProtection="1">
      <alignment vertical="top" wrapText="1"/>
      <protection locked="0"/>
    </xf>
    <xf numFmtId="3" fontId="34" fillId="54" borderId="24" xfId="0" applyNumberFormat="1" applyFont="1" applyFill="1" applyBorder="1" applyAlignment="1" applyProtection="1">
      <alignment vertical="center" wrapText="1"/>
      <protection locked="0"/>
    </xf>
    <xf numFmtId="3" fontId="34" fillId="54" borderId="32" xfId="0" applyNumberFormat="1" applyFont="1" applyFill="1" applyBorder="1" applyAlignment="1" applyProtection="1">
      <alignment vertical="center" wrapText="1"/>
      <protection locked="0"/>
    </xf>
    <xf numFmtId="3" fontId="34" fillId="54" borderId="58" xfId="0" applyNumberFormat="1" applyFont="1" applyFill="1" applyBorder="1" applyAlignment="1" applyProtection="1">
      <alignment vertical="center" wrapText="1"/>
      <protection locked="0"/>
    </xf>
    <xf numFmtId="49" fontId="34" fillId="53" borderId="88" xfId="0" applyNumberFormat="1" applyFont="1" applyFill="1" applyBorder="1" applyAlignment="1" applyProtection="1">
      <alignment horizontal="center" vertical="center" wrapText="1"/>
      <protection hidden="1"/>
    </xf>
    <xf numFmtId="49" fontId="34" fillId="53" borderId="15"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49" fontId="34" fillId="54" borderId="24" xfId="0" applyNumberFormat="1" applyFont="1" applyFill="1" applyBorder="1" applyAlignment="1" applyProtection="1">
      <alignment horizontal="center" vertical="center" wrapText="1"/>
      <protection locked="0"/>
    </xf>
    <xf numFmtId="49" fontId="34" fillId="54" borderId="58" xfId="0" applyNumberFormat="1"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49" fontId="40" fillId="35" borderId="20"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34" fillId="53" borderId="24" xfId="0" applyNumberFormat="1" applyFont="1" applyFill="1" applyBorder="1" applyAlignment="1" applyProtection="1">
      <alignment horizontal="center" vertical="center" wrapText="1"/>
      <protection hidden="1"/>
    </xf>
    <xf numFmtId="3" fontId="34" fillId="53" borderId="32" xfId="0" applyNumberFormat="1" applyFont="1" applyFill="1" applyBorder="1" applyAlignment="1" applyProtection="1">
      <alignment horizontal="center" vertical="center" wrapText="1"/>
      <protection hidden="1"/>
    </xf>
    <xf numFmtId="3" fontId="34" fillId="53" borderId="49" xfId="0" applyNumberFormat="1" applyFont="1" applyFill="1" applyBorder="1" applyAlignment="1" applyProtection="1">
      <alignment horizontal="center" vertical="center" wrapText="1"/>
      <protection hidden="1"/>
    </xf>
    <xf numFmtId="49" fontId="17" fillId="59" borderId="24" xfId="0" applyNumberFormat="1" applyFont="1" applyFill="1" applyBorder="1" applyAlignment="1" applyProtection="1">
      <alignment horizontal="center" vertical="center" wrapText="1"/>
      <protection hidden="1"/>
    </xf>
    <xf numFmtId="49" fontId="17" fillId="59" borderId="32" xfId="0" applyNumberFormat="1" applyFont="1" applyFill="1" applyBorder="1" applyAlignment="1" applyProtection="1">
      <alignment horizontal="center" vertical="center" wrapText="1"/>
      <protection hidden="1"/>
    </xf>
    <xf numFmtId="49" fontId="17" fillId="59" borderId="49" xfId="0" applyNumberFormat="1" applyFont="1" applyFill="1" applyBorder="1" applyAlignment="1" applyProtection="1">
      <alignment horizontal="center" vertical="center" wrapText="1"/>
      <protection hidden="1"/>
    </xf>
    <xf numFmtId="3" fontId="0" fillId="35" borderId="15" xfId="0" applyNumberFormat="1"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left" vertical="center" wrapText="1"/>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34" fillId="53" borderId="58" xfId="0" applyNumberFormat="1" applyFont="1" applyFill="1" applyBorder="1" applyAlignment="1" applyProtection="1">
      <alignment horizontal="center" vertical="center" wrapText="1"/>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5" xfId="0" applyNumberFormat="1" applyFont="1" applyFill="1" applyBorder="1" applyAlignment="1" applyProtection="1">
      <alignment horizontal="center" vertical="center"/>
      <protection hidden="1"/>
    </xf>
    <xf numFmtId="49" fontId="17" fillId="59" borderId="20" xfId="0" applyNumberFormat="1" applyFont="1" applyFill="1" applyBorder="1" applyAlignment="1" applyProtection="1">
      <alignment vertical="center" wrapText="1"/>
      <protection hidden="1"/>
    </xf>
    <xf numFmtId="49" fontId="17" fillId="59" borderId="32" xfId="0" applyNumberFormat="1" applyFont="1" applyFill="1" applyBorder="1" applyAlignment="1" applyProtection="1">
      <alignment vertical="center" wrapText="1"/>
      <protection hidden="1"/>
    </xf>
    <xf numFmtId="49" fontId="17" fillId="59" borderId="58" xfId="0" applyNumberFormat="1" applyFont="1" applyFill="1" applyBorder="1" applyAlignment="1" applyProtection="1">
      <alignment vertical="center" wrapText="1"/>
      <protection hidden="1"/>
    </xf>
    <xf numFmtId="3" fontId="40" fillId="35" borderId="76"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3" fontId="40" fillId="35" borderId="116" xfId="0" applyNumberFormat="1" applyFont="1" applyFill="1" applyBorder="1" applyAlignment="1" applyProtection="1">
      <alignment horizontal="left" vertical="center"/>
      <protection hidden="1"/>
    </xf>
    <xf numFmtId="3" fontId="40" fillId="35" borderId="27" xfId="0" applyNumberFormat="1" applyFont="1" applyFill="1" applyBorder="1" applyAlignment="1" applyProtection="1">
      <alignment horizontal="left" vertical="center"/>
      <protection hidden="1"/>
    </xf>
    <xf numFmtId="3" fontId="40" fillId="35" borderId="0" xfId="0" applyNumberFormat="1" applyFont="1" applyFill="1" applyBorder="1" applyAlignment="1" applyProtection="1">
      <alignment horizontal="left" vertical="center"/>
      <protection hidden="1"/>
    </xf>
    <xf numFmtId="3" fontId="40" fillId="35" borderId="104" xfId="0" applyNumberFormat="1" applyFont="1" applyFill="1" applyBorder="1" applyAlignment="1" applyProtection="1">
      <alignment horizontal="left" vertical="center"/>
      <protection hidden="1"/>
    </xf>
    <xf numFmtId="3" fontId="40" fillId="35" borderId="25" xfId="0" applyNumberFormat="1" applyFont="1" applyFill="1" applyBorder="1" applyAlignment="1" applyProtection="1">
      <alignment horizontal="left" vertical="center"/>
      <protection hidden="1"/>
    </xf>
    <xf numFmtId="3" fontId="40" fillId="35" borderId="57" xfId="0" applyNumberFormat="1" applyFont="1" applyFill="1" applyBorder="1" applyAlignment="1" applyProtection="1">
      <alignment horizontal="left" vertical="center"/>
      <protection hidden="1"/>
    </xf>
    <xf numFmtId="3" fontId="40" fillId="35" borderId="115" xfId="0" applyNumberFormat="1" applyFont="1" applyFill="1" applyBorder="1" applyAlignment="1" applyProtection="1">
      <alignment horizontal="left" vertical="center"/>
      <protection hidden="1"/>
    </xf>
    <xf numFmtId="3" fontId="40" fillId="35" borderId="21" xfId="0" applyNumberFormat="1" applyFont="1" applyFill="1" applyBorder="1" applyAlignment="1" applyProtection="1">
      <alignment horizontal="left" vertical="center"/>
      <protection hidden="1"/>
    </xf>
    <xf numFmtId="0" fontId="100" fillId="36" borderId="76" xfId="0" applyFont="1" applyFill="1" applyBorder="1" applyAlignment="1" applyProtection="1">
      <alignment horizontal="center" vertical="center" wrapText="1"/>
      <protection hidden="1"/>
    </xf>
    <xf numFmtId="0" fontId="100" fillId="36" borderId="27" xfId="0" applyFont="1" applyFill="1" applyBorder="1" applyAlignment="1" applyProtection="1">
      <alignment horizontal="center" vertical="center" wrapText="1"/>
      <protection hidden="1"/>
    </xf>
    <xf numFmtId="0" fontId="100" fillId="36" borderId="25" xfId="0" applyFont="1" applyFill="1" applyBorder="1" applyAlignment="1" applyProtection="1">
      <alignment horizontal="center" vertical="center" wrapText="1"/>
      <protection hidden="1"/>
    </xf>
    <xf numFmtId="3" fontId="40" fillId="35" borderId="24" xfId="0" applyNumberFormat="1" applyFont="1" applyFill="1" applyBorder="1" applyAlignment="1" applyProtection="1">
      <alignment horizontal="left" vertical="center" wrapText="1"/>
      <protection hidden="1"/>
    </xf>
    <xf numFmtId="3" fontId="40" fillId="35" borderId="58" xfId="0" applyNumberFormat="1" applyFont="1" applyFill="1" applyBorder="1" applyAlignment="1" applyProtection="1">
      <alignment horizontal="left" vertical="center" wrapText="1"/>
      <protection hidden="1"/>
    </xf>
    <xf numFmtId="0" fontId="40" fillId="35" borderId="24" xfId="0" applyFont="1" applyFill="1" applyBorder="1" applyAlignment="1" applyProtection="1">
      <alignment horizontal="left" vertical="center"/>
      <protection hidden="1"/>
    </xf>
    <xf numFmtId="0" fontId="40" fillId="35" borderId="32" xfId="0" applyFont="1" applyFill="1" applyBorder="1" applyAlignment="1" applyProtection="1">
      <alignment horizontal="left" vertical="center"/>
      <protection hidden="1"/>
    </xf>
    <xf numFmtId="0" fontId="40" fillId="35" borderId="58"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99" fillId="39" borderId="24" xfId="0" applyNumberFormat="1" applyFont="1" applyFill="1" applyBorder="1" applyAlignment="1" applyProtection="1">
      <alignment horizontal="center" vertical="center"/>
      <protection hidden="1" locked="0"/>
    </xf>
    <xf numFmtId="3" fontId="99" fillId="39" borderId="32" xfId="0" applyNumberFormat="1" applyFont="1" applyFill="1" applyBorder="1" applyAlignment="1" applyProtection="1">
      <alignment horizontal="center" vertical="center"/>
      <protection hidden="1" locked="0"/>
    </xf>
    <xf numFmtId="3" fontId="99" fillId="39" borderId="49" xfId="0" applyNumberFormat="1" applyFont="1" applyFill="1" applyBorder="1" applyAlignment="1" applyProtection="1">
      <alignment horizontal="center" vertical="center"/>
      <protection hidden="1" locked="0"/>
    </xf>
    <xf numFmtId="3" fontId="40" fillId="35" borderId="32" xfId="0" applyNumberFormat="1" applyFont="1" applyFill="1" applyBorder="1" applyAlignment="1" applyProtection="1">
      <alignment horizontal="center" vertical="center"/>
      <protection hidden="1"/>
    </xf>
    <xf numFmtId="179" fontId="40" fillId="35" borderId="24" xfId="0" applyNumberFormat="1" applyFont="1" applyFill="1" applyBorder="1" applyAlignment="1" applyProtection="1">
      <alignment horizontal="left" vertical="center"/>
      <protection hidden="1"/>
    </xf>
    <xf numFmtId="179" fontId="40" fillId="35" borderId="32" xfId="0" applyNumberFormat="1" applyFont="1" applyFill="1" applyBorder="1" applyAlignment="1" applyProtection="1">
      <alignment horizontal="left" vertical="center"/>
      <protection hidden="1"/>
    </xf>
    <xf numFmtId="179" fontId="40" fillId="35" borderId="58" xfId="0" applyNumberFormat="1" applyFont="1" applyFill="1" applyBorder="1" applyAlignment="1" applyProtection="1">
      <alignment horizontal="lef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101" fillId="35" borderId="24" xfId="0" applyNumberFormat="1" applyFont="1" applyFill="1" applyBorder="1" applyAlignment="1" applyProtection="1">
      <alignment horizontal="left" vertical="center" wrapText="1"/>
      <protection hidden="1"/>
    </xf>
    <xf numFmtId="3" fontId="101" fillId="35" borderId="58" xfId="0" applyNumberFormat="1" applyFont="1" applyFill="1" applyBorder="1" applyAlignment="1" applyProtection="1">
      <alignment horizontal="left" vertical="center"/>
      <protection hidden="1"/>
    </xf>
    <xf numFmtId="0" fontId="8" fillId="39" borderId="15" xfId="0" applyFont="1" applyFill="1" applyBorder="1" applyAlignment="1" applyProtection="1">
      <alignment vertical="center"/>
      <protection locked="0"/>
    </xf>
    <xf numFmtId="0" fontId="8" fillId="39" borderId="103" xfId="0" applyFont="1" applyFill="1" applyBorder="1" applyAlignment="1" applyProtection="1">
      <alignment vertical="center"/>
      <protection locked="0"/>
    </xf>
    <xf numFmtId="0" fontId="8" fillId="39" borderId="108" xfId="0" applyFont="1" applyFill="1" applyBorder="1" applyAlignment="1" applyProtection="1">
      <alignment vertical="center"/>
      <protection locked="0"/>
    </xf>
    <xf numFmtId="0" fontId="165" fillId="54" borderId="36" xfId="0" applyFont="1" applyFill="1" applyBorder="1" applyAlignment="1" applyProtection="1">
      <alignment horizontal="center" vertical="center"/>
      <protection locked="0"/>
    </xf>
    <xf numFmtId="0" fontId="165" fillId="54" borderId="63"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0" fontId="31" fillId="39" borderId="36" xfId="0"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4" xfId="0" applyNumberFormat="1" applyFont="1" applyFill="1" applyBorder="1" applyAlignment="1" applyProtection="1">
      <alignment horizontal="left" vertical="center" shrinkToFit="1"/>
      <protection locked="0"/>
    </xf>
    <xf numFmtId="3" fontId="31" fillId="39" borderId="62"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3"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2" xfId="0" applyFont="1" applyFill="1" applyBorder="1" applyAlignment="1" applyProtection="1">
      <alignment vertical="center"/>
      <protection hidden="1"/>
    </xf>
    <xf numFmtId="0" fontId="57" fillId="44" borderId="62" xfId="0" applyFont="1" applyFill="1" applyBorder="1" applyAlignment="1" applyProtection="1">
      <alignment vertical="center"/>
      <protection hidden="1"/>
    </xf>
    <xf numFmtId="3" fontId="40" fillId="35" borderId="76" xfId="0" applyNumberFormat="1" applyFont="1" applyFill="1" applyBorder="1" applyAlignment="1" applyProtection="1">
      <alignment horizontal="left" vertical="center" wrapText="1"/>
      <protection hidden="1"/>
    </xf>
    <xf numFmtId="3" fontId="40" fillId="35" borderId="27" xfId="0" applyNumberFormat="1" applyFont="1" applyFill="1" applyBorder="1" applyAlignment="1" applyProtection="1">
      <alignment horizontal="left" vertical="center" wrapText="1"/>
      <protection hidden="1"/>
    </xf>
    <xf numFmtId="49" fontId="40" fillId="35" borderId="19" xfId="0" applyNumberFormat="1" applyFont="1" applyFill="1" applyBorder="1" applyAlignment="1" applyProtection="1">
      <alignment horizontal="center" vertical="center" wrapText="1"/>
      <protection hidden="1"/>
    </xf>
    <xf numFmtId="49" fontId="40" fillId="35" borderId="116" xfId="0" applyNumberFormat="1" applyFont="1" applyFill="1" applyBorder="1" applyAlignment="1" applyProtection="1">
      <alignment horizontal="center" vertical="center" wrapText="1"/>
      <protection hidden="1"/>
    </xf>
    <xf numFmtId="49" fontId="40" fillId="35" borderId="73" xfId="0" applyNumberFormat="1" applyFont="1" applyFill="1" applyBorder="1" applyAlignment="1" applyProtection="1">
      <alignment horizontal="center" vertical="center" wrapText="1"/>
      <protection hidden="1"/>
    </xf>
    <xf numFmtId="49" fontId="40" fillId="35" borderId="104" xfId="0" applyNumberFormat="1" applyFont="1" applyFill="1" applyBorder="1" applyAlignment="1" applyProtection="1">
      <alignment horizontal="center" vertical="center" wrapText="1"/>
      <protection hidden="1"/>
    </xf>
    <xf numFmtId="49" fontId="40" fillId="35" borderId="21" xfId="0" applyNumberFormat="1" applyFont="1" applyFill="1" applyBorder="1" applyAlignment="1" applyProtection="1">
      <alignment horizontal="center" vertical="center" wrapText="1"/>
      <protection hidden="1"/>
    </xf>
    <xf numFmtId="49" fontId="40" fillId="35" borderId="115" xfId="0" applyNumberFormat="1" applyFont="1" applyFill="1" applyBorder="1" applyAlignment="1" applyProtection="1">
      <alignment horizontal="center" vertical="center" wrapText="1"/>
      <protection hidden="1"/>
    </xf>
    <xf numFmtId="0" fontId="57" fillId="44" borderId="103" xfId="0" applyFont="1" applyFill="1" applyBorder="1" applyAlignment="1" applyProtection="1">
      <alignment vertical="center"/>
      <protection hidden="1"/>
    </xf>
    <xf numFmtId="0" fontId="57" fillId="44" borderId="60" xfId="0" applyFont="1" applyFill="1" applyBorder="1" applyAlignment="1" applyProtection="1">
      <alignment vertical="center"/>
      <protection hidden="1"/>
    </xf>
    <xf numFmtId="0" fontId="34" fillId="0" borderId="125" xfId="0" applyFont="1" applyFill="1" applyBorder="1" applyAlignment="1" applyProtection="1">
      <alignment vertical="center"/>
      <protection hidden="1"/>
    </xf>
    <xf numFmtId="0" fontId="34" fillId="0" borderId="64" xfId="0" applyFont="1" applyFill="1" applyBorder="1" applyAlignment="1" applyProtection="1">
      <alignment vertical="center"/>
      <protection hidden="1"/>
    </xf>
    <xf numFmtId="0" fontId="34" fillId="35" borderId="103"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35" borderId="61"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8"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6"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6" xfId="0" applyFont="1" applyFill="1" applyBorder="1" applyAlignment="1" applyProtection="1">
      <alignment vertical="center"/>
      <protection hidden="1"/>
    </xf>
    <xf numFmtId="0" fontId="34" fillId="35" borderId="111"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11"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114" xfId="0" applyNumberFormat="1" applyFont="1" applyFill="1" applyBorder="1" applyAlignment="1" applyProtection="1">
      <alignment horizontal="left" vertical="center"/>
      <protection hidden="1"/>
    </xf>
    <xf numFmtId="0" fontId="17" fillId="0" borderId="62"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26" xfId="0" applyNumberFormat="1" applyFont="1" applyFill="1" applyBorder="1" applyAlignment="1" applyProtection="1">
      <alignment horizontal="center" vertical="center" wrapText="1"/>
      <protection hidden="1"/>
    </xf>
    <xf numFmtId="3" fontId="40" fillId="38" borderId="64" xfId="0" applyNumberFormat="1" applyFont="1" applyFill="1" applyBorder="1" applyAlignment="1" applyProtection="1">
      <alignment horizontal="center" vertical="center" wrapText="1"/>
      <protection hidden="1"/>
    </xf>
    <xf numFmtId="0" fontId="40" fillId="0" borderId="111"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61" xfId="0" applyNumberFormat="1" applyFont="1" applyFill="1" applyBorder="1" applyAlignment="1" applyProtection="1">
      <alignment horizontal="center" vertical="center"/>
      <protection hidden="1"/>
    </xf>
    <xf numFmtId="0" fontId="40" fillId="0" borderId="103"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11" xfId="0" applyNumberFormat="1" applyFont="1" applyFill="1" applyBorder="1" applyAlignment="1" applyProtection="1">
      <alignment horizontal="center" vertical="center"/>
      <protection hidden="1"/>
    </xf>
    <xf numFmtId="0" fontId="40" fillId="38" borderId="60" xfId="0" applyNumberFormat="1" applyFont="1" applyFill="1" applyBorder="1" applyAlignment="1" applyProtection="1">
      <alignment horizontal="center" vertical="center"/>
      <protection hidden="1"/>
    </xf>
    <xf numFmtId="0" fontId="40" fillId="38" borderId="108" xfId="0" applyNumberFormat="1" applyFont="1" applyFill="1" applyBorder="1" applyAlignment="1" applyProtection="1">
      <alignment horizontal="center" vertical="center"/>
      <protection hidden="1"/>
    </xf>
    <xf numFmtId="0" fontId="40" fillId="38" borderId="66"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2" xfId="0" applyFont="1" applyFill="1" applyBorder="1" applyAlignment="1" applyProtection="1">
      <alignment horizontal="center" vertical="center" wrapText="1" shrinkToFit="1"/>
      <protection hidden="1"/>
    </xf>
    <xf numFmtId="49" fontId="40" fillId="38" borderId="114" xfId="0" applyNumberFormat="1" applyFont="1" applyFill="1" applyBorder="1" applyAlignment="1" applyProtection="1">
      <alignment horizontal="center" vertical="center"/>
      <protection hidden="1"/>
    </xf>
    <xf numFmtId="49" fontId="40" fillId="38" borderId="109"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11"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114" xfId="0" applyNumberFormat="1" applyFont="1" applyFill="1" applyBorder="1" applyAlignment="1" applyProtection="1">
      <alignment horizontal="left" vertical="center"/>
      <protection locked="0"/>
    </xf>
    <xf numFmtId="14" fontId="17" fillId="39" borderId="62"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28"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8" xfId="0" applyNumberFormat="1" applyFont="1" applyFill="1" applyBorder="1" applyAlignment="1" applyProtection="1" quotePrefix="1">
      <alignment horizontal="right" vertical="center"/>
      <protection hidden="1"/>
    </xf>
    <xf numFmtId="4" fontId="34" fillId="36" borderId="78" xfId="0" applyNumberFormat="1" applyFont="1" applyFill="1" applyBorder="1" applyAlignment="1" applyProtection="1" quotePrefix="1">
      <alignment horizontal="right" vertical="center"/>
      <protection hidden="1"/>
    </xf>
    <xf numFmtId="4" fontId="34" fillId="36" borderId="129"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6"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0"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0" fontId="34" fillId="35" borderId="73"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4"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15"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28" xfId="49" applyNumberFormat="1" applyFont="1" applyFill="1" applyBorder="1" applyAlignment="1" applyProtection="1">
      <alignment horizontal="center" vertical="center"/>
      <protection hidden="1"/>
    </xf>
    <xf numFmtId="3" fontId="34" fillId="35" borderId="92" xfId="0" applyNumberFormat="1" applyFont="1" applyFill="1" applyBorder="1" applyAlignment="1" applyProtection="1">
      <alignment horizontal="center" vertical="center"/>
      <protection hidden="1"/>
    </xf>
    <xf numFmtId="3" fontId="34" fillId="35" borderId="131"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2"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07"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33" xfId="0" applyNumberFormat="1" applyFont="1" applyFill="1" applyBorder="1" applyAlignment="1" applyProtection="1">
      <alignment horizontal="right" vertical="center" shrinkToFit="1"/>
      <protection locked="0"/>
    </xf>
    <xf numFmtId="3" fontId="34" fillId="39" borderId="134"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33"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60" fillId="39" borderId="36" xfId="0" applyNumberFormat="1" applyFont="1" applyFill="1" applyBorder="1" applyAlignment="1" applyProtection="1">
      <alignment horizontal="left" vertical="center"/>
      <protection locked="0"/>
    </xf>
    <xf numFmtId="184" fontId="60" fillId="39" borderId="63"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9" xfId="49" applyNumberFormat="1" applyFont="1" applyFill="1" applyBorder="1" applyAlignment="1" applyProtection="1">
      <alignment horizontal="center" vertical="center"/>
      <protection hidden="1"/>
    </xf>
    <xf numFmtId="40" fontId="34" fillId="36" borderId="138" xfId="49"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shrinkToFit="1"/>
      <protection locked="0"/>
    </xf>
    <xf numFmtId="3" fontId="34" fillId="39" borderId="139"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4" fontId="34" fillId="36" borderId="69"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4" fontId="34" fillId="36" borderId="113"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1" xfId="49" applyNumberFormat="1" applyFont="1" applyFill="1" applyBorder="1" applyAlignment="1" applyProtection="1">
      <alignment horizontal="center" vertical="center"/>
      <protection hidden="1"/>
    </xf>
    <xf numFmtId="49" fontId="34" fillId="35" borderId="111" xfId="0" applyNumberFormat="1" applyFont="1" applyFill="1" applyBorder="1" applyAlignment="1" applyProtection="1">
      <alignment horizontal="center" vertical="center"/>
      <protection hidden="1"/>
    </xf>
    <xf numFmtId="49" fontId="34" fillId="35" borderId="60" xfId="0"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2" xfId="0" applyNumberFormat="1" applyFont="1" applyFill="1" applyBorder="1" applyAlignment="1" applyProtection="1">
      <alignment horizontal="center" vertical="center"/>
      <protection hidden="1"/>
    </xf>
    <xf numFmtId="3" fontId="34" fillId="35" borderId="105" xfId="0" applyNumberFormat="1" applyFont="1" applyFill="1" applyBorder="1" applyAlignment="1" applyProtection="1">
      <alignment horizontal="center" vertical="center"/>
      <protection hidden="1"/>
    </xf>
    <xf numFmtId="0" fontId="34" fillId="35" borderId="77" xfId="0" applyFont="1" applyFill="1" applyBorder="1" applyAlignment="1" applyProtection="1">
      <alignment horizontal="left" vertical="center"/>
      <protection hidden="1"/>
    </xf>
    <xf numFmtId="0" fontId="34" fillId="35" borderId="78" xfId="0" applyFont="1" applyFill="1" applyBorder="1" applyAlignment="1" applyProtection="1">
      <alignment horizontal="left" vertical="center"/>
      <protection hidden="1"/>
    </xf>
    <xf numFmtId="0" fontId="34" fillId="35" borderId="81" xfId="0" applyFont="1" applyFill="1" applyBorder="1" applyAlignment="1" applyProtection="1">
      <alignment horizontal="left" vertical="center"/>
      <protection hidden="1"/>
    </xf>
    <xf numFmtId="4" fontId="34" fillId="36" borderId="142"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2" xfId="0" applyFont="1" applyFill="1" applyBorder="1" applyAlignment="1" applyProtection="1">
      <alignment vertical="center" wrapText="1"/>
      <protection hidden="1"/>
    </xf>
    <xf numFmtId="0" fontId="34" fillId="35" borderId="73"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5" xfId="0" applyFont="1" applyFill="1" applyBorder="1" applyAlignment="1" applyProtection="1">
      <alignment vertical="center" wrapText="1"/>
      <protection hidden="1"/>
    </xf>
    <xf numFmtId="0" fontId="75"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3"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2" xfId="0" applyFont="1" applyFill="1" applyBorder="1" applyAlignment="1" applyProtection="1">
      <alignment vertical="center" wrapText="1"/>
      <protection locked="0"/>
    </xf>
    <xf numFmtId="0" fontId="34" fillId="39" borderId="62"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5" fillId="39" borderId="24" xfId="0" applyFont="1" applyFill="1" applyBorder="1" applyAlignment="1" applyProtection="1">
      <alignment vertical="center" wrapText="1"/>
      <protection locked="0"/>
    </xf>
    <xf numFmtId="0" fontId="75" fillId="39" borderId="32" xfId="0" applyFont="1" applyFill="1" applyBorder="1" applyAlignment="1" applyProtection="1">
      <alignment vertical="center" wrapText="1"/>
      <protection locked="0"/>
    </xf>
    <xf numFmtId="49" fontId="75" fillId="39" borderId="24" xfId="0" applyNumberFormat="1" applyFont="1" applyFill="1" applyBorder="1" applyAlignment="1" applyProtection="1">
      <alignment horizontal="center" vertical="center"/>
      <protection locked="0"/>
    </xf>
    <xf numFmtId="49" fontId="75"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43" xfId="0" applyFont="1" applyFill="1" applyBorder="1" applyAlignment="1" applyProtection="1">
      <alignment horizontal="center" vertical="center" wrapText="1"/>
      <protection hidden="1"/>
    </xf>
    <xf numFmtId="49" fontId="34" fillId="39" borderId="92" xfId="0" applyNumberFormat="1" applyFont="1" applyFill="1" applyBorder="1" applyAlignment="1" applyProtection="1">
      <alignment horizontal="center" vertical="center"/>
      <protection locked="0"/>
    </xf>
    <xf numFmtId="49" fontId="34" fillId="39" borderId="62"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2"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8" xfId="0" applyFont="1" applyFill="1" applyBorder="1" applyAlignment="1" applyProtection="1">
      <alignment horizontal="center" vertical="center"/>
      <protection hidden="1"/>
    </xf>
    <xf numFmtId="49" fontId="34" fillId="39" borderId="109"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8" borderId="73"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4"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15"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11" xfId="0" applyNumberFormat="1" applyFont="1" applyFill="1" applyBorder="1" applyAlignment="1" applyProtection="1">
      <alignment horizontal="center" vertical="center"/>
      <protection hidden="1"/>
    </xf>
    <xf numFmtId="49" fontId="34" fillId="38" borderId="60" xfId="0"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3" fontId="34" fillId="38" borderId="92" xfId="0" applyNumberFormat="1" applyFont="1" applyFill="1" applyBorder="1" applyAlignment="1" applyProtection="1">
      <alignment horizontal="center" vertical="center"/>
      <protection hidden="1"/>
    </xf>
    <xf numFmtId="3" fontId="34" fillId="38" borderId="131"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28" xfId="49" applyFont="1" applyFill="1" applyBorder="1" applyAlignment="1" applyProtection="1">
      <alignment horizontal="center" vertical="center"/>
      <protection hidden="1"/>
    </xf>
    <xf numFmtId="38" fontId="34" fillId="36" borderId="144"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07" xfId="0" applyFont="1" applyFill="1" applyBorder="1" applyAlignment="1" applyProtection="1">
      <alignment horizontal="center" vertical="center"/>
      <protection locked="0"/>
    </xf>
    <xf numFmtId="3" fontId="34" fillId="38" borderId="102" xfId="0" applyNumberFormat="1" applyFont="1" applyFill="1" applyBorder="1" applyAlignment="1" applyProtection="1">
      <alignment horizontal="center" vertical="center"/>
      <protection hidden="1"/>
    </xf>
    <xf numFmtId="3" fontId="34" fillId="38" borderId="105" xfId="0"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protection locked="0"/>
    </xf>
    <xf numFmtId="3" fontId="34" fillId="39" borderId="139" xfId="0" applyNumberFormat="1" applyFont="1" applyFill="1" applyBorder="1" applyAlignment="1" applyProtection="1">
      <alignment horizontal="right" vertical="center"/>
      <protection locked="0"/>
    </xf>
    <xf numFmtId="3" fontId="34" fillId="39" borderId="140" xfId="0" applyNumberFormat="1" applyFont="1" applyFill="1" applyBorder="1" applyAlignment="1" applyProtection="1">
      <alignment horizontal="right" vertical="center"/>
      <protection locked="0"/>
    </xf>
    <xf numFmtId="0" fontId="34" fillId="38" borderId="66"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wrapText="1"/>
      <protection hidden="1"/>
    </xf>
    <xf numFmtId="0" fontId="34" fillId="35" borderId="108" xfId="0" applyFont="1" applyFill="1" applyBorder="1" applyAlignment="1" applyProtection="1">
      <alignment horizontal="center" vertical="center" wrapText="1"/>
      <protection hidden="1"/>
    </xf>
    <xf numFmtId="0" fontId="34" fillId="39" borderId="66"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43"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4" xfId="0" applyNumberFormat="1" applyFont="1" applyFill="1" applyBorder="1" applyAlignment="1" applyProtection="1">
      <alignment horizontal="center"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9" fillId="43" borderId="111" xfId="0" applyFont="1" applyFill="1" applyBorder="1" applyAlignment="1" applyProtection="1">
      <alignment horizontal="left" vertical="center"/>
      <protection hidden="1"/>
    </xf>
    <xf numFmtId="0" fontId="69" fillId="43" borderId="60" xfId="0" applyFont="1" applyFill="1" applyBorder="1" applyAlignment="1" applyProtection="1">
      <alignment horizontal="lef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45"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70" fillId="33" borderId="73" xfId="0" applyNumberFormat="1" applyFont="1" applyFill="1" applyBorder="1" applyAlignment="1" applyProtection="1">
      <alignment horizontal="left" vertical="center"/>
      <protection hidden="1"/>
    </xf>
    <xf numFmtId="2" fontId="70" fillId="33" borderId="0" xfId="0" applyNumberFormat="1" applyFont="1" applyFill="1" applyBorder="1" applyAlignment="1" applyProtection="1">
      <alignment horizontal="left" vertical="center"/>
      <protection hidden="1"/>
    </xf>
    <xf numFmtId="2" fontId="70" fillId="33" borderId="79" xfId="0" applyNumberFormat="1" applyFont="1" applyFill="1" applyBorder="1" applyAlignment="1" applyProtection="1">
      <alignment horizontal="left" vertical="center"/>
      <protection hidden="1"/>
    </xf>
    <xf numFmtId="0" fontId="40" fillId="35" borderId="114" xfId="0" applyFont="1" applyFill="1" applyBorder="1" applyAlignment="1" applyProtection="1">
      <alignment horizontal="left" vertical="center" wrapText="1"/>
      <protection hidden="1"/>
    </xf>
    <xf numFmtId="0" fontId="40" fillId="35" borderId="109" xfId="0" applyFont="1" applyFill="1" applyBorder="1" applyAlignment="1" applyProtection="1">
      <alignment horizontal="left" vertical="center" wrapText="1"/>
      <protection hidden="1"/>
    </xf>
    <xf numFmtId="0" fontId="0" fillId="35" borderId="92"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8"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4"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2" xfId="0" applyFont="1" applyFill="1" applyBorder="1" applyAlignment="1" applyProtection="1">
      <alignment horizontal="center" vertical="center"/>
      <protection locked="0"/>
    </xf>
    <xf numFmtId="0" fontId="0" fillId="39" borderId="6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9"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4"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45" xfId="0" applyFont="1" applyFill="1" applyBorder="1" applyAlignment="1" applyProtection="1">
      <alignment horizontal="center" vertical="center"/>
      <protection hidden="1"/>
    </xf>
    <xf numFmtId="49" fontId="0" fillId="35" borderId="84"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8"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3" xfId="0" applyFont="1" applyFill="1" applyBorder="1" applyAlignment="1" applyProtection="1">
      <alignment horizontal="center" vertical="center" wrapText="1"/>
      <protection hidden="1"/>
    </xf>
    <xf numFmtId="0" fontId="0" fillId="35" borderId="73"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2"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11" xfId="0" applyNumberFormat="1" applyFont="1" applyFill="1" applyBorder="1" applyAlignment="1" applyProtection="1">
      <alignment horizontal="center" vertical="center"/>
      <protection hidden="1"/>
    </xf>
    <xf numFmtId="49" fontId="0" fillId="38" borderId="60" xfId="0" applyNumberFormat="1" applyFont="1" applyFill="1" applyBorder="1" applyAlignment="1" applyProtection="1">
      <alignment horizontal="center" vertical="center"/>
      <protection hidden="1"/>
    </xf>
    <xf numFmtId="49" fontId="0" fillId="38" borderId="108" xfId="0" applyNumberFormat="1" applyFont="1" applyFill="1" applyBorder="1" applyAlignment="1" applyProtection="1">
      <alignment horizontal="center" vertical="center"/>
      <protection hidden="1"/>
    </xf>
    <xf numFmtId="0" fontId="40" fillId="36" borderId="66" xfId="0" applyFont="1" applyFill="1" applyBorder="1" applyAlignment="1" applyProtection="1">
      <alignment horizontal="left" vertical="center"/>
      <protection/>
    </xf>
    <xf numFmtId="0" fontId="40" fillId="36" borderId="8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98">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13864514"/>
        <c:axId val="57671763"/>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49283820"/>
        <c:axId val="40901197"/>
      </c:barChart>
      <c:catAx>
        <c:axId val="13864514"/>
        <c:scaling>
          <c:orientation val="minMax"/>
        </c:scaling>
        <c:axPos val="l"/>
        <c:delete val="1"/>
        <c:majorTickMark val="out"/>
        <c:minorTickMark val="none"/>
        <c:tickLblPos val="nextTo"/>
        <c:crossAx val="57671763"/>
        <c:crosses val="autoZero"/>
        <c:auto val="1"/>
        <c:lblOffset val="100"/>
        <c:tickLblSkip val="1"/>
        <c:noMultiLvlLbl val="0"/>
      </c:catAx>
      <c:valAx>
        <c:axId val="57671763"/>
        <c:scaling>
          <c:orientation val="minMax"/>
          <c:max val="5"/>
          <c:min val="0"/>
        </c:scaling>
        <c:axPos val="b"/>
        <c:delete val="0"/>
        <c:numFmt formatCode="General" sourceLinked="1"/>
        <c:majorTickMark val="out"/>
        <c:minorTickMark val="none"/>
        <c:tickLblPos val="none"/>
        <c:spPr>
          <a:ln w="3175">
            <a:noFill/>
          </a:ln>
        </c:spPr>
        <c:crossAx val="13864514"/>
        <c:crossesAt val="1"/>
        <c:crossBetween val="between"/>
        <c:dispUnits/>
      </c:valAx>
      <c:catAx>
        <c:axId val="49283820"/>
        <c:scaling>
          <c:orientation val="minMax"/>
        </c:scaling>
        <c:axPos val="l"/>
        <c:delete val="1"/>
        <c:majorTickMark val="out"/>
        <c:minorTickMark val="none"/>
        <c:tickLblPos val="nextTo"/>
        <c:crossAx val="40901197"/>
        <c:crosses val="autoZero"/>
        <c:auto val="1"/>
        <c:lblOffset val="100"/>
        <c:tickLblSkip val="1"/>
        <c:noMultiLvlLbl val="0"/>
      </c:catAx>
      <c:valAx>
        <c:axId val="40901197"/>
        <c:scaling>
          <c:orientation val="minMax"/>
          <c:max val="0"/>
          <c:min val="-5"/>
        </c:scaling>
        <c:axPos val="b"/>
        <c:delete val="0"/>
        <c:numFmt formatCode="General" sourceLinked="1"/>
        <c:majorTickMark val="out"/>
        <c:minorTickMark val="none"/>
        <c:tickLblPos val="none"/>
        <c:spPr>
          <a:ln w="3175">
            <a:noFill/>
          </a:ln>
        </c:spPr>
        <c:crossAx val="4928382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32566454"/>
        <c:axId val="24662631"/>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20637088"/>
        <c:axId val="51516065"/>
      </c:barChart>
      <c:catAx>
        <c:axId val="32566454"/>
        <c:scaling>
          <c:orientation val="minMax"/>
        </c:scaling>
        <c:axPos val="l"/>
        <c:delete val="1"/>
        <c:majorTickMark val="out"/>
        <c:minorTickMark val="none"/>
        <c:tickLblPos val="nextTo"/>
        <c:crossAx val="24662631"/>
        <c:crosses val="autoZero"/>
        <c:auto val="1"/>
        <c:lblOffset val="100"/>
        <c:tickLblSkip val="1"/>
        <c:noMultiLvlLbl val="0"/>
      </c:catAx>
      <c:valAx>
        <c:axId val="24662631"/>
        <c:scaling>
          <c:orientation val="minMax"/>
          <c:max val="5"/>
          <c:min val="0"/>
        </c:scaling>
        <c:axPos val="b"/>
        <c:delete val="0"/>
        <c:numFmt formatCode="General" sourceLinked="1"/>
        <c:majorTickMark val="out"/>
        <c:minorTickMark val="none"/>
        <c:tickLblPos val="none"/>
        <c:spPr>
          <a:ln w="3175">
            <a:noFill/>
          </a:ln>
        </c:spPr>
        <c:crossAx val="32566454"/>
        <c:crossesAt val="1"/>
        <c:crossBetween val="between"/>
        <c:dispUnits/>
      </c:valAx>
      <c:catAx>
        <c:axId val="20637088"/>
        <c:scaling>
          <c:orientation val="minMax"/>
        </c:scaling>
        <c:axPos val="l"/>
        <c:delete val="1"/>
        <c:majorTickMark val="out"/>
        <c:minorTickMark val="none"/>
        <c:tickLblPos val="nextTo"/>
        <c:crossAx val="51516065"/>
        <c:crosses val="autoZero"/>
        <c:auto val="1"/>
        <c:lblOffset val="100"/>
        <c:tickLblSkip val="1"/>
        <c:noMultiLvlLbl val="0"/>
      </c:catAx>
      <c:valAx>
        <c:axId val="51516065"/>
        <c:scaling>
          <c:orientation val="minMax"/>
          <c:max val="0"/>
          <c:min val="-5"/>
        </c:scaling>
        <c:axPos val="b"/>
        <c:delete val="0"/>
        <c:numFmt formatCode="General" sourceLinked="1"/>
        <c:majorTickMark val="out"/>
        <c:minorTickMark val="none"/>
        <c:tickLblPos val="none"/>
        <c:spPr>
          <a:ln w="3175">
            <a:noFill/>
          </a:ln>
        </c:spPr>
        <c:crossAx val="2063708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60991402"/>
        <c:axId val="12051707"/>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-5</c:v>
                </c:pt>
              </c:numCache>
            </c:numRef>
          </c:val>
        </c:ser>
        <c:overlap val="100"/>
        <c:gapWidth val="0"/>
        <c:axId val="41356500"/>
        <c:axId val="36664181"/>
      </c:barChart>
      <c:catAx>
        <c:axId val="60991402"/>
        <c:scaling>
          <c:orientation val="minMax"/>
        </c:scaling>
        <c:axPos val="l"/>
        <c:delete val="1"/>
        <c:majorTickMark val="out"/>
        <c:minorTickMark val="none"/>
        <c:tickLblPos val="nextTo"/>
        <c:crossAx val="12051707"/>
        <c:crosses val="autoZero"/>
        <c:auto val="1"/>
        <c:lblOffset val="100"/>
        <c:tickLblSkip val="1"/>
        <c:noMultiLvlLbl val="0"/>
      </c:catAx>
      <c:valAx>
        <c:axId val="12051707"/>
        <c:scaling>
          <c:orientation val="minMax"/>
          <c:max val="5"/>
          <c:min val="0"/>
        </c:scaling>
        <c:axPos val="b"/>
        <c:delete val="0"/>
        <c:numFmt formatCode="General" sourceLinked="1"/>
        <c:majorTickMark val="out"/>
        <c:minorTickMark val="none"/>
        <c:tickLblPos val="none"/>
        <c:spPr>
          <a:ln w="3175">
            <a:noFill/>
          </a:ln>
        </c:spPr>
        <c:crossAx val="60991402"/>
        <c:crossesAt val="1"/>
        <c:crossBetween val="between"/>
        <c:dispUnits/>
      </c:valAx>
      <c:catAx>
        <c:axId val="41356500"/>
        <c:scaling>
          <c:orientation val="minMax"/>
        </c:scaling>
        <c:axPos val="l"/>
        <c:delete val="1"/>
        <c:majorTickMark val="out"/>
        <c:minorTickMark val="none"/>
        <c:tickLblPos val="nextTo"/>
        <c:crossAx val="36664181"/>
        <c:crosses val="autoZero"/>
        <c:auto val="1"/>
        <c:lblOffset val="100"/>
        <c:tickLblSkip val="1"/>
        <c:noMultiLvlLbl val="0"/>
      </c:catAx>
      <c:valAx>
        <c:axId val="36664181"/>
        <c:scaling>
          <c:orientation val="minMax"/>
          <c:max val="0"/>
          <c:min val="-5"/>
        </c:scaling>
        <c:axPos val="b"/>
        <c:delete val="0"/>
        <c:numFmt formatCode="General" sourceLinked="1"/>
        <c:majorTickMark val="out"/>
        <c:minorTickMark val="none"/>
        <c:tickLblPos val="none"/>
        <c:spPr>
          <a:ln w="3175">
            <a:noFill/>
          </a:ln>
        </c:spPr>
        <c:crossAx val="4135650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61542174"/>
        <c:axId val="17008655"/>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18860168"/>
        <c:axId val="35523785"/>
      </c:barChart>
      <c:catAx>
        <c:axId val="61542174"/>
        <c:scaling>
          <c:orientation val="minMax"/>
        </c:scaling>
        <c:axPos val="l"/>
        <c:delete val="1"/>
        <c:majorTickMark val="out"/>
        <c:minorTickMark val="none"/>
        <c:tickLblPos val="nextTo"/>
        <c:crossAx val="17008655"/>
        <c:crosses val="autoZero"/>
        <c:auto val="1"/>
        <c:lblOffset val="100"/>
        <c:tickLblSkip val="1"/>
        <c:noMultiLvlLbl val="0"/>
      </c:catAx>
      <c:valAx>
        <c:axId val="17008655"/>
        <c:scaling>
          <c:orientation val="minMax"/>
          <c:max val="5"/>
          <c:min val="0"/>
        </c:scaling>
        <c:axPos val="b"/>
        <c:delete val="0"/>
        <c:numFmt formatCode="General" sourceLinked="1"/>
        <c:majorTickMark val="out"/>
        <c:minorTickMark val="none"/>
        <c:tickLblPos val="none"/>
        <c:spPr>
          <a:ln w="3175">
            <a:noFill/>
          </a:ln>
        </c:spPr>
        <c:crossAx val="61542174"/>
        <c:crossesAt val="1"/>
        <c:crossBetween val="between"/>
        <c:dispUnits/>
      </c:valAx>
      <c:catAx>
        <c:axId val="18860168"/>
        <c:scaling>
          <c:orientation val="minMax"/>
        </c:scaling>
        <c:axPos val="l"/>
        <c:delete val="1"/>
        <c:majorTickMark val="out"/>
        <c:minorTickMark val="none"/>
        <c:tickLblPos val="nextTo"/>
        <c:crossAx val="35523785"/>
        <c:crosses val="autoZero"/>
        <c:auto val="1"/>
        <c:lblOffset val="100"/>
        <c:tickLblSkip val="1"/>
        <c:noMultiLvlLbl val="0"/>
      </c:catAx>
      <c:valAx>
        <c:axId val="35523785"/>
        <c:scaling>
          <c:orientation val="minMax"/>
          <c:max val="0"/>
          <c:min val="-5"/>
        </c:scaling>
        <c:axPos val="b"/>
        <c:delete val="0"/>
        <c:numFmt formatCode="General" sourceLinked="1"/>
        <c:majorTickMark val="out"/>
        <c:minorTickMark val="none"/>
        <c:tickLblPos val="none"/>
        <c:spPr>
          <a:ln w="3175">
            <a:noFill/>
          </a:ln>
        </c:spPr>
        <c:crossAx val="1886016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51278610"/>
        <c:axId val="58854307"/>
      </c:lineChart>
      <c:catAx>
        <c:axId val="5127861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854307"/>
        <c:crosses val="autoZero"/>
        <c:auto val="1"/>
        <c:lblOffset val="100"/>
        <c:tickLblSkip val="1"/>
        <c:noMultiLvlLbl val="0"/>
      </c:catAx>
      <c:valAx>
        <c:axId val="58854307"/>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278610"/>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59926716"/>
        <c:axId val="2469533"/>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59926716"/>
        <c:axId val="2469533"/>
      </c:lineChart>
      <c:catAx>
        <c:axId val="59926716"/>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69533"/>
        <c:crosses val="autoZero"/>
        <c:auto val="1"/>
        <c:lblOffset val="100"/>
        <c:tickLblSkip val="1"/>
        <c:noMultiLvlLbl val="0"/>
      </c:catAx>
      <c:valAx>
        <c:axId val="2469533"/>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926716"/>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22225798"/>
        <c:axId val="65814455"/>
      </c:barChart>
      <c:catAx>
        <c:axId val="2222579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814455"/>
        <c:crosses val="autoZero"/>
        <c:auto val="1"/>
        <c:lblOffset val="100"/>
        <c:tickLblSkip val="1"/>
        <c:noMultiLvlLbl val="0"/>
      </c:catAx>
      <c:valAx>
        <c:axId val="65814455"/>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225798"/>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Osakafu_2015v1.03)</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2015V1.03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26" customWidth="1"/>
    <col min="2" max="2" width="21.625" style="139" customWidth="1"/>
    <col min="3" max="3" width="24.50390625" style="139" customWidth="1"/>
    <col min="4" max="4" width="20.625" style="139" customWidth="1"/>
    <col min="5" max="5" width="6.00390625" style="139" customWidth="1"/>
    <col min="6" max="6" width="48.375" style="139" customWidth="1"/>
    <col min="7" max="7" width="31.75390625" style="139" customWidth="1"/>
    <col min="8" max="8" width="6.75390625" style="139" customWidth="1"/>
    <col min="9" max="9" width="6.375" style="139" customWidth="1"/>
    <col min="10" max="10" width="3.375" style="126" customWidth="1"/>
    <col min="11" max="11" width="7.125" style="126" hidden="1" customWidth="1"/>
    <col min="12" max="12" width="7.625" style="126" hidden="1" customWidth="1"/>
    <col min="13" max="16384" width="9.00390625" style="126" hidden="1" customWidth="1"/>
  </cols>
  <sheetData>
    <row r="1" spans="1:13" ht="14.25" customHeight="1">
      <c r="A1" s="124"/>
      <c r="B1" s="124"/>
      <c r="C1" s="124"/>
      <c r="D1" s="124"/>
      <c r="E1" s="124"/>
      <c r="F1" s="124"/>
      <c r="G1" s="124"/>
      <c r="H1" s="124"/>
      <c r="I1" s="124"/>
      <c r="J1" s="124"/>
      <c r="K1" s="125"/>
      <c r="L1" s="125"/>
      <c r="M1" s="125"/>
    </row>
    <row r="2" spans="1:10" ht="6" customHeight="1">
      <c r="A2" s="124"/>
      <c r="B2" s="124"/>
      <c r="C2" s="124"/>
      <c r="D2" s="124"/>
      <c r="E2" s="124"/>
      <c r="F2" s="124"/>
      <c r="G2" s="124"/>
      <c r="H2" s="124"/>
      <c r="I2" s="124"/>
      <c r="J2" s="124"/>
    </row>
    <row r="3" spans="1:10" ht="23.25" customHeight="1">
      <c r="A3" s="124"/>
      <c r="B3" s="124"/>
      <c r="C3" s="124"/>
      <c r="D3" s="124"/>
      <c r="E3" s="124"/>
      <c r="F3" s="124"/>
      <c r="G3" s="124"/>
      <c r="H3" s="124"/>
      <c r="I3" s="124"/>
      <c r="J3" s="124"/>
    </row>
    <row r="4" spans="1:13" s="128" customFormat="1" ht="32.25" customHeight="1">
      <c r="A4" s="124"/>
      <c r="B4" s="124"/>
      <c r="C4" s="124"/>
      <c r="D4" s="124"/>
      <c r="E4" s="124"/>
      <c r="F4" s="124"/>
      <c r="G4" s="124"/>
      <c r="H4" s="124"/>
      <c r="I4" s="124"/>
      <c r="J4" s="124"/>
      <c r="K4" s="127"/>
      <c r="L4" s="127"/>
      <c r="M4" s="127"/>
    </row>
    <row r="5" spans="1:13" s="128" customFormat="1" ht="17.25" customHeight="1">
      <c r="A5" s="124"/>
      <c r="B5" s="124"/>
      <c r="C5" s="124"/>
      <c r="D5" s="124"/>
      <c r="E5" s="124"/>
      <c r="F5" s="124"/>
      <c r="G5" s="124"/>
      <c r="H5" s="124"/>
      <c r="I5" s="124"/>
      <c r="J5" s="124"/>
      <c r="K5" s="127"/>
      <c r="L5" s="127"/>
      <c r="M5" s="127"/>
    </row>
    <row r="6" spans="1:13" s="128" customFormat="1" ht="17.25" customHeight="1">
      <c r="A6" s="124"/>
      <c r="B6" s="124"/>
      <c r="C6" s="124"/>
      <c r="D6" s="124"/>
      <c r="E6" s="124"/>
      <c r="F6" s="124"/>
      <c r="G6" s="124"/>
      <c r="H6" s="124"/>
      <c r="I6" s="124"/>
      <c r="J6" s="124"/>
      <c r="K6" s="129"/>
      <c r="L6" s="21"/>
      <c r="M6" s="129" t="s">
        <v>26</v>
      </c>
    </row>
    <row r="7" spans="1:13" s="128" customFormat="1" ht="17.25" customHeight="1">
      <c r="A7" s="124"/>
      <c r="B7" s="124"/>
      <c r="C7" s="124"/>
      <c r="D7" s="124"/>
      <c r="E7" s="124"/>
      <c r="F7" s="124"/>
      <c r="G7" s="124"/>
      <c r="H7" s="124"/>
      <c r="I7" s="124"/>
      <c r="J7" s="124"/>
      <c r="K7" s="20" t="s">
        <v>20</v>
      </c>
      <c r="L7" s="21">
        <f aca="true" t="shared" si="0" ref="L7:L15">IF($G$8=K7,$H$8,0)+IF($G$9=K7,$H$9,0)+IF($G$10=K7,$H$10,0)+IF($G$11=K7,$H$11,0)</f>
        <v>0</v>
      </c>
      <c r="M7" s="20"/>
    </row>
    <row r="8" spans="1:13" s="128" customFormat="1" ht="17.25" customHeight="1">
      <c r="A8" s="124"/>
      <c r="B8" s="124"/>
      <c r="C8" s="124"/>
      <c r="D8" s="124"/>
      <c r="E8" s="124"/>
      <c r="F8" s="124"/>
      <c r="G8" s="124"/>
      <c r="H8" s="124"/>
      <c r="I8" s="124"/>
      <c r="J8" s="124"/>
      <c r="K8" s="20" t="s">
        <v>21</v>
      </c>
      <c r="L8" s="21">
        <f t="shared" si="0"/>
        <v>0</v>
      </c>
      <c r="M8" s="20"/>
    </row>
    <row r="9" spans="1:13" ht="17.25" customHeight="1">
      <c r="A9" s="124"/>
      <c r="B9" s="124"/>
      <c r="C9" s="124"/>
      <c r="D9" s="124"/>
      <c r="E9" s="124"/>
      <c r="F9" s="124"/>
      <c r="G9" s="124"/>
      <c r="H9" s="124"/>
      <c r="I9" s="124"/>
      <c r="J9" s="124"/>
      <c r="K9" s="20" t="s">
        <v>22</v>
      </c>
      <c r="L9" s="21">
        <f t="shared" si="0"/>
        <v>0</v>
      </c>
      <c r="M9" s="20"/>
    </row>
    <row r="10" spans="1:13" ht="17.25" customHeight="1">
      <c r="A10" s="124"/>
      <c r="B10" s="124"/>
      <c r="C10" s="124"/>
      <c r="D10" s="124"/>
      <c r="E10" s="124"/>
      <c r="F10" s="124"/>
      <c r="G10" s="124"/>
      <c r="H10" s="124"/>
      <c r="I10" s="124"/>
      <c r="J10" s="124"/>
      <c r="K10" s="20" t="s">
        <v>23</v>
      </c>
      <c r="L10" s="21">
        <f t="shared" si="0"/>
        <v>0</v>
      </c>
      <c r="M10" s="20"/>
    </row>
    <row r="11" spans="1:13" s="125" customFormat="1" ht="17.25" customHeight="1">
      <c r="A11" s="124"/>
      <c r="B11" s="124"/>
      <c r="C11" s="124"/>
      <c r="D11" s="124"/>
      <c r="E11" s="124"/>
      <c r="F11" s="124"/>
      <c r="G11" s="124"/>
      <c r="H11" s="124"/>
      <c r="I11" s="124"/>
      <c r="J11" s="124"/>
      <c r="K11" s="20" t="s">
        <v>27</v>
      </c>
      <c r="L11" s="21">
        <f t="shared" si="0"/>
        <v>0</v>
      </c>
      <c r="M11" s="20"/>
    </row>
    <row r="12" spans="1:13" ht="17.25" customHeight="1">
      <c r="A12" s="124"/>
      <c r="B12" s="124"/>
      <c r="C12" s="124"/>
      <c r="D12" s="124"/>
      <c r="E12" s="124"/>
      <c r="F12" s="124"/>
      <c r="G12" s="124"/>
      <c r="H12" s="124"/>
      <c r="I12" s="124"/>
      <c r="J12" s="124"/>
      <c r="K12" s="20" t="s">
        <v>24</v>
      </c>
      <c r="L12" s="21">
        <f t="shared" si="0"/>
        <v>0</v>
      </c>
      <c r="M12" s="20">
        <f>L12*H14</f>
        <v>0</v>
      </c>
    </row>
    <row r="13" spans="1:13" ht="17.25" customHeight="1">
      <c r="A13" s="124"/>
      <c r="B13" s="124"/>
      <c r="C13" s="124"/>
      <c r="D13" s="124"/>
      <c r="E13" s="124"/>
      <c r="F13" s="124"/>
      <c r="G13" s="124"/>
      <c r="H13" s="124"/>
      <c r="I13" s="124"/>
      <c r="J13" s="124"/>
      <c r="K13" s="20" t="s">
        <v>28</v>
      </c>
      <c r="L13" s="21">
        <f t="shared" si="0"/>
        <v>0</v>
      </c>
      <c r="M13" s="20">
        <f>L13*H15</f>
        <v>0</v>
      </c>
    </row>
    <row r="14" spans="1:13" ht="17.25" customHeight="1">
      <c r="A14" s="124"/>
      <c r="B14" s="124"/>
      <c r="C14" s="124"/>
      <c r="D14" s="124"/>
      <c r="E14" s="124"/>
      <c r="F14" s="124"/>
      <c r="G14" s="124"/>
      <c r="H14" s="124"/>
      <c r="I14" s="124"/>
      <c r="J14" s="124"/>
      <c r="K14" s="20" t="s">
        <v>25</v>
      </c>
      <c r="L14" s="21">
        <f t="shared" si="0"/>
        <v>0</v>
      </c>
      <c r="M14" s="20">
        <f>L14*H16</f>
        <v>0</v>
      </c>
    </row>
    <row r="15" spans="1:13" ht="17.25" customHeight="1">
      <c r="A15" s="124"/>
      <c r="B15" s="124"/>
      <c r="C15" s="124"/>
      <c r="D15" s="124"/>
      <c r="E15" s="124"/>
      <c r="F15" s="124"/>
      <c r="G15" s="124"/>
      <c r="H15" s="124"/>
      <c r="I15" s="124"/>
      <c r="J15" s="124"/>
      <c r="K15" s="20" t="s">
        <v>29</v>
      </c>
      <c r="L15" s="21">
        <f t="shared" si="0"/>
        <v>0</v>
      </c>
      <c r="M15" s="20"/>
    </row>
    <row r="16" spans="1:13" ht="17.25" customHeight="1">
      <c r="A16" s="124"/>
      <c r="B16" s="124"/>
      <c r="C16" s="124"/>
      <c r="D16" s="124"/>
      <c r="E16" s="124"/>
      <c r="F16" s="124"/>
      <c r="G16" s="124"/>
      <c r="H16" s="124"/>
      <c r="I16" s="124"/>
      <c r="J16" s="124"/>
      <c r="K16" s="20" t="s">
        <v>30</v>
      </c>
      <c r="L16" s="22">
        <f>SUM(L7:L15)</f>
        <v>0</v>
      </c>
      <c r="M16" s="20"/>
    </row>
    <row r="17" spans="1:13" ht="17.25" customHeight="1">
      <c r="A17" s="124"/>
      <c r="B17" s="124"/>
      <c r="C17" s="124"/>
      <c r="D17" s="124"/>
      <c r="E17" s="124"/>
      <c r="F17" s="124"/>
      <c r="G17" s="124"/>
      <c r="H17" s="124"/>
      <c r="I17" s="124"/>
      <c r="J17" s="124"/>
      <c r="K17" s="20"/>
      <c r="L17" s="22"/>
      <c r="M17" s="20"/>
    </row>
    <row r="18" spans="1:13" ht="17.25" customHeight="1">
      <c r="A18" s="124"/>
      <c r="B18" s="124"/>
      <c r="C18" s="124"/>
      <c r="D18" s="124"/>
      <c r="E18" s="124"/>
      <c r="F18" s="124"/>
      <c r="G18" s="124"/>
      <c r="H18" s="124"/>
      <c r="I18" s="124"/>
      <c r="J18" s="124"/>
      <c r="K18" s="20"/>
      <c r="L18" s="22"/>
      <c r="M18" s="20"/>
    </row>
    <row r="19" spans="1:13" ht="17.25" customHeight="1">
      <c r="A19" s="124"/>
      <c r="B19" s="124"/>
      <c r="C19" s="124"/>
      <c r="D19" s="124"/>
      <c r="E19" s="124"/>
      <c r="F19" s="124"/>
      <c r="G19" s="124"/>
      <c r="H19" s="124"/>
      <c r="I19" s="124"/>
      <c r="J19" s="124"/>
      <c r="K19" s="20"/>
      <c r="L19" s="22"/>
      <c r="M19" s="20"/>
    </row>
    <row r="20" spans="1:13" ht="17.25" customHeight="1">
      <c r="A20" s="124"/>
      <c r="B20" s="124"/>
      <c r="C20" s="124"/>
      <c r="D20" s="124"/>
      <c r="E20" s="124"/>
      <c r="F20" s="124"/>
      <c r="G20" s="124"/>
      <c r="H20" s="124"/>
      <c r="I20" s="124"/>
      <c r="J20" s="124"/>
      <c r="K20" s="20"/>
      <c r="L20" s="22"/>
      <c r="M20" s="20"/>
    </row>
    <row r="21" spans="1:13" s="131" customFormat="1" ht="17.25" customHeight="1">
      <c r="A21" s="124"/>
      <c r="B21" s="124"/>
      <c r="C21" s="124"/>
      <c r="D21" s="124"/>
      <c r="E21" s="124"/>
      <c r="F21" s="124"/>
      <c r="G21" s="124"/>
      <c r="H21" s="124"/>
      <c r="I21" s="124"/>
      <c r="J21" s="124"/>
      <c r="K21" s="130"/>
      <c r="L21" s="130"/>
      <c r="M21" s="130"/>
    </row>
    <row r="22" spans="1:13" s="131" customFormat="1" ht="17.25" customHeight="1">
      <c r="A22" s="124"/>
      <c r="B22" s="124"/>
      <c r="C22" s="124"/>
      <c r="D22" s="124"/>
      <c r="E22" s="124"/>
      <c r="F22" s="124"/>
      <c r="G22" s="124"/>
      <c r="H22" s="124"/>
      <c r="I22" s="124"/>
      <c r="J22" s="124"/>
      <c r="K22" s="132"/>
      <c r="L22" s="130"/>
      <c r="M22" s="132"/>
    </row>
    <row r="23" spans="1:13" s="128" customFormat="1" ht="17.25" customHeight="1">
      <c r="A23" s="124"/>
      <c r="B23" s="124"/>
      <c r="C23" s="124"/>
      <c r="D23" s="124"/>
      <c r="E23" s="124"/>
      <c r="F23" s="124"/>
      <c r="G23" s="124"/>
      <c r="H23" s="124"/>
      <c r="I23" s="124"/>
      <c r="J23" s="124"/>
      <c r="K23" s="132"/>
      <c r="L23" s="129"/>
      <c r="M23" s="132"/>
    </row>
    <row r="24" spans="1:13" s="128" customFormat="1" ht="17.25" customHeight="1">
      <c r="A24" s="124"/>
      <c r="B24" s="124"/>
      <c r="C24" s="124"/>
      <c r="D24" s="124"/>
      <c r="E24" s="124"/>
      <c r="F24" s="124"/>
      <c r="G24" s="124"/>
      <c r="H24" s="124"/>
      <c r="I24" s="124"/>
      <c r="J24" s="124"/>
      <c r="K24" s="132"/>
      <c r="L24" s="129"/>
      <c r="M24" s="132"/>
    </row>
    <row r="25" spans="1:13" s="128" customFormat="1" ht="17.25" customHeight="1">
      <c r="A25" s="124"/>
      <c r="B25" s="124"/>
      <c r="C25" s="124"/>
      <c r="D25" s="124"/>
      <c r="E25" s="124"/>
      <c r="F25" s="124"/>
      <c r="G25" s="124"/>
      <c r="H25" s="124"/>
      <c r="I25" s="124"/>
      <c r="J25" s="124"/>
      <c r="K25" s="133"/>
      <c r="L25" s="129"/>
      <c r="M25" s="133"/>
    </row>
    <row r="26" spans="1:13" s="128" customFormat="1" ht="17.25" customHeight="1">
      <c r="A26" s="124"/>
      <c r="B26" s="124"/>
      <c r="C26" s="889" t="s">
        <v>441</v>
      </c>
      <c r="D26" s="124"/>
      <c r="E26" s="124"/>
      <c r="F26" s="124"/>
      <c r="G26" s="124"/>
      <c r="H26" s="124"/>
      <c r="I26" s="124"/>
      <c r="J26" s="124"/>
      <c r="K26" s="133"/>
      <c r="L26" s="129"/>
      <c r="M26" s="133"/>
    </row>
    <row r="27" spans="1:13" s="128" customFormat="1" ht="17.25" customHeight="1">
      <c r="A27" s="124"/>
      <c r="B27" s="124"/>
      <c r="C27" s="134" t="s">
        <v>31</v>
      </c>
      <c r="D27" s="890" t="s">
        <v>446</v>
      </c>
      <c r="E27" s="890"/>
      <c r="F27" s="890"/>
      <c r="G27" s="134" t="s">
        <v>32</v>
      </c>
      <c r="H27" s="124"/>
      <c r="I27" s="124"/>
      <c r="J27" s="124"/>
      <c r="K27" s="135"/>
      <c r="L27" s="136"/>
      <c r="M27" s="135"/>
    </row>
    <row r="28" spans="1:13" s="128" customFormat="1" ht="17.25" customHeight="1">
      <c r="A28" s="124"/>
      <c r="B28" s="124"/>
      <c r="C28" s="134"/>
      <c r="D28" s="137"/>
      <c r="E28" s="134"/>
      <c r="F28" s="134"/>
      <c r="G28" s="134"/>
      <c r="H28" s="124"/>
      <c r="I28" s="124"/>
      <c r="J28" s="124"/>
      <c r="K28" s="135"/>
      <c r="L28" s="136"/>
      <c r="M28" s="135"/>
    </row>
    <row r="29" spans="1:13" s="128" customFormat="1" ht="17.25" customHeight="1">
      <c r="A29" s="124"/>
      <c r="B29" s="124"/>
      <c r="C29" s="134"/>
      <c r="D29" s="137"/>
      <c r="E29" s="134"/>
      <c r="F29" s="134"/>
      <c r="G29" s="134"/>
      <c r="H29" s="124"/>
      <c r="I29" s="124"/>
      <c r="J29" s="124"/>
      <c r="K29" s="135"/>
      <c r="L29" s="136"/>
      <c r="M29" s="135"/>
    </row>
    <row r="30" spans="1:13" s="128" customFormat="1" ht="17.25" customHeight="1">
      <c r="A30" s="124"/>
      <c r="B30" s="124"/>
      <c r="C30" s="134"/>
      <c r="D30" s="137"/>
      <c r="E30" s="134"/>
      <c r="F30" s="134"/>
      <c r="G30" s="134"/>
      <c r="H30" s="124"/>
      <c r="I30" s="124"/>
      <c r="J30" s="124"/>
      <c r="K30" s="135"/>
      <c r="L30" s="136"/>
      <c r="M30" s="135"/>
    </row>
    <row r="31" spans="1:13" s="128" customFormat="1" ht="17.25" customHeight="1">
      <c r="A31" s="124"/>
      <c r="B31" s="124"/>
      <c r="C31" s="134"/>
      <c r="D31" s="137"/>
      <c r="E31" s="134"/>
      <c r="F31" s="134"/>
      <c r="G31" s="134"/>
      <c r="H31" s="124"/>
      <c r="I31" s="124"/>
      <c r="J31" s="124"/>
      <c r="K31" s="135"/>
      <c r="L31" s="136"/>
      <c r="M31" s="135"/>
    </row>
    <row r="32" spans="1:13" s="128" customFormat="1" ht="17.25" customHeight="1">
      <c r="A32" s="124"/>
      <c r="B32" s="124"/>
      <c r="C32" s="124"/>
      <c r="D32" s="124"/>
      <c r="E32" s="124"/>
      <c r="F32" s="124"/>
      <c r="G32" s="124"/>
      <c r="H32" s="124"/>
      <c r="I32" s="124"/>
      <c r="J32" s="124"/>
      <c r="K32" s="135"/>
      <c r="L32" s="136"/>
      <c r="M32" s="135"/>
    </row>
    <row r="33" spans="1:13" s="125" customFormat="1" ht="17.25" customHeight="1">
      <c r="A33" s="124"/>
      <c r="B33" s="124"/>
      <c r="C33" s="124"/>
      <c r="D33" s="124"/>
      <c r="E33" s="124"/>
      <c r="F33" s="124"/>
      <c r="G33" s="124"/>
      <c r="H33" s="124"/>
      <c r="I33" s="124"/>
      <c r="J33" s="124"/>
      <c r="K33" s="135"/>
      <c r="L33" s="136"/>
      <c r="M33" s="135"/>
    </row>
    <row r="34" spans="1:13" s="125" customFormat="1" ht="17.25" customHeight="1">
      <c r="A34" s="124"/>
      <c r="B34" s="124"/>
      <c r="C34" s="124"/>
      <c r="D34" s="124"/>
      <c r="E34" s="124"/>
      <c r="F34" s="124"/>
      <c r="G34" s="124"/>
      <c r="H34" s="138" t="str">
        <f>'評価結果表示'!$O$3</f>
        <v>Osakafu-新築・既存 2015V1.03</v>
      </c>
      <c r="I34" s="124"/>
      <c r="J34" s="124"/>
      <c r="K34" s="135"/>
      <c r="L34" s="136"/>
      <c r="M34" s="135"/>
    </row>
    <row r="35" spans="1:10" s="125" customFormat="1" ht="17.25" customHeight="1">
      <c r="A35" s="124"/>
      <c r="B35" s="124"/>
      <c r="C35" s="124"/>
      <c r="D35" s="124"/>
      <c r="E35" s="124"/>
      <c r="F35" s="124"/>
      <c r="G35" s="124"/>
      <c r="H35" s="124"/>
      <c r="I35" s="124"/>
      <c r="J35" s="124"/>
    </row>
    <row r="36" spans="1:10" s="125" customFormat="1" ht="17.25" customHeight="1">
      <c r="A36" s="124"/>
      <c r="B36" s="124"/>
      <c r="C36" s="124"/>
      <c r="D36" s="124"/>
      <c r="E36" s="124"/>
      <c r="F36" s="124"/>
      <c r="G36" s="124"/>
      <c r="H36" s="124"/>
      <c r="I36" s="124"/>
      <c r="J36" s="12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2015V1.03</v>
      </c>
      <c r="G3" s="39"/>
      <c r="H3" s="16"/>
      <c r="I3" s="16"/>
      <c r="J3" s="16"/>
      <c r="K3" s="16"/>
    </row>
    <row r="4" ht="3" customHeight="1"/>
    <row r="5" spans="1:6" ht="14.25" thickBot="1">
      <c r="A5" s="25"/>
      <c r="B5" s="25" t="s">
        <v>49</v>
      </c>
      <c r="C5" s="25"/>
      <c r="D5" s="25"/>
      <c r="E5" s="25"/>
      <c r="F5" s="25"/>
    </row>
    <row r="6" spans="2:6" ht="13.5" customHeight="1">
      <c r="B6" s="1455" t="s">
        <v>112</v>
      </c>
      <c r="C6" s="1456"/>
      <c r="D6" s="1457"/>
      <c r="E6" s="1453" t="s">
        <v>18</v>
      </c>
      <c r="F6" s="1454"/>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58" t="s">
        <v>58</v>
      </c>
      <c r="C13" s="46" t="s">
        <v>114</v>
      </c>
      <c r="D13" s="27" t="s">
        <v>59</v>
      </c>
      <c r="E13" s="28">
        <v>38.2</v>
      </c>
      <c r="F13" s="29" t="s">
        <v>60</v>
      </c>
    </row>
    <row r="14" spans="1:6" ht="13.5">
      <c r="A14" s="26"/>
      <c r="B14" s="1459"/>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58" t="s">
        <v>117</v>
      </c>
      <c r="C20" s="46" t="s">
        <v>115</v>
      </c>
      <c r="D20" s="27" t="s">
        <v>61</v>
      </c>
      <c r="E20" s="28">
        <v>39.1</v>
      </c>
      <c r="F20" s="29" t="s">
        <v>62</v>
      </c>
    </row>
    <row r="21" spans="1:6" ht="13.5">
      <c r="A21" s="26"/>
      <c r="B21" s="1459"/>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5"/>
  <sheetViews>
    <sheetView showGridLines="0" zoomScale="75" zoomScaleNormal="75" zoomScaleSheetLayoutView="100" zoomScalePageLayoutView="0" workbookViewId="0" topLeftCell="A1">
      <selection activeCell="F3" sqref="F3"/>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375" style="123" customWidth="1"/>
    <col min="7" max="7" width="17.25390625" style="109" customWidth="1"/>
    <col min="8" max="9" width="4.625" style="109" customWidth="1"/>
    <col min="10" max="10" width="4.625" style="110" customWidth="1"/>
    <col min="11" max="11" width="7.125" style="110" customWidth="1"/>
    <col min="12" max="12" width="12.625" style="109" customWidth="1"/>
    <col min="13" max="13" width="7.125" style="109" customWidth="1"/>
    <col min="14" max="14" width="12.625" style="109" customWidth="1"/>
    <col min="15" max="15" width="7.125" style="111" customWidth="1"/>
    <col min="16" max="16" width="4.375" style="111" customWidth="1"/>
    <col min="17" max="19" width="4.375" style="112" customWidth="1"/>
    <col min="20" max="20" width="5.75390625" style="111" customWidth="1"/>
    <col min="21" max="21" width="1.00390625" style="111" customWidth="1"/>
    <col min="22" max="22" width="0.74609375" style="106" customWidth="1"/>
    <col min="23" max="23" width="7.625" style="106" customWidth="1"/>
    <col min="24" max="255" width="9.00390625" style="11" hidden="1" customWidth="1"/>
    <col min="256" max="16384" width="2.375" style="11" hidden="1" customWidth="1"/>
  </cols>
  <sheetData>
    <row r="1" spans="1:23" s="12" customFormat="1" ht="17.25" customHeight="1" thickBot="1">
      <c r="A1" s="140"/>
      <c r="B1" s="141"/>
      <c r="C1" s="141"/>
      <c r="D1" s="142"/>
      <c r="E1" s="143"/>
      <c r="F1" s="144"/>
      <c r="G1" s="145"/>
      <c r="H1" s="145"/>
      <c r="I1" s="145"/>
      <c r="J1" s="146"/>
      <c r="K1" s="146"/>
      <c r="L1" s="145"/>
      <c r="M1" s="145"/>
      <c r="N1" s="147"/>
      <c r="O1" s="144"/>
      <c r="P1" s="144"/>
      <c r="Q1" s="144"/>
      <c r="R1" s="144"/>
      <c r="S1" s="144"/>
      <c r="T1" s="144"/>
      <c r="U1" s="140"/>
      <c r="V1" s="140"/>
      <c r="W1" s="148"/>
    </row>
    <row r="2" spans="1:23" ht="37.5" customHeight="1" thickBot="1">
      <c r="A2" s="149"/>
      <c r="B2" s="601" t="str">
        <f>IF('重点評価入力'!Z3="",'重点評価入力'!B2,'重点評価入力'!B2&amp;"　"&amp;'重点評価入力'!Z3)</f>
        <v>大阪府建築物環境配慮評価システム　2015年版</v>
      </c>
      <c r="C2" s="586"/>
      <c r="D2" s="587"/>
      <c r="E2" s="588"/>
      <c r="F2" s="589"/>
      <c r="G2" s="590"/>
      <c r="H2" s="590"/>
      <c r="I2" s="591"/>
      <c r="J2" s="590"/>
      <c r="K2" s="590"/>
      <c r="L2" s="592"/>
      <c r="M2" s="592"/>
      <c r="N2" s="923" t="s">
        <v>418</v>
      </c>
      <c r="O2" s="924"/>
      <c r="P2" s="925" t="str">
        <f>IF('重点評価入力'!O2="","",'重点評価入力'!O2)</f>
        <v>H27-0000</v>
      </c>
      <c r="Q2" s="925"/>
      <c r="R2" s="925"/>
      <c r="S2" s="925"/>
      <c r="T2" s="925"/>
      <c r="U2" s="926"/>
      <c r="V2" s="149"/>
      <c r="W2" s="955"/>
    </row>
    <row r="3" spans="1:23" ht="39" customHeight="1" thickBot="1">
      <c r="A3" s="149"/>
      <c r="B3" s="757" t="s">
        <v>35</v>
      </c>
      <c r="C3" s="593"/>
      <c r="D3" s="594"/>
      <c r="E3" s="595"/>
      <c r="F3" s="596"/>
      <c r="G3" s="597"/>
      <c r="H3" s="596"/>
      <c r="I3" s="598"/>
      <c r="J3" s="599"/>
      <c r="K3" s="599"/>
      <c r="L3" s="598"/>
      <c r="M3" s="598"/>
      <c r="N3" s="598"/>
      <c r="O3" s="960" t="s">
        <v>448</v>
      </c>
      <c r="P3" s="960"/>
      <c r="Q3" s="960"/>
      <c r="R3" s="960"/>
      <c r="S3" s="960"/>
      <c r="T3" s="960"/>
      <c r="U3" s="600"/>
      <c r="V3" s="149"/>
      <c r="W3" s="955"/>
    </row>
    <row r="4" spans="1:23" ht="3.75" customHeight="1" thickBot="1">
      <c r="A4" s="149"/>
      <c r="B4" s="156"/>
      <c r="C4" s="156"/>
      <c r="D4" s="157"/>
      <c r="E4" s="158"/>
      <c r="F4" s="159"/>
      <c r="G4" s="8"/>
      <c r="H4" s="8"/>
      <c r="I4" s="8"/>
      <c r="J4" s="160"/>
      <c r="K4" s="161"/>
      <c r="L4" s="161"/>
      <c r="M4" s="161"/>
      <c r="N4" s="162"/>
      <c r="O4" s="159"/>
      <c r="P4" s="159"/>
      <c r="Q4" s="9"/>
      <c r="R4" s="9"/>
      <c r="S4" s="9"/>
      <c r="T4" s="159"/>
      <c r="U4" s="159"/>
      <c r="V4" s="149"/>
      <c r="W4" s="163"/>
    </row>
    <row r="5" spans="1:23" ht="39.75" customHeight="1" thickBot="1">
      <c r="A5" s="149"/>
      <c r="B5" s="565" t="s">
        <v>322</v>
      </c>
      <c r="C5" s="575"/>
      <c r="D5" s="168"/>
      <c r="E5" s="169"/>
      <c r="F5" s="570" t="s">
        <v>324</v>
      </c>
      <c r="G5" s="170"/>
      <c r="H5" s="734"/>
      <c r="I5" s="961" t="str">
        <f>IF('重点評価入力'!$L$5=""," ",'重点評価入力'!L5)</f>
        <v>大阪府営○○住宅新築工事</v>
      </c>
      <c r="J5" s="961"/>
      <c r="K5" s="961"/>
      <c r="L5" s="961"/>
      <c r="M5" s="961"/>
      <c r="N5" s="961"/>
      <c r="O5" s="961"/>
      <c r="P5" s="961"/>
      <c r="Q5" s="961"/>
      <c r="R5" s="961"/>
      <c r="S5" s="961"/>
      <c r="T5" s="961"/>
      <c r="U5" s="585"/>
      <c r="V5" s="149"/>
      <c r="W5" s="163"/>
    </row>
    <row r="6" spans="1:23" ht="3.75" customHeight="1" thickBot="1">
      <c r="A6" s="149"/>
      <c r="B6" s="556"/>
      <c r="C6" s="556"/>
      <c r="D6" s="557"/>
      <c r="E6" s="558"/>
      <c r="F6" s="566"/>
      <c r="G6" s="559"/>
      <c r="H6" s="559"/>
      <c r="I6" s="559"/>
      <c r="J6" s="184"/>
      <c r="K6" s="184"/>
      <c r="L6" s="554"/>
      <c r="M6" s="554"/>
      <c r="N6" s="554"/>
      <c r="O6" s="554"/>
      <c r="P6" s="554"/>
      <c r="Q6" s="554"/>
      <c r="R6" s="554"/>
      <c r="S6" s="554"/>
      <c r="T6" s="554"/>
      <c r="U6" s="554"/>
      <c r="V6" s="149"/>
      <c r="W6" s="163"/>
    </row>
    <row r="7" spans="1:23" ht="39.75" customHeight="1" thickBot="1">
      <c r="A7" s="149"/>
      <c r="B7" s="555"/>
      <c r="C7" s="576"/>
      <c r="D7" s="175"/>
      <c r="E7" s="176"/>
      <c r="F7" s="571" t="s">
        <v>325</v>
      </c>
      <c r="G7" s="177"/>
      <c r="H7" s="734"/>
      <c r="I7" s="961" t="str">
        <f>IF('重点評価入力'!$L$6=""," ",'重点評価入力'!L6)</f>
        <v>○○市○○町○○１－１－１</v>
      </c>
      <c r="J7" s="961"/>
      <c r="K7" s="961"/>
      <c r="L7" s="961"/>
      <c r="M7" s="961"/>
      <c r="N7" s="961"/>
      <c r="O7" s="961"/>
      <c r="P7" s="961"/>
      <c r="Q7" s="961"/>
      <c r="R7" s="961"/>
      <c r="S7" s="961"/>
      <c r="T7" s="961"/>
      <c r="U7" s="585"/>
      <c r="V7" s="149"/>
      <c r="W7" s="163"/>
    </row>
    <row r="8" spans="1:23" ht="3.75" customHeight="1" thickBot="1">
      <c r="A8" s="149"/>
      <c r="B8" s="171"/>
      <c r="C8" s="171"/>
      <c r="D8" s="172"/>
      <c r="E8" s="171"/>
      <c r="F8" s="567"/>
      <c r="G8" s="173"/>
      <c r="H8" s="173"/>
      <c r="I8" s="173"/>
      <c r="J8" s="956"/>
      <c r="K8" s="956"/>
      <c r="L8" s="958"/>
      <c r="M8" s="958"/>
      <c r="N8" s="958"/>
      <c r="O8" s="958"/>
      <c r="P8" s="958"/>
      <c r="Q8" s="958"/>
      <c r="R8" s="958"/>
      <c r="S8" s="958"/>
      <c r="T8" s="958"/>
      <c r="U8" s="958"/>
      <c r="V8" s="149"/>
      <c r="W8" s="163"/>
    </row>
    <row r="9" spans="1:23" ht="39.75" customHeight="1" thickBot="1">
      <c r="A9" s="149"/>
      <c r="B9" s="174"/>
      <c r="C9" s="176"/>
      <c r="D9" s="175"/>
      <c r="E9" s="176"/>
      <c r="F9" s="571" t="s">
        <v>330</v>
      </c>
      <c r="G9" s="177"/>
      <c r="H9" s="733"/>
      <c r="I9" s="927" t="str">
        <f>IF('重点評価入力'!L12="","",('重点評価入力'!L12&amp;" "&amp;'重点評価入力'!L13&amp;" "&amp;'重点評価入力'!L14&amp;" "&amp;'重点評価入力'!L15))</f>
        <v>集合住宅   </v>
      </c>
      <c r="J9" s="927"/>
      <c r="K9" s="927"/>
      <c r="L9" s="927"/>
      <c r="M9" s="927"/>
      <c r="N9" s="927"/>
      <c r="O9" s="927"/>
      <c r="P9" s="927"/>
      <c r="Q9" s="927"/>
      <c r="R9" s="927"/>
      <c r="S9" s="927"/>
      <c r="T9" s="927"/>
      <c r="U9" s="585"/>
      <c r="V9" s="149"/>
      <c r="W9" s="163"/>
    </row>
    <row r="10" spans="1:23" ht="3.75" customHeight="1" thickBot="1">
      <c r="A10" s="149"/>
      <c r="B10" s="178"/>
      <c r="C10" s="178"/>
      <c r="D10" s="178"/>
      <c r="E10" s="179"/>
      <c r="F10" s="568"/>
      <c r="G10" s="180"/>
      <c r="H10" s="564"/>
      <c r="I10" s="564"/>
      <c r="J10" s="957"/>
      <c r="K10" s="957"/>
      <c r="L10" s="959"/>
      <c r="M10" s="959"/>
      <c r="N10" s="959"/>
      <c r="O10" s="959"/>
      <c r="P10" s="959"/>
      <c r="Q10" s="959"/>
      <c r="R10" s="959"/>
      <c r="S10" s="959"/>
      <c r="T10" s="959"/>
      <c r="U10" s="959"/>
      <c r="V10" s="149"/>
      <c r="W10" s="163"/>
    </row>
    <row r="11" spans="1:23" ht="60" customHeight="1" thickBot="1">
      <c r="A11" s="149"/>
      <c r="B11" s="740" t="s">
        <v>323</v>
      </c>
      <c r="C11" s="675"/>
      <c r="D11" s="741"/>
      <c r="E11" s="946" t="s">
        <v>388</v>
      </c>
      <c r="F11" s="947"/>
      <c r="G11" s="947"/>
      <c r="H11" s="766"/>
      <c r="I11" s="767"/>
      <c r="J11" s="767"/>
      <c r="K11" s="767"/>
      <c r="L11" s="767"/>
      <c r="M11" s="767"/>
      <c r="N11" s="768"/>
      <c r="O11" s="891" t="str">
        <f>IF(OR('重点評価入力'!L10="",'重点評価入力'!L10=0),"BEE値が未入力です",'重点評価入力'!L8)</f>
        <v>BEE値が未入力です</v>
      </c>
      <c r="P11" s="892"/>
      <c r="Q11" s="892"/>
      <c r="R11" s="892"/>
      <c r="S11" s="892"/>
      <c r="T11" s="892"/>
      <c r="U11" s="711"/>
      <c r="V11" s="149"/>
      <c r="W11" s="163"/>
    </row>
    <row r="12" spans="1:23" ht="3.75" customHeight="1" thickBot="1">
      <c r="A12" s="149"/>
      <c r="B12" s="178"/>
      <c r="C12" s="178"/>
      <c r="D12" s="178"/>
      <c r="E12" s="179"/>
      <c r="F12" s="568"/>
      <c r="G12" s="180"/>
      <c r="H12" s="564"/>
      <c r="I12" s="564"/>
      <c r="J12" s="738"/>
      <c r="K12" s="738"/>
      <c r="L12" s="739"/>
      <c r="M12" s="739"/>
      <c r="N12" s="739"/>
      <c r="O12" s="739"/>
      <c r="P12" s="739"/>
      <c r="Q12" s="739"/>
      <c r="R12" s="739"/>
      <c r="S12" s="739"/>
      <c r="T12" s="739"/>
      <c r="U12" s="739"/>
      <c r="V12" s="149"/>
      <c r="W12" s="163"/>
    </row>
    <row r="13" spans="1:23" ht="60" customHeight="1" thickBot="1">
      <c r="A13" s="149"/>
      <c r="B13" s="565"/>
      <c r="C13" s="575"/>
      <c r="D13" s="182"/>
      <c r="E13" s="899" t="s">
        <v>439</v>
      </c>
      <c r="F13" s="899"/>
      <c r="G13" s="900"/>
      <c r="H13" s="816"/>
      <c r="I13" s="758"/>
      <c r="J13" s="758"/>
      <c r="K13" s="758"/>
      <c r="L13" s="758"/>
      <c r="M13" s="758"/>
      <c r="N13" s="759"/>
      <c r="O13" s="891" t="str">
        <f>IF(R29="-","入力値が不適正です",R29)</f>
        <v>入力値が不適正です</v>
      </c>
      <c r="P13" s="892"/>
      <c r="Q13" s="892"/>
      <c r="R13" s="892"/>
      <c r="S13" s="892"/>
      <c r="T13" s="892"/>
      <c r="U13" s="573"/>
      <c r="V13" s="149"/>
      <c r="W13" s="163"/>
    </row>
    <row r="14" spans="1:23" ht="3.75" customHeight="1" thickBot="1">
      <c r="A14" s="163"/>
      <c r="B14" s="560"/>
      <c r="C14" s="560"/>
      <c r="D14" s="545"/>
      <c r="E14" s="546"/>
      <c r="F14" s="569"/>
      <c r="G14" s="545"/>
      <c r="H14" s="545"/>
      <c r="I14" s="545"/>
      <c r="J14" s="547"/>
      <c r="K14" s="547"/>
      <c r="L14" s="561"/>
      <c r="M14" s="561"/>
      <c r="N14" s="561"/>
      <c r="O14" s="691"/>
      <c r="P14" s="691"/>
      <c r="Q14" s="652"/>
      <c r="R14" s="652"/>
      <c r="S14" s="652"/>
      <c r="T14" s="652"/>
      <c r="U14" s="572"/>
      <c r="V14" s="163"/>
      <c r="W14" s="163"/>
    </row>
    <row r="15" spans="1:23" ht="60" customHeight="1" thickBot="1">
      <c r="A15" s="149"/>
      <c r="B15" s="928"/>
      <c r="C15" s="929"/>
      <c r="D15" s="929"/>
      <c r="E15" s="930" t="s">
        <v>375</v>
      </c>
      <c r="F15" s="930"/>
      <c r="G15" s="931"/>
      <c r="H15" s="816"/>
      <c r="I15" s="758"/>
      <c r="J15" s="758"/>
      <c r="K15" s="758"/>
      <c r="L15" s="758"/>
      <c r="M15" s="758"/>
      <c r="N15" s="759"/>
      <c r="O15" s="891" t="str">
        <f>IF(R30="-","入力値が不適正です",R30)</f>
        <v>入力値が不適正です</v>
      </c>
      <c r="P15" s="892"/>
      <c r="Q15" s="892"/>
      <c r="R15" s="892"/>
      <c r="S15" s="892"/>
      <c r="T15" s="892"/>
      <c r="U15" s="679"/>
      <c r="V15" s="149"/>
      <c r="W15" s="163"/>
    </row>
    <row r="16" spans="1:23" ht="3.75" customHeight="1" thickBot="1">
      <c r="A16" s="163"/>
      <c r="B16" s="560"/>
      <c r="C16" s="560"/>
      <c r="D16" s="545"/>
      <c r="E16" s="546"/>
      <c r="F16" s="569"/>
      <c r="G16" s="545"/>
      <c r="H16" s="545"/>
      <c r="I16" s="545"/>
      <c r="J16" s="547"/>
      <c r="K16" s="547"/>
      <c r="L16" s="561"/>
      <c r="M16" s="561"/>
      <c r="N16" s="561"/>
      <c r="O16" s="574"/>
      <c r="P16" s="574"/>
      <c r="Q16" s="572"/>
      <c r="R16" s="653"/>
      <c r="S16" s="653"/>
      <c r="T16" s="653"/>
      <c r="U16" s="572"/>
      <c r="V16" s="163"/>
      <c r="W16" s="163"/>
    </row>
    <row r="17" spans="1:23" ht="60" customHeight="1" thickBot="1">
      <c r="A17" s="149"/>
      <c r="B17" s="181"/>
      <c r="C17" s="377"/>
      <c r="D17" s="182"/>
      <c r="E17" s="941" t="s">
        <v>358</v>
      </c>
      <c r="F17" s="942"/>
      <c r="G17" s="943"/>
      <c r="H17" s="816"/>
      <c r="I17" s="758"/>
      <c r="J17" s="758"/>
      <c r="K17" s="758"/>
      <c r="L17" s="758"/>
      <c r="M17" s="758"/>
      <c r="N17" s="759"/>
      <c r="O17" s="891" t="str">
        <f>IF(R42="-","入力値が不適正です",R42)</f>
        <v>入力値が不適正です</v>
      </c>
      <c r="P17" s="892"/>
      <c r="Q17" s="892"/>
      <c r="R17" s="892"/>
      <c r="S17" s="892"/>
      <c r="T17" s="892"/>
      <c r="U17" s="573"/>
      <c r="V17" s="149"/>
      <c r="W17" s="163"/>
    </row>
    <row r="18" spans="1:23" ht="3.75" customHeight="1" thickBot="1">
      <c r="A18" s="163"/>
      <c r="B18" s="560"/>
      <c r="C18" s="560"/>
      <c r="D18" s="545"/>
      <c r="E18" s="546"/>
      <c r="F18" s="569"/>
      <c r="G18" s="545"/>
      <c r="H18" s="545"/>
      <c r="I18" s="545"/>
      <c r="J18" s="547"/>
      <c r="K18" s="547"/>
      <c r="L18" s="561"/>
      <c r="M18" s="561"/>
      <c r="N18" s="561"/>
      <c r="O18" s="574"/>
      <c r="P18" s="574"/>
      <c r="Q18" s="572"/>
      <c r="R18" s="572"/>
      <c r="S18" s="572"/>
      <c r="T18" s="572"/>
      <c r="U18" s="572"/>
      <c r="V18" s="163"/>
      <c r="W18" s="163"/>
    </row>
    <row r="19" spans="1:23" ht="30" customHeight="1" thickBot="1">
      <c r="A19" s="149"/>
      <c r="B19" s="181"/>
      <c r="C19" s="377"/>
      <c r="D19" s="182"/>
      <c r="E19" s="938" t="s">
        <v>404</v>
      </c>
      <c r="F19" s="939"/>
      <c r="G19" s="940"/>
      <c r="H19" s="904" t="s">
        <v>417</v>
      </c>
      <c r="I19" s="905"/>
      <c r="J19" s="906"/>
      <c r="K19" s="776" t="str">
        <f>IF('重点評価入力'!E41="","",'重点評価入力'!E41)</f>
        <v>―</v>
      </c>
      <c r="L19" s="784" t="s">
        <v>411</v>
      </c>
      <c r="M19" s="776" t="str">
        <f>IF('重点評価入力'!E43="","",'重点評価入力'!E43)</f>
        <v>―</v>
      </c>
      <c r="N19" s="784" t="s">
        <v>409</v>
      </c>
      <c r="O19" s="777" t="str">
        <f>IF('重点評価入力'!H41="","",'重点評価入力'!H41)</f>
        <v>―</v>
      </c>
      <c r="P19" s="901">
        <f>IF('重点評価入力'!F43="","",'重点評価入力'!F43)</f>
      </c>
      <c r="Q19" s="902"/>
      <c r="R19" s="902"/>
      <c r="S19" s="903"/>
      <c r="T19" s="778">
        <f>IF('重点評価入力'!H43="","",'重点評価入力'!H43)</f>
      </c>
      <c r="U19" s="779"/>
      <c r="V19" s="149"/>
      <c r="W19" s="163"/>
    </row>
    <row r="20" spans="1:23" ht="30" customHeight="1" thickBot="1">
      <c r="A20" s="149"/>
      <c r="B20" s="181"/>
      <c r="C20" s="377"/>
      <c r="D20" s="182"/>
      <c r="E20" s="914" t="s">
        <v>414</v>
      </c>
      <c r="F20" s="915"/>
      <c r="G20" s="916"/>
      <c r="H20" s="893" t="s">
        <v>416</v>
      </c>
      <c r="I20" s="894"/>
      <c r="J20" s="895"/>
      <c r="K20" s="780" t="str">
        <f>IF('重点評価入力'!E42="","",'重点評価入力'!E42)</f>
        <v>―</v>
      </c>
      <c r="L20" s="785" t="s">
        <v>412</v>
      </c>
      <c r="M20" s="780" t="str">
        <f>IF('重点評価入力'!E44="","",'重点評価入力'!E44)</f>
        <v>―</v>
      </c>
      <c r="N20" s="785" t="s">
        <v>410</v>
      </c>
      <c r="O20" s="781" t="str">
        <f>IF('重点評価入力'!H42="","",'重点評価入力'!H42)</f>
        <v>―</v>
      </c>
      <c r="P20" s="896">
        <f>IF('重点評価入力'!F44="","",'重点評価入力'!F44)</f>
      </c>
      <c r="Q20" s="897"/>
      <c r="R20" s="897"/>
      <c r="S20" s="898"/>
      <c r="T20" s="782">
        <f>IF('重点評価入力'!H44="","",'重点評価入力'!H44)</f>
      </c>
      <c r="U20" s="783"/>
      <c r="V20" s="149"/>
      <c r="W20" s="163"/>
    </row>
    <row r="21" spans="1:23" ht="3.75" customHeight="1" thickBot="1">
      <c r="A21" s="163"/>
      <c r="B21" s="560"/>
      <c r="C21" s="560"/>
      <c r="D21" s="545"/>
      <c r="E21" s="546"/>
      <c r="F21" s="569"/>
      <c r="G21" s="545"/>
      <c r="H21" s="545"/>
      <c r="I21" s="545"/>
      <c r="J21" s="547"/>
      <c r="K21" s="547"/>
      <c r="L21" s="561"/>
      <c r="M21" s="561"/>
      <c r="N21" s="561"/>
      <c r="O21" s="574"/>
      <c r="P21" s="574"/>
      <c r="Q21" s="572"/>
      <c r="R21" s="572"/>
      <c r="S21" s="572"/>
      <c r="T21" s="572"/>
      <c r="U21" s="572"/>
      <c r="V21" s="163"/>
      <c r="W21" s="163"/>
    </row>
    <row r="22" spans="1:23" ht="3.75" customHeight="1" thickBot="1">
      <c r="A22" s="163"/>
      <c r="B22" s="560"/>
      <c r="C22" s="560"/>
      <c r="D22" s="545"/>
      <c r="E22" s="546"/>
      <c r="F22" s="569"/>
      <c r="G22" s="545"/>
      <c r="H22" s="545"/>
      <c r="I22" s="545"/>
      <c r="J22" s="547"/>
      <c r="K22" s="547"/>
      <c r="L22" s="561"/>
      <c r="M22" s="561"/>
      <c r="N22" s="561"/>
      <c r="O22" s="574"/>
      <c r="P22" s="574"/>
      <c r="Q22" s="572"/>
      <c r="R22" s="572"/>
      <c r="S22" s="572"/>
      <c r="T22" s="572"/>
      <c r="U22" s="572"/>
      <c r="V22" s="163"/>
      <c r="W22" s="163"/>
    </row>
    <row r="23" spans="1:23" ht="40.5" customHeight="1" thickBot="1">
      <c r="A23" s="149"/>
      <c r="B23" s="181"/>
      <c r="C23" s="377"/>
      <c r="D23" s="182"/>
      <c r="E23" s="911" t="s">
        <v>348</v>
      </c>
      <c r="F23" s="912"/>
      <c r="G23" s="912"/>
      <c r="H23" s="912"/>
      <c r="I23" s="912"/>
      <c r="J23" s="912"/>
      <c r="K23" s="912"/>
      <c r="L23" s="912"/>
      <c r="M23" s="912"/>
      <c r="N23" s="913"/>
      <c r="O23" s="944" t="str">
        <f>IF('重点評価入力'!L12="集合住宅","対象外",IF('重点評価入力'!O32="","",'重点評価入力'!O32))</f>
        <v>対象外</v>
      </c>
      <c r="P23" s="945"/>
      <c r="Q23" s="945"/>
      <c r="R23" s="945"/>
      <c r="S23" s="945"/>
      <c r="T23" s="945"/>
      <c r="U23" s="657"/>
      <c r="V23" s="149"/>
      <c r="W23" s="163"/>
    </row>
    <row r="24" spans="1:23" ht="3" customHeight="1">
      <c r="A24" s="149"/>
      <c r="B24" s="185"/>
      <c r="C24" s="185"/>
      <c r="D24" s="186"/>
      <c r="E24" s="187"/>
      <c r="F24" s="186"/>
      <c r="G24" s="186"/>
      <c r="H24" s="186"/>
      <c r="I24" s="186"/>
      <c r="J24" s="186"/>
      <c r="K24" s="186"/>
      <c r="L24" s="188"/>
      <c r="M24" s="188"/>
      <c r="N24" s="188"/>
      <c r="O24" s="189"/>
      <c r="P24" s="189"/>
      <c r="Q24" s="189"/>
      <c r="R24" s="189"/>
      <c r="S24" s="189"/>
      <c r="T24" s="189"/>
      <c r="U24" s="189"/>
      <c r="V24" s="149"/>
      <c r="W24" s="163"/>
    </row>
    <row r="25" spans="1:23" ht="30" customHeight="1">
      <c r="A25" s="149"/>
      <c r="B25" s="190" t="s">
        <v>1</v>
      </c>
      <c r="C25" s="577"/>
      <c r="D25" s="191"/>
      <c r="E25" s="192"/>
      <c r="F25" s="191"/>
      <c r="G25" s="191"/>
      <c r="H25" s="191"/>
      <c r="I25" s="191"/>
      <c r="J25" s="191"/>
      <c r="K25" s="191"/>
      <c r="L25" s="193"/>
      <c r="M25" s="193"/>
      <c r="N25" s="193"/>
      <c r="O25" s="194"/>
      <c r="P25" s="194"/>
      <c r="Q25" s="194"/>
      <c r="R25" s="194"/>
      <c r="S25" s="194"/>
      <c r="T25" s="194"/>
      <c r="U25" s="195"/>
      <c r="V25" s="149"/>
      <c r="W25" s="163"/>
    </row>
    <row r="26" spans="1:23" ht="30" customHeight="1">
      <c r="A26" s="149"/>
      <c r="B26" s="932" t="s">
        <v>376</v>
      </c>
      <c r="C26" s="933"/>
      <c r="D26" s="933"/>
      <c r="E26" s="933"/>
      <c r="F26" s="933"/>
      <c r="G26" s="934"/>
      <c r="H26" s="708" t="s">
        <v>397</v>
      </c>
      <c r="I26" s="644"/>
      <c r="J26" s="644"/>
      <c r="K26" s="644"/>
      <c r="L26" s="701"/>
      <c r="M26" s="701"/>
      <c r="N26" s="701"/>
      <c r="O26" s="702"/>
      <c r="P26" s="702"/>
      <c r="Q26" s="702"/>
      <c r="R26" s="702"/>
      <c r="S26" s="702"/>
      <c r="T26" s="702"/>
      <c r="U26" s="703"/>
      <c r="V26" s="149"/>
      <c r="W26" s="163"/>
    </row>
    <row r="27" spans="1:23" ht="30" customHeight="1">
      <c r="A27" s="149"/>
      <c r="B27" s="935"/>
      <c r="C27" s="936"/>
      <c r="D27" s="936"/>
      <c r="E27" s="936"/>
      <c r="F27" s="936"/>
      <c r="G27" s="937"/>
      <c r="H27" s="709" t="s">
        <v>396</v>
      </c>
      <c r="I27" s="688"/>
      <c r="J27" s="688"/>
      <c r="K27" s="688"/>
      <c r="L27" s="688"/>
      <c r="M27" s="688"/>
      <c r="N27" s="688"/>
      <c r="O27" s="688"/>
      <c r="P27" s="688"/>
      <c r="Q27" s="688"/>
      <c r="R27" s="688"/>
      <c r="S27" s="688"/>
      <c r="T27" s="688"/>
      <c r="U27" s="690"/>
      <c r="V27" s="149"/>
      <c r="W27" s="163"/>
    </row>
    <row r="28" spans="1:23" ht="30" customHeight="1">
      <c r="A28" s="149"/>
      <c r="B28" s="920" t="s">
        <v>2</v>
      </c>
      <c r="C28" s="921"/>
      <c r="D28" s="921"/>
      <c r="E28" s="921"/>
      <c r="F28" s="921"/>
      <c r="G28" s="922"/>
      <c r="H28" s="907" t="s">
        <v>331</v>
      </c>
      <c r="I28" s="908"/>
      <c r="J28" s="908"/>
      <c r="K28" s="908"/>
      <c r="L28" s="908"/>
      <c r="M28" s="908"/>
      <c r="N28" s="908"/>
      <c r="O28" s="918" t="s">
        <v>332</v>
      </c>
      <c r="P28" s="918"/>
      <c r="Q28" s="918"/>
      <c r="R28" s="907" t="s">
        <v>3</v>
      </c>
      <c r="S28" s="908"/>
      <c r="T28" s="908"/>
      <c r="U28" s="656"/>
      <c r="V28" s="149"/>
      <c r="W28" s="163"/>
    </row>
    <row r="29" spans="1:23" ht="30" customHeight="1">
      <c r="A29" s="149"/>
      <c r="B29" s="655" t="s">
        <v>398</v>
      </c>
      <c r="C29" s="562"/>
      <c r="D29" s="583"/>
      <c r="E29" s="583"/>
      <c r="F29" s="583"/>
      <c r="G29" s="584"/>
      <c r="H29" s="919" t="s">
        <v>363</v>
      </c>
      <c r="I29" s="919"/>
      <c r="J29" s="919"/>
      <c r="K29" s="919"/>
      <c r="L29" s="919"/>
      <c r="M29" s="919"/>
      <c r="N29" s="919"/>
      <c r="O29" s="917">
        <f>IF('重点評価入力'!O22=0,"",'重点評価入力'!O22)</f>
      </c>
      <c r="P29" s="917"/>
      <c r="Q29" s="917"/>
      <c r="R29" s="909" t="str">
        <f>IF('重点評価入力'!P22=0,"-",'重点評価入力'!P22)</f>
        <v>-</v>
      </c>
      <c r="S29" s="910"/>
      <c r="T29" s="910"/>
      <c r="U29" s="654"/>
      <c r="V29" s="149"/>
      <c r="W29" s="163"/>
    </row>
    <row r="30" spans="1:23" ht="24.75" customHeight="1">
      <c r="A30" s="149"/>
      <c r="B30" s="962" t="s">
        <v>399</v>
      </c>
      <c r="C30" s="963"/>
      <c r="D30" s="968" t="s">
        <v>335</v>
      </c>
      <c r="E30" s="968"/>
      <c r="F30" s="968"/>
      <c r="G30" s="969"/>
      <c r="H30" s="974" t="s">
        <v>443</v>
      </c>
      <c r="I30" s="975"/>
      <c r="J30" s="975"/>
      <c r="K30" s="975"/>
      <c r="L30" s="975"/>
      <c r="M30" s="975"/>
      <c r="N30" s="720" t="s">
        <v>380</v>
      </c>
      <c r="O30" s="978">
        <f>IF('重点評価入力'!M24=0,"",'重点評価入力'!M24)</f>
      </c>
      <c r="P30" s="979"/>
      <c r="Q30" s="980"/>
      <c r="R30" s="996" t="str">
        <f>IF('重点評価入力'!P23=0,"-",'重点評価入力'!P23)</f>
        <v>-</v>
      </c>
      <c r="S30" s="997"/>
      <c r="T30" s="997"/>
      <c r="U30" s="1000"/>
      <c r="V30" s="149"/>
      <c r="W30" s="163"/>
    </row>
    <row r="31" spans="1:23" ht="24.75" customHeight="1">
      <c r="A31" s="149"/>
      <c r="B31" s="964"/>
      <c r="C31" s="965"/>
      <c r="D31" s="970"/>
      <c r="E31" s="970"/>
      <c r="F31" s="970"/>
      <c r="G31" s="971"/>
      <c r="H31" s="976"/>
      <c r="I31" s="977"/>
      <c r="J31" s="977"/>
      <c r="K31" s="977"/>
      <c r="L31" s="977"/>
      <c r="M31" s="977"/>
      <c r="N31" s="720" t="s">
        <v>381</v>
      </c>
      <c r="O31" s="917">
        <f>IF('重点評価入力'!M25=0,"",'重点評価入力'!M25)</f>
      </c>
      <c r="P31" s="917"/>
      <c r="Q31" s="917"/>
      <c r="R31" s="996"/>
      <c r="S31" s="997"/>
      <c r="T31" s="997"/>
      <c r="U31" s="1000"/>
      <c r="V31" s="149"/>
      <c r="W31" s="163"/>
    </row>
    <row r="32" spans="1:23" ht="30" customHeight="1">
      <c r="A32" s="149"/>
      <c r="B32" s="964"/>
      <c r="C32" s="965"/>
      <c r="D32" s="972" t="s">
        <v>444</v>
      </c>
      <c r="E32" s="973"/>
      <c r="F32" s="973"/>
      <c r="G32" s="973"/>
      <c r="H32" s="659" t="s">
        <v>341</v>
      </c>
      <c r="I32" s="660"/>
      <c r="J32" s="660"/>
      <c r="K32" s="660"/>
      <c r="L32" s="660"/>
      <c r="M32" s="660"/>
      <c r="N32" s="661"/>
      <c r="O32" s="978">
        <f>IF('重点評価入力'!M27=0,"",'重点評価入力'!M27)</f>
      </c>
      <c r="P32" s="979"/>
      <c r="Q32" s="980"/>
      <c r="R32" s="996"/>
      <c r="S32" s="997"/>
      <c r="T32" s="997"/>
      <c r="U32" s="1000"/>
      <c r="V32" s="149"/>
      <c r="W32" s="163"/>
    </row>
    <row r="33" spans="1:23" ht="30" customHeight="1">
      <c r="A33" s="149"/>
      <c r="B33" s="964"/>
      <c r="C33" s="965"/>
      <c r="D33" s="972" t="s">
        <v>336</v>
      </c>
      <c r="E33" s="973"/>
      <c r="F33" s="973"/>
      <c r="G33" s="973"/>
      <c r="H33" s="659" t="s">
        <v>342</v>
      </c>
      <c r="I33" s="660"/>
      <c r="J33" s="660"/>
      <c r="K33" s="660"/>
      <c r="L33" s="660"/>
      <c r="M33" s="660"/>
      <c r="N33" s="661"/>
      <c r="O33" s="917">
        <f>IF('重点評価入力'!M28=0,"",'重点評価入力'!M28)</f>
      </c>
      <c r="P33" s="917"/>
      <c r="Q33" s="917"/>
      <c r="R33" s="996"/>
      <c r="S33" s="997"/>
      <c r="T33" s="997"/>
      <c r="U33" s="1000"/>
      <c r="V33" s="149"/>
      <c r="W33" s="163"/>
    </row>
    <row r="34" spans="1:23" ht="30" customHeight="1">
      <c r="A34" s="149"/>
      <c r="B34" s="964"/>
      <c r="C34" s="965"/>
      <c r="D34" s="972" t="s">
        <v>337</v>
      </c>
      <c r="E34" s="973"/>
      <c r="F34" s="973"/>
      <c r="G34" s="973"/>
      <c r="H34" s="659" t="s">
        <v>343</v>
      </c>
      <c r="I34" s="660"/>
      <c r="J34" s="660"/>
      <c r="K34" s="660"/>
      <c r="L34" s="660"/>
      <c r="M34" s="660"/>
      <c r="N34" s="661"/>
      <c r="O34" s="917">
        <f>IF('重点評価入力'!M29=0,"",'重点評価入力'!M29)</f>
      </c>
      <c r="P34" s="917"/>
      <c r="Q34" s="917"/>
      <c r="R34" s="996"/>
      <c r="S34" s="997"/>
      <c r="T34" s="997"/>
      <c r="U34" s="1000"/>
      <c r="V34" s="149"/>
      <c r="W34" s="163"/>
    </row>
    <row r="35" spans="1:23" ht="30" customHeight="1">
      <c r="A35" s="149"/>
      <c r="B35" s="964"/>
      <c r="C35" s="965"/>
      <c r="D35" s="972" t="s">
        <v>338</v>
      </c>
      <c r="E35" s="973"/>
      <c r="F35" s="973"/>
      <c r="G35" s="973"/>
      <c r="H35" s="659" t="s">
        <v>344</v>
      </c>
      <c r="I35" s="660"/>
      <c r="J35" s="660"/>
      <c r="K35" s="660"/>
      <c r="L35" s="660"/>
      <c r="M35" s="660"/>
      <c r="N35" s="661"/>
      <c r="O35" s="917">
        <f>IF('重点評価入力'!M30=0,"",'重点評価入力'!M30)</f>
      </c>
      <c r="P35" s="917"/>
      <c r="Q35" s="917"/>
      <c r="R35" s="996"/>
      <c r="S35" s="997"/>
      <c r="T35" s="997"/>
      <c r="U35" s="1000"/>
      <c r="V35" s="149"/>
      <c r="W35" s="163"/>
    </row>
    <row r="36" spans="1:23" ht="30" customHeight="1" thickBot="1">
      <c r="A36" s="149"/>
      <c r="B36" s="964"/>
      <c r="C36" s="965"/>
      <c r="D36" s="1002" t="s">
        <v>339</v>
      </c>
      <c r="E36" s="1003"/>
      <c r="F36" s="1003"/>
      <c r="G36" s="1003"/>
      <c r="H36" s="662" t="s">
        <v>346</v>
      </c>
      <c r="I36" s="663"/>
      <c r="J36" s="663"/>
      <c r="K36" s="663"/>
      <c r="L36" s="663"/>
      <c r="M36" s="663"/>
      <c r="N36" s="664"/>
      <c r="O36" s="1010">
        <f>IF('重点評価入力'!M31=0,"",'重点評価入力'!M31)</f>
      </c>
      <c r="P36" s="1010"/>
      <c r="Q36" s="1010"/>
      <c r="R36" s="998"/>
      <c r="S36" s="999"/>
      <c r="T36" s="999"/>
      <c r="U36" s="1001"/>
      <c r="V36" s="149"/>
      <c r="W36" s="163"/>
    </row>
    <row r="37" spans="1:23" ht="15" customHeight="1" thickTop="1">
      <c r="A37" s="149"/>
      <c r="B37" s="964"/>
      <c r="C37" s="965"/>
      <c r="D37" s="981" t="s">
        <v>340</v>
      </c>
      <c r="E37" s="981"/>
      <c r="F37" s="981"/>
      <c r="G37" s="982"/>
      <c r="H37" s="948" t="s">
        <v>347</v>
      </c>
      <c r="I37" s="948"/>
      <c r="J37" s="948"/>
      <c r="K37" s="948"/>
      <c r="L37" s="948"/>
      <c r="M37" s="948"/>
      <c r="N37" s="948"/>
      <c r="O37" s="949" t="s">
        <v>333</v>
      </c>
      <c r="P37" s="950"/>
      <c r="Q37" s="951"/>
      <c r="R37" s="1004" t="str">
        <f>IF('重点評価入力'!L12="集合住宅","-",'重点評価入力'!O32)</f>
        <v>-</v>
      </c>
      <c r="S37" s="1005"/>
      <c r="T37" s="1005"/>
      <c r="U37" s="1008"/>
      <c r="V37" s="149"/>
      <c r="W37" s="163"/>
    </row>
    <row r="38" spans="1:23" ht="15" customHeight="1">
      <c r="A38" s="149"/>
      <c r="B38" s="966"/>
      <c r="C38" s="967"/>
      <c r="D38" s="977"/>
      <c r="E38" s="977"/>
      <c r="F38" s="977"/>
      <c r="G38" s="983"/>
      <c r="H38" s="919"/>
      <c r="I38" s="919"/>
      <c r="J38" s="919"/>
      <c r="K38" s="919"/>
      <c r="L38" s="919"/>
      <c r="M38" s="919"/>
      <c r="N38" s="919"/>
      <c r="O38" s="952"/>
      <c r="P38" s="953"/>
      <c r="Q38" s="954"/>
      <c r="R38" s="1006"/>
      <c r="S38" s="1007"/>
      <c r="T38" s="1007"/>
      <c r="U38" s="1009"/>
      <c r="V38" s="149"/>
      <c r="W38" s="163"/>
    </row>
    <row r="39" spans="1:23" ht="30" customHeight="1">
      <c r="A39" s="149"/>
      <c r="B39" s="682" t="s">
        <v>377</v>
      </c>
      <c r="C39" s="683"/>
      <c r="D39" s="684"/>
      <c r="E39" s="685"/>
      <c r="F39" s="684"/>
      <c r="G39" s="684"/>
      <c r="H39" s="984" t="s">
        <v>400</v>
      </c>
      <c r="I39" s="985"/>
      <c r="J39" s="985"/>
      <c r="K39" s="985"/>
      <c r="L39" s="985"/>
      <c r="M39" s="985"/>
      <c r="N39" s="985"/>
      <c r="O39" s="985"/>
      <c r="P39" s="985"/>
      <c r="Q39" s="985"/>
      <c r="R39" s="985"/>
      <c r="S39" s="985"/>
      <c r="T39" s="985"/>
      <c r="U39" s="986"/>
      <c r="V39" s="149"/>
      <c r="W39" s="163"/>
    </row>
    <row r="40" spans="1:23" ht="30" customHeight="1">
      <c r="A40" s="149"/>
      <c r="B40" s="696" t="s">
        <v>378</v>
      </c>
      <c r="C40" s="697"/>
      <c r="D40" s="698"/>
      <c r="E40" s="699"/>
      <c r="F40" s="698"/>
      <c r="G40" s="698"/>
      <c r="H40" s="987"/>
      <c r="I40" s="988"/>
      <c r="J40" s="988"/>
      <c r="K40" s="988"/>
      <c r="L40" s="988"/>
      <c r="M40" s="988"/>
      <c r="N40" s="988"/>
      <c r="O40" s="988"/>
      <c r="P40" s="988"/>
      <c r="Q40" s="988"/>
      <c r="R40" s="988"/>
      <c r="S40" s="988"/>
      <c r="T40" s="988"/>
      <c r="U40" s="989"/>
      <c r="V40" s="149"/>
      <c r="W40" s="163"/>
    </row>
    <row r="41" spans="1:23" ht="30" customHeight="1">
      <c r="A41" s="149"/>
      <c r="B41" s="920" t="s">
        <v>2</v>
      </c>
      <c r="C41" s="921"/>
      <c r="D41" s="921"/>
      <c r="E41" s="921"/>
      <c r="F41" s="921"/>
      <c r="G41" s="922"/>
      <c r="H41" s="907" t="s">
        <v>331</v>
      </c>
      <c r="I41" s="908"/>
      <c r="J41" s="908"/>
      <c r="K41" s="908"/>
      <c r="L41" s="908"/>
      <c r="M41" s="908"/>
      <c r="N41" s="908"/>
      <c r="O41" s="918" t="s">
        <v>332</v>
      </c>
      <c r="P41" s="918"/>
      <c r="Q41" s="918"/>
      <c r="R41" s="907" t="s">
        <v>3</v>
      </c>
      <c r="S41" s="908"/>
      <c r="T41" s="908"/>
      <c r="U41" s="681"/>
      <c r="V41" s="149"/>
      <c r="W41" s="163"/>
    </row>
    <row r="42" spans="1:23" ht="30" customHeight="1">
      <c r="A42" s="149"/>
      <c r="B42" s="1024" t="s">
        <v>355</v>
      </c>
      <c r="C42" s="1025"/>
      <c r="D42" s="1025"/>
      <c r="E42" s="1025"/>
      <c r="F42" s="1025"/>
      <c r="G42" s="1026"/>
      <c r="H42" s="1011" t="s">
        <v>360</v>
      </c>
      <c r="I42" s="1011"/>
      <c r="J42" s="1011"/>
      <c r="K42" s="1011"/>
      <c r="L42" s="1011"/>
      <c r="M42" s="1011"/>
      <c r="N42" s="1011"/>
      <c r="O42" s="917">
        <f>IF('重点評価入力'!M36=0,"",'重点評価入力'!M36)</f>
      </c>
      <c r="P42" s="917"/>
      <c r="Q42" s="917"/>
      <c r="R42" s="990" t="str">
        <f>IF('重点評価入力'!P36=0,"-",'重点評価入力'!P36)</f>
        <v>-</v>
      </c>
      <c r="S42" s="991"/>
      <c r="T42" s="991"/>
      <c r="U42" s="717"/>
      <c r="V42" s="149"/>
      <c r="W42" s="163"/>
    </row>
    <row r="43" spans="1:23" ht="30" customHeight="1">
      <c r="A43" s="197"/>
      <c r="B43" s="1024" t="s">
        <v>356</v>
      </c>
      <c r="C43" s="1025"/>
      <c r="D43" s="1025"/>
      <c r="E43" s="1025"/>
      <c r="F43" s="1025"/>
      <c r="G43" s="1026"/>
      <c r="H43" s="1011" t="s">
        <v>361</v>
      </c>
      <c r="I43" s="1011"/>
      <c r="J43" s="1011"/>
      <c r="K43" s="1011"/>
      <c r="L43" s="1011"/>
      <c r="M43" s="1011"/>
      <c r="N43" s="1011"/>
      <c r="O43" s="917">
        <f>IF('重点評価入力'!M37=0,"",'重点評価入力'!M37)</f>
      </c>
      <c r="P43" s="917"/>
      <c r="Q43" s="917"/>
      <c r="R43" s="992"/>
      <c r="S43" s="993"/>
      <c r="T43" s="993"/>
      <c r="U43" s="718"/>
      <c r="V43" s="197"/>
      <c r="W43" s="163"/>
    </row>
    <row r="44" spans="1:23" ht="30" customHeight="1">
      <c r="A44" s="197"/>
      <c r="B44" s="1024" t="s">
        <v>357</v>
      </c>
      <c r="C44" s="1025"/>
      <c r="D44" s="1025"/>
      <c r="E44" s="1025"/>
      <c r="F44" s="1025"/>
      <c r="G44" s="1026"/>
      <c r="H44" s="1011" t="s">
        <v>362</v>
      </c>
      <c r="I44" s="1011"/>
      <c r="J44" s="1011"/>
      <c r="K44" s="1011"/>
      <c r="L44" s="1011"/>
      <c r="M44" s="1011"/>
      <c r="N44" s="1011"/>
      <c r="O44" s="917">
        <f>IF('重点評価入力'!M38=0,"",'重点評価入力'!M38)</f>
      </c>
      <c r="P44" s="917"/>
      <c r="Q44" s="917"/>
      <c r="R44" s="994"/>
      <c r="S44" s="995"/>
      <c r="T44" s="995"/>
      <c r="U44" s="719"/>
      <c r="V44" s="197"/>
      <c r="W44" s="163"/>
    </row>
    <row r="45" spans="1:23" ht="30" customHeight="1">
      <c r="A45" s="197"/>
      <c r="B45" s="1037" t="s">
        <v>379</v>
      </c>
      <c r="C45" s="1038"/>
      <c r="D45" s="1038"/>
      <c r="E45" s="1038"/>
      <c r="F45" s="1038"/>
      <c r="G45" s="1038"/>
      <c r="H45" s="1038"/>
      <c r="I45" s="1038"/>
      <c r="J45" s="1038"/>
      <c r="K45" s="1038"/>
      <c r="L45" s="1038"/>
      <c r="M45" s="1038"/>
      <c r="N45" s="1038"/>
      <c r="O45" s="1038"/>
      <c r="P45" s="1038"/>
      <c r="Q45" s="1038"/>
      <c r="R45" s="1038"/>
      <c r="S45" s="1038"/>
      <c r="T45" s="1038"/>
      <c r="U45" s="1039"/>
      <c r="V45" s="197"/>
      <c r="W45" s="163"/>
    </row>
    <row r="46" spans="1:23" ht="24.75" customHeight="1">
      <c r="A46" s="197"/>
      <c r="B46" s="1015" t="s">
        <v>364</v>
      </c>
      <c r="C46" s="1016"/>
      <c r="D46" s="1016"/>
      <c r="E46" s="1016"/>
      <c r="F46" s="1016"/>
      <c r="G46" s="1017"/>
      <c r="H46" s="1030" t="s">
        <v>4</v>
      </c>
      <c r="I46" s="1031"/>
      <c r="J46" s="1031"/>
      <c r="K46" s="1031"/>
      <c r="L46" s="1032"/>
      <c r="M46" s="1030" t="s">
        <v>5</v>
      </c>
      <c r="N46" s="1031"/>
      <c r="O46" s="1031"/>
      <c r="P46" s="1031"/>
      <c r="Q46" s="1031"/>
      <c r="R46" s="1031"/>
      <c r="S46" s="1031"/>
      <c r="T46" s="1031"/>
      <c r="U46" s="693"/>
      <c r="V46" s="197"/>
      <c r="W46" s="163"/>
    </row>
    <row r="47" spans="1:23" ht="24.75" customHeight="1">
      <c r="A47" s="197"/>
      <c r="B47" s="1018"/>
      <c r="C47" s="1019"/>
      <c r="D47" s="1019"/>
      <c r="E47" s="1019"/>
      <c r="F47" s="1019"/>
      <c r="G47" s="1020"/>
      <c r="H47" s="1012">
        <f>IF('重点評価入力'!I41="","",'重点評価入力'!I41)</f>
      </c>
      <c r="I47" s="1013"/>
      <c r="J47" s="1013"/>
      <c r="K47" s="1013"/>
      <c r="L47" s="1014"/>
      <c r="M47" s="1012">
        <f>IF('重点評価入力'!M41="","",'重点評価入力'!M41)</f>
      </c>
      <c r="N47" s="1013"/>
      <c r="O47" s="1013"/>
      <c r="P47" s="1013"/>
      <c r="Q47" s="1013"/>
      <c r="R47" s="1013"/>
      <c r="S47" s="1013"/>
      <c r="T47" s="1013"/>
      <c r="U47" s="693"/>
      <c r="V47" s="197"/>
      <c r="W47" s="163"/>
    </row>
    <row r="48" spans="1:23" ht="24.75" customHeight="1">
      <c r="A48" s="197"/>
      <c r="B48" s="1018"/>
      <c r="C48" s="1019"/>
      <c r="D48" s="1019"/>
      <c r="E48" s="1019"/>
      <c r="F48" s="1019"/>
      <c r="G48" s="1020"/>
      <c r="H48" s="1012">
        <f>IF('重点評価入力'!I42="","",'重点評価入力'!I42)</f>
      </c>
      <c r="I48" s="1013"/>
      <c r="J48" s="1013"/>
      <c r="K48" s="1013"/>
      <c r="L48" s="1014"/>
      <c r="M48" s="1012">
        <f>IF('重点評価入力'!M42="","",'重点評価入力'!M42)</f>
      </c>
      <c r="N48" s="1013"/>
      <c r="O48" s="1013"/>
      <c r="P48" s="1013"/>
      <c r="Q48" s="1013"/>
      <c r="R48" s="1013"/>
      <c r="S48" s="1013"/>
      <c r="T48" s="1013"/>
      <c r="U48" s="693"/>
      <c r="V48" s="197"/>
      <c r="W48" s="163"/>
    </row>
    <row r="49" spans="1:23" ht="24.75" customHeight="1">
      <c r="A49" s="197"/>
      <c r="B49" s="1018"/>
      <c r="C49" s="1019"/>
      <c r="D49" s="1019"/>
      <c r="E49" s="1019"/>
      <c r="F49" s="1019"/>
      <c r="G49" s="1020"/>
      <c r="H49" s="1012">
        <f>IF('重点評価入力'!I43="","",'重点評価入力'!I43)</f>
      </c>
      <c r="I49" s="1013"/>
      <c r="J49" s="1013"/>
      <c r="K49" s="1013"/>
      <c r="L49" s="1014"/>
      <c r="M49" s="1012">
        <f>IF('重点評価入力'!M43="","",'重点評価入力'!M43)</f>
      </c>
      <c r="N49" s="1013"/>
      <c r="O49" s="1013"/>
      <c r="P49" s="1013"/>
      <c r="Q49" s="1013"/>
      <c r="R49" s="1013"/>
      <c r="S49" s="1013"/>
      <c r="T49" s="1013"/>
      <c r="U49" s="693"/>
      <c r="V49" s="197"/>
      <c r="W49" s="163"/>
    </row>
    <row r="50" spans="1:23" ht="24.75" customHeight="1">
      <c r="A50" s="197"/>
      <c r="B50" s="1021"/>
      <c r="C50" s="1022"/>
      <c r="D50" s="1022"/>
      <c r="E50" s="1022"/>
      <c r="F50" s="1022"/>
      <c r="G50" s="1023"/>
      <c r="H50" s="1012">
        <f>IF('重点評価入力'!I44="","",'重点評価入力'!I44)</f>
      </c>
      <c r="I50" s="1013"/>
      <c r="J50" s="1013"/>
      <c r="K50" s="1013"/>
      <c r="L50" s="1014"/>
      <c r="M50" s="1012">
        <f>IF('重点評価入力'!M44="","",'重点評価入力'!M44)</f>
      </c>
      <c r="N50" s="1013"/>
      <c r="O50" s="1013"/>
      <c r="P50" s="1013"/>
      <c r="Q50" s="1013"/>
      <c r="R50" s="1013"/>
      <c r="S50" s="1013"/>
      <c r="T50" s="1013"/>
      <c r="U50" s="693"/>
      <c r="V50" s="197"/>
      <c r="W50" s="163"/>
    </row>
    <row r="51" spans="1:23" ht="24.75" customHeight="1">
      <c r="A51" s="197"/>
      <c r="B51" s="1015" t="s">
        <v>359</v>
      </c>
      <c r="C51" s="1016"/>
      <c r="D51" s="1016"/>
      <c r="E51" s="1016"/>
      <c r="F51" s="1016"/>
      <c r="G51" s="1017"/>
      <c r="H51" s="1033">
        <f>IF('重点評価入力'!F45="","",'重点評価入力'!F45)</f>
      </c>
      <c r="I51" s="1034"/>
      <c r="J51" s="1034"/>
      <c r="K51" s="1034"/>
      <c r="L51" s="1034"/>
      <c r="M51" s="1034"/>
      <c r="N51" s="1034"/>
      <c r="O51" s="1034"/>
      <c r="P51" s="1034"/>
      <c r="Q51" s="1034"/>
      <c r="R51" s="1034"/>
      <c r="S51" s="1034"/>
      <c r="T51" s="1034"/>
      <c r="U51" s="678"/>
      <c r="V51" s="197"/>
      <c r="W51" s="163"/>
    </row>
    <row r="52" spans="1:23" ht="24.75" customHeight="1" thickBot="1">
      <c r="A52" s="149"/>
      <c r="B52" s="1027"/>
      <c r="C52" s="1028"/>
      <c r="D52" s="1028"/>
      <c r="E52" s="1028"/>
      <c r="F52" s="1028"/>
      <c r="G52" s="1029"/>
      <c r="H52" s="1035"/>
      <c r="I52" s="1036"/>
      <c r="J52" s="1036"/>
      <c r="K52" s="1036"/>
      <c r="L52" s="1036"/>
      <c r="M52" s="1036"/>
      <c r="N52" s="1036"/>
      <c r="O52" s="1036"/>
      <c r="P52" s="1036"/>
      <c r="Q52" s="1036"/>
      <c r="R52" s="1036"/>
      <c r="S52" s="1036"/>
      <c r="T52" s="1036"/>
      <c r="U52" s="692"/>
      <c r="V52" s="149"/>
      <c r="W52" s="163"/>
    </row>
    <row r="53" spans="1:23" ht="4.5" customHeight="1">
      <c r="A53" s="149"/>
      <c r="B53" s="550"/>
      <c r="C53" s="550"/>
      <c r="D53" s="551"/>
      <c r="E53" s="158"/>
      <c r="F53" s="552"/>
      <c r="G53" s="553"/>
      <c r="H53" s="548"/>
      <c r="I53" s="548"/>
      <c r="J53" s="548"/>
      <c r="K53" s="548"/>
      <c r="L53" s="548"/>
      <c r="M53" s="548"/>
      <c r="N53" s="548"/>
      <c r="O53" s="549"/>
      <c r="P53" s="549"/>
      <c r="Q53" s="551"/>
      <c r="R53" s="551"/>
      <c r="S53" s="551"/>
      <c r="T53" s="551"/>
      <c r="U53" s="180"/>
      <c r="V53" s="149"/>
      <c r="W53" s="163"/>
    </row>
    <row r="54" spans="1:23" s="10" customFormat="1" ht="15.75" customHeight="1">
      <c r="A54" s="163"/>
      <c r="B54" s="15"/>
      <c r="C54" s="15"/>
      <c r="D54" s="15"/>
      <c r="E54" s="15"/>
      <c r="F54" s="15"/>
      <c r="G54" s="15"/>
      <c r="H54" s="15"/>
      <c r="I54" s="15"/>
      <c r="J54" s="15"/>
      <c r="K54" s="15"/>
      <c r="L54" s="15"/>
      <c r="M54" s="15"/>
      <c r="N54" s="15"/>
      <c r="O54" s="15"/>
      <c r="P54" s="15"/>
      <c r="Q54" s="200"/>
      <c r="R54" s="200"/>
      <c r="S54" s="200"/>
      <c r="T54" s="200"/>
      <c r="U54" s="200"/>
      <c r="V54" s="163"/>
      <c r="W54" s="163"/>
    </row>
    <row r="55" spans="1:23" s="10" customFormat="1" ht="4.5" customHeight="1">
      <c r="A55" s="163"/>
      <c r="B55" s="203"/>
      <c r="C55" s="203"/>
      <c r="D55" s="204"/>
      <c r="E55" s="205"/>
      <c r="G55" s="15"/>
      <c r="H55" s="15"/>
      <c r="I55" s="15"/>
      <c r="J55" s="15"/>
      <c r="K55" s="15"/>
      <c r="L55" s="15"/>
      <c r="M55" s="15"/>
      <c r="N55" s="15"/>
      <c r="O55" s="15"/>
      <c r="P55" s="15"/>
      <c r="Q55" s="200"/>
      <c r="R55" s="200"/>
      <c r="S55" s="200"/>
      <c r="T55" s="200"/>
      <c r="U55" s="200"/>
      <c r="V55" s="163"/>
      <c r="W55" s="163"/>
    </row>
  </sheetData>
  <sheetProtection password="E5C6" sheet="1" objects="1" scenarios="1" selectLockedCells="1" selectUnlockedCells="1"/>
  <mergeCells count="87">
    <mergeCell ref="B42:G42"/>
    <mergeCell ref="B43:G43"/>
    <mergeCell ref="B44:G44"/>
    <mergeCell ref="H42:N42"/>
    <mergeCell ref="H43:N43"/>
    <mergeCell ref="B51:G52"/>
    <mergeCell ref="H46:L46"/>
    <mergeCell ref="M46:T46"/>
    <mergeCell ref="H51:T52"/>
    <mergeCell ref="B45:U45"/>
    <mergeCell ref="H49:L49"/>
    <mergeCell ref="M49:T49"/>
    <mergeCell ref="H48:L48"/>
    <mergeCell ref="M48:T48"/>
    <mergeCell ref="M50:T50"/>
    <mergeCell ref="B46:G50"/>
    <mergeCell ref="H47:L47"/>
    <mergeCell ref="M47:T47"/>
    <mergeCell ref="H50:L50"/>
    <mergeCell ref="U37:U38"/>
    <mergeCell ref="O35:Q35"/>
    <mergeCell ref="O36:Q36"/>
    <mergeCell ref="H44:N44"/>
    <mergeCell ref="O43:Q43"/>
    <mergeCell ref="O44:Q44"/>
    <mergeCell ref="H41:N41"/>
    <mergeCell ref="R41:T41"/>
    <mergeCell ref="O42:Q42"/>
    <mergeCell ref="O41:Q41"/>
    <mergeCell ref="H39:U40"/>
    <mergeCell ref="R42:T44"/>
    <mergeCell ref="R30:T36"/>
    <mergeCell ref="U30:U36"/>
    <mergeCell ref="D35:G35"/>
    <mergeCell ref="D36:G36"/>
    <mergeCell ref="O33:Q33"/>
    <mergeCell ref="D34:G34"/>
    <mergeCell ref="B41:G41"/>
    <mergeCell ref="R37:T38"/>
    <mergeCell ref="B30:C38"/>
    <mergeCell ref="D30:G31"/>
    <mergeCell ref="D32:G32"/>
    <mergeCell ref="D33:G33"/>
    <mergeCell ref="O31:Q31"/>
    <mergeCell ref="H30:M31"/>
    <mergeCell ref="O30:Q30"/>
    <mergeCell ref="O34:Q34"/>
    <mergeCell ref="O32:Q32"/>
    <mergeCell ref="D37:G38"/>
    <mergeCell ref="H37:N38"/>
    <mergeCell ref="O37:Q38"/>
    <mergeCell ref="W2:W3"/>
    <mergeCell ref="J8:K8"/>
    <mergeCell ref="J10:K10"/>
    <mergeCell ref="L8:U8"/>
    <mergeCell ref="L10:U10"/>
    <mergeCell ref="O3:T3"/>
    <mergeCell ref="I5:T5"/>
    <mergeCell ref="I7:T7"/>
    <mergeCell ref="N2:O2"/>
    <mergeCell ref="P2:U2"/>
    <mergeCell ref="I9:T9"/>
    <mergeCell ref="B15:D15"/>
    <mergeCell ref="E15:G15"/>
    <mergeCell ref="B26:G27"/>
    <mergeCell ref="E19:G19"/>
    <mergeCell ref="E17:G17"/>
    <mergeCell ref="O23:T23"/>
    <mergeCell ref="E11:G11"/>
    <mergeCell ref="R28:T28"/>
    <mergeCell ref="R29:T29"/>
    <mergeCell ref="E23:N23"/>
    <mergeCell ref="E20:G20"/>
    <mergeCell ref="O29:Q29"/>
    <mergeCell ref="H28:N28"/>
    <mergeCell ref="O28:Q28"/>
    <mergeCell ref="H29:N29"/>
    <mergeCell ref="B28:G28"/>
    <mergeCell ref="O11:T11"/>
    <mergeCell ref="O13:T13"/>
    <mergeCell ref="H20:J20"/>
    <mergeCell ref="P20:S20"/>
    <mergeCell ref="E13:G13"/>
    <mergeCell ref="O17:T17"/>
    <mergeCell ref="O15:T15"/>
    <mergeCell ref="P19:S19"/>
    <mergeCell ref="H19:J19"/>
  </mergeCells>
  <conditionalFormatting sqref="H29">
    <cfRule type="expression" priority="11" dxfId="34" stopIfTrue="1">
      <formula>OR($H$9=3,$H$9=6,)</formula>
    </cfRule>
  </conditionalFormatting>
  <conditionalFormatting sqref="D37:N38">
    <cfRule type="expression" priority="12" dxfId="87" stopIfTrue="1">
      <formula>OR($O$9="集合住宅")</formula>
    </cfRule>
  </conditionalFormatting>
  <conditionalFormatting sqref="O37:Q38">
    <cfRule type="expression" priority="13" dxfId="84" stopIfTrue="1">
      <formula>OR($O$9="集合住宅")</formula>
    </cfRule>
  </conditionalFormatting>
  <conditionalFormatting sqref="R37:T38">
    <cfRule type="expression" priority="14" dxfId="89" stopIfTrue="1">
      <formula>OR($O$9="集合住宅")</formula>
    </cfRule>
  </conditionalFormatting>
  <conditionalFormatting sqref="U37:U38">
    <cfRule type="expression" priority="15" dxfId="86" stopIfTrue="1">
      <formula>OR($O$9="集合住宅")</formula>
    </cfRule>
  </conditionalFormatting>
  <conditionalFormatting sqref="H19:K19">
    <cfRule type="expression" priority="10" dxfId="90" stopIfTrue="1">
      <formula>$K$19&lt;&gt;"○"</formula>
    </cfRule>
  </conditionalFormatting>
  <conditionalFormatting sqref="H20:K20">
    <cfRule type="expression" priority="8" dxfId="91" stopIfTrue="1">
      <formula>$K$20&lt;&gt;"○"</formula>
    </cfRule>
  </conditionalFormatting>
  <conditionalFormatting sqref="L19:M19">
    <cfRule type="expression" priority="7" dxfId="91" stopIfTrue="1">
      <formula>$M$19&lt;&gt;"○"</formula>
    </cfRule>
  </conditionalFormatting>
  <conditionalFormatting sqref="L20:M20">
    <cfRule type="expression" priority="6" dxfId="91" stopIfTrue="1">
      <formula>$M$20&lt;&gt;"○"</formula>
    </cfRule>
  </conditionalFormatting>
  <conditionalFormatting sqref="N19:O19">
    <cfRule type="expression" priority="5" dxfId="91" stopIfTrue="1">
      <formula>$O$19&lt;&gt;"○"</formula>
    </cfRule>
  </conditionalFormatting>
  <conditionalFormatting sqref="N20:O20">
    <cfRule type="expression" priority="4" dxfId="91" stopIfTrue="1">
      <formula>$O$20&lt;&gt;"○"</formula>
    </cfRule>
  </conditionalFormatting>
  <conditionalFormatting sqref="P19:T19">
    <cfRule type="expression" priority="3" dxfId="91" stopIfTrue="1">
      <formula>$T$19&lt;&gt;"○"</formula>
    </cfRule>
  </conditionalFormatting>
  <conditionalFormatting sqref="P20:T20">
    <cfRule type="expression" priority="2" dxfId="91" stopIfTrue="1">
      <formula>$T$20&lt;&gt;"○"</formula>
    </cfRule>
  </conditionalFormatting>
  <conditionalFormatting sqref="K19">
    <cfRule type="expression" priority="1" dxfId="91"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75" zoomScaleNormal="75" zoomScaleSheetLayoutView="70" zoomScalePageLayoutView="0" workbookViewId="0" topLeftCell="A1">
      <selection activeCell="O2" sqref="O2:Q2"/>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75390625" style="123" customWidth="1"/>
    <col min="7" max="7" width="10.50390625" style="109" customWidth="1"/>
    <col min="8" max="8" width="5.625" style="109" customWidth="1"/>
    <col min="9" max="9" width="4.25390625" style="109" customWidth="1"/>
    <col min="10" max="10" width="12.00390625" style="110" customWidth="1"/>
    <col min="11" max="11" width="7.00390625" style="110" customWidth="1"/>
    <col min="12" max="12" width="7.125" style="109" customWidth="1"/>
    <col min="13" max="13" width="15.625" style="109" customWidth="1"/>
    <col min="14" max="14" width="15.625" style="111" customWidth="1"/>
    <col min="15" max="15" width="15.625" style="112" customWidth="1"/>
    <col min="16" max="16" width="8.375" style="111" customWidth="1"/>
    <col min="17" max="17" width="1.00390625" style="111" customWidth="1"/>
    <col min="18" max="18" width="0.74609375" style="106" customWidth="1"/>
    <col min="19" max="19" width="8.75390625" style="106" customWidth="1"/>
    <col min="20" max="20" width="0.2421875" style="789" customWidth="1"/>
    <col min="21" max="21" width="0.2421875" style="96" customWidth="1"/>
    <col min="22" max="24" width="5.375" style="96" hidden="1" customWidth="1"/>
    <col min="25" max="25" width="18.625" style="97" hidden="1" customWidth="1"/>
    <col min="26" max="31" width="18.625" style="96" hidden="1" customWidth="1"/>
    <col min="32" max="32" width="20.125" style="96" hidden="1" customWidth="1"/>
    <col min="33" max="16384" width="9.00390625" style="801" hidden="1" customWidth="1"/>
  </cols>
  <sheetData>
    <row r="1" spans="1:32" s="799" customFormat="1" ht="6" customHeight="1" thickBot="1">
      <c r="A1" s="140"/>
      <c r="B1" s="141"/>
      <c r="C1" s="141"/>
      <c r="D1" s="142"/>
      <c r="E1" s="143"/>
      <c r="F1" s="144"/>
      <c r="G1" s="145"/>
      <c r="H1" s="145"/>
      <c r="I1" s="145"/>
      <c r="J1" s="146"/>
      <c r="K1" s="146"/>
      <c r="L1" s="145"/>
      <c r="M1" s="147"/>
      <c r="N1" s="144"/>
      <c r="O1" s="144"/>
      <c r="P1" s="144"/>
      <c r="Q1" s="140"/>
      <c r="R1" s="140"/>
      <c r="S1" s="148"/>
      <c r="T1" s="787"/>
      <c r="U1" s="94"/>
      <c r="V1" s="94"/>
      <c r="W1" s="94"/>
      <c r="X1" s="94"/>
      <c r="Y1" s="95"/>
      <c r="Z1" s="94"/>
      <c r="AA1" s="94"/>
      <c r="AB1" s="94"/>
      <c r="AC1" s="94"/>
      <c r="AD1" s="94"/>
      <c r="AE1" s="94"/>
      <c r="AF1" s="94"/>
    </row>
    <row r="2" spans="1:32" s="800" customFormat="1" ht="35.25" customHeight="1" thickBot="1">
      <c r="A2" s="149"/>
      <c r="B2" s="619" t="s">
        <v>0</v>
      </c>
      <c r="C2" s="602"/>
      <c r="D2" s="603"/>
      <c r="E2" s="604"/>
      <c r="F2" s="605"/>
      <c r="G2" s="606"/>
      <c r="H2" s="606"/>
      <c r="I2" s="607"/>
      <c r="J2" s="606"/>
      <c r="K2" s="606"/>
      <c r="L2" s="608"/>
      <c r="M2" s="609"/>
      <c r="N2" s="786" t="s">
        <v>418</v>
      </c>
      <c r="O2" s="1113" t="s">
        <v>445</v>
      </c>
      <c r="P2" s="1113"/>
      <c r="Q2" s="1114"/>
      <c r="R2" s="149"/>
      <c r="S2" s="955"/>
      <c r="T2" s="788"/>
      <c r="U2" s="96"/>
      <c r="V2" s="96"/>
      <c r="W2" s="96"/>
      <c r="X2" s="96"/>
      <c r="Y2" s="97"/>
      <c r="Z2" s="96"/>
      <c r="AA2" s="96"/>
      <c r="AB2" s="96"/>
      <c r="AC2" s="96"/>
      <c r="AD2" s="96"/>
      <c r="AE2" s="96"/>
      <c r="AF2" s="96"/>
    </row>
    <row r="3" spans="1:32" s="800" customFormat="1" ht="35.25" customHeight="1" thickBot="1">
      <c r="A3" s="149"/>
      <c r="B3" s="620" t="s">
        <v>314</v>
      </c>
      <c r="C3" s="610"/>
      <c r="D3" s="611"/>
      <c r="E3" s="612"/>
      <c r="F3" s="613"/>
      <c r="G3" s="614"/>
      <c r="H3" s="615"/>
      <c r="I3" s="616"/>
      <c r="J3" s="616"/>
      <c r="K3" s="616"/>
      <c r="L3" s="616"/>
      <c r="M3" s="616"/>
      <c r="N3" s="616"/>
      <c r="O3" s="617"/>
      <c r="P3" s="621" t="str">
        <f>'評価結果表示'!O3</f>
        <v>Osakafu-新築・既存 2015V1.03</v>
      </c>
      <c r="Q3" s="618"/>
      <c r="R3" s="149"/>
      <c r="S3" s="955"/>
      <c r="X3" s="96"/>
      <c r="Y3" s="814" t="s">
        <v>437</v>
      </c>
      <c r="Z3" s="813" t="s">
        <v>436</v>
      </c>
      <c r="AA3" s="96"/>
      <c r="AB3" s="96"/>
      <c r="AC3" s="96"/>
      <c r="AD3" s="96"/>
      <c r="AE3" s="96"/>
      <c r="AF3" s="96"/>
    </row>
    <row r="4" spans="1:32" s="800" customFormat="1" ht="3.75" customHeight="1" thickBot="1">
      <c r="A4" s="149"/>
      <c r="B4" s="580"/>
      <c r="C4" s="156"/>
      <c r="D4" s="157"/>
      <c r="E4" s="158"/>
      <c r="F4" s="159"/>
      <c r="G4" s="8"/>
      <c r="H4" s="8"/>
      <c r="I4" s="8"/>
      <c r="J4" s="160"/>
      <c r="K4" s="161"/>
      <c r="L4" s="161"/>
      <c r="M4" s="162"/>
      <c r="N4" s="159"/>
      <c r="O4" s="9"/>
      <c r="P4" s="159"/>
      <c r="Q4" s="581"/>
      <c r="R4" s="149"/>
      <c r="S4" s="163"/>
      <c r="T4" s="789"/>
      <c r="U4" s="96"/>
      <c r="V4" s="96"/>
      <c r="W4" s="96"/>
      <c r="X4" s="96"/>
      <c r="Y4" s="97"/>
      <c r="Z4" s="96"/>
      <c r="AA4" s="96"/>
      <c r="AB4" s="96"/>
      <c r="AC4" s="96"/>
      <c r="AD4" s="96"/>
      <c r="AE4" s="96"/>
      <c r="AF4" s="96"/>
    </row>
    <row r="5" spans="1:32" s="800" customFormat="1" ht="34.5" customHeight="1" thickBot="1">
      <c r="A5" s="149"/>
      <c r="B5" s="164" t="s">
        <v>310</v>
      </c>
      <c r="C5" s="378"/>
      <c r="D5" s="165"/>
      <c r="E5" s="166"/>
      <c r="F5" s="166"/>
      <c r="G5" s="167"/>
      <c r="H5" s="167"/>
      <c r="I5" s="167"/>
      <c r="J5" s="1115" t="s">
        <v>352</v>
      </c>
      <c r="K5" s="1116"/>
      <c r="L5" s="1117" t="s">
        <v>402</v>
      </c>
      <c r="M5" s="1118"/>
      <c r="N5" s="1118"/>
      <c r="O5" s="1118"/>
      <c r="P5" s="1118"/>
      <c r="Q5" s="1119"/>
      <c r="R5" s="149"/>
      <c r="S5" s="163"/>
      <c r="T5" s="789"/>
      <c r="Z5" s="96"/>
      <c r="AA5" s="96"/>
      <c r="AB5" s="96"/>
      <c r="AC5" s="96"/>
      <c r="AD5" s="96"/>
      <c r="AE5" s="96"/>
      <c r="AF5" s="96"/>
    </row>
    <row r="6" spans="1:32" s="800" customFormat="1" ht="34.5" customHeight="1" thickBot="1">
      <c r="A6" s="149"/>
      <c r="B6" s="164"/>
      <c r="C6" s="378"/>
      <c r="D6" s="165"/>
      <c r="E6" s="166"/>
      <c r="F6" s="166"/>
      <c r="G6" s="167"/>
      <c r="H6" s="167"/>
      <c r="I6" s="167"/>
      <c r="J6" s="1115" t="s">
        <v>353</v>
      </c>
      <c r="K6" s="1116"/>
      <c r="L6" s="1122" t="s">
        <v>334</v>
      </c>
      <c r="M6" s="1123"/>
      <c r="N6" s="1123"/>
      <c r="O6" s="1123"/>
      <c r="P6" s="1123"/>
      <c r="Q6" s="1124"/>
      <c r="R6" s="149"/>
      <c r="S6" s="163"/>
      <c r="T6" s="789"/>
      <c r="U6" s="96"/>
      <c r="V6" s="96"/>
      <c r="W6" s="96"/>
      <c r="X6" s="96"/>
      <c r="Y6" s="102"/>
      <c r="Z6" s="96"/>
      <c r="AA6" s="96"/>
      <c r="AB6" s="96"/>
      <c r="AC6" s="96"/>
      <c r="AD6" s="96"/>
      <c r="AE6" s="96"/>
      <c r="AF6" s="96"/>
    </row>
    <row r="7" spans="1:32" s="800" customFormat="1" ht="3.75" customHeight="1" thickBot="1">
      <c r="A7" s="149"/>
      <c r="B7" s="669"/>
      <c r="C7" s="670"/>
      <c r="D7" s="670"/>
      <c r="E7" s="671"/>
      <c r="F7" s="649"/>
      <c r="G7" s="649"/>
      <c r="H7" s="649"/>
      <c r="I7" s="649"/>
      <c r="J7" s="1125"/>
      <c r="K7" s="1125"/>
      <c r="L7" s="1125"/>
      <c r="M7" s="1125"/>
      <c r="N7" s="1125"/>
      <c r="O7" s="1125"/>
      <c r="P7" s="1125"/>
      <c r="Q7" s="1126"/>
      <c r="R7" s="149"/>
      <c r="S7" s="163"/>
      <c r="T7" s="789"/>
      <c r="U7" s="96"/>
      <c r="V7" s="96"/>
      <c r="W7" s="96"/>
      <c r="X7" s="96"/>
      <c r="Y7" s="97"/>
      <c r="Z7" s="98"/>
      <c r="AA7" s="99"/>
      <c r="AB7" s="96"/>
      <c r="AC7" s="96"/>
      <c r="AD7" s="96"/>
      <c r="AE7" s="96"/>
      <c r="AF7" s="96"/>
    </row>
    <row r="8" spans="1:32" s="800" customFormat="1" ht="34.5" customHeight="1" thickBot="1">
      <c r="A8" s="149"/>
      <c r="B8" s="674"/>
      <c r="C8" s="675"/>
      <c r="D8" s="675"/>
      <c r="E8" s="676"/>
      <c r="F8" s="677"/>
      <c r="G8" s="677"/>
      <c r="H8" s="677"/>
      <c r="I8" s="1116" t="s">
        <v>401</v>
      </c>
      <c r="J8" s="1116"/>
      <c r="K8" s="1116"/>
      <c r="L8" s="1121" t="str">
        <f>IF(OR(L10="",L10=0),"BEE値が未入力です",IF(L10&gt;=3,"Ｓ",IF(L10&gt;=1.5,"Ａ",IF(L10&gt;=1,"Ｂ＋",IF(L10&gt;=0.5,"Ｂ－","Ｃ")))))</f>
        <v>BEE値が未入力です</v>
      </c>
      <c r="M8" s="1121"/>
      <c r="N8" s="1121"/>
      <c r="O8" s="1121"/>
      <c r="P8" s="1121"/>
      <c r="Q8" s="760"/>
      <c r="R8" s="149"/>
      <c r="S8" s="163"/>
      <c r="T8" s="789"/>
      <c r="U8" s="96"/>
      <c r="V8" s="96"/>
      <c r="W8" s="96"/>
      <c r="X8" s="96"/>
      <c r="Y8" s="97"/>
      <c r="Z8" s="98"/>
      <c r="AA8" s="99"/>
      <c r="AB8" s="96"/>
      <c r="AC8" s="96"/>
      <c r="AD8" s="96"/>
      <c r="AE8" s="96"/>
      <c r="AF8" s="96"/>
    </row>
    <row r="9" spans="1:32" s="800" customFormat="1" ht="3.75" customHeight="1" thickBot="1">
      <c r="A9" s="149"/>
      <c r="B9" s="672"/>
      <c r="C9" s="506"/>
      <c r="D9" s="506"/>
      <c r="E9" s="673"/>
      <c r="F9" s="564"/>
      <c r="G9" s="564"/>
      <c r="H9" s="564"/>
      <c r="I9" s="564"/>
      <c r="J9" s="564"/>
      <c r="K9" s="564"/>
      <c r="L9" s="667"/>
      <c r="M9" s="667"/>
      <c r="N9" s="667"/>
      <c r="O9" s="667"/>
      <c r="P9" s="667"/>
      <c r="Q9" s="668"/>
      <c r="R9" s="149"/>
      <c r="S9" s="163"/>
      <c r="T9" s="789"/>
      <c r="U9" s="96"/>
      <c r="V9" s="96"/>
      <c r="W9" s="96"/>
      <c r="X9" s="96"/>
      <c r="Y9" s="97"/>
      <c r="Z9" s="98"/>
      <c r="AA9" s="99"/>
      <c r="AB9" s="96"/>
      <c r="AC9" s="96"/>
      <c r="AD9" s="96"/>
      <c r="AE9" s="96"/>
      <c r="AF9" s="96"/>
    </row>
    <row r="10" spans="1:32" s="800" customFormat="1" ht="34.5" customHeight="1" thickBot="1">
      <c r="A10" s="149"/>
      <c r="B10" s="674"/>
      <c r="C10" s="675"/>
      <c r="D10" s="675"/>
      <c r="E10" s="676"/>
      <c r="F10" s="677"/>
      <c r="G10" s="677"/>
      <c r="H10" s="677"/>
      <c r="I10" s="677"/>
      <c r="J10" s="1127" t="s">
        <v>385</v>
      </c>
      <c r="K10" s="1128"/>
      <c r="L10" s="1120"/>
      <c r="M10" s="1120"/>
      <c r="N10" s="1120"/>
      <c r="O10" s="1120"/>
      <c r="P10" s="1120"/>
      <c r="Q10" s="737"/>
      <c r="R10" s="149"/>
      <c r="S10" s="163"/>
      <c r="T10" s="793"/>
      <c r="U10" s="793"/>
      <c r="V10" s="793"/>
      <c r="W10" s="793"/>
      <c r="X10" s="96"/>
      <c r="Y10" s="793"/>
      <c r="Z10" s="98"/>
      <c r="AA10" s="99"/>
      <c r="AB10" s="96"/>
      <c r="AC10" s="96"/>
      <c r="AD10" s="96"/>
      <c r="AE10" s="96"/>
      <c r="AF10" s="96"/>
    </row>
    <row r="11" spans="1:32" s="800" customFormat="1" ht="3.75" customHeight="1" thickBot="1">
      <c r="A11" s="149"/>
      <c r="B11" s="672"/>
      <c r="C11" s="506"/>
      <c r="D11" s="506"/>
      <c r="E11" s="673"/>
      <c r="F11" s="564"/>
      <c r="G11" s="564"/>
      <c r="H11" s="564"/>
      <c r="I11" s="564"/>
      <c r="J11" s="564"/>
      <c r="K11" s="564"/>
      <c r="L11" s="667"/>
      <c r="M11" s="667"/>
      <c r="N11" s="667"/>
      <c r="O11" s="667"/>
      <c r="P11" s="667"/>
      <c r="Q11" s="668"/>
      <c r="R11" s="149"/>
      <c r="S11" s="163"/>
      <c r="T11" s="789"/>
      <c r="U11" s="96"/>
      <c r="V11" s="96"/>
      <c r="W11" s="96"/>
      <c r="X11" s="96"/>
      <c r="Y11" s="97"/>
      <c r="Z11" s="98"/>
      <c r="AA11" s="99"/>
      <c r="AB11" s="96"/>
      <c r="AC11" s="96"/>
      <c r="AD11" s="96"/>
      <c r="AE11" s="96"/>
      <c r="AF11" s="96"/>
    </row>
    <row r="12" spans="1:32" s="800" customFormat="1" ht="19.5" customHeight="1">
      <c r="A12" s="197"/>
      <c r="B12" s="622" t="s">
        <v>306</v>
      </c>
      <c r="C12" s="623"/>
      <c r="D12" s="624"/>
      <c r="E12" s="625"/>
      <c r="F12" s="624"/>
      <c r="G12" s="624"/>
      <c r="H12" s="626"/>
      <c r="I12" s="1139" t="s">
        <v>301</v>
      </c>
      <c r="J12" s="1140"/>
      <c r="K12" s="627" t="s">
        <v>307</v>
      </c>
      <c r="L12" s="1111" t="s">
        <v>321</v>
      </c>
      <c r="M12" s="1112"/>
      <c r="N12" s="724" t="s">
        <v>308</v>
      </c>
      <c r="O12" s="542">
        <v>5000</v>
      </c>
      <c r="P12" s="216" t="s">
        <v>354</v>
      </c>
      <c r="Q12" s="217"/>
      <c r="R12" s="149"/>
      <c r="S12" s="163"/>
      <c r="T12" s="794" t="s">
        <v>420</v>
      </c>
      <c r="U12" s="96">
        <f>IF(OR($L$10="",$L$10=0),0,IF($L$10&gt;=3,5,IF($L$10&gt;=1.5,4,IF($L$10&gt;=1,3,IF($L$10&gt;=0.5,2,1)))))</f>
        <v>0</v>
      </c>
      <c r="V12" s="98"/>
      <c r="W12" s="98"/>
      <c r="X12" s="98"/>
      <c r="Y12" s="98"/>
      <c r="Z12" s="99"/>
      <c r="AA12" s="727"/>
      <c r="AB12" s="96"/>
      <c r="AC12" s="96"/>
      <c r="AD12" s="96"/>
      <c r="AE12" s="96"/>
      <c r="AF12" s="96"/>
    </row>
    <row r="13" spans="1:32" s="800" customFormat="1" ht="19.5" customHeight="1">
      <c r="A13" s="197"/>
      <c r="B13" s="628"/>
      <c r="C13" s="629"/>
      <c r="D13" s="630"/>
      <c r="E13" s="631"/>
      <c r="F13" s="630"/>
      <c r="G13" s="630"/>
      <c r="H13" s="632"/>
      <c r="I13" s="1106" t="s">
        <v>302</v>
      </c>
      <c r="J13" s="1107"/>
      <c r="K13" s="633" t="s">
        <v>307</v>
      </c>
      <c r="L13" s="1110"/>
      <c r="M13" s="1110"/>
      <c r="N13" s="725" t="s">
        <v>308</v>
      </c>
      <c r="O13" s="543"/>
      <c r="P13" s="218" t="s">
        <v>311</v>
      </c>
      <c r="Q13" s="219"/>
      <c r="R13" s="149"/>
      <c r="S13" s="163"/>
      <c r="T13" s="96" t="s">
        <v>422</v>
      </c>
      <c r="U13" s="96">
        <f>$U12-5</f>
        <v>-5</v>
      </c>
      <c r="V13" s="98"/>
      <c r="W13" s="98"/>
      <c r="X13" s="98"/>
      <c r="Y13" s="98"/>
      <c r="Z13" s="99"/>
      <c r="AA13" s="727"/>
      <c r="AB13" s="96"/>
      <c r="AC13" s="96"/>
      <c r="AD13" s="96"/>
      <c r="AE13" s="96"/>
      <c r="AF13" s="96"/>
    </row>
    <row r="14" spans="1:32" s="800" customFormat="1" ht="19.5" customHeight="1">
      <c r="A14" s="197"/>
      <c r="B14" s="628"/>
      <c r="C14" s="629"/>
      <c r="D14" s="630"/>
      <c r="E14" s="631"/>
      <c r="F14" s="630"/>
      <c r="G14" s="630"/>
      <c r="H14" s="632"/>
      <c r="I14" s="1106" t="s">
        <v>303</v>
      </c>
      <c r="J14" s="1107"/>
      <c r="K14" s="633" t="s">
        <v>307</v>
      </c>
      <c r="L14" s="1110"/>
      <c r="M14" s="1110"/>
      <c r="N14" s="725" t="s">
        <v>308</v>
      </c>
      <c r="O14" s="543"/>
      <c r="P14" s="218" t="s">
        <v>311</v>
      </c>
      <c r="Q14" s="219"/>
      <c r="R14" s="149"/>
      <c r="S14" s="163"/>
      <c r="T14" s="789"/>
      <c r="U14" s="100"/>
      <c r="V14" s="100"/>
      <c r="W14" s="100"/>
      <c r="X14" s="100"/>
      <c r="Y14" s="735"/>
      <c r="Z14" s="101"/>
      <c r="AA14" s="727"/>
      <c r="AB14" s="96"/>
      <c r="AC14" s="96"/>
      <c r="AD14" s="96"/>
      <c r="AE14" s="96"/>
      <c r="AF14" s="96"/>
    </row>
    <row r="15" spans="1:32" s="800" customFormat="1" ht="19.5" customHeight="1">
      <c r="A15" s="197"/>
      <c r="B15" s="628"/>
      <c r="C15" s="629"/>
      <c r="D15" s="630"/>
      <c r="E15" s="631"/>
      <c r="F15" s="630"/>
      <c r="G15" s="630"/>
      <c r="H15" s="632"/>
      <c r="I15" s="1106" t="s">
        <v>304</v>
      </c>
      <c r="J15" s="1107"/>
      <c r="K15" s="633" t="s">
        <v>307</v>
      </c>
      <c r="L15" s="1110"/>
      <c r="M15" s="1110"/>
      <c r="N15" s="725" t="s">
        <v>308</v>
      </c>
      <c r="O15" s="543"/>
      <c r="P15" s="218" t="s">
        <v>311</v>
      </c>
      <c r="Q15" s="219"/>
      <c r="R15" s="149"/>
      <c r="S15" s="163"/>
      <c r="T15" s="789"/>
      <c r="U15" s="96"/>
      <c r="V15" s="96"/>
      <c r="W15" s="96"/>
      <c r="X15" s="96"/>
      <c r="Y15" s="736"/>
      <c r="Z15" s="101"/>
      <c r="AA15" s="728"/>
      <c r="AB15" s="96"/>
      <c r="AC15" s="96"/>
      <c r="AD15" s="96"/>
      <c r="AE15" s="96"/>
      <c r="AF15" s="96"/>
    </row>
    <row r="16" spans="1:32" s="800" customFormat="1" ht="19.5" customHeight="1" thickBot="1">
      <c r="A16" s="197"/>
      <c r="B16" s="634"/>
      <c r="C16" s="635"/>
      <c r="D16" s="636"/>
      <c r="E16" s="637"/>
      <c r="F16" s="636"/>
      <c r="G16" s="636"/>
      <c r="H16" s="638"/>
      <c r="I16" s="1129" t="s">
        <v>305</v>
      </c>
      <c r="J16" s="1130"/>
      <c r="K16" s="639"/>
      <c r="L16" s="640"/>
      <c r="M16" s="641"/>
      <c r="N16" s="726" t="s">
        <v>309</v>
      </c>
      <c r="O16" s="648">
        <f>SUM(O12:O15)</f>
        <v>5000</v>
      </c>
      <c r="P16" s="220" t="s">
        <v>312</v>
      </c>
      <c r="Q16" s="221"/>
      <c r="R16" s="149"/>
      <c r="S16" s="163"/>
      <c r="T16" s="789"/>
      <c r="U16" s="96"/>
      <c r="V16" s="96"/>
      <c r="W16" s="96"/>
      <c r="X16" s="96"/>
      <c r="Y16" s="736"/>
      <c r="Z16" s="101"/>
      <c r="AA16" s="729"/>
      <c r="AB16" s="96"/>
      <c r="AC16" s="96"/>
      <c r="AD16" s="96"/>
      <c r="AE16" s="96"/>
      <c r="AF16" s="96"/>
    </row>
    <row r="17" spans="1:32" s="800" customFormat="1" ht="3" customHeight="1">
      <c r="A17" s="149"/>
      <c r="B17" s="582"/>
      <c r="C17" s="185"/>
      <c r="D17" s="186"/>
      <c r="E17" s="187"/>
      <c r="F17" s="186"/>
      <c r="G17" s="186"/>
      <c r="H17" s="186"/>
      <c r="I17" s="186"/>
      <c r="J17" s="186"/>
      <c r="K17" s="186"/>
      <c r="L17" s="188"/>
      <c r="M17" s="188"/>
      <c r="N17" s="189"/>
      <c r="O17" s="189"/>
      <c r="P17" s="189"/>
      <c r="Q17" s="563"/>
      <c r="R17" s="149"/>
      <c r="S17" s="163"/>
      <c r="T17" s="789"/>
      <c r="U17" s="96"/>
      <c r="V17" s="96"/>
      <c r="W17" s="96"/>
      <c r="X17" s="96"/>
      <c r="Y17" s="100"/>
      <c r="Z17" s="101"/>
      <c r="AA17" s="729"/>
      <c r="AB17" s="96"/>
      <c r="AC17" s="96"/>
      <c r="AD17" s="96"/>
      <c r="AE17" s="96"/>
      <c r="AF17" s="96"/>
    </row>
    <row r="18" spans="1:32" s="800" customFormat="1" ht="24.75" customHeight="1">
      <c r="A18" s="149"/>
      <c r="B18" s="190" t="s">
        <v>1</v>
      </c>
      <c r="C18" s="577"/>
      <c r="D18" s="191"/>
      <c r="E18" s="192"/>
      <c r="F18" s="191"/>
      <c r="G18" s="191"/>
      <c r="H18" s="191"/>
      <c r="I18" s="191"/>
      <c r="J18" s="191"/>
      <c r="K18" s="191"/>
      <c r="L18" s="193"/>
      <c r="M18" s="193"/>
      <c r="N18" s="194"/>
      <c r="O18" s="194"/>
      <c r="P18" s="194"/>
      <c r="Q18" s="195"/>
      <c r="R18" s="149"/>
      <c r="S18" s="163"/>
      <c r="T18" s="789"/>
      <c r="U18" s="96"/>
      <c r="V18" s="96"/>
      <c r="W18" s="96"/>
      <c r="X18" s="96"/>
      <c r="Y18" s="100"/>
      <c r="Z18" s="101"/>
      <c r="AA18" s="730"/>
      <c r="AB18" s="96"/>
      <c r="AC18" s="96"/>
      <c r="AD18" s="96"/>
      <c r="AE18" s="96"/>
      <c r="AF18" s="96"/>
    </row>
    <row r="19" spans="1:32" s="800" customFormat="1" ht="24.75" customHeight="1">
      <c r="A19" s="149"/>
      <c r="B19" s="642" t="s">
        <v>371</v>
      </c>
      <c r="C19" s="643"/>
      <c r="D19" s="644"/>
      <c r="E19" s="645"/>
      <c r="F19" s="644"/>
      <c r="G19" s="644"/>
      <c r="H19" s="644"/>
      <c r="I19" s="644"/>
      <c r="J19" s="644"/>
      <c r="K19" s="644"/>
      <c r="L19" s="701"/>
      <c r="M19" s="701"/>
      <c r="N19" s="702"/>
      <c r="O19" s="702"/>
      <c r="P19" s="702"/>
      <c r="Q19" s="703"/>
      <c r="R19" s="149"/>
      <c r="S19" s="163"/>
      <c r="T19" s="789"/>
      <c r="U19" s="96"/>
      <c r="V19" s="96"/>
      <c r="W19" s="96"/>
      <c r="X19" s="96"/>
      <c r="Y19" s="100"/>
      <c r="Z19" s="101"/>
      <c r="AA19" s="730"/>
      <c r="AB19" s="96"/>
      <c r="AC19" s="96"/>
      <c r="AD19" s="96"/>
      <c r="AE19" s="96"/>
      <c r="AF19" s="96"/>
    </row>
    <row r="20" spans="1:32" s="800" customFormat="1" ht="24.75" customHeight="1">
      <c r="A20" s="149"/>
      <c r="B20" s="686" t="s">
        <v>372</v>
      </c>
      <c r="C20" s="687"/>
      <c r="D20" s="688"/>
      <c r="E20" s="689"/>
      <c r="F20" s="688"/>
      <c r="G20" s="688"/>
      <c r="H20" s="688"/>
      <c r="I20" s="688"/>
      <c r="J20" s="688"/>
      <c r="K20" s="688"/>
      <c r="L20" s="688"/>
      <c r="M20" s="688"/>
      <c r="N20" s="688"/>
      <c r="O20" s="688"/>
      <c r="P20" s="688"/>
      <c r="Q20" s="690"/>
      <c r="R20" s="149"/>
      <c r="S20" s="163"/>
      <c r="T20" s="789"/>
      <c r="U20" s="96"/>
      <c r="V20" s="96"/>
      <c r="W20" s="96"/>
      <c r="X20" s="96"/>
      <c r="Y20" s="100"/>
      <c r="Z20" s="101"/>
      <c r="AA20" s="731"/>
      <c r="AB20" s="96"/>
      <c r="AC20" s="96"/>
      <c r="AD20" s="96"/>
      <c r="AE20" s="96"/>
      <c r="AF20" s="96"/>
    </row>
    <row r="21" spans="1:32" s="800" customFormat="1" ht="24.75" customHeight="1">
      <c r="A21" s="149"/>
      <c r="B21" s="1073" t="s">
        <v>2</v>
      </c>
      <c r="C21" s="1074"/>
      <c r="D21" s="1074"/>
      <c r="E21" s="1074"/>
      <c r="F21" s="1074"/>
      <c r="G21" s="1075"/>
      <c r="H21" s="1067" t="s">
        <v>313</v>
      </c>
      <c r="I21" s="1067"/>
      <c r="J21" s="1067"/>
      <c r="K21" s="1067"/>
      <c r="L21" s="1067"/>
      <c r="M21" s="1097" t="s">
        <v>328</v>
      </c>
      <c r="N21" s="1102"/>
      <c r="O21" s="1098"/>
      <c r="P21" s="1056" t="s">
        <v>3</v>
      </c>
      <c r="Q21" s="1057"/>
      <c r="R21" s="149"/>
      <c r="S21" s="163"/>
      <c r="T21" s="789"/>
      <c r="U21" s="96"/>
      <c r="V21" s="96"/>
      <c r="W21" s="96"/>
      <c r="X21" s="96"/>
      <c r="Y21" s="100"/>
      <c r="Z21" s="101"/>
      <c r="AA21" s="732"/>
      <c r="AB21" s="96"/>
      <c r="AC21" s="96"/>
      <c r="AD21" s="96"/>
      <c r="AE21" s="96"/>
      <c r="AF21" s="96"/>
    </row>
    <row r="22" spans="1:32" s="800" customFormat="1" ht="54.75" customHeight="1">
      <c r="A22" s="149"/>
      <c r="B22" s="210" t="s">
        <v>326</v>
      </c>
      <c r="C22" s="578"/>
      <c r="D22" s="211"/>
      <c r="E22" s="212"/>
      <c r="F22" s="211"/>
      <c r="G22" s="213"/>
      <c r="H22" s="579" t="s">
        <v>351</v>
      </c>
      <c r="I22" s="212"/>
      <c r="J22" s="212"/>
      <c r="K22" s="212"/>
      <c r="L22" s="658"/>
      <c r="M22" s="1108"/>
      <c r="N22" s="1109"/>
      <c r="O22" s="762"/>
      <c r="P22" s="716" t="str">
        <f>IF(OR(O22="",O22=0),"-",(IF(O22&gt;=4.5,5,(IF(O22&gt;=3.5,4,(IF(O22&gt;=2.5,3,(IF(O22&gt;=1.5,2,1)))))))))</f>
        <v>-</v>
      </c>
      <c r="Q22" s="695"/>
      <c r="R22" s="149"/>
      <c r="S22" s="163"/>
      <c r="T22" s="793"/>
      <c r="U22" s="793"/>
      <c r="V22" s="793"/>
      <c r="W22" s="793"/>
      <c r="X22" s="96"/>
      <c r="Y22" s="742" t="s">
        <v>329</v>
      </c>
      <c r="Z22" s="743" t="s">
        <v>16</v>
      </c>
      <c r="AA22" s="744" t="s">
        <v>384</v>
      </c>
      <c r="AB22" s="754" t="s">
        <v>389</v>
      </c>
      <c r="AC22" s="756" t="s">
        <v>395</v>
      </c>
      <c r="AD22" s="796" t="s">
        <v>434</v>
      </c>
      <c r="AE22" s="812" t="s">
        <v>438</v>
      </c>
      <c r="AF22" s="96"/>
    </row>
    <row r="23" spans="1:32" s="800" customFormat="1" ht="25.5" customHeight="1">
      <c r="A23" s="149"/>
      <c r="B23" s="1133" t="s">
        <v>403</v>
      </c>
      <c r="C23" s="1134"/>
      <c r="D23" s="1079" t="s">
        <v>335</v>
      </c>
      <c r="E23" s="1080"/>
      <c r="F23" s="1080"/>
      <c r="G23" s="1081"/>
      <c r="H23" s="1131" t="s">
        <v>442</v>
      </c>
      <c r="I23" s="1080"/>
      <c r="J23" s="1080"/>
      <c r="K23" s="1080"/>
      <c r="L23" s="700"/>
      <c r="M23" s="700" t="s">
        <v>367</v>
      </c>
      <c r="N23" s="700" t="s">
        <v>368</v>
      </c>
      <c r="O23" s="761" t="s">
        <v>369</v>
      </c>
      <c r="P23" s="1089" t="str">
        <f>IF(M28*M29*M31=0,"-",(IF(AB28&gt;=4.5,5,(IF(AB28&gt;=3.5,4,(IF(AB28&gt;=2.5,3,(IF(AB28&gt;=1.5,2,1)))))))))</f>
        <v>-</v>
      </c>
      <c r="Q23" s="650"/>
      <c r="R23" s="149"/>
      <c r="S23" s="163"/>
      <c r="T23" s="794" t="s">
        <v>421</v>
      </c>
      <c r="U23" s="795">
        <f>IF(P22="-",0,P22)</f>
        <v>0</v>
      </c>
      <c r="V23" s="793"/>
      <c r="W23" s="793"/>
      <c r="X23" s="96"/>
      <c r="Y23" s="742" t="s">
        <v>349</v>
      </c>
      <c r="Z23" s="743" t="s">
        <v>20</v>
      </c>
      <c r="AA23" s="744" t="s">
        <v>392</v>
      </c>
      <c r="AB23" s="748" t="s">
        <v>3</v>
      </c>
      <c r="AC23" s="755"/>
      <c r="AD23" s="769" t="s">
        <v>405</v>
      </c>
      <c r="AE23" s="797" t="s">
        <v>435</v>
      </c>
      <c r="AF23" s="96"/>
    </row>
    <row r="24" spans="1:32" s="800" customFormat="1" ht="25.5" customHeight="1">
      <c r="A24" s="149"/>
      <c r="B24" s="1135"/>
      <c r="C24" s="1136"/>
      <c r="D24" s="1082"/>
      <c r="E24" s="1083"/>
      <c r="F24" s="1083"/>
      <c r="G24" s="1084"/>
      <c r="H24" s="1132"/>
      <c r="I24" s="1083"/>
      <c r="J24" s="1083"/>
      <c r="K24" s="1083"/>
      <c r="L24" s="700" t="s">
        <v>365</v>
      </c>
      <c r="M24" s="763"/>
      <c r="N24" s="764"/>
      <c r="O24" s="765"/>
      <c r="P24" s="1090"/>
      <c r="Q24" s="651"/>
      <c r="R24" s="149"/>
      <c r="S24" s="163"/>
      <c r="T24" s="96" t="s">
        <v>423</v>
      </c>
      <c r="U24" s="96">
        <f>$U23-5</f>
        <v>-5</v>
      </c>
      <c r="V24" s="96"/>
      <c r="W24" s="96"/>
      <c r="X24" s="96"/>
      <c r="Y24" s="742" t="s">
        <v>6</v>
      </c>
      <c r="Z24" s="743" t="s">
        <v>21</v>
      </c>
      <c r="AA24" s="744" t="s">
        <v>393</v>
      </c>
      <c r="AB24" s="750">
        <f>IF(M24=0,(IF(M25=0,0,((M25*N25*O25)*1))),(IF(M25=0,((M24*N24*O24)*1),(((M24*N24*O24)*(1-O26))+((M25*N25*O25)*O26)))))+M27+M28+M29+M30+M31</f>
        <v>0</v>
      </c>
      <c r="AC24" s="749"/>
      <c r="AD24" s="769" t="s">
        <v>419</v>
      </c>
      <c r="AE24" s="797" t="s">
        <v>436</v>
      </c>
      <c r="AF24" s="96"/>
    </row>
    <row r="25" spans="1:32" s="800" customFormat="1" ht="25.5" customHeight="1">
      <c r="A25" s="149"/>
      <c r="B25" s="1135"/>
      <c r="C25" s="1136"/>
      <c r="D25" s="1082"/>
      <c r="E25" s="1083"/>
      <c r="F25" s="1083"/>
      <c r="G25" s="1084"/>
      <c r="H25" s="1085"/>
      <c r="I25" s="1086"/>
      <c r="J25" s="1086"/>
      <c r="K25" s="1086"/>
      <c r="L25" s="680" t="s">
        <v>366</v>
      </c>
      <c r="M25" s="763"/>
      <c r="N25" s="764"/>
      <c r="O25" s="765"/>
      <c r="P25" s="1090"/>
      <c r="Q25" s="651"/>
      <c r="R25" s="149"/>
      <c r="S25" s="163"/>
      <c r="T25" s="794" t="s">
        <v>424</v>
      </c>
      <c r="U25" s="795">
        <f>IF(P23="-",0,P23)</f>
        <v>0</v>
      </c>
      <c r="V25" s="96"/>
      <c r="W25" s="96"/>
      <c r="X25" s="96"/>
      <c r="Y25" s="742" t="s">
        <v>7</v>
      </c>
      <c r="Z25" s="743" t="s">
        <v>22</v>
      </c>
      <c r="AA25" s="744" t="s">
        <v>394</v>
      </c>
      <c r="AB25" s="748" t="s">
        <v>390</v>
      </c>
      <c r="AC25" s="749"/>
      <c r="AD25" s="770"/>
      <c r="AE25" s="797"/>
      <c r="AF25" s="96"/>
    </row>
    <row r="26" spans="1:32" s="800" customFormat="1" ht="25.5" customHeight="1">
      <c r="A26" s="149"/>
      <c r="B26" s="1135"/>
      <c r="C26" s="1136"/>
      <c r="D26" s="1085"/>
      <c r="E26" s="1086"/>
      <c r="F26" s="1086"/>
      <c r="G26" s="1087"/>
      <c r="H26" s="1069" t="s">
        <v>447</v>
      </c>
      <c r="I26" s="1070"/>
      <c r="J26" s="1070"/>
      <c r="K26" s="1070"/>
      <c r="L26" s="1071"/>
      <c r="M26" s="1092" t="s">
        <v>370</v>
      </c>
      <c r="N26" s="1093"/>
      <c r="O26" s="765"/>
      <c r="P26" s="1090"/>
      <c r="Q26" s="651"/>
      <c r="R26" s="149"/>
      <c r="S26" s="163"/>
      <c r="T26" s="96" t="s">
        <v>425</v>
      </c>
      <c r="U26" s="96">
        <f>$U25-5</f>
        <v>-5</v>
      </c>
      <c r="V26" s="96"/>
      <c r="W26" s="96"/>
      <c r="X26" s="96"/>
      <c r="Y26" s="745"/>
      <c r="Z26" s="743" t="s">
        <v>23</v>
      </c>
      <c r="AA26" s="744" t="s">
        <v>386</v>
      </c>
      <c r="AB26" s="751">
        <f>IF(M24=0,(IF(M25=0,0,((5*N25*O25)*1))),(IF(M25=0,((5*N24*O24)*1),((5*N24*O24)*(1-O26)+5*N25*O25*O26))))+(IF(M27=0,0,5))+(IF(M28=0,0,5))+(IF(M29=0,0,5))+(IF(M30=0,0,5))+(IF(M31=0,0,5))</f>
        <v>0</v>
      </c>
      <c r="AC26" s="749"/>
      <c r="AD26" s="770"/>
      <c r="AE26" s="798"/>
      <c r="AF26" s="96"/>
    </row>
    <row r="27" spans="1:32" s="800" customFormat="1" ht="25.5" customHeight="1">
      <c r="A27" s="149"/>
      <c r="B27" s="1135"/>
      <c r="C27" s="1136"/>
      <c r="D27" s="1069" t="s">
        <v>444</v>
      </c>
      <c r="E27" s="1070"/>
      <c r="F27" s="1070"/>
      <c r="G27" s="1071"/>
      <c r="H27" s="1069" t="s">
        <v>341</v>
      </c>
      <c r="I27" s="1070"/>
      <c r="J27" s="1070"/>
      <c r="K27" s="1070"/>
      <c r="L27" s="1071"/>
      <c r="M27" s="1051"/>
      <c r="N27" s="1052"/>
      <c r="O27" s="1053"/>
      <c r="P27" s="1090"/>
      <c r="Q27" s="651"/>
      <c r="R27" s="149"/>
      <c r="S27" s="163"/>
      <c r="T27" s="789"/>
      <c r="U27" s="96"/>
      <c r="V27" s="96"/>
      <c r="W27" s="96"/>
      <c r="X27" s="96"/>
      <c r="Y27" s="745"/>
      <c r="Z27" s="743" t="s">
        <v>382</v>
      </c>
      <c r="AA27" s="744" t="s">
        <v>387</v>
      </c>
      <c r="AB27" s="748" t="s">
        <v>391</v>
      </c>
      <c r="AC27" s="755" t="s">
        <v>391</v>
      </c>
      <c r="AD27" s="770"/>
      <c r="AE27" s="798"/>
      <c r="AF27" s="96"/>
    </row>
    <row r="28" spans="1:32" s="800" customFormat="1" ht="25.5" customHeight="1">
      <c r="A28" s="149"/>
      <c r="B28" s="1135"/>
      <c r="C28" s="1136"/>
      <c r="D28" s="1069" t="s">
        <v>336</v>
      </c>
      <c r="E28" s="1070"/>
      <c r="F28" s="1070"/>
      <c r="G28" s="1071"/>
      <c r="H28" s="1069" t="s">
        <v>342</v>
      </c>
      <c r="I28" s="1070"/>
      <c r="J28" s="1070"/>
      <c r="K28" s="1070"/>
      <c r="L28" s="1071"/>
      <c r="M28" s="1051"/>
      <c r="N28" s="1052"/>
      <c r="O28" s="1053"/>
      <c r="P28" s="1090"/>
      <c r="Q28" s="651"/>
      <c r="R28" s="149"/>
      <c r="S28" s="163"/>
      <c r="T28" s="789"/>
      <c r="U28" s="96"/>
      <c r="V28" s="96"/>
      <c r="W28" s="96"/>
      <c r="X28" s="96"/>
      <c r="Y28" s="745"/>
      <c r="Z28" s="743" t="s">
        <v>29</v>
      </c>
      <c r="AA28" s="744"/>
      <c r="AB28" s="752">
        <f>IF(AB24=0,0,AB24/AB26*5)</f>
        <v>0</v>
      </c>
      <c r="AC28" s="749">
        <f>ROUNDDOWN(((((M36)+(M37*0.5)+(M38*0.5))*5)/10),1)</f>
        <v>0</v>
      </c>
      <c r="AD28" s="770"/>
      <c r="AE28" s="798"/>
      <c r="AF28" s="96"/>
    </row>
    <row r="29" spans="1:32" s="800" customFormat="1" ht="25.5" customHeight="1">
      <c r="A29" s="149"/>
      <c r="B29" s="1135"/>
      <c r="C29" s="1136"/>
      <c r="D29" s="1069" t="s">
        <v>337</v>
      </c>
      <c r="E29" s="1070"/>
      <c r="F29" s="1070"/>
      <c r="G29" s="1071"/>
      <c r="H29" s="1069" t="s">
        <v>343</v>
      </c>
      <c r="I29" s="1070"/>
      <c r="J29" s="1070"/>
      <c r="K29" s="1070"/>
      <c r="L29" s="1071"/>
      <c r="M29" s="1051"/>
      <c r="N29" s="1052"/>
      <c r="O29" s="1053"/>
      <c r="P29" s="1090"/>
      <c r="Q29" s="666"/>
      <c r="R29" s="149"/>
      <c r="S29" s="163"/>
      <c r="T29" s="789"/>
      <c r="U29" s="96"/>
      <c r="V29" s="96"/>
      <c r="W29" s="96"/>
      <c r="X29" s="96"/>
      <c r="Y29" s="742"/>
      <c r="Z29" s="743" t="s">
        <v>383</v>
      </c>
      <c r="AA29" s="744"/>
      <c r="AB29" s="752"/>
      <c r="AC29" s="749"/>
      <c r="AD29" s="770"/>
      <c r="AE29" s="798"/>
      <c r="AF29" s="96"/>
    </row>
    <row r="30" spans="1:32" s="800" customFormat="1" ht="25.5" customHeight="1">
      <c r="A30" s="149"/>
      <c r="B30" s="1135"/>
      <c r="C30" s="1136"/>
      <c r="D30" s="1069" t="s">
        <v>338</v>
      </c>
      <c r="E30" s="1070"/>
      <c r="F30" s="1070"/>
      <c r="G30" s="1071"/>
      <c r="H30" s="1094" t="s">
        <v>344</v>
      </c>
      <c r="I30" s="1095"/>
      <c r="J30" s="1095"/>
      <c r="K30" s="1095"/>
      <c r="L30" s="1096"/>
      <c r="M30" s="1051"/>
      <c r="N30" s="1052"/>
      <c r="O30" s="1053"/>
      <c r="P30" s="1090"/>
      <c r="Q30" s="666"/>
      <c r="R30" s="149"/>
      <c r="S30" s="163"/>
      <c r="T30" s="789"/>
      <c r="U30" s="96"/>
      <c r="V30" s="96"/>
      <c r="W30" s="96"/>
      <c r="X30" s="96"/>
      <c r="Y30" s="742"/>
      <c r="Z30" s="743" t="s">
        <v>320</v>
      </c>
      <c r="AA30" s="744"/>
      <c r="AB30" s="752"/>
      <c r="AC30" s="749"/>
      <c r="AD30" s="770"/>
      <c r="AE30" s="798"/>
      <c r="AF30" s="96"/>
    </row>
    <row r="31" spans="1:32" s="800" customFormat="1" ht="25.5" customHeight="1">
      <c r="A31" s="149"/>
      <c r="B31" s="1137"/>
      <c r="C31" s="1138"/>
      <c r="D31" s="1069" t="s">
        <v>339</v>
      </c>
      <c r="E31" s="1070"/>
      <c r="F31" s="1070"/>
      <c r="G31" s="1071"/>
      <c r="H31" s="1103" t="s">
        <v>345</v>
      </c>
      <c r="I31" s="1104"/>
      <c r="J31" s="1104"/>
      <c r="K31" s="1104"/>
      <c r="L31" s="1105"/>
      <c r="M31" s="1051"/>
      <c r="N31" s="1052"/>
      <c r="O31" s="1053"/>
      <c r="P31" s="1091"/>
      <c r="Q31" s="694"/>
      <c r="R31" s="149"/>
      <c r="S31" s="163"/>
      <c r="T31" s="789"/>
      <c r="U31" s="96"/>
      <c r="V31" s="96"/>
      <c r="W31" s="96"/>
      <c r="X31" s="96"/>
      <c r="Y31" s="742"/>
      <c r="Z31" s="743" t="s">
        <v>321</v>
      </c>
      <c r="AA31" s="744"/>
      <c r="AB31" s="752"/>
      <c r="AC31" s="749"/>
      <c r="AD31" s="770"/>
      <c r="AE31" s="798"/>
      <c r="AF31" s="96"/>
    </row>
    <row r="32" spans="1:32" s="800" customFormat="1" ht="25.5" customHeight="1">
      <c r="A32" s="149"/>
      <c r="B32" s="1088" t="s">
        <v>350</v>
      </c>
      <c r="C32" s="1086"/>
      <c r="D32" s="1086"/>
      <c r="E32" s="1086"/>
      <c r="F32" s="1086"/>
      <c r="G32" s="1087"/>
      <c r="H32" s="1094" t="s">
        <v>347</v>
      </c>
      <c r="I32" s="1095"/>
      <c r="J32" s="1095"/>
      <c r="K32" s="1095"/>
      <c r="L32" s="1096"/>
      <c r="M32" s="1097" t="s">
        <v>327</v>
      </c>
      <c r="N32" s="1098"/>
      <c r="O32" s="1099" t="s">
        <v>7</v>
      </c>
      <c r="P32" s="1100"/>
      <c r="Q32" s="1101"/>
      <c r="R32" s="149"/>
      <c r="S32" s="163"/>
      <c r="T32" s="789"/>
      <c r="U32" s="96"/>
      <c r="V32" s="96"/>
      <c r="W32" s="96"/>
      <c r="X32" s="96"/>
      <c r="Y32" s="742"/>
      <c r="Z32" s="743"/>
      <c r="AA32" s="744"/>
      <c r="AB32" s="752"/>
      <c r="AC32" s="749"/>
      <c r="AD32" s="770"/>
      <c r="AE32" s="798"/>
      <c r="AF32" s="96"/>
    </row>
    <row r="33" spans="1:32" s="800" customFormat="1" ht="24.75" customHeight="1">
      <c r="A33" s="149"/>
      <c r="B33" s="704" t="s">
        <v>373</v>
      </c>
      <c r="C33" s="705"/>
      <c r="D33" s="705"/>
      <c r="E33" s="705"/>
      <c r="F33" s="705"/>
      <c r="G33" s="705"/>
      <c r="H33" s="705"/>
      <c r="I33" s="705"/>
      <c r="J33" s="705"/>
      <c r="K33" s="705"/>
      <c r="L33" s="705"/>
      <c r="M33" s="705"/>
      <c r="N33" s="705"/>
      <c r="O33" s="705"/>
      <c r="P33" s="705"/>
      <c r="Q33" s="706"/>
      <c r="R33" s="149"/>
      <c r="S33" s="163"/>
      <c r="T33" s="789"/>
      <c r="U33" s="96"/>
      <c r="V33" s="96"/>
      <c r="W33" s="96"/>
      <c r="X33" s="96"/>
      <c r="Y33" s="742"/>
      <c r="Z33" s="746"/>
      <c r="AA33" s="747"/>
      <c r="AB33" s="753"/>
      <c r="AC33" s="749"/>
      <c r="AD33" s="770"/>
      <c r="AE33" s="798"/>
      <c r="AF33" s="96"/>
    </row>
    <row r="34" spans="1:32" s="800" customFormat="1" ht="24.75" customHeight="1">
      <c r="A34" s="149"/>
      <c r="B34" s="696" t="s">
        <v>374</v>
      </c>
      <c r="C34" s="697"/>
      <c r="D34" s="697"/>
      <c r="E34" s="697"/>
      <c r="F34" s="697"/>
      <c r="G34" s="697"/>
      <c r="H34" s="697"/>
      <c r="I34" s="697"/>
      <c r="J34" s="697"/>
      <c r="K34" s="697"/>
      <c r="L34" s="697"/>
      <c r="M34" s="697"/>
      <c r="N34" s="697"/>
      <c r="O34" s="697"/>
      <c r="P34" s="697"/>
      <c r="Q34" s="707"/>
      <c r="R34" s="149"/>
      <c r="S34" s="163"/>
      <c r="T34" s="789"/>
      <c r="U34" s="96"/>
      <c r="V34" s="96"/>
      <c r="W34" s="96"/>
      <c r="X34" s="96"/>
      <c r="Y34" s="102"/>
      <c r="Z34" s="96"/>
      <c r="AA34" s="102"/>
      <c r="AB34" s="96"/>
      <c r="AC34" s="96"/>
      <c r="AD34" s="96"/>
      <c r="AE34" s="96"/>
      <c r="AF34" s="96"/>
    </row>
    <row r="35" spans="1:32" s="800" customFormat="1" ht="24.75" customHeight="1">
      <c r="A35" s="149"/>
      <c r="B35" s="1073" t="s">
        <v>2</v>
      </c>
      <c r="C35" s="1074"/>
      <c r="D35" s="1074"/>
      <c r="E35" s="1074"/>
      <c r="F35" s="1074"/>
      <c r="G35" s="1075"/>
      <c r="H35" s="1067" t="s">
        <v>313</v>
      </c>
      <c r="I35" s="1067"/>
      <c r="J35" s="1067"/>
      <c r="K35" s="1067"/>
      <c r="L35" s="1067"/>
      <c r="M35" s="1097" t="s">
        <v>328</v>
      </c>
      <c r="N35" s="1102"/>
      <c r="O35" s="1098"/>
      <c r="P35" s="1056" t="s">
        <v>3</v>
      </c>
      <c r="Q35" s="1057"/>
      <c r="R35" s="149"/>
      <c r="S35" s="163"/>
      <c r="T35" s="789"/>
      <c r="U35" s="96"/>
      <c r="V35" s="96"/>
      <c r="W35" s="96"/>
      <c r="X35" s="96"/>
      <c r="Y35" s="102"/>
      <c r="Z35" s="96"/>
      <c r="AA35" s="102"/>
      <c r="AB35" s="96"/>
      <c r="AC35" s="102"/>
      <c r="AD35" s="96"/>
      <c r="AE35" s="102"/>
      <c r="AF35" s="96"/>
    </row>
    <row r="36" spans="1:32" s="800" customFormat="1" ht="24.75" customHeight="1">
      <c r="A36" s="149"/>
      <c r="B36" s="1058" t="s">
        <v>355</v>
      </c>
      <c r="C36" s="1059"/>
      <c r="D36" s="1059"/>
      <c r="E36" s="1059"/>
      <c r="F36" s="1059"/>
      <c r="G36" s="1060"/>
      <c r="H36" s="1068" t="s">
        <v>360</v>
      </c>
      <c r="I36" s="1068"/>
      <c r="J36" s="1068"/>
      <c r="K36" s="1068"/>
      <c r="L36" s="1068"/>
      <c r="M36" s="1051"/>
      <c r="N36" s="1052"/>
      <c r="O36" s="1053"/>
      <c r="P36" s="1089" t="str">
        <f>IF(M36*M37*M38=0,"-",(IF(AC28&gt;=4.5,5,(IF(AC28&gt;=3.5,4,(IF(AC28&gt;=2.5,3,(IF(AC28&gt;=1.5,2,1)))))))))</f>
        <v>-</v>
      </c>
      <c r="Q36" s="665"/>
      <c r="R36" s="149"/>
      <c r="S36" s="163"/>
      <c r="T36" s="794" t="s">
        <v>426</v>
      </c>
      <c r="U36" s="795">
        <f>IF(P36="-",0,P36)</f>
        <v>0</v>
      </c>
      <c r="V36" s="793"/>
      <c r="W36" s="793"/>
      <c r="X36" s="96"/>
      <c r="Y36" s="102"/>
      <c r="Z36" s="96"/>
      <c r="AA36" s="102"/>
      <c r="AB36" s="96"/>
      <c r="AC36" s="102"/>
      <c r="AD36" s="96"/>
      <c r="AE36" s="102"/>
      <c r="AF36" s="96"/>
    </row>
    <row r="37" spans="1:32" s="800" customFormat="1" ht="24.75" customHeight="1">
      <c r="A37" s="197"/>
      <c r="B37" s="1058" t="s">
        <v>356</v>
      </c>
      <c r="C37" s="1059"/>
      <c r="D37" s="1059"/>
      <c r="E37" s="1059"/>
      <c r="F37" s="1059"/>
      <c r="G37" s="1060"/>
      <c r="H37" s="1068" t="s">
        <v>361</v>
      </c>
      <c r="I37" s="1068"/>
      <c r="J37" s="1068"/>
      <c r="K37" s="1068"/>
      <c r="L37" s="1068"/>
      <c r="M37" s="1051"/>
      <c r="N37" s="1052"/>
      <c r="O37" s="1053"/>
      <c r="P37" s="1090"/>
      <c r="Q37" s="666"/>
      <c r="R37" s="197"/>
      <c r="S37" s="163"/>
      <c r="T37" s="96" t="s">
        <v>427</v>
      </c>
      <c r="U37" s="96">
        <f>$U36-5</f>
        <v>-5</v>
      </c>
      <c r="V37" s="96"/>
      <c r="W37" s="96"/>
      <c r="X37" s="96"/>
      <c r="Y37" s="102"/>
      <c r="Z37" s="96"/>
      <c r="AA37" s="102"/>
      <c r="AB37" s="96"/>
      <c r="AC37" s="102"/>
      <c r="AD37" s="96"/>
      <c r="AE37" s="102"/>
      <c r="AF37" s="96"/>
    </row>
    <row r="38" spans="1:32" s="800" customFormat="1" ht="24.75" customHeight="1">
      <c r="A38" s="197"/>
      <c r="B38" s="1058" t="s">
        <v>357</v>
      </c>
      <c r="C38" s="1059"/>
      <c r="D38" s="1059"/>
      <c r="E38" s="1059"/>
      <c r="F38" s="1059"/>
      <c r="G38" s="1060"/>
      <c r="H38" s="1068" t="s">
        <v>362</v>
      </c>
      <c r="I38" s="1068"/>
      <c r="J38" s="1068"/>
      <c r="K38" s="1068"/>
      <c r="L38" s="1068"/>
      <c r="M38" s="1051"/>
      <c r="N38" s="1052"/>
      <c r="O38" s="1053"/>
      <c r="P38" s="1090"/>
      <c r="Q38" s="666"/>
      <c r="R38" s="197"/>
      <c r="S38" s="163"/>
      <c r="T38" s="789"/>
      <c r="U38" s="96"/>
      <c r="V38" s="96"/>
      <c r="W38" s="96"/>
      <c r="X38" s="96"/>
      <c r="Y38" s="710"/>
      <c r="Z38" s="96"/>
      <c r="AA38" s="710"/>
      <c r="AB38" s="96"/>
      <c r="AC38" s="710"/>
      <c r="AD38" s="96"/>
      <c r="AE38" s="710"/>
      <c r="AF38" s="96"/>
    </row>
    <row r="39" spans="1:32" s="800" customFormat="1" ht="24.75" customHeight="1">
      <c r="A39" s="149"/>
      <c r="B39" s="1076" t="s">
        <v>406</v>
      </c>
      <c r="C39" s="1077"/>
      <c r="D39" s="1077"/>
      <c r="E39" s="1077"/>
      <c r="F39" s="1077"/>
      <c r="G39" s="1077"/>
      <c r="H39" s="1078"/>
      <c r="I39" s="1064" t="s">
        <v>407</v>
      </c>
      <c r="J39" s="1065"/>
      <c r="K39" s="1065"/>
      <c r="L39" s="1065"/>
      <c r="M39" s="1065"/>
      <c r="N39" s="1065"/>
      <c r="O39" s="1065"/>
      <c r="P39" s="1065"/>
      <c r="Q39" s="1066"/>
      <c r="R39" s="771"/>
      <c r="S39" s="772"/>
      <c r="T39" s="790"/>
      <c r="U39" s="96"/>
      <c r="V39" s="96"/>
      <c r="W39" s="96"/>
      <c r="X39" s="96"/>
      <c r="Y39" s="96"/>
      <c r="Z39" s="96"/>
      <c r="AA39" s="96"/>
      <c r="AB39" s="96"/>
      <c r="AC39" s="96"/>
      <c r="AD39" s="96"/>
      <c r="AE39" s="96"/>
      <c r="AF39" s="96"/>
    </row>
    <row r="40" spans="1:32" s="800" customFormat="1" ht="24.75" customHeight="1">
      <c r="A40" s="149"/>
      <c r="B40" s="1047" t="s">
        <v>9</v>
      </c>
      <c r="C40" s="1048"/>
      <c r="D40" s="1048"/>
      <c r="E40" s="773" t="s">
        <v>408</v>
      </c>
      <c r="F40" s="1048" t="s">
        <v>9</v>
      </c>
      <c r="G40" s="1048"/>
      <c r="H40" s="773" t="s">
        <v>408</v>
      </c>
      <c r="I40" s="1061" t="s">
        <v>4</v>
      </c>
      <c r="J40" s="1062"/>
      <c r="K40" s="1062"/>
      <c r="L40" s="1072"/>
      <c r="M40" s="1061" t="s">
        <v>415</v>
      </c>
      <c r="N40" s="1062"/>
      <c r="O40" s="1062"/>
      <c r="P40" s="1062"/>
      <c r="Q40" s="1063"/>
      <c r="R40" s="774"/>
      <c r="S40" s="772"/>
      <c r="T40" s="790"/>
      <c r="U40" s="103"/>
      <c r="V40" s="103"/>
      <c r="W40" s="103"/>
      <c r="X40" s="103"/>
      <c r="Y40" s="104"/>
      <c r="Z40" s="103"/>
      <c r="AA40" s="104"/>
      <c r="AB40" s="103"/>
      <c r="AC40" s="104"/>
      <c r="AD40" s="103"/>
      <c r="AE40" s="104"/>
      <c r="AF40" s="103"/>
    </row>
    <row r="41" spans="1:32" s="800" customFormat="1" ht="24.75" customHeight="1">
      <c r="A41" s="149"/>
      <c r="B41" s="1047" t="s">
        <v>417</v>
      </c>
      <c r="C41" s="1048"/>
      <c r="D41" s="1048"/>
      <c r="E41" s="775" t="s">
        <v>300</v>
      </c>
      <c r="F41" s="1048" t="s">
        <v>409</v>
      </c>
      <c r="G41" s="1048"/>
      <c r="H41" s="775" t="s">
        <v>300</v>
      </c>
      <c r="I41" s="1044"/>
      <c r="J41" s="1045"/>
      <c r="K41" s="1045"/>
      <c r="L41" s="1046"/>
      <c r="M41" s="1044"/>
      <c r="N41" s="1045"/>
      <c r="O41" s="1045"/>
      <c r="P41" s="1045"/>
      <c r="Q41" s="802"/>
      <c r="R41" s="774"/>
      <c r="S41" s="772"/>
      <c r="T41" s="790" t="s">
        <v>428</v>
      </c>
      <c r="U41" s="103">
        <f>IF(E41&lt;&gt;"○",0,1)</f>
        <v>0</v>
      </c>
      <c r="V41" s="793"/>
      <c r="W41" s="103"/>
      <c r="X41" s="103"/>
      <c r="Y41" s="104"/>
      <c r="Z41" s="103"/>
      <c r="AA41" s="104"/>
      <c r="AB41" s="103"/>
      <c r="AC41" s="104"/>
      <c r="AD41" s="103"/>
      <c r="AE41" s="104"/>
      <c r="AF41" s="103"/>
    </row>
    <row r="42" spans="1:32" s="800" customFormat="1" ht="24.75" customHeight="1">
      <c r="A42" s="149"/>
      <c r="B42" s="1047" t="s">
        <v>416</v>
      </c>
      <c r="C42" s="1048"/>
      <c r="D42" s="1048"/>
      <c r="E42" s="775" t="s">
        <v>300</v>
      </c>
      <c r="F42" s="1048" t="s">
        <v>413</v>
      </c>
      <c r="G42" s="1048"/>
      <c r="H42" s="775" t="s">
        <v>300</v>
      </c>
      <c r="I42" s="1044"/>
      <c r="J42" s="1045"/>
      <c r="K42" s="1045"/>
      <c r="L42" s="1046"/>
      <c r="M42" s="1044"/>
      <c r="N42" s="1045"/>
      <c r="O42" s="1045"/>
      <c r="P42" s="1045"/>
      <c r="Q42" s="802"/>
      <c r="R42" s="774"/>
      <c r="S42" s="772"/>
      <c r="T42" s="790" t="s">
        <v>429</v>
      </c>
      <c r="U42" s="104">
        <f>$U41-1</f>
        <v>-1</v>
      </c>
      <c r="V42" s="793"/>
      <c r="W42" s="103"/>
      <c r="X42" s="103"/>
      <c r="Y42" s="104"/>
      <c r="Z42" s="103"/>
      <c r="AA42" s="104"/>
      <c r="AB42" s="103"/>
      <c r="AC42" s="104"/>
      <c r="AD42" s="103"/>
      <c r="AE42" s="104"/>
      <c r="AF42" s="103"/>
    </row>
    <row r="43" spans="1:32" s="800" customFormat="1" ht="24.75" customHeight="1">
      <c r="A43" s="149"/>
      <c r="B43" s="1047" t="s">
        <v>411</v>
      </c>
      <c r="C43" s="1048"/>
      <c r="D43" s="1048"/>
      <c r="E43" s="775" t="s">
        <v>300</v>
      </c>
      <c r="F43" s="1054"/>
      <c r="G43" s="1055"/>
      <c r="H43" s="775"/>
      <c r="I43" s="1044"/>
      <c r="J43" s="1045"/>
      <c r="K43" s="1045"/>
      <c r="L43" s="1046"/>
      <c r="M43" s="1044"/>
      <c r="N43" s="1045"/>
      <c r="O43" s="1045"/>
      <c r="P43" s="1045"/>
      <c r="Q43" s="802"/>
      <c r="R43" s="774"/>
      <c r="S43" s="772"/>
      <c r="T43" s="790" t="s">
        <v>431</v>
      </c>
      <c r="U43" s="103">
        <f>IF(E42&lt;&gt;"○",0,1)</f>
        <v>0</v>
      </c>
      <c r="V43" s="793"/>
      <c r="W43" s="103"/>
      <c r="X43" s="103"/>
      <c r="Y43" s="58"/>
      <c r="Z43" s="103"/>
      <c r="AA43" s="58"/>
      <c r="AB43" s="103"/>
      <c r="AC43" s="58"/>
      <c r="AD43" s="103"/>
      <c r="AE43" s="58"/>
      <c r="AF43" s="103"/>
    </row>
    <row r="44" spans="1:32" s="800" customFormat="1" ht="24.75" customHeight="1">
      <c r="A44" s="149"/>
      <c r="B44" s="1047" t="s">
        <v>412</v>
      </c>
      <c r="C44" s="1048"/>
      <c r="D44" s="1048"/>
      <c r="E44" s="775" t="s">
        <v>300</v>
      </c>
      <c r="F44" s="1054"/>
      <c r="G44" s="1055"/>
      <c r="H44" s="775"/>
      <c r="I44" s="1044"/>
      <c r="J44" s="1045"/>
      <c r="K44" s="1045"/>
      <c r="L44" s="1046"/>
      <c r="M44" s="1044"/>
      <c r="N44" s="1045"/>
      <c r="O44" s="1045"/>
      <c r="P44" s="1045"/>
      <c r="Q44" s="802"/>
      <c r="R44" s="774"/>
      <c r="S44" s="772"/>
      <c r="T44" s="790" t="s">
        <v>430</v>
      </c>
      <c r="U44" s="104">
        <f>$U43-1</f>
        <v>-1</v>
      </c>
      <c r="V44" s="793"/>
      <c r="W44" s="103"/>
      <c r="X44" s="103"/>
      <c r="Y44" s="58"/>
      <c r="Z44" s="103"/>
      <c r="AA44" s="58"/>
      <c r="AB44" s="103"/>
      <c r="AC44" s="58"/>
      <c r="AD44" s="103"/>
      <c r="AE44" s="58"/>
      <c r="AF44" s="103"/>
    </row>
    <row r="45" spans="1:32" s="800" customFormat="1" ht="24.75" customHeight="1">
      <c r="A45" s="149"/>
      <c r="B45" s="962" t="s">
        <v>359</v>
      </c>
      <c r="C45" s="1049"/>
      <c r="D45" s="1049"/>
      <c r="E45" s="1049"/>
      <c r="F45" s="1040"/>
      <c r="G45" s="1041"/>
      <c r="H45" s="1041"/>
      <c r="I45" s="1041"/>
      <c r="J45" s="1041"/>
      <c r="K45" s="1041"/>
      <c r="L45" s="1041"/>
      <c r="M45" s="1041"/>
      <c r="N45" s="1041"/>
      <c r="O45" s="1041"/>
      <c r="P45" s="1041"/>
      <c r="Q45" s="804"/>
      <c r="R45" s="712"/>
      <c r="S45" s="712"/>
      <c r="T45" s="790" t="s">
        <v>432</v>
      </c>
      <c r="U45" s="103">
        <f>IF(AND(E43&lt;&gt;"○",E44&lt;&gt;"○",H41&lt;&gt;"○",H42&lt;&gt;"○",H43&lt;&gt;"○",H44&lt;&gt;"○"),0,1)</f>
        <v>0</v>
      </c>
      <c r="V45" s="714"/>
      <c r="W45" s="714"/>
      <c r="X45" s="714"/>
      <c r="Y45" s="713"/>
      <c r="Z45" s="714"/>
      <c r="AA45" s="713"/>
      <c r="AB45" s="714"/>
      <c r="AC45" s="713"/>
      <c r="AD45" s="714"/>
      <c r="AE45" s="713"/>
      <c r="AF45" s="714"/>
    </row>
    <row r="46" spans="1:32" s="800" customFormat="1" ht="24.75" customHeight="1">
      <c r="A46" s="149"/>
      <c r="B46" s="964"/>
      <c r="C46" s="1050"/>
      <c r="D46" s="1050"/>
      <c r="E46" s="1050"/>
      <c r="F46" s="1042"/>
      <c r="G46" s="1043"/>
      <c r="H46" s="1043"/>
      <c r="I46" s="1043"/>
      <c r="J46" s="1043"/>
      <c r="K46" s="1043"/>
      <c r="L46" s="1043"/>
      <c r="M46" s="1043"/>
      <c r="N46" s="1043"/>
      <c r="O46" s="1043"/>
      <c r="P46" s="1043"/>
      <c r="Q46" s="805"/>
      <c r="R46" s="712"/>
      <c r="S46" s="712"/>
      <c r="T46" s="790" t="s">
        <v>433</v>
      </c>
      <c r="U46" s="104">
        <f>$U45-1</f>
        <v>-1</v>
      </c>
      <c r="V46" s="714"/>
      <c r="W46" s="714"/>
      <c r="X46" s="714"/>
      <c r="Y46" s="713"/>
      <c r="Z46" s="714"/>
      <c r="AA46" s="713"/>
      <c r="AB46" s="714"/>
      <c r="AC46" s="713"/>
      <c r="AD46" s="714"/>
      <c r="AE46" s="713"/>
      <c r="AF46" s="714"/>
    </row>
    <row r="47" spans="1:32" s="800" customFormat="1" ht="24.75" customHeight="1">
      <c r="A47" s="149"/>
      <c r="B47" s="964"/>
      <c r="C47" s="1050"/>
      <c r="D47" s="1050"/>
      <c r="E47" s="1050"/>
      <c r="F47" s="1042"/>
      <c r="G47" s="1043"/>
      <c r="H47" s="1043"/>
      <c r="I47" s="1043"/>
      <c r="J47" s="1043"/>
      <c r="K47" s="1043"/>
      <c r="L47" s="1043"/>
      <c r="M47" s="1043"/>
      <c r="N47" s="1043"/>
      <c r="O47" s="1043"/>
      <c r="P47" s="1043"/>
      <c r="Q47" s="805"/>
      <c r="R47" s="712"/>
      <c r="S47" s="712"/>
      <c r="T47" s="791"/>
      <c r="U47" s="714"/>
      <c r="V47" s="714"/>
      <c r="W47" s="714"/>
      <c r="X47" s="714"/>
      <c r="Y47" s="715"/>
      <c r="Z47" s="714"/>
      <c r="AA47" s="715"/>
      <c r="AB47" s="714"/>
      <c r="AC47" s="715"/>
      <c r="AD47" s="714"/>
      <c r="AE47" s="715"/>
      <c r="AF47" s="714"/>
    </row>
    <row r="48" spans="1:32" s="800" customFormat="1" ht="3" customHeight="1" thickBot="1">
      <c r="A48" s="149"/>
      <c r="B48" s="721"/>
      <c r="C48" s="722"/>
      <c r="D48" s="723"/>
      <c r="E48" s="803"/>
      <c r="F48" s="806"/>
      <c r="G48" s="807"/>
      <c r="H48" s="808"/>
      <c r="I48" s="808"/>
      <c r="J48" s="808"/>
      <c r="K48" s="808"/>
      <c r="L48" s="808"/>
      <c r="M48" s="808"/>
      <c r="N48" s="809"/>
      <c r="O48" s="810"/>
      <c r="P48" s="810"/>
      <c r="Q48" s="811"/>
      <c r="R48" s="149"/>
      <c r="S48" s="163"/>
      <c r="T48" s="789"/>
      <c r="U48" s="96"/>
      <c r="V48" s="96"/>
      <c r="W48" s="96"/>
      <c r="X48" s="96"/>
      <c r="Y48" s="96"/>
      <c r="Z48" s="96"/>
      <c r="AA48" s="96"/>
      <c r="AB48" s="96"/>
      <c r="AC48" s="96"/>
      <c r="AD48" s="96"/>
      <c r="AE48" s="96"/>
      <c r="AF48" s="96"/>
    </row>
    <row r="49" spans="1:31" ht="15.75" customHeight="1" thickBot="1">
      <c r="A49" s="149"/>
      <c r="B49" s="203"/>
      <c r="C49" s="203"/>
      <c r="D49" s="10"/>
      <c r="E49" s="10"/>
      <c r="F49" s="15"/>
      <c r="G49" s="15"/>
      <c r="H49" s="15"/>
      <c r="I49" s="15"/>
      <c r="J49" s="15"/>
      <c r="K49" s="15"/>
      <c r="L49" s="15"/>
      <c r="M49" s="15"/>
      <c r="N49" s="15"/>
      <c r="O49" s="200"/>
      <c r="P49" s="200"/>
      <c r="Q49" s="200"/>
      <c r="R49" s="149"/>
      <c r="S49" s="149"/>
      <c r="Y49" s="105"/>
      <c r="AA49" s="105"/>
      <c r="AC49" s="105"/>
      <c r="AE49" s="105"/>
    </row>
    <row r="50" spans="1:32" s="800" customFormat="1" ht="15.75" customHeight="1" thickBot="1">
      <c r="A50" s="149"/>
      <c r="B50" s="203"/>
      <c r="C50" s="203"/>
      <c r="D50" s="215"/>
      <c r="E50" s="205" t="s">
        <v>8</v>
      </c>
      <c r="F50" s="10"/>
      <c r="G50" s="15"/>
      <c r="H50" s="15"/>
      <c r="I50" s="15"/>
      <c r="J50" s="15"/>
      <c r="K50" s="15"/>
      <c r="L50" s="15"/>
      <c r="M50" s="15"/>
      <c r="N50" s="15"/>
      <c r="O50" s="200"/>
      <c r="P50" s="200"/>
      <c r="Q50" s="200"/>
      <c r="R50" s="149"/>
      <c r="S50" s="149"/>
      <c r="T50" s="789"/>
      <c r="U50" s="96"/>
      <c r="V50" s="96"/>
      <c r="W50" s="96"/>
      <c r="X50" s="96"/>
      <c r="Y50" s="105"/>
      <c r="Z50" s="96"/>
      <c r="AA50" s="105"/>
      <c r="AB50" s="96"/>
      <c r="AC50" s="105"/>
      <c r="AD50" s="96"/>
      <c r="AE50" s="105"/>
      <c r="AF50" s="96"/>
    </row>
    <row r="51" spans="1:32" s="800" customFormat="1" ht="15.75" customHeight="1">
      <c r="A51" s="149"/>
      <c r="B51" s="203"/>
      <c r="C51" s="203"/>
      <c r="D51" s="204"/>
      <c r="E51" s="205"/>
      <c r="F51" s="10"/>
      <c r="G51" s="15"/>
      <c r="H51" s="15"/>
      <c r="I51" s="15"/>
      <c r="J51" s="15"/>
      <c r="K51" s="15"/>
      <c r="L51" s="15"/>
      <c r="M51" s="15"/>
      <c r="N51" s="15"/>
      <c r="O51" s="200"/>
      <c r="P51" s="200"/>
      <c r="Q51" s="200"/>
      <c r="R51" s="149"/>
      <c r="S51" s="149"/>
      <c r="T51" s="789"/>
      <c r="U51" s="96"/>
      <c r="V51" s="96"/>
      <c r="W51" s="96"/>
      <c r="X51" s="96"/>
      <c r="Y51" s="105"/>
      <c r="Z51" s="96"/>
      <c r="AA51" s="105"/>
      <c r="AB51" s="96"/>
      <c r="AC51" s="105"/>
      <c r="AD51" s="96"/>
      <c r="AE51" s="105"/>
      <c r="AF51" s="96"/>
    </row>
    <row r="52" spans="1:32" s="800" customFormat="1" ht="15.75" customHeight="1" hidden="1">
      <c r="A52" s="106"/>
      <c r="B52" s="118"/>
      <c r="C52" s="118"/>
      <c r="D52" s="206"/>
      <c r="E52" s="207"/>
      <c r="F52" s="58"/>
      <c r="G52" s="120"/>
      <c r="H52" s="120"/>
      <c r="I52" s="120"/>
      <c r="J52" s="120"/>
      <c r="K52" s="120"/>
      <c r="L52" s="120"/>
      <c r="M52" s="120"/>
      <c r="N52" s="120"/>
      <c r="O52" s="121"/>
      <c r="P52" s="121"/>
      <c r="Q52" s="121"/>
      <c r="R52" s="106"/>
      <c r="S52" s="106"/>
      <c r="T52" s="789"/>
      <c r="U52" s="96"/>
      <c r="V52" s="96"/>
      <c r="W52" s="96"/>
      <c r="X52" s="96"/>
      <c r="Y52" s="105"/>
      <c r="Z52" s="105"/>
      <c r="AA52" s="105"/>
      <c r="AB52" s="105"/>
      <c r="AC52" s="105"/>
      <c r="AD52" s="96"/>
      <c r="AE52" s="96"/>
      <c r="AF52" s="96"/>
    </row>
    <row r="53" spans="1:32" s="800" customFormat="1" ht="15.75" customHeight="1" hidden="1">
      <c r="A53" s="106"/>
      <c r="B53" s="118"/>
      <c r="C53" s="118"/>
      <c r="D53" s="206"/>
      <c r="E53" s="207"/>
      <c r="F53" s="58"/>
      <c r="G53" s="120"/>
      <c r="H53" s="120"/>
      <c r="I53" s="120"/>
      <c r="J53" s="120"/>
      <c r="K53" s="120"/>
      <c r="L53" s="120"/>
      <c r="M53" s="120"/>
      <c r="N53" s="120"/>
      <c r="O53" s="121"/>
      <c r="P53" s="121"/>
      <c r="Q53" s="121"/>
      <c r="R53" s="106"/>
      <c r="S53" s="106"/>
      <c r="T53" s="789"/>
      <c r="U53" s="96"/>
      <c r="V53" s="96"/>
      <c r="W53" s="96"/>
      <c r="X53" s="96"/>
      <c r="Y53" s="105"/>
      <c r="Z53" s="105"/>
      <c r="AA53" s="105"/>
      <c r="AB53" s="105"/>
      <c r="AC53" s="105"/>
      <c r="AD53" s="96"/>
      <c r="AE53" s="96"/>
      <c r="AF53" s="96"/>
    </row>
    <row r="54" spans="1:32" s="800" customFormat="1" ht="15.75" customHeight="1" hidden="1">
      <c r="A54" s="106"/>
      <c r="B54" s="118"/>
      <c r="C54" s="118"/>
      <c r="D54" s="206"/>
      <c r="E54" s="207"/>
      <c r="F54" s="58"/>
      <c r="G54" s="120"/>
      <c r="H54" s="120"/>
      <c r="I54" s="120"/>
      <c r="J54" s="120"/>
      <c r="K54" s="120"/>
      <c r="L54" s="120"/>
      <c r="M54" s="120"/>
      <c r="N54" s="120"/>
      <c r="O54" s="121"/>
      <c r="P54" s="121"/>
      <c r="Q54" s="121"/>
      <c r="R54" s="106"/>
      <c r="S54" s="106"/>
      <c r="T54" s="789"/>
      <c r="U54" s="96"/>
      <c r="V54" s="96"/>
      <c r="W54" s="96"/>
      <c r="X54" s="96"/>
      <c r="Y54" s="105"/>
      <c r="Z54" s="105"/>
      <c r="AA54" s="105"/>
      <c r="AB54" s="105"/>
      <c r="AC54" s="105"/>
      <c r="AD54" s="96"/>
      <c r="AE54" s="96"/>
      <c r="AF54" s="96"/>
    </row>
    <row r="55" spans="1:32" s="800" customFormat="1" ht="15.75" customHeight="1" hidden="1">
      <c r="A55" s="106"/>
      <c r="B55" s="118"/>
      <c r="C55" s="118"/>
      <c r="D55" s="206"/>
      <c r="E55" s="207"/>
      <c r="F55" s="58"/>
      <c r="G55" s="120"/>
      <c r="H55" s="120"/>
      <c r="I55" s="120"/>
      <c r="J55" s="120"/>
      <c r="K55" s="120"/>
      <c r="L55" s="120"/>
      <c r="M55" s="120"/>
      <c r="N55" s="120"/>
      <c r="O55" s="121"/>
      <c r="P55" s="121"/>
      <c r="Q55" s="121"/>
      <c r="R55" s="106"/>
      <c r="S55" s="106"/>
      <c r="T55" s="789"/>
      <c r="U55" s="96"/>
      <c r="V55" s="96"/>
      <c r="W55" s="96"/>
      <c r="X55" s="96"/>
      <c r="Y55" s="105"/>
      <c r="Z55" s="105"/>
      <c r="AA55" s="105"/>
      <c r="AB55" s="105"/>
      <c r="AC55" s="105"/>
      <c r="AD55" s="96"/>
      <c r="AE55" s="96"/>
      <c r="AF55" s="96"/>
    </row>
    <row r="56" spans="1:32" s="800" customFormat="1" ht="15.75" customHeight="1" hidden="1">
      <c r="A56" s="106"/>
      <c r="B56" s="118"/>
      <c r="C56" s="118"/>
      <c r="D56" s="206"/>
      <c r="E56" s="207"/>
      <c r="F56" s="58"/>
      <c r="G56" s="120"/>
      <c r="H56" s="120"/>
      <c r="I56" s="120"/>
      <c r="J56" s="120"/>
      <c r="K56" s="120"/>
      <c r="L56" s="120"/>
      <c r="M56" s="120"/>
      <c r="N56" s="120"/>
      <c r="O56" s="121"/>
      <c r="P56" s="121"/>
      <c r="Q56" s="121"/>
      <c r="R56" s="106"/>
      <c r="S56" s="106"/>
      <c r="T56" s="789"/>
      <c r="U56" s="96"/>
      <c r="V56" s="96"/>
      <c r="W56" s="96"/>
      <c r="X56" s="96"/>
      <c r="Y56" s="105"/>
      <c r="Z56" s="105"/>
      <c r="AA56" s="105"/>
      <c r="AB56" s="105"/>
      <c r="AC56" s="105"/>
      <c r="AD56" s="96"/>
      <c r="AE56" s="96"/>
      <c r="AF56" s="96"/>
    </row>
    <row r="57" spans="1:32" s="800" customFormat="1" ht="15.75" customHeight="1" hidden="1">
      <c r="A57" s="106"/>
      <c r="B57" s="118"/>
      <c r="C57" s="118"/>
      <c r="D57" s="206"/>
      <c r="E57" s="207"/>
      <c r="F57" s="58"/>
      <c r="G57" s="120"/>
      <c r="H57" s="120"/>
      <c r="I57" s="120"/>
      <c r="J57" s="120"/>
      <c r="K57" s="120"/>
      <c r="L57" s="120"/>
      <c r="M57" s="120"/>
      <c r="N57" s="120"/>
      <c r="O57" s="121"/>
      <c r="P57" s="121"/>
      <c r="Q57" s="121"/>
      <c r="R57" s="106"/>
      <c r="S57" s="106"/>
      <c r="T57" s="789"/>
      <c r="U57" s="96"/>
      <c r="V57" s="96"/>
      <c r="W57" s="96"/>
      <c r="X57" s="96"/>
      <c r="Y57" s="105"/>
      <c r="Z57" s="105"/>
      <c r="AA57" s="105"/>
      <c r="AB57" s="105"/>
      <c r="AC57" s="105"/>
      <c r="AD57" s="96"/>
      <c r="AE57" s="96"/>
      <c r="AF57" s="96"/>
    </row>
    <row r="58" spans="1:32" s="800" customFormat="1" ht="15.75" customHeight="1" hidden="1">
      <c r="A58" s="106"/>
      <c r="B58" s="118"/>
      <c r="C58" s="118"/>
      <c r="D58" s="206"/>
      <c r="E58" s="207"/>
      <c r="F58" s="58"/>
      <c r="G58" s="120"/>
      <c r="H58" s="120"/>
      <c r="I58" s="120"/>
      <c r="J58" s="120"/>
      <c r="K58" s="120"/>
      <c r="L58" s="120"/>
      <c r="M58" s="120"/>
      <c r="N58" s="120"/>
      <c r="O58" s="121"/>
      <c r="P58" s="121"/>
      <c r="Q58" s="121"/>
      <c r="R58" s="106"/>
      <c r="S58" s="106"/>
      <c r="T58" s="789"/>
      <c r="U58" s="96"/>
      <c r="V58" s="96"/>
      <c r="W58" s="96"/>
      <c r="X58" s="96"/>
      <c r="Y58" s="105"/>
      <c r="Z58" s="105"/>
      <c r="AA58" s="105"/>
      <c r="AB58" s="105"/>
      <c r="AC58" s="105"/>
      <c r="AD58" s="96"/>
      <c r="AE58" s="96"/>
      <c r="AF58" s="96"/>
    </row>
    <row r="59" spans="1:32" s="800" customFormat="1" ht="7.5" customHeight="1" hidden="1">
      <c r="A59" s="106"/>
      <c r="B59" s="118"/>
      <c r="C59" s="118"/>
      <c r="D59" s="206"/>
      <c r="E59" s="207"/>
      <c r="F59" s="58"/>
      <c r="G59" s="120"/>
      <c r="H59" s="120"/>
      <c r="I59" s="120"/>
      <c r="J59" s="120"/>
      <c r="K59" s="120"/>
      <c r="L59" s="120"/>
      <c r="M59" s="120"/>
      <c r="N59" s="120"/>
      <c r="O59" s="121"/>
      <c r="P59" s="121"/>
      <c r="Q59" s="121"/>
      <c r="R59" s="106"/>
      <c r="S59" s="106"/>
      <c r="T59" s="789"/>
      <c r="U59" s="96"/>
      <c r="V59" s="96"/>
      <c r="W59" s="96"/>
      <c r="X59" s="96"/>
      <c r="Y59" s="105"/>
      <c r="Z59" s="105"/>
      <c r="AA59" s="105"/>
      <c r="AB59" s="105"/>
      <c r="AC59" s="105"/>
      <c r="AD59" s="96"/>
      <c r="AE59" s="96"/>
      <c r="AF59" s="96"/>
    </row>
    <row r="60" spans="1:32" s="800" customFormat="1" ht="4.5" customHeight="1" hidden="1">
      <c r="A60" s="106"/>
      <c r="B60" s="118"/>
      <c r="C60" s="118"/>
      <c r="D60" s="206"/>
      <c r="E60" s="207"/>
      <c r="F60" s="58"/>
      <c r="G60" s="120"/>
      <c r="H60" s="120"/>
      <c r="I60" s="120"/>
      <c r="J60" s="120"/>
      <c r="K60" s="120"/>
      <c r="L60" s="120"/>
      <c r="M60" s="120"/>
      <c r="N60" s="120"/>
      <c r="O60" s="121"/>
      <c r="P60" s="121"/>
      <c r="Q60" s="121"/>
      <c r="R60" s="106"/>
      <c r="S60" s="106"/>
      <c r="T60" s="789"/>
      <c r="U60" s="96"/>
      <c r="V60" s="96"/>
      <c r="W60" s="96"/>
      <c r="X60" s="96"/>
      <c r="Y60" s="105"/>
      <c r="Z60" s="105"/>
      <c r="AA60" s="105"/>
      <c r="AB60" s="105"/>
      <c r="AC60" s="105"/>
      <c r="AD60" s="96"/>
      <c r="AE60" s="96"/>
      <c r="AF60" s="96"/>
    </row>
    <row r="61" spans="1:32" s="800" customFormat="1" ht="15.75" customHeight="1" hidden="1">
      <c r="A61" s="24"/>
      <c r="B61" s="118"/>
      <c r="C61" s="118"/>
      <c r="D61" s="206"/>
      <c r="E61" s="207"/>
      <c r="F61" s="58"/>
      <c r="G61" s="120"/>
      <c r="H61" s="120"/>
      <c r="I61" s="120"/>
      <c r="J61" s="120"/>
      <c r="K61" s="120"/>
      <c r="L61" s="120"/>
      <c r="M61" s="120"/>
      <c r="N61" s="120"/>
      <c r="O61" s="121"/>
      <c r="P61" s="121"/>
      <c r="Q61" s="121"/>
      <c r="R61" s="24"/>
      <c r="S61" s="24"/>
      <c r="T61" s="792"/>
      <c r="U61" s="96"/>
      <c r="V61" s="96"/>
      <c r="W61" s="96"/>
      <c r="X61" s="96"/>
      <c r="Y61" s="105"/>
      <c r="Z61" s="105"/>
      <c r="AA61" s="105"/>
      <c r="AB61" s="105"/>
      <c r="AC61" s="105"/>
      <c r="AD61" s="96"/>
      <c r="AE61" s="96"/>
      <c r="AF61" s="96"/>
    </row>
    <row r="62" spans="1:32" s="800" customFormat="1" ht="4.5" customHeight="1" hidden="1">
      <c r="A62" s="106"/>
      <c r="B62" s="118"/>
      <c r="C62" s="118"/>
      <c r="D62" s="206"/>
      <c r="E62" s="207"/>
      <c r="F62" s="58"/>
      <c r="G62" s="120"/>
      <c r="H62" s="120"/>
      <c r="I62" s="120"/>
      <c r="J62" s="120"/>
      <c r="K62" s="120"/>
      <c r="L62" s="120"/>
      <c r="M62" s="120"/>
      <c r="N62" s="120"/>
      <c r="O62" s="121"/>
      <c r="P62" s="121"/>
      <c r="Q62" s="121"/>
      <c r="R62" s="106"/>
      <c r="S62" s="106"/>
      <c r="T62" s="789"/>
      <c r="U62" s="96"/>
      <c r="V62" s="96"/>
      <c r="W62" s="96"/>
      <c r="X62" s="96"/>
      <c r="Y62" s="105"/>
      <c r="Z62" s="105"/>
      <c r="AA62" s="105"/>
      <c r="AB62" s="105"/>
      <c r="AC62" s="105"/>
      <c r="AD62" s="96"/>
      <c r="AE62" s="96"/>
      <c r="AF62" s="96"/>
    </row>
    <row r="63" spans="1:32" s="800" customFormat="1" ht="14.25" customHeight="1" hidden="1">
      <c r="A63" s="106"/>
      <c r="B63" s="118"/>
      <c r="C63" s="118"/>
      <c r="D63" s="206"/>
      <c r="E63" s="207"/>
      <c r="F63" s="58"/>
      <c r="G63" s="120"/>
      <c r="H63" s="120"/>
      <c r="I63" s="120"/>
      <c r="J63" s="120"/>
      <c r="K63" s="120"/>
      <c r="L63" s="120"/>
      <c r="M63" s="120"/>
      <c r="N63" s="120"/>
      <c r="O63" s="121"/>
      <c r="P63" s="121"/>
      <c r="Q63" s="121"/>
      <c r="R63" s="106"/>
      <c r="S63" s="106"/>
      <c r="T63" s="789"/>
      <c r="U63" s="96"/>
      <c r="V63" s="96"/>
      <c r="W63" s="96"/>
      <c r="X63" s="96"/>
      <c r="Y63" s="105"/>
      <c r="Z63" s="105"/>
      <c r="AA63" s="105"/>
      <c r="AB63" s="105"/>
      <c r="AC63" s="105"/>
      <c r="AD63" s="96"/>
      <c r="AE63" s="96"/>
      <c r="AF63" s="96"/>
    </row>
    <row r="64" spans="1:32" s="800" customFormat="1" ht="14.25" customHeight="1" hidden="1">
      <c r="A64" s="106"/>
      <c r="B64" s="118"/>
      <c r="C64" s="118"/>
      <c r="D64" s="208"/>
      <c r="E64" s="209"/>
      <c r="F64" s="120"/>
      <c r="G64" s="120"/>
      <c r="H64" s="120"/>
      <c r="I64" s="120"/>
      <c r="J64" s="120"/>
      <c r="K64" s="120"/>
      <c r="L64" s="120"/>
      <c r="M64" s="120"/>
      <c r="N64" s="120"/>
      <c r="O64" s="121"/>
      <c r="P64" s="121"/>
      <c r="Q64" s="121"/>
      <c r="R64" s="106"/>
      <c r="S64" s="106"/>
      <c r="T64" s="789"/>
      <c r="U64" s="96"/>
      <c r="V64" s="96"/>
      <c r="W64" s="96"/>
      <c r="X64" s="96"/>
      <c r="Y64" s="105"/>
      <c r="Z64" s="105"/>
      <c r="AA64" s="105"/>
      <c r="AB64" s="105"/>
      <c r="AC64" s="105"/>
      <c r="AD64" s="96"/>
      <c r="AE64" s="96"/>
      <c r="AF64" s="96"/>
    </row>
    <row r="65" spans="1:32" s="800" customFormat="1" ht="46.5" customHeight="1" hidden="1">
      <c r="A65" s="106"/>
      <c r="B65" s="107"/>
      <c r="C65" s="107"/>
      <c r="D65" s="107"/>
      <c r="E65" s="108"/>
      <c r="F65" s="107"/>
      <c r="G65" s="109"/>
      <c r="H65" s="109"/>
      <c r="I65" s="109"/>
      <c r="J65" s="110"/>
      <c r="K65" s="110"/>
      <c r="L65" s="109"/>
      <c r="M65" s="109"/>
      <c r="N65" s="111"/>
      <c r="O65" s="112"/>
      <c r="P65" s="111"/>
      <c r="Q65" s="111"/>
      <c r="R65" s="106"/>
      <c r="S65" s="106"/>
      <c r="T65" s="789"/>
      <c r="U65" s="96"/>
      <c r="V65" s="96"/>
      <c r="W65" s="96"/>
      <c r="X65" s="96"/>
      <c r="Y65" s="105"/>
      <c r="Z65" s="105"/>
      <c r="AA65" s="105"/>
      <c r="AB65" s="105"/>
      <c r="AC65" s="105"/>
      <c r="AD65" s="96"/>
      <c r="AE65" s="96"/>
      <c r="AF65" s="96"/>
    </row>
    <row r="66" spans="1:32" s="800" customFormat="1" ht="21" customHeight="1" hidden="1">
      <c r="A66" s="106"/>
      <c r="B66" s="113"/>
      <c r="C66" s="113"/>
      <c r="D66" s="114"/>
      <c r="E66" s="115"/>
      <c r="F66" s="116"/>
      <c r="G66" s="116"/>
      <c r="H66" s="116"/>
      <c r="I66" s="116"/>
      <c r="J66" s="117"/>
      <c r="K66" s="117"/>
      <c r="L66" s="112"/>
      <c r="M66" s="112"/>
      <c r="N66" s="111"/>
      <c r="O66" s="112"/>
      <c r="P66" s="111"/>
      <c r="Q66" s="111"/>
      <c r="R66" s="106"/>
      <c r="S66" s="106"/>
      <c r="T66" s="789"/>
      <c r="U66" s="96"/>
      <c r="V66" s="96"/>
      <c r="W66" s="96"/>
      <c r="X66" s="96"/>
      <c r="Y66" s="105"/>
      <c r="Z66" s="105"/>
      <c r="AA66" s="105"/>
      <c r="AB66" s="105"/>
      <c r="AC66" s="105"/>
      <c r="AD66" s="96"/>
      <c r="AE66" s="96"/>
      <c r="AF66" s="96"/>
    </row>
    <row r="67" spans="1:32" s="800" customFormat="1" ht="21" customHeight="1" hidden="1">
      <c r="A67" s="106"/>
      <c r="B67" s="118"/>
      <c r="C67" s="118"/>
      <c r="D67" s="58"/>
      <c r="E67" s="58"/>
      <c r="F67" s="58"/>
      <c r="G67" s="58"/>
      <c r="H67" s="119"/>
      <c r="I67" s="119"/>
      <c r="J67" s="119"/>
      <c r="K67" s="119"/>
      <c r="L67" s="119"/>
      <c r="M67" s="120"/>
      <c r="N67" s="120"/>
      <c r="O67" s="121"/>
      <c r="P67" s="121"/>
      <c r="Q67" s="121"/>
      <c r="R67" s="106"/>
      <c r="S67" s="106"/>
      <c r="T67" s="789"/>
      <c r="U67" s="96"/>
      <c r="V67" s="96"/>
      <c r="W67" s="96"/>
      <c r="X67" s="96"/>
      <c r="Y67" s="105"/>
      <c r="Z67" s="105"/>
      <c r="AA67" s="105"/>
      <c r="AB67" s="105"/>
      <c r="AC67" s="105"/>
      <c r="AD67" s="96"/>
      <c r="AE67" s="96"/>
      <c r="AF67" s="96"/>
    </row>
    <row r="68" spans="1:32" s="800" customFormat="1" ht="21" customHeight="1" hidden="1">
      <c r="A68" s="106"/>
      <c r="B68" s="114"/>
      <c r="C68" s="114"/>
      <c r="D68" s="114"/>
      <c r="E68" s="122"/>
      <c r="F68" s="123"/>
      <c r="G68" s="109"/>
      <c r="H68" s="109"/>
      <c r="I68" s="109"/>
      <c r="J68" s="110"/>
      <c r="K68" s="110"/>
      <c r="L68" s="109"/>
      <c r="M68" s="109"/>
      <c r="N68" s="111"/>
      <c r="O68" s="112"/>
      <c r="P68" s="111"/>
      <c r="Q68" s="111"/>
      <c r="R68" s="106"/>
      <c r="S68" s="106"/>
      <c r="T68" s="789"/>
      <c r="U68" s="96"/>
      <c r="V68" s="96"/>
      <c r="W68" s="96"/>
      <c r="X68" s="96"/>
      <c r="Y68" s="105"/>
      <c r="Z68" s="105"/>
      <c r="AA68" s="105"/>
      <c r="AB68" s="105"/>
      <c r="AC68" s="105"/>
      <c r="AD68" s="96"/>
      <c r="AE68" s="96"/>
      <c r="AF68" s="96"/>
    </row>
    <row r="69" spans="1:32" s="800" customFormat="1" ht="7.5" customHeight="1" hidden="1">
      <c r="A69" s="106"/>
      <c r="B69" s="114"/>
      <c r="C69" s="114"/>
      <c r="D69" s="114"/>
      <c r="E69" s="122"/>
      <c r="F69" s="123"/>
      <c r="G69" s="109"/>
      <c r="H69" s="109"/>
      <c r="I69" s="109"/>
      <c r="J69" s="110"/>
      <c r="K69" s="110"/>
      <c r="L69" s="109"/>
      <c r="M69" s="109"/>
      <c r="N69" s="111"/>
      <c r="O69" s="112"/>
      <c r="P69" s="111"/>
      <c r="Q69" s="111"/>
      <c r="R69" s="106"/>
      <c r="S69" s="106"/>
      <c r="T69" s="789"/>
      <c r="U69" s="96"/>
      <c r="V69" s="96"/>
      <c r="W69" s="96"/>
      <c r="X69" s="96"/>
      <c r="Y69" s="105"/>
      <c r="Z69" s="105"/>
      <c r="AA69" s="105"/>
      <c r="AB69" s="105"/>
      <c r="AC69" s="105"/>
      <c r="AD69" s="96"/>
      <c r="AE69" s="96"/>
      <c r="AF69" s="96"/>
    </row>
    <row r="70" spans="1:32" s="800" customFormat="1" ht="22.5" customHeight="1" hidden="1">
      <c r="A70" s="106"/>
      <c r="B70" s="114"/>
      <c r="C70" s="114"/>
      <c r="D70" s="114"/>
      <c r="E70" s="122"/>
      <c r="F70" s="123"/>
      <c r="G70" s="109"/>
      <c r="H70" s="109"/>
      <c r="I70" s="109"/>
      <c r="J70" s="110"/>
      <c r="K70" s="110"/>
      <c r="L70" s="109"/>
      <c r="M70" s="109"/>
      <c r="N70" s="111"/>
      <c r="O70" s="112"/>
      <c r="P70" s="111"/>
      <c r="Q70" s="111"/>
      <c r="R70" s="106"/>
      <c r="S70" s="106"/>
      <c r="T70" s="789"/>
      <c r="U70" s="96"/>
      <c r="V70" s="96"/>
      <c r="W70" s="96"/>
      <c r="X70" s="96"/>
      <c r="Y70" s="105"/>
      <c r="Z70" s="105"/>
      <c r="AA70" s="105"/>
      <c r="AB70" s="105"/>
      <c r="AC70" s="105"/>
      <c r="AD70" s="96"/>
      <c r="AE70" s="96"/>
      <c r="AF70" s="96"/>
    </row>
    <row r="71" spans="25:29" ht="13.5" customHeight="1" hidden="1">
      <c r="Y71" s="105"/>
      <c r="Z71" s="105"/>
      <c r="AA71" s="105"/>
      <c r="AB71" s="105"/>
      <c r="AC71" s="105"/>
    </row>
    <row r="72" spans="1:32" s="800" customFormat="1" ht="14.25" customHeight="1" hidden="1">
      <c r="A72" s="106"/>
      <c r="B72" s="114"/>
      <c r="C72" s="114"/>
      <c r="D72" s="114"/>
      <c r="E72" s="122"/>
      <c r="F72" s="123"/>
      <c r="G72" s="109"/>
      <c r="H72" s="109"/>
      <c r="I72" s="109"/>
      <c r="J72" s="110"/>
      <c r="K72" s="110"/>
      <c r="L72" s="109"/>
      <c r="M72" s="109"/>
      <c r="N72" s="111"/>
      <c r="O72" s="112"/>
      <c r="P72" s="111"/>
      <c r="Q72" s="111"/>
      <c r="R72" s="106"/>
      <c r="S72" s="106"/>
      <c r="T72" s="789"/>
      <c r="U72" s="96"/>
      <c r="V72" s="96"/>
      <c r="W72" s="96"/>
      <c r="X72" s="96"/>
      <c r="Y72" s="97"/>
      <c r="Z72" s="96"/>
      <c r="AA72" s="96"/>
      <c r="AB72" s="96"/>
      <c r="AC72" s="96"/>
      <c r="AD72" s="96"/>
      <c r="AE72" s="96"/>
      <c r="AF72" s="96"/>
    </row>
    <row r="73" spans="1:32" s="800" customFormat="1" ht="21" customHeight="1" hidden="1">
      <c r="A73" s="106"/>
      <c r="B73" s="114"/>
      <c r="C73" s="114"/>
      <c r="D73" s="114"/>
      <c r="E73" s="122"/>
      <c r="F73" s="123"/>
      <c r="G73" s="109"/>
      <c r="H73" s="109"/>
      <c r="I73" s="109"/>
      <c r="J73" s="110"/>
      <c r="K73" s="110"/>
      <c r="L73" s="109"/>
      <c r="M73" s="109"/>
      <c r="N73" s="111"/>
      <c r="O73" s="112"/>
      <c r="P73" s="111"/>
      <c r="Q73" s="111"/>
      <c r="R73" s="106"/>
      <c r="S73" s="106"/>
      <c r="T73" s="789"/>
      <c r="U73" s="96"/>
      <c r="V73" s="96"/>
      <c r="W73" s="96"/>
      <c r="X73" s="96"/>
      <c r="Y73" s="97"/>
      <c r="Z73" s="96"/>
      <c r="AA73" s="96"/>
      <c r="AB73" s="96"/>
      <c r="AC73" s="96"/>
      <c r="AD73" s="96"/>
      <c r="AE73" s="96"/>
      <c r="AF73" s="96"/>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B21:G21"/>
    <mergeCell ref="L15:M15"/>
    <mergeCell ref="B23:C31"/>
    <mergeCell ref="D27:G27"/>
    <mergeCell ref="D29:G29"/>
    <mergeCell ref="J6:K6"/>
    <mergeCell ref="H27:L27"/>
    <mergeCell ref="I12:J12"/>
    <mergeCell ref="H26:L26"/>
    <mergeCell ref="M29:O29"/>
    <mergeCell ref="M31:O31"/>
    <mergeCell ref="L7:Q7"/>
    <mergeCell ref="H29:L29"/>
    <mergeCell ref="H21:L21"/>
    <mergeCell ref="L14:M14"/>
    <mergeCell ref="M27:O27"/>
    <mergeCell ref="J10:K10"/>
    <mergeCell ref="J7:K7"/>
    <mergeCell ref="I16:J16"/>
    <mergeCell ref="H23:K25"/>
    <mergeCell ref="O2:Q2"/>
    <mergeCell ref="S2:S3"/>
    <mergeCell ref="J5:K5"/>
    <mergeCell ref="L5:Q5"/>
    <mergeCell ref="L10:P10"/>
    <mergeCell ref="L8:P8"/>
    <mergeCell ref="L6:Q6"/>
    <mergeCell ref="I8:K8"/>
    <mergeCell ref="I15:J15"/>
    <mergeCell ref="M22:N22"/>
    <mergeCell ref="L13:M13"/>
    <mergeCell ref="I14:J14"/>
    <mergeCell ref="I13:J13"/>
    <mergeCell ref="L12:M12"/>
    <mergeCell ref="M21:O21"/>
    <mergeCell ref="M28:O28"/>
    <mergeCell ref="O32:Q32"/>
    <mergeCell ref="M41:P41"/>
    <mergeCell ref="H37:L37"/>
    <mergeCell ref="P36:P38"/>
    <mergeCell ref="H38:L38"/>
    <mergeCell ref="M35:O35"/>
    <mergeCell ref="H30:L30"/>
    <mergeCell ref="H31:L31"/>
    <mergeCell ref="M30:O30"/>
    <mergeCell ref="P21:Q21"/>
    <mergeCell ref="P23:P31"/>
    <mergeCell ref="M26:N26"/>
    <mergeCell ref="H32:L32"/>
    <mergeCell ref="I43:L43"/>
    <mergeCell ref="M38:O38"/>
    <mergeCell ref="M36:O36"/>
    <mergeCell ref="M32:N32"/>
    <mergeCell ref="I42:L42"/>
    <mergeCell ref="H28:L28"/>
    <mergeCell ref="D23:G26"/>
    <mergeCell ref="D28:G28"/>
    <mergeCell ref="D31:G31"/>
    <mergeCell ref="B32:G32"/>
    <mergeCell ref="F44:G44"/>
    <mergeCell ref="B36:G36"/>
    <mergeCell ref="H35:L35"/>
    <mergeCell ref="B38:G38"/>
    <mergeCell ref="H36:L36"/>
    <mergeCell ref="D30:G30"/>
    <mergeCell ref="I40:L40"/>
    <mergeCell ref="B35:G35"/>
    <mergeCell ref="B40:D40"/>
    <mergeCell ref="F40:G40"/>
    <mergeCell ref="B39:H39"/>
    <mergeCell ref="M37:O37"/>
    <mergeCell ref="F43:G43"/>
    <mergeCell ref="I44:L44"/>
    <mergeCell ref="M43:P43"/>
    <mergeCell ref="M42:P42"/>
    <mergeCell ref="P35:Q35"/>
    <mergeCell ref="M44:P44"/>
    <mergeCell ref="B37:G37"/>
    <mergeCell ref="M40:Q40"/>
    <mergeCell ref="I39:Q39"/>
    <mergeCell ref="F45:P47"/>
    <mergeCell ref="I41:L41"/>
    <mergeCell ref="B42:D42"/>
    <mergeCell ref="F42:G42"/>
    <mergeCell ref="B43:D43"/>
    <mergeCell ref="B44:D44"/>
    <mergeCell ref="B45:E47"/>
    <mergeCell ref="B41:D41"/>
    <mergeCell ref="F41:G41"/>
  </mergeCells>
  <conditionalFormatting sqref="H31">
    <cfRule type="expression" priority="1" dxfId="34" stopIfTrue="1">
      <formula>OR(重点評価入力!#REF!=3,重点評価入力!#REF!=6,)</formula>
    </cfRule>
  </conditionalFormatting>
  <conditionalFormatting sqref="O24:O26 O22">
    <cfRule type="expression" priority="2" dxfId="34" stopIfTrue="1">
      <formula>OR(重点評価入力!#REF!=2,重点評価入力!#REF!=3,重点評価入力!#REF!=5,重点評価入力!#REF!=6,)</formula>
    </cfRule>
  </conditionalFormatting>
  <conditionalFormatting sqref="O32:Q32">
    <cfRule type="expression" priority="5" dxfId="72"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4.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3.875" style="867" customWidth="1"/>
    <col min="4" max="4" width="7.625" style="867" bestFit="1" customWidth="1"/>
    <col min="5" max="5" width="7.25390625" style="868" bestFit="1" customWidth="1"/>
    <col min="6" max="6" width="5.75390625" style="869" bestFit="1" customWidth="1"/>
    <col min="7" max="7" width="8.00390625" style="870" customWidth="1"/>
    <col min="8" max="8" width="8.00390625" style="871" customWidth="1"/>
    <col min="9" max="10" width="8.00390625" style="872" customWidth="1"/>
    <col min="11" max="13" width="8.00390625" style="873" customWidth="1"/>
    <col min="14" max="14" width="8.00390625" style="870" customWidth="1"/>
    <col min="15" max="15" width="8.00390625" style="871" customWidth="1"/>
    <col min="16" max="16" width="8.00390625" style="872" customWidth="1"/>
    <col min="17" max="19" width="8.00390625" style="873" customWidth="1"/>
    <col min="20" max="20" width="0.875" style="817" customWidth="1"/>
    <col min="21" max="21" width="11.00390625" style="817" customWidth="1"/>
    <col min="22" max="25" width="10.125" style="817" customWidth="1"/>
    <col min="26" max="34" width="10.125" style="818" customWidth="1"/>
    <col min="35" max="41" width="9.00390625" style="818" customWidth="1"/>
    <col min="42" max="16384" width="9.00390625" style="801" hidden="1" customWidth="1"/>
  </cols>
  <sheetData>
    <row r="1" spans="1:41" s="799" customFormat="1" ht="6" customHeight="1" thickBot="1">
      <c r="A1" s="12"/>
      <c r="B1" s="148"/>
      <c r="C1" s="141"/>
      <c r="D1" s="142"/>
      <c r="E1" s="143"/>
      <c r="F1" s="144"/>
      <c r="G1" s="145"/>
      <c r="H1" s="146"/>
      <c r="I1" s="146"/>
      <c r="J1" s="222"/>
      <c r="K1" s="145"/>
      <c r="L1" s="145"/>
      <c r="M1" s="144"/>
      <c r="N1" s="145"/>
      <c r="O1" s="146"/>
      <c r="P1" s="222"/>
      <c r="Q1" s="145"/>
      <c r="R1" s="145"/>
      <c r="S1" s="144"/>
      <c r="T1" s="15"/>
      <c r="U1" s="817"/>
      <c r="V1" s="817"/>
      <c r="W1" s="817"/>
      <c r="X1" s="817"/>
      <c r="Y1" s="817"/>
      <c r="Z1" s="818"/>
      <c r="AA1" s="818"/>
      <c r="AB1" s="818"/>
      <c r="AC1" s="818"/>
      <c r="AD1" s="818"/>
      <c r="AE1" s="818"/>
      <c r="AF1" s="818"/>
      <c r="AG1" s="818"/>
      <c r="AH1" s="818"/>
      <c r="AI1" s="818"/>
      <c r="AJ1" s="818"/>
      <c r="AK1" s="818"/>
      <c r="AL1" s="818"/>
      <c r="AM1" s="818"/>
      <c r="AN1" s="818"/>
      <c r="AO1" s="818"/>
    </row>
    <row r="2" spans="1:41" s="800" customFormat="1" ht="27" customHeight="1">
      <c r="A2" s="10"/>
      <c r="B2" s="163"/>
      <c r="C2" s="1" t="s">
        <v>0</v>
      </c>
      <c r="D2" s="223"/>
      <c r="E2" s="2"/>
      <c r="F2" s="3"/>
      <c r="G2" s="224"/>
      <c r="H2" s="150"/>
      <c r="I2" s="150"/>
      <c r="J2" s="225"/>
      <c r="K2" s="151"/>
      <c r="L2" s="151"/>
      <c r="M2" s="226"/>
      <c r="N2" s="224"/>
      <c r="O2" s="150"/>
      <c r="P2" s="225"/>
      <c r="Q2" s="151"/>
      <c r="R2" s="151"/>
      <c r="S2" s="227"/>
      <c r="T2" s="15"/>
      <c r="U2" s="819" t="str">
        <f>'評価結果表示'!O23</f>
        <v>対象外</v>
      </c>
      <c r="V2" s="817"/>
      <c r="W2" s="817"/>
      <c r="X2" s="817"/>
      <c r="Y2" s="817"/>
      <c r="Z2" s="818"/>
      <c r="AA2" s="818"/>
      <c r="AB2" s="818"/>
      <c r="AC2" s="818"/>
      <c r="AD2" s="818"/>
      <c r="AE2" s="818"/>
      <c r="AF2" s="818"/>
      <c r="AG2" s="818"/>
      <c r="AH2" s="818"/>
      <c r="AI2" s="818"/>
      <c r="AJ2" s="818"/>
      <c r="AK2" s="818"/>
      <c r="AL2" s="818"/>
      <c r="AM2" s="818"/>
      <c r="AN2" s="818"/>
      <c r="AO2" s="818"/>
    </row>
    <row r="3" spans="1:41" s="800" customFormat="1" ht="29.25" customHeight="1" thickBot="1">
      <c r="A3" s="10"/>
      <c r="B3" s="163"/>
      <c r="C3" s="5" t="s">
        <v>270</v>
      </c>
      <c r="D3" s="152"/>
      <c r="E3" s="6"/>
      <c r="F3" s="7"/>
      <c r="G3" s="153"/>
      <c r="H3" s="155"/>
      <c r="I3" s="155"/>
      <c r="J3" s="228"/>
      <c r="K3" s="154"/>
      <c r="L3" s="154"/>
      <c r="M3" s="229"/>
      <c r="N3" s="153"/>
      <c r="O3" s="155"/>
      <c r="P3" s="228"/>
      <c r="Q3" s="154"/>
      <c r="R3" s="154"/>
      <c r="S3" s="230" t="str">
        <f>'評価結果表示'!O3</f>
        <v>Osakafu-新築・既存 2015V1.03</v>
      </c>
      <c r="T3" s="15"/>
      <c r="U3" s="817"/>
      <c r="V3" s="817"/>
      <c r="W3" s="817"/>
      <c r="X3" s="817"/>
      <c r="Y3" s="817"/>
      <c r="Z3" s="818"/>
      <c r="AA3" s="818"/>
      <c r="AB3" s="818"/>
      <c r="AC3" s="818"/>
      <c r="AD3" s="818"/>
      <c r="AE3" s="818"/>
      <c r="AF3" s="818"/>
      <c r="AG3" s="818"/>
      <c r="AH3" s="818"/>
      <c r="AI3" s="818"/>
      <c r="AJ3" s="818"/>
      <c r="AK3" s="818"/>
      <c r="AL3" s="818"/>
      <c r="AM3" s="818"/>
      <c r="AN3" s="818"/>
      <c r="AO3" s="818"/>
    </row>
    <row r="4" spans="1:41" s="800" customFormat="1" ht="3" customHeight="1" thickBot="1">
      <c r="A4" s="10"/>
      <c r="B4" s="163"/>
      <c r="C4" s="231"/>
      <c r="D4" s="157"/>
      <c r="E4" s="158"/>
      <c r="F4" s="159"/>
      <c r="G4" s="232"/>
      <c r="H4" s="14"/>
      <c r="I4" s="40"/>
      <c r="J4" s="40"/>
      <c r="K4" s="233"/>
      <c r="L4" s="233"/>
      <c r="M4" s="233"/>
      <c r="N4" s="232"/>
      <c r="O4" s="14"/>
      <c r="P4" s="40"/>
      <c r="Q4" s="233"/>
      <c r="R4" s="233"/>
      <c r="S4" s="233"/>
      <c r="T4" s="15"/>
      <c r="U4" s="817"/>
      <c r="V4" s="817"/>
      <c r="W4" s="817"/>
      <c r="X4" s="817"/>
      <c r="Y4" s="817"/>
      <c r="Z4" s="818"/>
      <c r="AA4" s="818"/>
      <c r="AB4" s="818"/>
      <c r="AC4" s="818"/>
      <c r="AD4" s="818"/>
      <c r="AE4" s="818"/>
      <c r="AF4" s="818"/>
      <c r="AG4" s="818"/>
      <c r="AH4" s="818"/>
      <c r="AI4" s="818"/>
      <c r="AJ4" s="818"/>
      <c r="AK4" s="818"/>
      <c r="AL4" s="818"/>
      <c r="AM4" s="818"/>
      <c r="AN4" s="818"/>
      <c r="AO4" s="818"/>
    </row>
    <row r="5" spans="1:33" s="800" customFormat="1" ht="21.75" customHeight="1" thickBot="1">
      <c r="A5" s="149"/>
      <c r="B5" s="10"/>
      <c r="C5" s="164" t="s">
        <v>103</v>
      </c>
      <c r="D5" s="165"/>
      <c r="E5" s="166"/>
      <c r="F5" s="166"/>
      <c r="G5" s="167"/>
      <c r="H5" s="234"/>
      <c r="I5" s="92"/>
      <c r="J5" s="235"/>
      <c r="K5" s="1160" t="s">
        <v>104</v>
      </c>
      <c r="L5" s="1161"/>
      <c r="M5" s="1164">
        <f>IF('目標入力'!J5="",IF('消費量入力 (1年目)'!L5="",IF('消費量入力 (2年目) '!L5="",IF('消費量入力 (3年目) '!L5="",IF('消費量入力 (4年目) '!L5="","",'消費量入力 (4年目) '!L5),'消費量入力 (3年目) '!L5),'消費量入力 (2年目) '!L5),'消費量入力 (1年目)'!L5),'目標入力'!J5)</f>
      </c>
      <c r="N5" s="1165"/>
      <c r="O5" s="1165"/>
      <c r="P5" s="1165"/>
      <c r="Q5" s="1165"/>
      <c r="R5" s="1165"/>
      <c r="S5" s="1166"/>
      <c r="T5" s="15"/>
      <c r="AA5" s="820"/>
      <c r="AB5" s="820"/>
      <c r="AC5" s="820"/>
      <c r="AD5" s="820"/>
      <c r="AE5" s="820"/>
      <c r="AF5" s="820"/>
      <c r="AG5" s="820"/>
    </row>
    <row r="6" spans="1:33" s="800" customFormat="1" ht="21.75" customHeight="1" thickBot="1">
      <c r="A6" s="149"/>
      <c r="B6" s="10"/>
      <c r="C6" s="164"/>
      <c r="D6" s="165"/>
      <c r="E6" s="166"/>
      <c r="F6" s="166"/>
      <c r="G6" s="167"/>
      <c r="H6" s="234"/>
      <c r="I6" s="93"/>
      <c r="J6" s="235"/>
      <c r="K6" s="1162" t="s">
        <v>105</v>
      </c>
      <c r="L6" s="1163"/>
      <c r="M6" s="1167">
        <f>IF('目標入力'!J6="",IF('消費量入力 (1年目)'!L6="",IF('消費量入力 (2年目) '!L6="",IF('消費量入力 (3年目) '!L6="",IF('消費量入力 (4年目) '!L6="","",'消費量入力 (4年目) '!L6),'消費量入力 (3年目) '!L6),'消費量入力 (2年目) '!L6),'消費量入力 (1年目)'!L6),'目標入力'!J6)</f>
      </c>
      <c r="N6" s="1168"/>
      <c r="O6" s="1168"/>
      <c r="P6" s="1168"/>
      <c r="Q6" s="1168"/>
      <c r="R6" s="1168"/>
      <c r="S6" s="1169"/>
      <c r="T6" s="15"/>
      <c r="AA6" s="820"/>
      <c r="AB6" s="820"/>
      <c r="AC6" s="820"/>
      <c r="AD6" s="820"/>
      <c r="AE6" s="820"/>
      <c r="AF6" s="820"/>
      <c r="AG6" s="820"/>
    </row>
    <row r="7" spans="1:20" s="817" customFormat="1" ht="3.75" customHeight="1" thickBot="1">
      <c r="A7" s="15"/>
      <c r="B7" s="15"/>
      <c r="C7" s="15"/>
      <c r="D7" s="15"/>
      <c r="E7" s="15"/>
      <c r="F7" s="15"/>
      <c r="G7" s="15"/>
      <c r="H7" s="15"/>
      <c r="I7" s="15"/>
      <c r="J7" s="15"/>
      <c r="K7" s="15"/>
      <c r="L7" s="15"/>
      <c r="M7" s="15"/>
      <c r="N7" s="15"/>
      <c r="O7" s="15"/>
      <c r="P7" s="15"/>
      <c r="Q7" s="15"/>
      <c r="R7" s="15"/>
      <c r="S7" s="15"/>
      <c r="T7" s="15"/>
    </row>
    <row r="8" spans="1:41" s="800" customFormat="1" ht="22.5" customHeight="1" thickBot="1">
      <c r="A8" s="10"/>
      <c r="B8" s="163"/>
      <c r="C8" s="164" t="s">
        <v>269</v>
      </c>
      <c r="D8" s="182"/>
      <c r="E8" s="183"/>
      <c r="F8" s="182"/>
      <c r="G8" s="236"/>
      <c r="H8" s="182"/>
      <c r="I8" s="182"/>
      <c r="J8" s="237"/>
      <c r="K8" s="182"/>
      <c r="L8" s="182"/>
      <c r="M8" s="238"/>
      <c r="N8" s="236"/>
      <c r="O8" s="182"/>
      <c r="P8" s="237"/>
      <c r="Q8" s="182"/>
      <c r="R8" s="182"/>
      <c r="S8" s="239"/>
      <c r="T8" s="15"/>
      <c r="U8" s="817">
        <f>IF('目標入力'!J5="",'消費量入力 (1年目)'!L5,1)</f>
        <v>0</v>
      </c>
      <c r="V8" s="817"/>
      <c r="W8" s="817"/>
      <c r="X8" s="817"/>
      <c r="Y8" s="817"/>
      <c r="Z8" s="818"/>
      <c r="AA8" s="818"/>
      <c r="AB8" s="818"/>
      <c r="AC8" s="818"/>
      <c r="AD8" s="818"/>
      <c r="AE8" s="818"/>
      <c r="AF8" s="818"/>
      <c r="AG8" s="818"/>
      <c r="AH8" s="818"/>
      <c r="AI8" s="818"/>
      <c r="AJ8" s="818"/>
      <c r="AK8" s="818"/>
      <c r="AL8" s="818"/>
      <c r="AM8" s="818"/>
      <c r="AN8" s="818"/>
      <c r="AO8" s="818"/>
    </row>
    <row r="9" spans="1:41" s="800" customFormat="1" ht="22.5" customHeight="1" thickBot="1">
      <c r="A9" s="10"/>
      <c r="B9" s="163"/>
      <c r="C9" s="240" t="str">
        <f>CONCATENATE("実績報告対象期間：平成",V10,"年",W10,"月～平成",'目標入力'!W10,"年3月")</f>
        <v>実績報告対象期間：平成27年4月～平成30年3月</v>
      </c>
      <c r="D9" s="241"/>
      <c r="E9" s="241"/>
      <c r="F9" s="242"/>
      <c r="G9" s="243"/>
      <c r="H9" s="244"/>
      <c r="I9" s="244"/>
      <c r="J9" s="245"/>
      <c r="K9" s="244"/>
      <c r="L9" s="244"/>
      <c r="M9" s="246"/>
      <c r="N9" s="243"/>
      <c r="O9" s="244"/>
      <c r="P9" s="245"/>
      <c r="Q9" s="244"/>
      <c r="R9" s="244"/>
      <c r="S9" s="247"/>
      <c r="T9" s="15"/>
      <c r="U9" s="817"/>
      <c r="V9" s="817" t="s">
        <v>231</v>
      </c>
      <c r="W9" s="817" t="s">
        <v>232</v>
      </c>
      <c r="X9" s="817" t="s">
        <v>285</v>
      </c>
      <c r="Y9" s="817"/>
      <c r="Z9" s="818" t="s">
        <v>231</v>
      </c>
      <c r="AA9" s="818" t="s">
        <v>233</v>
      </c>
      <c r="AB9" s="818"/>
      <c r="AC9" s="818" t="s">
        <v>231</v>
      </c>
      <c r="AD9" s="818" t="s">
        <v>233</v>
      </c>
      <c r="AE9" s="818"/>
      <c r="AF9" s="818" t="s">
        <v>231</v>
      </c>
      <c r="AG9" s="818" t="s">
        <v>233</v>
      </c>
      <c r="AH9" s="818" t="s">
        <v>286</v>
      </c>
      <c r="AI9" s="818"/>
      <c r="AK9" s="818"/>
      <c r="AL9" s="818"/>
      <c r="AM9" s="818"/>
      <c r="AN9" s="818"/>
      <c r="AO9" s="818"/>
    </row>
    <row r="10" spans="1:41" s="829" customFormat="1" ht="22.5" customHeight="1">
      <c r="A10" s="248"/>
      <c r="B10" s="249"/>
      <c r="C10" s="1178" t="s">
        <v>112</v>
      </c>
      <c r="D10" s="1179"/>
      <c r="E10" s="1180"/>
      <c r="F10" s="1170" t="s">
        <v>254</v>
      </c>
      <c r="G10" s="1175" t="str">
        <f>CONCATENATE("平成",V10,"年",W10,"月～平成",X10,"年3月")</f>
        <v>平成27年4月～平成28年3月</v>
      </c>
      <c r="H10" s="1173"/>
      <c r="I10" s="1173"/>
      <c r="J10" s="1174"/>
      <c r="K10" s="1172" t="str">
        <f>CONCATENATE("平成",X10,"年４月～平成",AA10,"年3月")</f>
        <v>平成28年４月～平成29年3月</v>
      </c>
      <c r="L10" s="1173"/>
      <c r="M10" s="1174"/>
      <c r="N10" s="1172" t="str">
        <f>CONCATENATE("平成",AC10,"年４月～平成",AD10,"年3月")</f>
        <v>平成29年４月～平成30年3月</v>
      </c>
      <c r="O10" s="1173"/>
      <c r="P10" s="1174"/>
      <c r="Q10" s="1172" t="str">
        <f>IF(AF10=AG10,"-",CONCATENATE("平成",AF10,"年４月～平成",AG10,"年3月"))</f>
        <v>-</v>
      </c>
      <c r="R10" s="1173"/>
      <c r="S10" s="1174"/>
      <c r="T10" s="15"/>
      <c r="U10" s="821"/>
      <c r="V10" s="822">
        <f>'目標入力'!O8</f>
        <v>27</v>
      </c>
      <c r="W10" s="823">
        <f>'目標入力'!Q8</f>
        <v>4</v>
      </c>
      <c r="X10" s="823">
        <f>IF(W10&lt;=3,V10,V10+1)</f>
        <v>28</v>
      </c>
      <c r="Y10" s="824"/>
      <c r="Z10" s="825">
        <f>X10</f>
        <v>28</v>
      </c>
      <c r="AA10" s="823">
        <f>Z10+1</f>
        <v>29</v>
      </c>
      <c r="AB10" s="824"/>
      <c r="AC10" s="825">
        <f>AA10</f>
        <v>29</v>
      </c>
      <c r="AD10" s="823">
        <f>AC10+1</f>
        <v>30</v>
      </c>
      <c r="AE10" s="824"/>
      <c r="AF10" s="825">
        <f>AD10</f>
        <v>30</v>
      </c>
      <c r="AG10" s="823">
        <f>IF(W10=4,AF10,AF10+1)</f>
        <v>30</v>
      </c>
      <c r="AH10" s="824"/>
      <c r="AI10" s="826" t="s">
        <v>285</v>
      </c>
      <c r="AJ10" s="827">
        <f>X10-1</f>
        <v>27</v>
      </c>
      <c r="AK10" s="827">
        <f>AA10-1</f>
        <v>28</v>
      </c>
      <c r="AL10" s="827">
        <f>AD10-1</f>
        <v>29</v>
      </c>
      <c r="AM10" s="827">
        <f>AG10-1</f>
        <v>29</v>
      </c>
      <c r="AN10" s="828"/>
      <c r="AO10" s="828"/>
    </row>
    <row r="11" spans="1:41" s="835" customFormat="1" ht="37.5" customHeight="1" thickBot="1">
      <c r="A11" s="250"/>
      <c r="B11" s="251"/>
      <c r="C11" s="1184" t="s">
        <v>249</v>
      </c>
      <c r="D11" s="1185"/>
      <c r="E11" s="252" t="s">
        <v>11</v>
      </c>
      <c r="F11" s="1171"/>
      <c r="G11" s="253" t="s">
        <v>193</v>
      </c>
      <c r="H11" s="253" t="s">
        <v>36</v>
      </c>
      <c r="I11" s="254" t="s">
        <v>255</v>
      </c>
      <c r="J11" s="255" t="s">
        <v>256</v>
      </c>
      <c r="K11" s="256" t="s">
        <v>193</v>
      </c>
      <c r="L11" s="253" t="s">
        <v>36</v>
      </c>
      <c r="M11" s="255" t="s">
        <v>256</v>
      </c>
      <c r="N11" s="256" t="s">
        <v>193</v>
      </c>
      <c r="O11" s="253" t="s">
        <v>36</v>
      </c>
      <c r="P11" s="255" t="s">
        <v>256</v>
      </c>
      <c r="Q11" s="256" t="s">
        <v>193</v>
      </c>
      <c r="R11" s="253" t="s">
        <v>36</v>
      </c>
      <c r="S11" s="255" t="s">
        <v>256</v>
      </c>
      <c r="T11" s="15"/>
      <c r="U11" s="817"/>
      <c r="V11" s="830" t="s">
        <v>193</v>
      </c>
      <c r="W11" s="830" t="s">
        <v>36</v>
      </c>
      <c r="X11" s="831" t="s">
        <v>255</v>
      </c>
      <c r="Y11" s="832" t="s">
        <v>256</v>
      </c>
      <c r="Z11" s="833" t="s">
        <v>193</v>
      </c>
      <c r="AA11" s="830" t="s">
        <v>36</v>
      </c>
      <c r="AB11" s="832" t="s">
        <v>256</v>
      </c>
      <c r="AC11" s="833" t="s">
        <v>193</v>
      </c>
      <c r="AD11" s="830" t="s">
        <v>36</v>
      </c>
      <c r="AE11" s="832" t="s">
        <v>256</v>
      </c>
      <c r="AF11" s="833" t="s">
        <v>193</v>
      </c>
      <c r="AG11" s="830" t="s">
        <v>36</v>
      </c>
      <c r="AH11" s="832" t="s">
        <v>256</v>
      </c>
      <c r="AI11" s="834" t="s">
        <v>283</v>
      </c>
      <c r="AK11" s="834"/>
      <c r="AL11" s="834"/>
      <c r="AM11" s="834"/>
      <c r="AN11" s="818"/>
      <c r="AO11" s="818"/>
    </row>
    <row r="12" spans="1:41" s="835" customFormat="1" ht="22.5" customHeight="1" thickBot="1">
      <c r="A12" s="250"/>
      <c r="B12" s="251"/>
      <c r="C12" s="257" t="s">
        <v>97</v>
      </c>
      <c r="D12" s="258"/>
      <c r="E12" s="259" t="s">
        <v>150</v>
      </c>
      <c r="F12" s="260">
        <f>IF('目標入力'!J12="",'目標入力'!H12,'目標入力'!J12)</f>
        <v>9.76</v>
      </c>
      <c r="G12" s="261">
        <f>IF(V12=0,"",V12)</f>
      </c>
      <c r="H12" s="261">
        <f aca="true" t="shared" si="0" ref="H12:H25">IF(W12=0,"",W12)</f>
      </c>
      <c r="I12" s="525">
        <f aca="true" t="shared" si="1" ref="I12:I25">IF(X12=0,"",X12)</f>
      </c>
      <c r="J12" s="262">
        <f aca="true" t="shared" si="2" ref="J12:J25">IF(Y12=0,"",Y12)</f>
      </c>
      <c r="K12" s="263">
        <f aca="true" t="shared" si="3" ref="K12:K25">IF(Z12=0,"",Z12)</f>
      </c>
      <c r="L12" s="261">
        <f aca="true" t="shared" si="4" ref="L12:L25">IF(AA12=0,"",AA12)</f>
      </c>
      <c r="M12" s="262">
        <f aca="true" t="shared" si="5" ref="M12:M25">IF(AB12=0,"",AB12)</f>
      </c>
      <c r="N12" s="263">
        <f aca="true" t="shared" si="6" ref="N12:N25">IF(AC12=0,"",AC12)</f>
      </c>
      <c r="O12" s="261">
        <f aca="true" t="shared" si="7" ref="O12:O25">IF(AD12=0,"",AD12)</f>
      </c>
      <c r="P12" s="262">
        <f aca="true" t="shared" si="8" ref="P12:P25">IF(AE12=0,"",AE12)</f>
      </c>
      <c r="Q12" s="263">
        <f aca="true" t="shared" si="9" ref="Q12:Q25">IF(AF12=0,"",AF12)</f>
      </c>
      <c r="R12" s="261">
        <f aca="true" t="shared" si="10" ref="R12:R25">IF(AG12=0,"",AG12)</f>
      </c>
      <c r="S12" s="262">
        <f aca="true" t="shared" si="11" ref="S12:S25">IF(AH12=0,"",AH12)</f>
      </c>
      <c r="T12" s="15"/>
      <c r="U12" s="817"/>
      <c r="V12" s="836">
        <f>'目標入力'!U12</f>
        <v>0</v>
      </c>
      <c r="W12" s="836">
        <f>'消費量入力 (1年目)'!AF12</f>
        <v>0</v>
      </c>
      <c r="X12" s="874">
        <f>IF($W$10&lt;=3,W12*12/(4-$W$10),W12*12/(16-$W$10))</f>
        <v>0</v>
      </c>
      <c r="Y12" s="837">
        <f>IF(V12=0,0,X12/V12*100)</f>
        <v>0</v>
      </c>
      <c r="Z12" s="838">
        <f>IF('目標入力'!$X$10&gt;$Z$10,'目標入力'!U12,IF('目標入力'!$Y$10&gt;$Z$10,'目標入力'!V66,IF('目標入力'!$Z$10&gt;$Z$10,'目標入力'!V87,'目標入力'!V108)))</f>
        <v>0</v>
      </c>
      <c r="AA12" s="836">
        <f>'消費量入力 (2年目) '!AF12</f>
        <v>0</v>
      </c>
      <c r="AB12" s="837">
        <f>IF(Z12=0,0,AA12/Z12*100)</f>
        <v>0</v>
      </c>
      <c r="AC12" s="838">
        <f>IF('目標入力'!$X$10&gt;$AC$10,'目標入力'!U12,IF('目標入力'!$Y$10&gt;$AC$10,'目標入力'!V66,IF('目標入力'!$Z$10&gt;$AC$10,'目標入力'!V87,'目標入力'!V108)))</f>
        <v>0</v>
      </c>
      <c r="AD12" s="836">
        <f>'消費量入力 (3年目) '!AF12</f>
        <v>0</v>
      </c>
      <c r="AE12" s="837">
        <f>IF(AC12=0,0,AD12/AC12*100)</f>
        <v>0</v>
      </c>
      <c r="AF12" s="838">
        <f>IF($AF$10=$AG$10,AC12,IF('目標入力'!$X$10&gt;$AF$10,'目標入力'!U12,IF('目標入力'!$Y$10&gt;$AF$10,'目標入力'!V66,IF('目標入力'!$Z$10&gt;$AF$10,'目標入力'!V87,'目標入力'!V108))))</f>
        <v>0</v>
      </c>
      <c r="AG12" s="836">
        <f>'消費量入力 (4年目) '!AF12</f>
        <v>0</v>
      </c>
      <c r="AH12" s="837">
        <f>IF(AF12=0,0,AG12/AF12*100)</f>
        <v>0</v>
      </c>
      <c r="AI12" s="839"/>
      <c r="AJ12" s="839">
        <f>F12*X12</f>
        <v>0</v>
      </c>
      <c r="AK12" s="839">
        <f>F12*AA12</f>
        <v>0</v>
      </c>
      <c r="AL12" s="839">
        <f>F12*AD12</f>
        <v>0</v>
      </c>
      <c r="AM12" s="839">
        <f>F12*AG12</f>
        <v>0</v>
      </c>
      <c r="AN12" s="818"/>
      <c r="AO12" s="818"/>
    </row>
    <row r="13" spans="1:41" s="835" customFormat="1" ht="22.5" customHeight="1" thickBot="1">
      <c r="A13" s="250"/>
      <c r="B13" s="251"/>
      <c r="C13" s="264"/>
      <c r="D13" s="265" t="s">
        <v>251</v>
      </c>
      <c r="E13" s="266" t="s">
        <v>126</v>
      </c>
      <c r="F13" s="267">
        <f>IF('目標入力'!J13="",'目標入力'!H13,'目標入力'!J13)</f>
        <v>9.97</v>
      </c>
      <c r="G13" s="526">
        <f aca="true" t="shared" si="12" ref="G13:G25">IF(V13=0,"",V13)</f>
      </c>
      <c r="H13" s="526">
        <f t="shared" si="0"/>
      </c>
      <c r="I13" s="527">
        <f t="shared" si="1"/>
      </c>
      <c r="J13" s="528">
        <f t="shared" si="2"/>
      </c>
      <c r="K13" s="529">
        <f t="shared" si="3"/>
      </c>
      <c r="L13" s="526">
        <f t="shared" si="4"/>
      </c>
      <c r="M13" s="528">
        <f t="shared" si="5"/>
      </c>
      <c r="N13" s="529">
        <f t="shared" si="6"/>
      </c>
      <c r="O13" s="526">
        <f t="shared" si="7"/>
      </c>
      <c r="P13" s="528">
        <f t="shared" si="8"/>
      </c>
      <c r="Q13" s="529">
        <f t="shared" si="9"/>
      </c>
      <c r="R13" s="526">
        <f t="shared" si="10"/>
      </c>
      <c r="S13" s="528">
        <f t="shared" si="11"/>
      </c>
      <c r="T13" s="15"/>
      <c r="U13" s="817"/>
      <c r="V13" s="836">
        <f>'目標入力'!U13</f>
        <v>0</v>
      </c>
      <c r="W13" s="836">
        <f>'消費量入力 (1年目)'!AF13</f>
        <v>0</v>
      </c>
      <c r="X13" s="874">
        <f aca="true" t="shared" si="13" ref="X13:X25">IF($W$10&lt;=3,W13*12/(4-$W$10),W13*12/(16-$W$10))</f>
        <v>0</v>
      </c>
      <c r="Y13" s="837">
        <f aca="true" t="shared" si="14" ref="Y13:Y25">IF(V13=0,0,X13/V13*100)</f>
        <v>0</v>
      </c>
      <c r="Z13" s="838">
        <f>IF('目標入力'!$X$10&gt;$Z$10,'目標入力'!U13,IF('目標入力'!$Y$10&gt;$Z$10,'目標入力'!V67,IF('目標入力'!$Z$10&gt;$Z$10,'目標入力'!V88,'目標入力'!V109)))</f>
        <v>0</v>
      </c>
      <c r="AA13" s="836">
        <f>'消費量入力 (2年目) '!AF13</f>
        <v>0</v>
      </c>
      <c r="AB13" s="837">
        <f aca="true" t="shared" si="15" ref="AB13:AB25">IF(Z13=0,0,AA13/Z13*100)</f>
        <v>0</v>
      </c>
      <c r="AC13" s="838">
        <f>IF('目標入力'!$X$10&gt;$AC$10,'目標入力'!U13,IF('目標入力'!$Y$10&gt;$AC$10,'目標入力'!V67,IF('目標入力'!$Z$10&gt;$AC$10,'目標入力'!V88,'目標入力'!V109)))</f>
        <v>0</v>
      </c>
      <c r="AD13" s="836">
        <f>'消費量入力 (3年目) '!AF13</f>
        <v>0</v>
      </c>
      <c r="AE13" s="837">
        <f aca="true" t="shared" si="16" ref="AE13:AE25">IF(AC13=0,0,AD13/AC13*100)</f>
        <v>0</v>
      </c>
      <c r="AF13" s="838">
        <f>IF($AF$10=$AG$10,AC13,IF('目標入力'!$X$10&gt;$AF$10,'目標入力'!U13,IF('目標入力'!$Y$10&gt;$AF$10,'目標入力'!V67,IF('目標入力'!$Z$10&gt;$AF$10,'目標入力'!V88,'目標入力'!V109))))</f>
        <v>0</v>
      </c>
      <c r="AG13" s="836">
        <f>'消費量入力 (4年目) '!AF13</f>
        <v>0</v>
      </c>
      <c r="AH13" s="837">
        <f aca="true" t="shared" si="17" ref="AH13:AH25">IF(AF13=0,0,AG13/AF13*100)</f>
        <v>0</v>
      </c>
      <c r="AI13" s="839"/>
      <c r="AJ13" s="839">
        <f aca="true" t="shared" si="18" ref="AJ13:AJ22">F13*X13</f>
        <v>0</v>
      </c>
      <c r="AK13" s="839">
        <f aca="true" t="shared" si="19" ref="AK13:AK22">F13*AA13</f>
        <v>0</v>
      </c>
      <c r="AL13" s="839">
        <f aca="true" t="shared" si="20" ref="AL13:AL22">F13*AD13</f>
        <v>0</v>
      </c>
      <c r="AM13" s="839">
        <f aca="true" t="shared" si="21" ref="AM13:AM22">F13*AG13</f>
        <v>0</v>
      </c>
      <c r="AN13" s="818"/>
      <c r="AO13" s="818"/>
    </row>
    <row r="14" spans="1:41" s="835" customFormat="1" ht="22.5" customHeight="1" thickBot="1">
      <c r="A14" s="250"/>
      <c r="B14" s="251"/>
      <c r="C14" s="268"/>
      <c r="D14" s="269" t="s">
        <v>250</v>
      </c>
      <c r="E14" s="270" t="s">
        <v>151</v>
      </c>
      <c r="F14" s="271">
        <f>IF('目標入力'!J14="",'目標入力'!H14,'目標入力'!J14)</f>
        <v>9.28</v>
      </c>
      <c r="G14" s="526">
        <f t="shared" si="12"/>
      </c>
      <c r="H14" s="526">
        <f t="shared" si="0"/>
      </c>
      <c r="I14" s="527">
        <f t="shared" si="1"/>
      </c>
      <c r="J14" s="530">
        <f t="shared" si="2"/>
      </c>
      <c r="K14" s="529">
        <f t="shared" si="3"/>
      </c>
      <c r="L14" s="526">
        <f t="shared" si="4"/>
      </c>
      <c r="M14" s="530">
        <f t="shared" si="5"/>
      </c>
      <c r="N14" s="529">
        <f t="shared" si="6"/>
      </c>
      <c r="O14" s="526">
        <f t="shared" si="7"/>
      </c>
      <c r="P14" s="530">
        <f t="shared" si="8"/>
      </c>
      <c r="Q14" s="529">
        <f t="shared" si="9"/>
      </c>
      <c r="R14" s="526">
        <f t="shared" si="10"/>
      </c>
      <c r="S14" s="530">
        <f t="shared" si="11"/>
      </c>
      <c r="T14" s="15"/>
      <c r="U14" s="817"/>
      <c r="V14" s="836">
        <f>'目標入力'!U14</f>
        <v>0</v>
      </c>
      <c r="W14" s="836">
        <f>'消費量入力 (1年目)'!AF14</f>
        <v>0</v>
      </c>
      <c r="X14" s="874">
        <f t="shared" si="13"/>
        <v>0</v>
      </c>
      <c r="Y14" s="837">
        <f t="shared" si="14"/>
        <v>0</v>
      </c>
      <c r="Z14" s="838">
        <f>IF('目標入力'!$X$10&gt;$Z$10,'目標入力'!U14,IF('目標入力'!$Y$10&gt;$Z$10,'目標入力'!V68,IF('目標入力'!$Z$10&gt;$Z$10,'目標入力'!V89,'目標入力'!V110)))</f>
        <v>0</v>
      </c>
      <c r="AA14" s="836">
        <f>'消費量入力 (2年目) '!AF14</f>
        <v>0</v>
      </c>
      <c r="AB14" s="837">
        <f t="shared" si="15"/>
        <v>0</v>
      </c>
      <c r="AC14" s="838">
        <f>IF('目標入力'!$X$10&gt;$AC$10,'目標入力'!U14,IF('目標入力'!$Y$10&gt;$AC$10,'目標入力'!V68,IF('目標入力'!$Z$10&gt;$AC$10,'目標入力'!V89,'目標入力'!V110)))</f>
        <v>0</v>
      </c>
      <c r="AD14" s="836">
        <f>'消費量入力 (3年目) '!AF14</f>
        <v>0</v>
      </c>
      <c r="AE14" s="837">
        <f t="shared" si="16"/>
        <v>0</v>
      </c>
      <c r="AF14" s="838">
        <f>IF($AF$10=$AG$10,AC14,IF('目標入力'!$X$10&gt;$AF$10,'目標入力'!U14,IF('目標入力'!$Y$10&gt;$AF$10,'目標入力'!V68,IF('目標入力'!$Z$10&gt;$AF$10,'目標入力'!V89,'目標入力'!V110))))</f>
        <v>0</v>
      </c>
      <c r="AG14" s="836">
        <f>'消費量入力 (4年目) '!AF14</f>
        <v>0</v>
      </c>
      <c r="AH14" s="837">
        <f t="shared" si="17"/>
        <v>0</v>
      </c>
      <c r="AI14" s="839"/>
      <c r="AJ14" s="839">
        <f t="shared" si="18"/>
        <v>0</v>
      </c>
      <c r="AK14" s="839">
        <f t="shared" si="19"/>
        <v>0</v>
      </c>
      <c r="AL14" s="839">
        <f t="shared" si="20"/>
        <v>0</v>
      </c>
      <c r="AM14" s="839">
        <f t="shared" si="21"/>
        <v>0</v>
      </c>
      <c r="AN14" s="818"/>
      <c r="AO14" s="818"/>
    </row>
    <row r="15" spans="1:41" s="835" customFormat="1" ht="22.5" customHeight="1" thickBot="1">
      <c r="A15" s="250"/>
      <c r="B15" s="251"/>
      <c r="C15" s="1186" t="s">
        <v>248</v>
      </c>
      <c r="D15" s="1187"/>
      <c r="E15" s="273" t="s">
        <v>72</v>
      </c>
      <c r="F15" s="274">
        <f>IF('目標入力'!J15="",'目標入力'!H15,'目標入力'!J15)</f>
        <v>41.1</v>
      </c>
      <c r="G15" s="526">
        <f t="shared" si="12"/>
      </c>
      <c r="H15" s="526">
        <f t="shared" si="0"/>
      </c>
      <c r="I15" s="527">
        <f>IF(X15=0,"",X15)</f>
      </c>
      <c r="J15" s="528">
        <f t="shared" si="2"/>
      </c>
      <c r="K15" s="529">
        <f t="shared" si="3"/>
      </c>
      <c r="L15" s="526">
        <f t="shared" si="4"/>
      </c>
      <c r="M15" s="528">
        <f t="shared" si="5"/>
      </c>
      <c r="N15" s="529">
        <f t="shared" si="6"/>
      </c>
      <c r="O15" s="526">
        <f t="shared" si="7"/>
      </c>
      <c r="P15" s="528">
        <f t="shared" si="8"/>
      </c>
      <c r="Q15" s="529">
        <f t="shared" si="9"/>
      </c>
      <c r="R15" s="526">
        <f t="shared" si="10"/>
      </c>
      <c r="S15" s="528">
        <f t="shared" si="11"/>
      </c>
      <c r="T15" s="15"/>
      <c r="U15" s="817"/>
      <c r="V15" s="836">
        <f>'目標入力'!U15</f>
        <v>0</v>
      </c>
      <c r="W15" s="836">
        <f>'消費量入力 (1年目)'!AF15</f>
        <v>0</v>
      </c>
      <c r="X15" s="874">
        <f t="shared" si="13"/>
        <v>0</v>
      </c>
      <c r="Y15" s="837">
        <f>IF(V15=0,0,X15/V15*100)</f>
        <v>0</v>
      </c>
      <c r="Z15" s="838">
        <f>IF('目標入力'!$X$10&gt;$Z$10,'目標入力'!U15,IF('目標入力'!$Y$10&gt;$Z$10,'目標入力'!V69,IF('目標入力'!$Z$10&gt;$Z$10,'目標入力'!V90,'目標入力'!V111)))</f>
        <v>0</v>
      </c>
      <c r="AA15" s="836">
        <f>'消費量入力 (2年目) '!AF15</f>
        <v>0</v>
      </c>
      <c r="AB15" s="837">
        <f t="shared" si="15"/>
        <v>0</v>
      </c>
      <c r="AC15" s="838">
        <f>IF('目標入力'!$X$10&gt;$AC$10,'目標入力'!U15,IF('目標入力'!$Y$10&gt;$AC$10,'目標入力'!V69,IF('目標入力'!$Z$10&gt;$AC$10,'目標入力'!V90,'目標入力'!V111)))</f>
        <v>0</v>
      </c>
      <c r="AD15" s="836">
        <f>'消費量入力 (3年目) '!AF15</f>
        <v>0</v>
      </c>
      <c r="AE15" s="837">
        <f t="shared" si="16"/>
        <v>0</v>
      </c>
      <c r="AF15" s="838">
        <f>IF($AF$10=$AG$10,AC15,IF('目標入力'!$X$10&gt;$AF$10,'目標入力'!U15,IF('目標入力'!$Y$10&gt;$AF$10,'目標入力'!V69,IF('目標入力'!$Z$10&gt;$AF$10,'目標入力'!V90,'目標入力'!V111))))</f>
        <v>0</v>
      </c>
      <c r="AG15" s="836">
        <f>'消費量入力 (4年目) '!AF15</f>
        <v>0</v>
      </c>
      <c r="AH15" s="837">
        <f t="shared" si="17"/>
        <v>0</v>
      </c>
      <c r="AI15" s="839"/>
      <c r="AJ15" s="839">
        <f t="shared" si="18"/>
        <v>0</v>
      </c>
      <c r="AK15" s="839">
        <f t="shared" si="19"/>
        <v>0</v>
      </c>
      <c r="AL15" s="839">
        <f t="shared" si="20"/>
        <v>0</v>
      </c>
      <c r="AM15" s="839">
        <f t="shared" si="21"/>
        <v>0</v>
      </c>
      <c r="AN15" s="818"/>
      <c r="AO15" s="818"/>
    </row>
    <row r="16" spans="1:41" s="835" customFormat="1" ht="22.5" customHeight="1" thickBot="1">
      <c r="A16" s="250"/>
      <c r="B16" s="251"/>
      <c r="C16" s="1188" t="s">
        <v>152</v>
      </c>
      <c r="D16" s="1189"/>
      <c r="E16" s="273" t="s">
        <v>153</v>
      </c>
      <c r="F16" s="274">
        <f>IF('目標入力'!J16="",'目標入力'!H16,'目標入力'!J16)</f>
        <v>50.2</v>
      </c>
      <c r="G16" s="526">
        <f t="shared" si="12"/>
      </c>
      <c r="H16" s="526">
        <f t="shared" si="0"/>
      </c>
      <c r="I16" s="527">
        <f t="shared" si="1"/>
      </c>
      <c r="J16" s="528">
        <f t="shared" si="2"/>
      </c>
      <c r="K16" s="529">
        <f t="shared" si="3"/>
      </c>
      <c r="L16" s="526">
        <f t="shared" si="4"/>
      </c>
      <c r="M16" s="528">
        <f t="shared" si="5"/>
      </c>
      <c r="N16" s="529">
        <f t="shared" si="6"/>
      </c>
      <c r="O16" s="526">
        <f t="shared" si="7"/>
      </c>
      <c r="P16" s="528">
        <f t="shared" si="8"/>
      </c>
      <c r="Q16" s="529">
        <f t="shared" si="9"/>
      </c>
      <c r="R16" s="526">
        <f t="shared" si="10"/>
      </c>
      <c r="S16" s="528">
        <f t="shared" si="11"/>
      </c>
      <c r="T16" s="15"/>
      <c r="U16" s="817"/>
      <c r="V16" s="836">
        <f>'目標入力'!U16</f>
        <v>0</v>
      </c>
      <c r="W16" s="836">
        <f>'消費量入力 (1年目)'!AF16</f>
        <v>0</v>
      </c>
      <c r="X16" s="874">
        <f t="shared" si="13"/>
        <v>0</v>
      </c>
      <c r="Y16" s="837">
        <f t="shared" si="14"/>
        <v>0</v>
      </c>
      <c r="Z16" s="838">
        <f>IF('目標入力'!$X$10&gt;$Z$10,'目標入力'!U16,IF('目標入力'!$Y$10&gt;$Z$10,'目標入力'!V70,IF('目標入力'!$Z$10&gt;$Z$10,'目標入力'!V91,'目標入力'!V112)))</f>
        <v>0</v>
      </c>
      <c r="AA16" s="836">
        <f>'消費量入力 (2年目) '!AF16</f>
        <v>0</v>
      </c>
      <c r="AB16" s="837">
        <f t="shared" si="15"/>
        <v>0</v>
      </c>
      <c r="AC16" s="838">
        <f>IF('目標入力'!$X$10&gt;$AC$10,'目標入力'!U16,IF('目標入力'!$Y$10&gt;$AC$10,'目標入力'!V70,IF('目標入力'!$Z$10&gt;$AC$10,'目標入力'!V91,'目標入力'!V112)))</f>
        <v>0</v>
      </c>
      <c r="AD16" s="836">
        <f>'消費量入力 (3年目) '!AF16</f>
        <v>0</v>
      </c>
      <c r="AE16" s="837">
        <f t="shared" si="16"/>
        <v>0</v>
      </c>
      <c r="AF16" s="838">
        <f>IF($AF$10=$AG$10,AC16,IF('目標入力'!$X$10&gt;$AF$10,'目標入力'!U16,IF('目標入力'!$Y$10&gt;$AF$10,'目標入力'!V70,IF('目標入力'!$Z$10&gt;$AF$10,'目標入力'!V91,'目標入力'!V112))))</f>
        <v>0</v>
      </c>
      <c r="AG16" s="836">
        <f>'消費量入力 (4年目) '!AF16</f>
        <v>0</v>
      </c>
      <c r="AH16" s="837">
        <f t="shared" si="17"/>
        <v>0</v>
      </c>
      <c r="AI16" s="839"/>
      <c r="AJ16" s="839">
        <f t="shared" si="18"/>
        <v>0</v>
      </c>
      <c r="AK16" s="839">
        <f t="shared" si="19"/>
        <v>0</v>
      </c>
      <c r="AL16" s="839">
        <f t="shared" si="20"/>
        <v>0</v>
      </c>
      <c r="AM16" s="839">
        <f t="shared" si="21"/>
        <v>0</v>
      </c>
      <c r="AN16" s="818"/>
      <c r="AO16" s="818"/>
    </row>
    <row r="17" spans="1:41" s="835" customFormat="1" ht="22.5" customHeight="1" thickBot="1">
      <c r="A17" s="250"/>
      <c r="B17" s="251"/>
      <c r="C17" s="272" t="s">
        <v>99</v>
      </c>
      <c r="D17" s="275"/>
      <c r="E17" s="273" t="s">
        <v>154</v>
      </c>
      <c r="F17" s="274">
        <f>IF('目標入力'!J17="",'目標入力'!H17,'目標入力'!J17)</f>
        <v>36.7</v>
      </c>
      <c r="G17" s="526">
        <f t="shared" si="12"/>
      </c>
      <c r="H17" s="526">
        <f t="shared" si="0"/>
      </c>
      <c r="I17" s="527">
        <f t="shared" si="1"/>
      </c>
      <c r="J17" s="528">
        <f t="shared" si="2"/>
      </c>
      <c r="K17" s="529">
        <f t="shared" si="3"/>
      </c>
      <c r="L17" s="526">
        <f t="shared" si="4"/>
      </c>
      <c r="M17" s="528">
        <f t="shared" si="5"/>
      </c>
      <c r="N17" s="529">
        <f t="shared" si="6"/>
      </c>
      <c r="O17" s="526">
        <f t="shared" si="7"/>
      </c>
      <c r="P17" s="528">
        <f t="shared" si="8"/>
      </c>
      <c r="Q17" s="529">
        <f t="shared" si="9"/>
      </c>
      <c r="R17" s="526">
        <f t="shared" si="10"/>
      </c>
      <c r="S17" s="528">
        <f t="shared" si="11"/>
      </c>
      <c r="T17" s="15"/>
      <c r="U17" s="817"/>
      <c r="V17" s="836">
        <f>'目標入力'!U17</f>
        <v>0</v>
      </c>
      <c r="W17" s="836">
        <f>'消費量入力 (1年目)'!AF17</f>
        <v>0</v>
      </c>
      <c r="X17" s="874">
        <f t="shared" si="13"/>
        <v>0</v>
      </c>
      <c r="Y17" s="837">
        <f t="shared" si="14"/>
        <v>0</v>
      </c>
      <c r="Z17" s="838">
        <f>IF('目標入力'!$X$10&gt;$Z$10,'目標入力'!U17,IF('目標入力'!$Y$10&gt;$Z$10,'目標入力'!V71,IF('目標入力'!$Z$10&gt;$Z$10,'目標入力'!V92,'目標入力'!V113)))</f>
        <v>0</v>
      </c>
      <c r="AA17" s="836">
        <f>'消費量入力 (2年目) '!AF17</f>
        <v>0</v>
      </c>
      <c r="AB17" s="837">
        <f t="shared" si="15"/>
        <v>0</v>
      </c>
      <c r="AC17" s="838">
        <f>IF('目標入力'!$X$10&gt;$AC$10,'目標入力'!U17,IF('目標入力'!$Y$10&gt;$AC$10,'目標入力'!V71,IF('目標入力'!$Z$10&gt;$AC$10,'目標入力'!V92,'目標入力'!V113)))</f>
        <v>0</v>
      </c>
      <c r="AD17" s="836">
        <f>'消費量入力 (3年目) '!AF17</f>
        <v>0</v>
      </c>
      <c r="AE17" s="837">
        <f t="shared" si="16"/>
        <v>0</v>
      </c>
      <c r="AF17" s="838">
        <f>IF($AF$10=$AG$10,AC17,IF('目標入力'!$X$10&gt;$AF$10,'目標入力'!U17,IF('目標入力'!$Y$10&gt;$AF$10,'目標入力'!V71,IF('目標入力'!$Z$10&gt;$AF$10,'目標入力'!V92,'目標入力'!V113))))</f>
        <v>0</v>
      </c>
      <c r="AG17" s="836">
        <f>'消費量入力 (4年目) '!AF17</f>
        <v>0</v>
      </c>
      <c r="AH17" s="837">
        <f t="shared" si="17"/>
        <v>0</v>
      </c>
      <c r="AI17" s="839"/>
      <c r="AJ17" s="839">
        <f t="shared" si="18"/>
        <v>0</v>
      </c>
      <c r="AK17" s="839">
        <f t="shared" si="19"/>
        <v>0</v>
      </c>
      <c r="AL17" s="839">
        <f t="shared" si="20"/>
        <v>0</v>
      </c>
      <c r="AM17" s="839">
        <f t="shared" si="21"/>
        <v>0</v>
      </c>
      <c r="AN17" s="818"/>
      <c r="AO17" s="818"/>
    </row>
    <row r="18" spans="1:41" s="835" customFormat="1" ht="22.5" customHeight="1" thickBot="1">
      <c r="A18" s="250"/>
      <c r="B18" s="251"/>
      <c r="C18" s="1181" t="s">
        <v>253</v>
      </c>
      <c r="D18" s="276" t="s">
        <v>110</v>
      </c>
      <c r="E18" s="276" t="s">
        <v>155</v>
      </c>
      <c r="F18" s="274">
        <f>IF('目標入力'!J18="",'目標入力'!H18,'目標入力'!J18)</f>
        <v>39.1</v>
      </c>
      <c r="G18" s="526">
        <f t="shared" si="12"/>
      </c>
      <c r="H18" s="526">
        <f t="shared" si="0"/>
      </c>
      <c r="I18" s="527">
        <f t="shared" si="1"/>
      </c>
      <c r="J18" s="528">
        <f t="shared" si="2"/>
      </c>
      <c r="K18" s="529">
        <f t="shared" si="3"/>
      </c>
      <c r="L18" s="526">
        <f t="shared" si="4"/>
      </c>
      <c r="M18" s="528">
        <f t="shared" si="5"/>
      </c>
      <c r="N18" s="529">
        <f t="shared" si="6"/>
      </c>
      <c r="O18" s="526">
        <f t="shared" si="7"/>
      </c>
      <c r="P18" s="528">
        <f t="shared" si="8"/>
      </c>
      <c r="Q18" s="529">
        <f t="shared" si="9"/>
      </c>
      <c r="R18" s="526">
        <f t="shared" si="10"/>
      </c>
      <c r="S18" s="528">
        <f t="shared" si="11"/>
      </c>
      <c r="T18" s="15"/>
      <c r="U18" s="817"/>
      <c r="V18" s="836">
        <f>'目標入力'!U18</f>
        <v>0</v>
      </c>
      <c r="W18" s="836">
        <f>'消費量入力 (1年目)'!AF18</f>
        <v>0</v>
      </c>
      <c r="X18" s="874">
        <f t="shared" si="13"/>
        <v>0</v>
      </c>
      <c r="Y18" s="837">
        <f t="shared" si="14"/>
        <v>0</v>
      </c>
      <c r="Z18" s="838">
        <f>IF('目標入力'!$X$10&gt;$Z$10,'目標入力'!U18,IF('目標入力'!$Y$10&gt;$Z$10,'目標入力'!V72,IF('目標入力'!$Z$10&gt;$Z$10,'目標入力'!V93,'目標入力'!V114)))</f>
        <v>0</v>
      </c>
      <c r="AA18" s="836">
        <f>'消費量入力 (2年目) '!AF18</f>
        <v>0</v>
      </c>
      <c r="AB18" s="837">
        <f t="shared" si="15"/>
        <v>0</v>
      </c>
      <c r="AC18" s="838">
        <f>IF('目標入力'!$X$10&gt;$AC$10,'目標入力'!U18,IF('目標入力'!$Y$10&gt;$AC$10,'目標入力'!V72,IF('目標入力'!$Z$10&gt;$AC$10,'目標入力'!V93,'目標入力'!V114)))</f>
        <v>0</v>
      </c>
      <c r="AD18" s="836">
        <f>'消費量入力 (3年目) '!AF18</f>
        <v>0</v>
      </c>
      <c r="AE18" s="837">
        <f t="shared" si="16"/>
        <v>0</v>
      </c>
      <c r="AF18" s="838">
        <f>IF($AF$10=$AG$10,AC18,IF('目標入力'!$X$10&gt;$AF$10,'目標入力'!U18,IF('目標入力'!$Y$10&gt;$AF$10,'目標入力'!V72,IF('目標入力'!$Z$10&gt;$AF$10,'目標入力'!V93,'目標入力'!V114))))</f>
        <v>0</v>
      </c>
      <c r="AG18" s="836">
        <f>'消費量入力 (4年目) '!AF18</f>
        <v>0</v>
      </c>
      <c r="AH18" s="837">
        <f t="shared" si="17"/>
        <v>0</v>
      </c>
      <c r="AI18" s="839"/>
      <c r="AJ18" s="839">
        <f t="shared" si="18"/>
        <v>0</v>
      </c>
      <c r="AK18" s="839">
        <f t="shared" si="19"/>
        <v>0</v>
      </c>
      <c r="AL18" s="839">
        <f t="shared" si="20"/>
        <v>0</v>
      </c>
      <c r="AM18" s="839">
        <f t="shared" si="21"/>
        <v>0</v>
      </c>
      <c r="AN18" s="818"/>
      <c r="AO18" s="818"/>
    </row>
    <row r="19" spans="1:41" s="835" customFormat="1" ht="22.5" customHeight="1" thickBot="1">
      <c r="A19" s="250"/>
      <c r="B19" s="251"/>
      <c r="C19" s="1183"/>
      <c r="D19" s="276" t="s">
        <v>252</v>
      </c>
      <c r="E19" s="276" t="s">
        <v>130</v>
      </c>
      <c r="F19" s="274">
        <f>IF('目標入力'!J19="",'目標入力'!H19,'目標入力'!J19)</f>
        <v>41.7</v>
      </c>
      <c r="G19" s="526">
        <f t="shared" si="12"/>
      </c>
      <c r="H19" s="526">
        <f t="shared" si="0"/>
      </c>
      <c r="I19" s="527">
        <f t="shared" si="1"/>
      </c>
      <c r="J19" s="528">
        <f t="shared" si="2"/>
      </c>
      <c r="K19" s="529">
        <f t="shared" si="3"/>
      </c>
      <c r="L19" s="526">
        <f t="shared" si="4"/>
      </c>
      <c r="M19" s="528">
        <f t="shared" si="5"/>
      </c>
      <c r="N19" s="529">
        <f t="shared" si="6"/>
      </c>
      <c r="O19" s="526">
        <f t="shared" si="7"/>
      </c>
      <c r="P19" s="528">
        <f t="shared" si="8"/>
      </c>
      <c r="Q19" s="529">
        <f t="shared" si="9"/>
      </c>
      <c r="R19" s="526">
        <f t="shared" si="10"/>
      </c>
      <c r="S19" s="528">
        <f t="shared" si="11"/>
      </c>
      <c r="T19" s="15"/>
      <c r="U19" s="817"/>
      <c r="V19" s="836">
        <f>'目標入力'!U19</f>
        <v>0</v>
      </c>
      <c r="W19" s="836">
        <f>'消費量入力 (1年目)'!AF19</f>
        <v>0</v>
      </c>
      <c r="X19" s="874">
        <f t="shared" si="13"/>
        <v>0</v>
      </c>
      <c r="Y19" s="837">
        <f t="shared" si="14"/>
        <v>0</v>
      </c>
      <c r="Z19" s="838">
        <f>IF('目標入力'!$X$10&gt;$Z$10,'目標入力'!U19,IF('目標入力'!$Y$10&gt;$Z$10,'目標入力'!V73,IF('目標入力'!$Z$10&gt;$Z$10,'目標入力'!V94,'目標入力'!V115)))</f>
        <v>0</v>
      </c>
      <c r="AA19" s="836">
        <f>'消費量入力 (2年目) '!AF19</f>
        <v>0</v>
      </c>
      <c r="AB19" s="837">
        <f t="shared" si="15"/>
        <v>0</v>
      </c>
      <c r="AC19" s="838">
        <f>IF('目標入力'!$X$10&gt;$AC$10,'目標入力'!U19,IF('目標入力'!$Y$10&gt;$AC$10,'目標入力'!V73,IF('目標入力'!$Z$10&gt;$AC$10,'目標入力'!V94,'目標入力'!V115)))</f>
        <v>0</v>
      </c>
      <c r="AD19" s="836">
        <f>'消費量入力 (3年目) '!AF19</f>
        <v>0</v>
      </c>
      <c r="AE19" s="837">
        <f t="shared" si="16"/>
        <v>0</v>
      </c>
      <c r="AF19" s="838">
        <f>IF($AF$10=$AG$10,AC19,IF('目標入力'!$X$10&gt;$AF$10,'目標入力'!U19,IF('目標入力'!$Y$10&gt;$AF$10,'目標入力'!V73,IF('目標入力'!$Z$10&gt;$AF$10,'目標入力'!V94,'目標入力'!V115))))</f>
        <v>0</v>
      </c>
      <c r="AG19" s="836">
        <f>'消費量入力 (4年目) '!AF19</f>
        <v>0</v>
      </c>
      <c r="AH19" s="837">
        <f t="shared" si="17"/>
        <v>0</v>
      </c>
      <c r="AI19" s="839"/>
      <c r="AJ19" s="839">
        <f t="shared" si="18"/>
        <v>0</v>
      </c>
      <c r="AK19" s="839">
        <f t="shared" si="19"/>
        <v>0</v>
      </c>
      <c r="AL19" s="839">
        <f t="shared" si="20"/>
        <v>0</v>
      </c>
      <c r="AM19" s="839">
        <f t="shared" si="21"/>
        <v>0</v>
      </c>
      <c r="AN19" s="818"/>
      <c r="AO19" s="818"/>
    </row>
    <row r="20" spans="1:41" s="835" customFormat="1" ht="22.5" customHeight="1" thickBot="1">
      <c r="A20" s="250"/>
      <c r="B20" s="251"/>
      <c r="C20" s="1181" t="s">
        <v>247</v>
      </c>
      <c r="D20" s="277" t="s">
        <v>12</v>
      </c>
      <c r="E20" s="276" t="s">
        <v>156</v>
      </c>
      <c r="F20" s="278">
        <f>IF('目標入力'!J20="",'目標入力'!H20,'目標入力'!J20)</f>
        <v>1.36</v>
      </c>
      <c r="G20" s="526">
        <f t="shared" si="12"/>
      </c>
      <c r="H20" s="526">
        <f t="shared" si="0"/>
      </c>
      <c r="I20" s="527">
        <f t="shared" si="1"/>
      </c>
      <c r="J20" s="528">
        <f t="shared" si="2"/>
      </c>
      <c r="K20" s="529">
        <f t="shared" si="3"/>
      </c>
      <c r="L20" s="526">
        <f t="shared" si="4"/>
      </c>
      <c r="M20" s="528">
        <f t="shared" si="5"/>
      </c>
      <c r="N20" s="529">
        <f t="shared" si="6"/>
      </c>
      <c r="O20" s="526">
        <f t="shared" si="7"/>
      </c>
      <c r="P20" s="528">
        <f t="shared" si="8"/>
      </c>
      <c r="Q20" s="529">
        <f t="shared" si="9"/>
      </c>
      <c r="R20" s="526">
        <f t="shared" si="10"/>
      </c>
      <c r="S20" s="528">
        <f t="shared" si="11"/>
      </c>
      <c r="T20" s="15"/>
      <c r="U20" s="817"/>
      <c r="V20" s="836">
        <f>'目標入力'!U20</f>
        <v>0</v>
      </c>
      <c r="W20" s="836">
        <f>'消費量入力 (1年目)'!AF20</f>
        <v>0</v>
      </c>
      <c r="X20" s="874">
        <f t="shared" si="13"/>
        <v>0</v>
      </c>
      <c r="Y20" s="837">
        <f t="shared" si="14"/>
        <v>0</v>
      </c>
      <c r="Z20" s="838">
        <f>IF('目標入力'!$X$10&gt;$Z$10,'目標入力'!U20,IF('目標入力'!$Y$10&gt;$Z$10,'目標入力'!V74,IF('目標入力'!$Z$10&gt;$Z$10,'目標入力'!V95,'目標入力'!V116)))</f>
        <v>0</v>
      </c>
      <c r="AA20" s="836">
        <f>'消費量入力 (2年目) '!AF20</f>
        <v>0</v>
      </c>
      <c r="AB20" s="837">
        <f t="shared" si="15"/>
        <v>0</v>
      </c>
      <c r="AC20" s="838">
        <f>IF('目標入力'!$X$10&gt;$AC$10,'目標入力'!U20,IF('目標入力'!$Y$10&gt;$AC$10,'目標入力'!V74,IF('目標入力'!$Z$10&gt;$AC$10,'目標入力'!V95,'目標入力'!V116)))</f>
        <v>0</v>
      </c>
      <c r="AD20" s="836">
        <f>'消費量入力 (3年目) '!AF20</f>
        <v>0</v>
      </c>
      <c r="AE20" s="837">
        <f t="shared" si="16"/>
        <v>0</v>
      </c>
      <c r="AF20" s="838">
        <f>IF($AF$10=$AG$10,AC20,IF('目標入力'!$X$10&gt;$AF$10,'目標入力'!U20,IF('目標入力'!$Y$10&gt;$AF$10,'目標入力'!V74,IF('目標入力'!$Z$10&gt;$AF$10,'目標入力'!V95,'目標入力'!V116))))</f>
        <v>0</v>
      </c>
      <c r="AG20" s="836">
        <f>'消費量入力 (4年目) '!AF20</f>
        <v>0</v>
      </c>
      <c r="AH20" s="837">
        <f t="shared" si="17"/>
        <v>0</v>
      </c>
      <c r="AI20" s="839"/>
      <c r="AJ20" s="839">
        <f t="shared" si="18"/>
        <v>0</v>
      </c>
      <c r="AK20" s="839">
        <f t="shared" si="19"/>
        <v>0</v>
      </c>
      <c r="AL20" s="839">
        <f t="shared" si="20"/>
        <v>0</v>
      </c>
      <c r="AM20" s="839">
        <f t="shared" si="21"/>
        <v>0</v>
      </c>
      <c r="AN20" s="818"/>
      <c r="AO20" s="818"/>
    </row>
    <row r="21" spans="1:41" s="835" customFormat="1" ht="22.5" customHeight="1" thickBot="1">
      <c r="A21" s="250"/>
      <c r="B21" s="251"/>
      <c r="C21" s="1182"/>
      <c r="D21" s="277" t="s">
        <v>13</v>
      </c>
      <c r="E21" s="276" t="s">
        <v>83</v>
      </c>
      <c r="F21" s="278">
        <f>IF('目標入力'!J21="",'目標入力'!H21,'目標入力'!J21)</f>
        <v>1.36</v>
      </c>
      <c r="G21" s="526">
        <f t="shared" si="12"/>
      </c>
      <c r="H21" s="526">
        <f t="shared" si="0"/>
      </c>
      <c r="I21" s="527">
        <f t="shared" si="1"/>
      </c>
      <c r="J21" s="528">
        <f t="shared" si="2"/>
      </c>
      <c r="K21" s="529">
        <f t="shared" si="3"/>
      </c>
      <c r="L21" s="526">
        <f t="shared" si="4"/>
      </c>
      <c r="M21" s="528">
        <f t="shared" si="5"/>
      </c>
      <c r="N21" s="529">
        <f t="shared" si="6"/>
      </c>
      <c r="O21" s="526">
        <f t="shared" si="7"/>
      </c>
      <c r="P21" s="528">
        <f t="shared" si="8"/>
      </c>
      <c r="Q21" s="529">
        <f t="shared" si="9"/>
      </c>
      <c r="R21" s="526">
        <f t="shared" si="10"/>
      </c>
      <c r="S21" s="528">
        <f t="shared" si="11"/>
      </c>
      <c r="T21" s="15"/>
      <c r="U21" s="817"/>
      <c r="V21" s="836">
        <f>'目標入力'!U21</f>
        <v>0</v>
      </c>
      <c r="W21" s="836">
        <f>'消費量入力 (1年目)'!AF21</f>
        <v>0</v>
      </c>
      <c r="X21" s="874">
        <f t="shared" si="13"/>
        <v>0</v>
      </c>
      <c r="Y21" s="837">
        <f t="shared" si="14"/>
        <v>0</v>
      </c>
      <c r="Z21" s="838">
        <f>IF('目標入力'!$X$10&gt;$Z$10,'目標入力'!U21,IF('目標入力'!$Y$10&gt;$Z$10,'目標入力'!V75,IF('目標入力'!$Z$10&gt;$Z$10,'目標入力'!V96,'目標入力'!V117)))</f>
        <v>0</v>
      </c>
      <c r="AA21" s="836">
        <f>'消費量入力 (2年目) '!AF21</f>
        <v>0</v>
      </c>
      <c r="AB21" s="837">
        <f t="shared" si="15"/>
        <v>0</v>
      </c>
      <c r="AC21" s="838">
        <f>IF('目標入力'!$X$10&gt;$AC$10,'目標入力'!U21,IF('目標入力'!$Y$10&gt;$AC$10,'目標入力'!V75,IF('目標入力'!$Z$10&gt;$AC$10,'目標入力'!V96,'目標入力'!V117)))</f>
        <v>0</v>
      </c>
      <c r="AD21" s="836">
        <f>'消費量入力 (3年目) '!AF21</f>
        <v>0</v>
      </c>
      <c r="AE21" s="837">
        <f t="shared" si="16"/>
        <v>0</v>
      </c>
      <c r="AF21" s="838">
        <f>IF($AF$10=$AG$10,AC21,IF('目標入力'!$X$10&gt;$AF$10,'目標入力'!U21,IF('目標入力'!$Y$10&gt;$AF$10,'目標入力'!V75,IF('目標入力'!$Z$10&gt;$AF$10,'目標入力'!V96,'目標入力'!V117))))</f>
        <v>0</v>
      </c>
      <c r="AG21" s="836">
        <f>'消費量入力 (4年目) '!AF21</f>
        <v>0</v>
      </c>
      <c r="AH21" s="837">
        <f t="shared" si="17"/>
        <v>0</v>
      </c>
      <c r="AI21" s="839"/>
      <c r="AJ21" s="839">
        <f t="shared" si="18"/>
        <v>0</v>
      </c>
      <c r="AK21" s="839">
        <f t="shared" si="19"/>
        <v>0</v>
      </c>
      <c r="AL21" s="839">
        <f t="shared" si="20"/>
        <v>0</v>
      </c>
      <c r="AM21" s="839">
        <f t="shared" si="21"/>
        <v>0</v>
      </c>
      <c r="AN21" s="818"/>
      <c r="AO21" s="818"/>
    </row>
    <row r="22" spans="1:41" s="835" customFormat="1" ht="22.5" customHeight="1" thickBot="1">
      <c r="A22" s="250"/>
      <c r="B22" s="279"/>
      <c r="C22" s="1183"/>
      <c r="D22" s="280" t="s">
        <v>14</v>
      </c>
      <c r="E22" s="276" t="s">
        <v>157</v>
      </c>
      <c r="F22" s="278">
        <f>IF('目標入力'!J22="",'目標入力'!H22,'目標入力'!J22)</f>
        <v>1.36</v>
      </c>
      <c r="G22" s="526">
        <f t="shared" si="12"/>
      </c>
      <c r="H22" s="526">
        <f t="shared" si="0"/>
      </c>
      <c r="I22" s="527">
        <f t="shared" si="1"/>
      </c>
      <c r="J22" s="528">
        <f t="shared" si="2"/>
      </c>
      <c r="K22" s="529">
        <f t="shared" si="3"/>
      </c>
      <c r="L22" s="526">
        <f t="shared" si="4"/>
      </c>
      <c r="M22" s="528">
        <f t="shared" si="5"/>
      </c>
      <c r="N22" s="529">
        <f t="shared" si="6"/>
      </c>
      <c r="O22" s="526">
        <f t="shared" si="7"/>
      </c>
      <c r="P22" s="528">
        <f t="shared" si="8"/>
      </c>
      <c r="Q22" s="529">
        <f t="shared" si="9"/>
      </c>
      <c r="R22" s="526">
        <f t="shared" si="10"/>
      </c>
      <c r="S22" s="528">
        <f t="shared" si="11"/>
      </c>
      <c r="T22" s="15"/>
      <c r="U22" s="817"/>
      <c r="V22" s="836">
        <f>'目標入力'!U22</f>
        <v>0</v>
      </c>
      <c r="W22" s="836">
        <f>'消費量入力 (1年目)'!AF22</f>
        <v>0</v>
      </c>
      <c r="X22" s="874">
        <f t="shared" si="13"/>
        <v>0</v>
      </c>
      <c r="Y22" s="837">
        <f t="shared" si="14"/>
        <v>0</v>
      </c>
      <c r="Z22" s="838">
        <f>IF('目標入力'!$X$10&gt;$Z$10,'目標入力'!U22,IF('目標入力'!$Y$10&gt;$Z$10,'目標入力'!V76,IF('目標入力'!$Z$10&gt;$Z$10,'目標入力'!V97,'目標入力'!V118)))</f>
        <v>0</v>
      </c>
      <c r="AA22" s="836">
        <f>'消費量入力 (2年目) '!AF22</f>
        <v>0</v>
      </c>
      <c r="AB22" s="837">
        <f t="shared" si="15"/>
        <v>0</v>
      </c>
      <c r="AC22" s="838">
        <f>IF('目標入力'!$X$10&gt;$AC$10,'目標入力'!U22,IF('目標入力'!$Y$10&gt;$AC$10,'目標入力'!V76,IF('目標入力'!$Z$10&gt;$AC$10,'目標入力'!V97,'目標入力'!V118)))</f>
        <v>0</v>
      </c>
      <c r="AD22" s="836">
        <f>'消費量入力 (3年目) '!AF22</f>
        <v>0</v>
      </c>
      <c r="AE22" s="837">
        <f t="shared" si="16"/>
        <v>0</v>
      </c>
      <c r="AF22" s="838">
        <f>IF($AF$10=$AG$10,AC22,IF('目標入力'!$X$10&gt;$AF$10,'目標入力'!U22,IF('目標入力'!$Y$10&gt;$AF$10,'目標入力'!V76,IF('目標入力'!$Z$10&gt;$AF$10,'目標入力'!V97,'目標入力'!V118))))</f>
        <v>0</v>
      </c>
      <c r="AG22" s="836">
        <f>'消費量入力 (4年目) '!AF22</f>
        <v>0</v>
      </c>
      <c r="AH22" s="837">
        <f t="shared" si="17"/>
        <v>0</v>
      </c>
      <c r="AI22" s="839"/>
      <c r="AJ22" s="839">
        <f t="shared" si="18"/>
        <v>0</v>
      </c>
      <c r="AK22" s="839">
        <f t="shared" si="19"/>
        <v>0</v>
      </c>
      <c r="AL22" s="839">
        <f t="shared" si="20"/>
        <v>0</v>
      </c>
      <c r="AM22" s="839">
        <f t="shared" si="21"/>
        <v>0</v>
      </c>
      <c r="AN22" s="818"/>
      <c r="AO22" s="818"/>
    </row>
    <row r="23" spans="1:41" s="835" customFormat="1" ht="22.5" customHeight="1" thickBot="1">
      <c r="A23" s="250"/>
      <c r="B23" s="251"/>
      <c r="C23" s="1176">
        <f>IF('目標入力'!D23="","",'目標入力'!D23)</f>
      </c>
      <c r="D23" s="1177"/>
      <c r="E23" s="277"/>
      <c r="F23" s="281" t="str">
        <f>IF('目標入力'!J23="",'目標入力'!H23,'目標入力'!J23)</f>
        <v>-</v>
      </c>
      <c r="G23" s="526">
        <f t="shared" si="12"/>
      </c>
      <c r="H23" s="526">
        <f t="shared" si="0"/>
      </c>
      <c r="I23" s="527">
        <f t="shared" si="1"/>
      </c>
      <c r="J23" s="531">
        <f t="shared" si="2"/>
      </c>
      <c r="K23" s="529">
        <f t="shared" si="3"/>
      </c>
      <c r="L23" s="526">
        <f t="shared" si="4"/>
      </c>
      <c r="M23" s="531">
        <f t="shared" si="5"/>
      </c>
      <c r="N23" s="529">
        <f t="shared" si="6"/>
      </c>
      <c r="O23" s="526">
        <f>IF(AD23=0,"",AD23)</f>
      </c>
      <c r="P23" s="531">
        <f t="shared" si="8"/>
      </c>
      <c r="Q23" s="529">
        <f t="shared" si="9"/>
      </c>
      <c r="R23" s="526">
        <f t="shared" si="10"/>
      </c>
      <c r="S23" s="531">
        <f t="shared" si="11"/>
      </c>
      <c r="T23" s="15"/>
      <c r="U23" s="817"/>
      <c r="V23" s="836">
        <f>'目標入力'!U23</f>
        <v>0</v>
      </c>
      <c r="W23" s="836">
        <f>'消費量入力 (1年目)'!AF23</f>
        <v>0</v>
      </c>
      <c r="X23" s="874">
        <f t="shared" si="13"/>
        <v>0</v>
      </c>
      <c r="Y23" s="837">
        <f t="shared" si="14"/>
        <v>0</v>
      </c>
      <c r="Z23" s="838">
        <f>IF('目標入力'!$X$10&gt;$Z$10,'目標入力'!U23,IF('目標入力'!$Y$10&gt;$Z$10,'目標入力'!V77,IF('目標入力'!$Z$10&gt;$Z$10,'目標入力'!V98,'目標入力'!V119)))</f>
        <v>0</v>
      </c>
      <c r="AA23" s="836">
        <f>'消費量入力 (2年目) '!AF23</f>
        <v>0</v>
      </c>
      <c r="AB23" s="837">
        <f t="shared" si="15"/>
        <v>0</v>
      </c>
      <c r="AC23" s="838">
        <f>IF('目標入力'!$X$10&gt;$AC$10,'目標入力'!U23,IF('目標入力'!$Y$10&gt;$AC$10,'目標入力'!V77,IF('目標入力'!$Z$10&gt;$AC$10,'目標入力'!V98,'目標入力'!V119)))</f>
        <v>0</v>
      </c>
      <c r="AD23" s="836">
        <f>'消費量入力 (3年目) '!AF23</f>
        <v>0</v>
      </c>
      <c r="AE23" s="837">
        <f t="shared" si="16"/>
        <v>0</v>
      </c>
      <c r="AF23" s="838">
        <f>IF($AF$10=$AG$10,AC23,IF('目標入力'!$X$10&gt;$AF$10,'目標入力'!U23,IF('目標入力'!$Y$10&gt;$AF$10,'目標入力'!V77,IF('目標入力'!$Z$10&gt;$AF$10,'目標入力'!V98,'目標入力'!V119))))</f>
        <v>0</v>
      </c>
      <c r="AG23" s="836">
        <f>'消費量入力 (4年目) '!AF23</f>
        <v>0</v>
      </c>
      <c r="AH23" s="837">
        <f t="shared" si="17"/>
        <v>0</v>
      </c>
      <c r="AI23" s="839"/>
      <c r="AJ23" s="839">
        <f>IF(F23="-",0,F23*X23)</f>
        <v>0</v>
      </c>
      <c r="AK23" s="839">
        <f>IF(F23="-",0,F23*AA23)</f>
        <v>0</v>
      </c>
      <c r="AL23" s="839">
        <f>IF(F23="-",0,F23*AG23)</f>
        <v>0</v>
      </c>
      <c r="AM23" s="839">
        <f>IF(F23="-",0,F23*AE23)</f>
        <v>0</v>
      </c>
      <c r="AN23" s="818"/>
      <c r="AO23" s="818"/>
    </row>
    <row r="24" spans="1:41" s="835" customFormat="1" ht="22.5" customHeight="1" thickBot="1">
      <c r="A24" s="250"/>
      <c r="B24" s="279"/>
      <c r="C24" s="1176">
        <f>IF('目標入力'!D24="","",'目標入力'!D24)</f>
      </c>
      <c r="D24" s="1177"/>
      <c r="E24" s="282"/>
      <c r="F24" s="281" t="str">
        <f>IF('目標入力'!J24="",'目標入力'!H24,'目標入力'!J24)</f>
        <v>-</v>
      </c>
      <c r="G24" s="526">
        <f t="shared" si="12"/>
      </c>
      <c r="H24" s="526">
        <f t="shared" si="0"/>
      </c>
      <c r="I24" s="527">
        <f t="shared" si="1"/>
      </c>
      <c r="J24" s="531">
        <f t="shared" si="2"/>
      </c>
      <c r="K24" s="529">
        <f t="shared" si="3"/>
      </c>
      <c r="L24" s="526">
        <f t="shared" si="4"/>
      </c>
      <c r="M24" s="531">
        <f t="shared" si="5"/>
      </c>
      <c r="N24" s="529">
        <f t="shared" si="6"/>
      </c>
      <c r="O24" s="526">
        <f t="shared" si="7"/>
      </c>
      <c r="P24" s="531">
        <f t="shared" si="8"/>
      </c>
      <c r="Q24" s="529">
        <f t="shared" si="9"/>
      </c>
      <c r="R24" s="526">
        <f t="shared" si="10"/>
      </c>
      <c r="S24" s="531">
        <f t="shared" si="11"/>
      </c>
      <c r="T24" s="15"/>
      <c r="U24" s="817"/>
      <c r="V24" s="836">
        <f>'目標入力'!U24</f>
        <v>0</v>
      </c>
      <c r="W24" s="836">
        <f>'消費量入力 (1年目)'!AF24</f>
        <v>0</v>
      </c>
      <c r="X24" s="874">
        <f t="shared" si="13"/>
        <v>0</v>
      </c>
      <c r="Y24" s="837">
        <f t="shared" si="14"/>
        <v>0</v>
      </c>
      <c r="Z24" s="838">
        <f>IF('目標入力'!$X$10&gt;$Z$10,'目標入力'!U24,IF('目標入力'!$Y$10&gt;$Z$10,'目標入力'!V78,IF('目標入力'!$Z$10&gt;$Z$10,'目標入力'!V99,'目標入力'!V120)))</f>
        <v>0</v>
      </c>
      <c r="AA24" s="836">
        <f>'消費量入力 (2年目) '!AF24</f>
        <v>0</v>
      </c>
      <c r="AB24" s="837">
        <f t="shared" si="15"/>
        <v>0</v>
      </c>
      <c r="AC24" s="838">
        <f>IF('目標入力'!$X$10&gt;$AC$10,'目標入力'!U24,IF('目標入力'!$Y$10&gt;$AC$10,'目標入力'!V78,IF('目標入力'!$Z$10&gt;$AC$10,'目標入力'!V99,'目標入力'!V120)))</f>
        <v>0</v>
      </c>
      <c r="AD24" s="836">
        <f>'消費量入力 (3年目) '!AF24</f>
        <v>0</v>
      </c>
      <c r="AE24" s="837">
        <f t="shared" si="16"/>
        <v>0</v>
      </c>
      <c r="AF24" s="838">
        <f>IF($AF$10=$AG$10,AC24,IF('目標入力'!$X$10&gt;$AF$10,'目標入力'!U24,IF('目標入力'!$Y$10&gt;$AF$10,'目標入力'!V78,IF('目標入力'!$Z$10&gt;$AF$10,'目標入力'!V99,'目標入力'!V120))))</f>
        <v>0</v>
      </c>
      <c r="AG24" s="836">
        <f>'消費量入力 (4年目) '!AF24</f>
        <v>0</v>
      </c>
      <c r="AH24" s="837">
        <f t="shared" si="17"/>
        <v>0</v>
      </c>
      <c r="AI24" s="839"/>
      <c r="AJ24" s="839">
        <f>IF(F24="-",0,F24*X24)</f>
        <v>0</v>
      </c>
      <c r="AK24" s="839">
        <f>IF(F24="-",0,F24*AA24)</f>
        <v>0</v>
      </c>
      <c r="AL24" s="839">
        <f>IF(F24="-",0,F24*AD24)</f>
        <v>0</v>
      </c>
      <c r="AM24" s="839">
        <f>IF(F24="-",0,F24*AE24)</f>
        <v>0</v>
      </c>
      <c r="AN24" s="818"/>
      <c r="AO24" s="818"/>
    </row>
    <row r="25" spans="1:41" s="835" customFormat="1" ht="22.5" customHeight="1" thickBot="1">
      <c r="A25" s="250"/>
      <c r="B25" s="279"/>
      <c r="C25" s="1176">
        <f>IF('目標入力'!D25="","",'目標入力'!D25)</f>
      </c>
      <c r="D25" s="1177"/>
      <c r="E25" s="283"/>
      <c r="F25" s="284" t="str">
        <f>IF('目標入力'!J25="",'目標入力'!H25,'目標入力'!J25)</f>
        <v>-</v>
      </c>
      <c r="G25" s="532">
        <f t="shared" si="12"/>
      </c>
      <c r="H25" s="532">
        <f t="shared" si="0"/>
      </c>
      <c r="I25" s="533">
        <f t="shared" si="1"/>
      </c>
      <c r="J25" s="534">
        <f t="shared" si="2"/>
      </c>
      <c r="K25" s="535">
        <f t="shared" si="3"/>
      </c>
      <c r="L25" s="532">
        <f t="shared" si="4"/>
      </c>
      <c r="M25" s="534">
        <f t="shared" si="5"/>
      </c>
      <c r="N25" s="535">
        <f t="shared" si="6"/>
      </c>
      <c r="O25" s="532">
        <f t="shared" si="7"/>
      </c>
      <c r="P25" s="534">
        <f t="shared" si="8"/>
      </c>
      <c r="Q25" s="535">
        <f t="shared" si="9"/>
      </c>
      <c r="R25" s="532">
        <f t="shared" si="10"/>
      </c>
      <c r="S25" s="534">
        <f t="shared" si="11"/>
      </c>
      <c r="T25" s="15"/>
      <c r="U25" s="817"/>
      <c r="V25" s="836">
        <f>'目標入力'!U25</f>
        <v>0</v>
      </c>
      <c r="W25" s="836">
        <f>'消費量入力 (1年目)'!AF25</f>
        <v>0</v>
      </c>
      <c r="X25" s="874">
        <f t="shared" si="13"/>
        <v>0</v>
      </c>
      <c r="Y25" s="837">
        <f t="shared" si="14"/>
        <v>0</v>
      </c>
      <c r="Z25" s="838">
        <f>IF('目標入力'!$X$10&gt;$Z$10,'目標入力'!U25,IF('目標入力'!$Y$10&gt;$Z$10,'目標入力'!V79,IF('目標入力'!$Z$10&gt;$Z$10,'目標入力'!V100,'目標入力'!V121)))</f>
        <v>0</v>
      </c>
      <c r="AA25" s="836">
        <f>'消費量入力 (2年目) '!AF25</f>
        <v>0</v>
      </c>
      <c r="AB25" s="837">
        <f t="shared" si="15"/>
        <v>0</v>
      </c>
      <c r="AC25" s="838">
        <f>IF('目標入力'!$X$10&gt;$AC$10,'目標入力'!U25,IF('目標入力'!$Y$10&gt;$AC$10,'目標入力'!V79,IF('目標入力'!$Z$10&gt;$AC$10,'目標入力'!V100,'目標入力'!V121)))</f>
        <v>0</v>
      </c>
      <c r="AD25" s="836">
        <f>'消費量入力 (3年目) '!AF25</f>
        <v>0</v>
      </c>
      <c r="AE25" s="837">
        <f t="shared" si="16"/>
        <v>0</v>
      </c>
      <c r="AF25" s="838">
        <f>IF($AF$10=$AG$10,AC25,IF('目標入力'!$X$10&gt;$AF$10,'目標入力'!U25,IF('目標入力'!$Y$10&gt;$AF$10,'目標入力'!V79,IF('目標入力'!$Z$10&gt;$AF$10,'目標入力'!V100,'目標入力'!V121))))</f>
        <v>0</v>
      </c>
      <c r="AG25" s="836">
        <f>'消費量入力 (4年目) '!AF25</f>
        <v>0</v>
      </c>
      <c r="AH25" s="837">
        <f t="shared" si="17"/>
        <v>0</v>
      </c>
      <c r="AI25" s="839"/>
      <c r="AJ25" s="839">
        <f>IF(F25="-",0,F25*X25)</f>
        <v>0</v>
      </c>
      <c r="AK25" s="839">
        <f>IF(F25="-",0,F25*AA25)</f>
        <v>0</v>
      </c>
      <c r="AL25" s="839">
        <f>IF(F25="-",0,F25*AD25)</f>
        <v>0</v>
      </c>
      <c r="AM25" s="839">
        <f>IF(F25="-",0,F25*AE25)</f>
        <v>0</v>
      </c>
      <c r="AN25" s="818"/>
      <c r="AO25" s="818"/>
    </row>
    <row r="26" spans="1:41" s="835" customFormat="1" ht="22.5" customHeight="1" thickBot="1" thickTop="1">
      <c r="A26" s="250"/>
      <c r="B26" s="279"/>
      <c r="C26" s="285" t="s">
        <v>257</v>
      </c>
      <c r="D26" s="286"/>
      <c r="E26" s="286"/>
      <c r="F26" s="286"/>
      <c r="G26" s="536">
        <f aca="true" t="shared" si="22" ref="G26:S26">IF(V26=0,"",V26)</f>
      </c>
      <c r="H26" s="536">
        <f>IF(W26=0,"",W26)</f>
      </c>
      <c r="I26" s="536">
        <f t="shared" si="22"/>
      </c>
      <c r="J26" s="537">
        <f t="shared" si="22"/>
      </c>
      <c r="K26" s="538">
        <f t="shared" si="22"/>
      </c>
      <c r="L26" s="539">
        <f t="shared" si="22"/>
      </c>
      <c r="M26" s="540">
        <f t="shared" si="22"/>
      </c>
      <c r="N26" s="541">
        <f t="shared" si="22"/>
      </c>
      <c r="O26" s="536">
        <f t="shared" si="22"/>
      </c>
      <c r="P26" s="537">
        <f t="shared" si="22"/>
      </c>
      <c r="Q26" s="538">
        <f t="shared" si="22"/>
      </c>
      <c r="R26" s="539">
        <f t="shared" si="22"/>
      </c>
      <c r="S26" s="540">
        <f t="shared" si="22"/>
      </c>
      <c r="T26" s="15"/>
      <c r="U26" s="817"/>
      <c r="V26" s="836">
        <f>'目標入力'!U26</f>
        <v>0</v>
      </c>
      <c r="W26" s="836">
        <f>'消費量入力 (1年目)'!AF26</f>
        <v>0</v>
      </c>
      <c r="X26" s="874">
        <f>IF($W$10&lt;=3,W26*12/(4-$W$10),W26*12/(16-$W$10))</f>
        <v>0</v>
      </c>
      <c r="Y26" s="837">
        <f>IF(V26=0,0,X26/V26*100)</f>
        <v>0</v>
      </c>
      <c r="Z26" s="838">
        <f>IF('目標入力'!$X$10&gt;$Z$10,'目標入力'!U26,IF('目標入力'!$Y$10&gt;$Z$10,'目標入力'!V80,IF('目標入力'!$Z$10&gt;$Z$10,'目標入力'!V101,'目標入力'!V122)))</f>
        <v>0</v>
      </c>
      <c r="AA26" s="836">
        <f>'消費量入力 (2年目) '!AF26</f>
        <v>0</v>
      </c>
      <c r="AB26" s="837">
        <f>IF(Z26=0,0,AA26/Z26*100)</f>
        <v>0</v>
      </c>
      <c r="AC26" s="838">
        <f>IF('目標入力'!$X$10&gt;$AC$10,'目標入力'!U26,IF('目標入力'!$Y$10&gt;$AC$10,'目標入力'!V80,IF('目標入力'!$Z$10&gt;$AC$10,'目標入力'!V101,'目標入力'!V122)))</f>
        <v>0</v>
      </c>
      <c r="AD26" s="836">
        <f>'消費量入力 (3年目) '!AF26</f>
        <v>0</v>
      </c>
      <c r="AE26" s="837">
        <f>IF(AC26=0,0,AD26/AC26*100)</f>
        <v>0</v>
      </c>
      <c r="AF26" s="838">
        <f>IF($AF$10=$AG$10,AC26,IF('目標入力'!$X$10&gt;$AF$10,'目標入力'!U26,IF('目標入力'!$Y$10&gt;$AF$10,'目標入力'!V80,IF('目標入力'!$Z$10&gt;$AF$10,'目標入力'!V101,'目標入力'!V122))))</f>
        <v>0</v>
      </c>
      <c r="AG26" s="836">
        <f>'消費量入力 (4年目) '!AF26</f>
        <v>0</v>
      </c>
      <c r="AH26" s="837">
        <f>IF(AF26=0,0,AG26/AF26*100)</f>
        <v>0</v>
      </c>
      <c r="AI26" s="839"/>
      <c r="AJ26" s="839">
        <f>SUM(AJ12:AJ25)</f>
        <v>0</v>
      </c>
      <c r="AK26" s="839">
        <f>SUM(AK12:AK25)</f>
        <v>0</v>
      </c>
      <c r="AL26" s="839">
        <f>SUM(AL12:AL25)</f>
        <v>0</v>
      </c>
      <c r="AM26" s="839">
        <f>IF(F26="-",0,F26*AE26)</f>
        <v>0</v>
      </c>
      <c r="AN26" s="818"/>
      <c r="AO26" s="818"/>
    </row>
    <row r="27" spans="1:41" s="835" customFormat="1" ht="5.25" customHeight="1" thickBot="1">
      <c r="A27" s="250"/>
      <c r="B27" s="279"/>
      <c r="C27" s="287"/>
      <c r="D27" s="16"/>
      <c r="E27" s="16"/>
      <c r="F27" s="16"/>
      <c r="G27" s="16"/>
      <c r="H27" s="16"/>
      <c r="I27" s="16"/>
      <c r="J27" s="16"/>
      <c r="K27" s="16"/>
      <c r="L27" s="16"/>
      <c r="M27" s="16"/>
      <c r="N27" s="16"/>
      <c r="O27" s="16"/>
      <c r="P27" s="16"/>
      <c r="Q27" s="16"/>
      <c r="R27" s="16"/>
      <c r="S27" s="288"/>
      <c r="T27" s="15"/>
      <c r="U27" s="817"/>
      <c r="V27" s="817"/>
      <c r="W27" s="817"/>
      <c r="X27" s="817"/>
      <c r="Y27" s="817"/>
      <c r="Z27" s="818"/>
      <c r="AA27" s="818"/>
      <c r="AB27" s="818"/>
      <c r="AC27" s="818"/>
      <c r="AD27" s="818"/>
      <c r="AE27" s="818"/>
      <c r="AF27" s="818"/>
      <c r="AG27" s="818"/>
      <c r="AH27" s="818"/>
      <c r="AI27" s="818"/>
      <c r="AJ27" s="818"/>
      <c r="AK27" s="818"/>
      <c r="AL27" s="818"/>
      <c r="AM27" s="818"/>
      <c r="AN27" s="818"/>
      <c r="AO27" s="818"/>
    </row>
    <row r="28" spans="1:41" s="835" customFormat="1" ht="22.5" customHeight="1" thickBot="1">
      <c r="A28" s="250"/>
      <c r="B28" s="251"/>
      <c r="C28" s="289" t="s">
        <v>258</v>
      </c>
      <c r="D28" s="290"/>
      <c r="E28" s="291"/>
      <c r="F28" s="292"/>
      <c r="G28" s="293"/>
      <c r="H28" s="293"/>
      <c r="I28" s="293"/>
      <c r="J28" s="294"/>
      <c r="K28" s="293"/>
      <c r="L28" s="293"/>
      <c r="M28" s="295"/>
      <c r="N28" s="293"/>
      <c r="O28" s="293"/>
      <c r="P28" s="294"/>
      <c r="Q28" s="293"/>
      <c r="R28" s="293"/>
      <c r="S28" s="296"/>
      <c r="T28" s="15"/>
      <c r="U28" s="817"/>
      <c r="V28" s="817"/>
      <c r="W28" s="817"/>
      <c r="X28" s="817"/>
      <c r="Y28" s="817"/>
      <c r="Z28" s="818"/>
      <c r="AA28" s="818"/>
      <c r="AB28" s="818"/>
      <c r="AC28" s="818"/>
      <c r="AD28" s="818"/>
      <c r="AE28" s="818"/>
      <c r="AF28" s="818"/>
      <c r="AG28" s="818"/>
      <c r="AH28" s="818"/>
      <c r="AI28" s="818"/>
      <c r="AJ28" s="818"/>
      <c r="AK28" s="818"/>
      <c r="AL28" s="818"/>
      <c r="AM28" s="818"/>
      <c r="AN28" s="818"/>
      <c r="AO28" s="818"/>
    </row>
    <row r="29" spans="1:41" s="835" customFormat="1" ht="18.75" customHeight="1">
      <c r="A29" s="250"/>
      <c r="B29" s="251"/>
      <c r="C29" s="1159" t="s">
        <v>259</v>
      </c>
      <c r="D29" s="1144"/>
      <c r="E29" s="1144"/>
      <c r="F29" s="1144"/>
      <c r="G29" s="1143" t="s">
        <v>260</v>
      </c>
      <c r="H29" s="1144"/>
      <c r="I29" s="1144"/>
      <c r="J29" s="1144"/>
      <c r="K29" s="1144"/>
      <c r="L29" s="1144"/>
      <c r="M29" s="1144"/>
      <c r="N29" s="1144"/>
      <c r="O29" s="1144"/>
      <c r="P29" s="1144"/>
      <c r="Q29" s="1144"/>
      <c r="R29" s="1144"/>
      <c r="S29" s="1145"/>
      <c r="T29" s="15"/>
      <c r="U29" s="817"/>
      <c r="V29" s="817"/>
      <c r="W29" s="840" t="s">
        <v>287</v>
      </c>
      <c r="X29" s="840" t="s">
        <v>260</v>
      </c>
      <c r="Y29" s="817"/>
      <c r="Z29" s="818"/>
      <c r="AA29" s="818"/>
      <c r="AB29" s="818"/>
      <c r="AC29" s="818"/>
      <c r="AD29" s="818"/>
      <c r="AE29" s="818"/>
      <c r="AF29" s="818"/>
      <c r="AG29" s="818"/>
      <c r="AH29" s="818"/>
      <c r="AI29" s="818"/>
      <c r="AJ29" s="818"/>
      <c r="AK29" s="818"/>
      <c r="AL29" s="818"/>
      <c r="AM29" s="818"/>
      <c r="AN29" s="818"/>
      <c r="AO29" s="818"/>
    </row>
    <row r="30" spans="1:41" s="835" customFormat="1" ht="34.5" customHeight="1">
      <c r="A30" s="250"/>
      <c r="B30" s="251"/>
      <c r="C30" s="1154">
        <f>W30</f>
      </c>
      <c r="D30" s="1155"/>
      <c r="E30" s="1155"/>
      <c r="F30" s="1155"/>
      <c r="G30" s="1156">
        <f>X30</f>
      </c>
      <c r="H30" s="1157"/>
      <c r="I30" s="1157"/>
      <c r="J30" s="1157"/>
      <c r="K30" s="1157"/>
      <c r="L30" s="1157"/>
      <c r="M30" s="1157"/>
      <c r="N30" s="1157"/>
      <c r="O30" s="1157"/>
      <c r="P30" s="1157"/>
      <c r="Q30" s="1157"/>
      <c r="R30" s="1157"/>
      <c r="S30" s="1158"/>
      <c r="T30" s="15"/>
      <c r="U30" s="817"/>
      <c r="V30" s="817"/>
      <c r="W30" s="840">
        <f>IF('目標入力'!N62="変更なし","",CONCATENATE("平成",'目標入力'!O63,"年4月"))</f>
      </c>
      <c r="X30" s="840">
        <f>IF('目標入力'!N62="変更なし","",'目標入力'!E81)</f>
      </c>
      <c r="Y30" s="817"/>
      <c r="Z30" s="818"/>
      <c r="AA30" s="818"/>
      <c r="AB30" s="818"/>
      <c r="AC30" s="818"/>
      <c r="AD30" s="818"/>
      <c r="AE30" s="818"/>
      <c r="AF30" s="818"/>
      <c r="AG30" s="818"/>
      <c r="AH30" s="818"/>
      <c r="AI30" s="818"/>
      <c r="AJ30" s="818"/>
      <c r="AK30" s="818"/>
      <c r="AL30" s="818"/>
      <c r="AM30" s="818"/>
      <c r="AN30" s="818"/>
      <c r="AO30" s="818"/>
    </row>
    <row r="31" spans="1:41" s="835" customFormat="1" ht="34.5" customHeight="1">
      <c r="A31" s="250"/>
      <c r="B31" s="251"/>
      <c r="C31" s="1149">
        <f>W31</f>
      </c>
      <c r="D31" s="1150"/>
      <c r="E31" s="1150"/>
      <c r="F31" s="1150"/>
      <c r="G31" s="1151">
        <f>X31</f>
      </c>
      <c r="H31" s="1152"/>
      <c r="I31" s="1152"/>
      <c r="J31" s="1152"/>
      <c r="K31" s="1152"/>
      <c r="L31" s="1152"/>
      <c r="M31" s="1152"/>
      <c r="N31" s="1152"/>
      <c r="O31" s="1152"/>
      <c r="P31" s="1152"/>
      <c r="Q31" s="1152"/>
      <c r="R31" s="1152"/>
      <c r="S31" s="1153"/>
      <c r="T31" s="15"/>
      <c r="U31" s="817"/>
      <c r="V31" s="817"/>
      <c r="W31" s="840">
        <f>IF('目標入力'!N83="変更なし","",CONCATENATE("平成",'目標入力'!O84,"年4月"))</f>
      </c>
      <c r="X31" s="840">
        <f>IF('目標入力'!N83="変更なし","",'目標入力'!E102)</f>
      </c>
      <c r="Y31" s="817"/>
      <c r="Z31" s="818"/>
      <c r="AA31" s="818"/>
      <c r="AB31" s="818"/>
      <c r="AC31" s="818"/>
      <c r="AD31" s="818"/>
      <c r="AE31" s="818"/>
      <c r="AF31" s="818"/>
      <c r="AG31" s="818"/>
      <c r="AH31" s="818"/>
      <c r="AI31" s="818"/>
      <c r="AJ31" s="818"/>
      <c r="AK31" s="818"/>
      <c r="AL31" s="818"/>
      <c r="AM31" s="818"/>
      <c r="AN31" s="818"/>
      <c r="AO31" s="818"/>
    </row>
    <row r="32" spans="1:41" s="835" customFormat="1" ht="34.5" customHeight="1" thickBot="1">
      <c r="A32" s="250"/>
      <c r="B32" s="251"/>
      <c r="C32" s="1141">
        <f>W32</f>
      </c>
      <c r="D32" s="1142"/>
      <c r="E32" s="1142"/>
      <c r="F32" s="1142"/>
      <c r="G32" s="1146">
        <f>X32</f>
      </c>
      <c r="H32" s="1147"/>
      <c r="I32" s="1147"/>
      <c r="J32" s="1147"/>
      <c r="K32" s="1147"/>
      <c r="L32" s="1147"/>
      <c r="M32" s="1147"/>
      <c r="N32" s="1147"/>
      <c r="O32" s="1147"/>
      <c r="P32" s="1147"/>
      <c r="Q32" s="1147"/>
      <c r="R32" s="1147"/>
      <c r="S32" s="1148"/>
      <c r="T32" s="15"/>
      <c r="U32" s="817"/>
      <c r="V32" s="817"/>
      <c r="W32" s="840">
        <f>IF('目標入力'!N104="変更なし","",CONCATENATE("平成",'目標入力'!O105,"年4月"))</f>
      </c>
      <c r="X32" s="840">
        <f>IF('目標入力'!N104="変更なし","",'目標入力'!E123)</f>
      </c>
      <c r="Y32" s="817"/>
      <c r="Z32" s="818"/>
      <c r="AA32" s="818"/>
      <c r="AB32" s="818"/>
      <c r="AC32" s="818"/>
      <c r="AD32" s="818"/>
      <c r="AE32" s="818"/>
      <c r="AF32" s="818"/>
      <c r="AG32" s="818"/>
      <c r="AH32" s="818"/>
      <c r="AI32" s="818"/>
      <c r="AJ32" s="818"/>
      <c r="AK32" s="818"/>
      <c r="AL32" s="818"/>
      <c r="AM32" s="818"/>
      <c r="AN32" s="818"/>
      <c r="AO32" s="818"/>
    </row>
    <row r="33" spans="1:36" s="817" customFormat="1" ht="15" thickBot="1">
      <c r="A33" s="15"/>
      <c r="B33" s="15"/>
      <c r="C33" s="287"/>
      <c r="D33" s="16"/>
      <c r="E33" s="16"/>
      <c r="F33" s="16"/>
      <c r="G33" s="16"/>
      <c r="H33" s="16"/>
      <c r="I33" s="16"/>
      <c r="J33" s="16"/>
      <c r="K33" s="16"/>
      <c r="L33" s="16"/>
      <c r="M33" s="16"/>
      <c r="N33" s="16"/>
      <c r="O33" s="16"/>
      <c r="P33" s="16"/>
      <c r="Q33" s="16"/>
      <c r="R33" s="16"/>
      <c r="S33" s="288"/>
      <c r="T33" s="15"/>
      <c r="W33" s="835"/>
      <c r="X33" s="835"/>
      <c r="Z33" s="818"/>
      <c r="AA33" s="818"/>
      <c r="AB33" s="818"/>
      <c r="AC33" s="818"/>
      <c r="AD33" s="818"/>
      <c r="AE33" s="818"/>
      <c r="AF33" s="818"/>
      <c r="AG33" s="818"/>
      <c r="AH33" s="818"/>
      <c r="AI33" s="818"/>
      <c r="AJ33" s="818"/>
    </row>
    <row r="34" spans="1:36" s="817" customFormat="1" ht="18" thickBot="1">
      <c r="A34" s="15"/>
      <c r="B34" s="15"/>
      <c r="C34" s="164" t="s">
        <v>268</v>
      </c>
      <c r="D34" s="182"/>
      <c r="E34" s="183"/>
      <c r="F34" s="182"/>
      <c r="G34" s="236"/>
      <c r="H34" s="182"/>
      <c r="I34" s="182"/>
      <c r="J34" s="237"/>
      <c r="K34" s="182"/>
      <c r="L34" s="182"/>
      <c r="M34" s="238"/>
      <c r="N34" s="236"/>
      <c r="O34" s="182"/>
      <c r="P34" s="237"/>
      <c r="Q34" s="182"/>
      <c r="R34" s="182"/>
      <c r="S34" s="239"/>
      <c r="T34" s="15"/>
      <c r="W34" s="835"/>
      <c r="X34" s="835"/>
      <c r="Z34" s="818"/>
      <c r="AA34" s="818"/>
      <c r="AB34" s="818"/>
      <c r="AC34" s="818"/>
      <c r="AD34" s="818"/>
      <c r="AE34" s="818"/>
      <c r="AF34" s="818"/>
      <c r="AG34" s="818"/>
      <c r="AH34" s="818"/>
      <c r="AI34" s="818"/>
      <c r="AJ34" s="818"/>
    </row>
    <row r="35" spans="1:36" s="817" customFormat="1" ht="15" thickBot="1">
      <c r="A35" s="15"/>
      <c r="B35" s="15"/>
      <c r="C35" s="287"/>
      <c r="D35" s="16"/>
      <c r="E35" s="16"/>
      <c r="F35" s="16"/>
      <c r="G35" s="16"/>
      <c r="H35" s="16"/>
      <c r="I35" s="16"/>
      <c r="J35" s="16"/>
      <c r="K35" s="16"/>
      <c r="L35" s="16"/>
      <c r="M35" s="16"/>
      <c r="N35" s="16"/>
      <c r="O35" s="16"/>
      <c r="P35" s="16"/>
      <c r="Q35" s="16"/>
      <c r="R35" s="16"/>
      <c r="S35" s="288"/>
      <c r="T35" s="15"/>
      <c r="W35" s="835" t="s">
        <v>271</v>
      </c>
      <c r="X35" s="835"/>
      <c r="Z35" s="818"/>
      <c r="AA35" s="818"/>
      <c r="AB35" s="818" t="s">
        <v>283</v>
      </c>
      <c r="AC35" s="818"/>
      <c r="AD35" s="818"/>
      <c r="AE35" s="818"/>
      <c r="AF35" s="818" t="s">
        <v>284</v>
      </c>
      <c r="AG35" s="818"/>
      <c r="AH35" s="818"/>
      <c r="AI35" s="818"/>
      <c r="AJ35" s="818"/>
    </row>
    <row r="36" spans="1:36" s="817" customFormat="1" ht="18" customHeight="1">
      <c r="A36" s="15"/>
      <c r="B36" s="15"/>
      <c r="C36" s="287"/>
      <c r="D36" s="16"/>
      <c r="E36" s="16"/>
      <c r="F36" s="16"/>
      <c r="G36" s="16"/>
      <c r="H36" s="16"/>
      <c r="I36" s="16"/>
      <c r="J36" s="16"/>
      <c r="K36" s="16"/>
      <c r="L36" s="16"/>
      <c r="M36" s="16"/>
      <c r="N36" s="16"/>
      <c r="O36" s="16"/>
      <c r="P36" s="16"/>
      <c r="Q36" s="16"/>
      <c r="R36" s="16"/>
      <c r="S36" s="288"/>
      <c r="T36" s="15"/>
      <c r="W36" s="841"/>
      <c r="X36" s="842" t="str">
        <f>CONCATENATE("H",X10-1)</f>
        <v>H27</v>
      </c>
      <c r="Y36" s="843" t="str">
        <f>CONCATENATE("H",AA10-1)</f>
        <v>H28</v>
      </c>
      <c r="Z36" s="843" t="str">
        <f>CONCATENATE("H",AD10-1)</f>
        <v>H29</v>
      </c>
      <c r="AA36" s="844" t="str">
        <f>IF(AF10=AG10,"-",CONCATENATE("H",AG10-1))</f>
        <v>-</v>
      </c>
      <c r="AB36" s="845" t="str">
        <f aca="true" t="shared" si="23" ref="AB36:AI36">X36</f>
        <v>H27</v>
      </c>
      <c r="AC36" s="846" t="str">
        <f t="shared" si="23"/>
        <v>H28</v>
      </c>
      <c r="AD36" s="846" t="str">
        <f t="shared" si="23"/>
        <v>H29</v>
      </c>
      <c r="AE36" s="847" t="str">
        <f t="shared" si="23"/>
        <v>-</v>
      </c>
      <c r="AF36" s="818" t="str">
        <f t="shared" si="23"/>
        <v>H27</v>
      </c>
      <c r="AG36" s="818" t="str">
        <f t="shared" si="23"/>
        <v>H28</v>
      </c>
      <c r="AH36" s="818" t="str">
        <f t="shared" si="23"/>
        <v>H29</v>
      </c>
      <c r="AI36" s="818" t="str">
        <f t="shared" si="23"/>
        <v>-</v>
      </c>
      <c r="AJ36" s="818"/>
    </row>
    <row r="37" spans="1:36" s="817" customFormat="1" ht="18" customHeight="1">
      <c r="A37" s="15"/>
      <c r="B37" s="15"/>
      <c r="C37" s="287"/>
      <c r="D37" s="16"/>
      <c r="E37" s="16"/>
      <c r="F37" s="16"/>
      <c r="G37" s="16"/>
      <c r="H37" s="16"/>
      <c r="I37" s="16"/>
      <c r="J37" s="16"/>
      <c r="K37" s="16"/>
      <c r="L37" s="16"/>
      <c r="M37" s="16"/>
      <c r="N37" s="16"/>
      <c r="O37" s="16"/>
      <c r="P37" s="16"/>
      <c r="Q37" s="16"/>
      <c r="R37" s="16"/>
      <c r="S37" s="288"/>
      <c r="T37" s="15"/>
      <c r="W37" s="848" t="s">
        <v>272</v>
      </c>
      <c r="X37" s="849">
        <f>IF('消費量入力 (1年目)'!X12="-","",X12)</f>
      </c>
      <c r="Y37" s="850" t="e">
        <f>IF('消費量入力 (2年目) '!X12="-",NA(),AA12)</f>
        <v>#N/A</v>
      </c>
      <c r="Z37" s="851" t="e">
        <f>IF('消費量入力 (3年目) '!X12="-",NA(),AD12)</f>
        <v>#N/A</v>
      </c>
      <c r="AA37" s="852" t="e">
        <f>IF('消費量入力 (4年目) '!X12="-",NA(),AG12)</f>
        <v>#N/A</v>
      </c>
      <c r="AB37" s="853">
        <f>IF(X37="","",AJ12)</f>
      </c>
      <c r="AC37" s="854">
        <f>AK12</f>
        <v>0</v>
      </c>
      <c r="AD37" s="854">
        <f>AL12</f>
        <v>0</v>
      </c>
      <c r="AE37" s="855">
        <f>AM12</f>
        <v>0</v>
      </c>
      <c r="AF37" s="856">
        <f>Y12</f>
        <v>0</v>
      </c>
      <c r="AG37" s="856">
        <f>AB12</f>
        <v>0</v>
      </c>
      <c r="AH37" s="856">
        <f>AE12</f>
        <v>0</v>
      </c>
      <c r="AI37" s="856">
        <f>AH12</f>
        <v>0</v>
      </c>
      <c r="AJ37" s="818"/>
    </row>
    <row r="38" spans="1:35" s="817" customFormat="1" ht="18" customHeight="1">
      <c r="A38" s="15"/>
      <c r="B38" s="15"/>
      <c r="C38" s="287"/>
      <c r="D38" s="16"/>
      <c r="E38" s="16"/>
      <c r="F38" s="16"/>
      <c r="G38" s="16"/>
      <c r="H38" s="16"/>
      <c r="I38" s="16"/>
      <c r="J38" s="16"/>
      <c r="K38" s="16"/>
      <c r="L38" s="16"/>
      <c r="M38" s="16"/>
      <c r="N38" s="16"/>
      <c r="O38" s="16"/>
      <c r="P38" s="16"/>
      <c r="Q38" s="16"/>
      <c r="R38" s="16"/>
      <c r="S38" s="288"/>
      <c r="T38" s="15"/>
      <c r="W38" s="848" t="s">
        <v>273</v>
      </c>
      <c r="X38" s="849">
        <f>IF('消費量入力 (1年目)'!X13="-","",X13)</f>
      </c>
      <c r="Y38" s="850" t="e">
        <f>IF('消費量入力 (2年目) '!X13="-",NA(),AA13)</f>
        <v>#N/A</v>
      </c>
      <c r="Z38" s="851" t="e">
        <f>IF('消費量入力 (3年目) '!X13="-",NA(),AD13)</f>
        <v>#N/A</v>
      </c>
      <c r="AA38" s="852" t="e">
        <f>IF('消費量入力 (4年目) '!X13="-",NA(),AG13)</f>
        <v>#N/A</v>
      </c>
      <c r="AB38" s="853">
        <f aca="true" t="shared" si="24" ref="AB38:AB50">IF(X38="","",AJ13)</f>
      </c>
      <c r="AC38" s="854">
        <f aca="true" t="shared" si="25" ref="AC38:AC50">AK13</f>
        <v>0</v>
      </c>
      <c r="AD38" s="854">
        <f aca="true" t="shared" si="26" ref="AD38:AD51">AL13</f>
        <v>0</v>
      </c>
      <c r="AE38" s="855">
        <f aca="true" t="shared" si="27" ref="AE38:AE51">AM13</f>
        <v>0</v>
      </c>
      <c r="AF38" s="856">
        <f aca="true" t="shared" si="28" ref="AF38:AF50">Y13</f>
        <v>0</v>
      </c>
      <c r="AG38" s="856">
        <f aca="true" t="shared" si="29" ref="AG38:AG50">AB13</f>
        <v>0</v>
      </c>
      <c r="AH38" s="856">
        <f aca="true" t="shared" si="30" ref="AH38:AH50">AE13</f>
        <v>0</v>
      </c>
      <c r="AI38" s="856">
        <f aca="true" t="shared" si="31" ref="AI38:AI50">AH13</f>
        <v>0</v>
      </c>
    </row>
    <row r="39" spans="1:35" s="817" customFormat="1" ht="18" customHeight="1">
      <c r="A39" s="15"/>
      <c r="B39" s="15"/>
      <c r="C39" s="287"/>
      <c r="D39" s="16"/>
      <c r="E39" s="16"/>
      <c r="F39" s="16"/>
      <c r="G39" s="16"/>
      <c r="H39" s="16"/>
      <c r="I39" s="16"/>
      <c r="J39" s="16"/>
      <c r="K39" s="16"/>
      <c r="L39" s="16"/>
      <c r="M39" s="16"/>
      <c r="N39" s="16"/>
      <c r="O39" s="16"/>
      <c r="P39" s="16"/>
      <c r="Q39" s="16"/>
      <c r="R39" s="16"/>
      <c r="S39" s="288"/>
      <c r="T39" s="15"/>
      <c r="W39" s="848" t="s">
        <v>274</v>
      </c>
      <c r="X39" s="849">
        <f>IF('消費量入力 (1年目)'!X14="-","",X14)</f>
      </c>
      <c r="Y39" s="850" t="e">
        <f>IF('消費量入力 (2年目) '!X14="-",NA(),AA14)</f>
        <v>#N/A</v>
      </c>
      <c r="Z39" s="851" t="e">
        <f>IF('消費量入力 (3年目) '!X14="-",NA(),AD14)</f>
        <v>#N/A</v>
      </c>
      <c r="AA39" s="852" t="e">
        <f>IF('消費量入力 (4年目) '!X14="-",NA(),AG14)</f>
        <v>#N/A</v>
      </c>
      <c r="AB39" s="853">
        <f t="shared" si="24"/>
      </c>
      <c r="AC39" s="854">
        <f t="shared" si="25"/>
        <v>0</v>
      </c>
      <c r="AD39" s="854">
        <f t="shared" si="26"/>
        <v>0</v>
      </c>
      <c r="AE39" s="855">
        <f t="shared" si="27"/>
        <v>0</v>
      </c>
      <c r="AF39" s="856">
        <f t="shared" si="28"/>
        <v>0</v>
      </c>
      <c r="AG39" s="856">
        <f t="shared" si="29"/>
        <v>0</v>
      </c>
      <c r="AH39" s="856">
        <f t="shared" si="30"/>
        <v>0</v>
      </c>
      <c r="AI39" s="856">
        <f t="shared" si="31"/>
        <v>0</v>
      </c>
    </row>
    <row r="40" spans="1:35" s="817" customFormat="1" ht="18" customHeight="1">
      <c r="A40" s="15"/>
      <c r="B40" s="15"/>
      <c r="C40" s="287"/>
      <c r="D40" s="16"/>
      <c r="E40" s="16"/>
      <c r="F40" s="16"/>
      <c r="G40" s="16"/>
      <c r="H40" s="16"/>
      <c r="I40" s="16"/>
      <c r="J40" s="16"/>
      <c r="K40" s="16"/>
      <c r="L40" s="16"/>
      <c r="M40" s="16"/>
      <c r="N40" s="16"/>
      <c r="O40" s="16"/>
      <c r="P40" s="16"/>
      <c r="Q40" s="16"/>
      <c r="R40" s="16"/>
      <c r="S40" s="288"/>
      <c r="T40" s="15"/>
      <c r="W40" s="848" t="s">
        <v>275</v>
      </c>
      <c r="X40" s="849">
        <f>IF('消費量入力 (1年目)'!X15="-","",X15)</f>
      </c>
      <c r="Y40" s="850" t="e">
        <f>IF('消費量入力 (2年目) '!X15="-",NA(),AA15)</f>
        <v>#N/A</v>
      </c>
      <c r="Z40" s="851" t="e">
        <f>IF('消費量入力 (3年目) '!X15="-",NA(),AD15)</f>
        <v>#N/A</v>
      </c>
      <c r="AA40" s="852" t="e">
        <f>IF('消費量入力 (4年目) '!X15="-",NA(),AG15)</f>
        <v>#N/A</v>
      </c>
      <c r="AB40" s="853">
        <f t="shared" si="24"/>
      </c>
      <c r="AC40" s="854">
        <f t="shared" si="25"/>
        <v>0</v>
      </c>
      <c r="AD40" s="854">
        <f t="shared" si="26"/>
        <v>0</v>
      </c>
      <c r="AE40" s="855">
        <f t="shared" si="27"/>
        <v>0</v>
      </c>
      <c r="AF40" s="856">
        <f t="shared" si="28"/>
        <v>0</v>
      </c>
      <c r="AG40" s="856">
        <f t="shared" si="29"/>
        <v>0</v>
      </c>
      <c r="AH40" s="856">
        <f t="shared" si="30"/>
        <v>0</v>
      </c>
      <c r="AI40" s="856">
        <f t="shared" si="31"/>
        <v>0</v>
      </c>
    </row>
    <row r="41" spans="1:35" s="817" customFormat="1" ht="18" customHeight="1">
      <c r="A41" s="15"/>
      <c r="B41" s="15"/>
      <c r="C41" s="287"/>
      <c r="D41" s="16"/>
      <c r="E41" s="16"/>
      <c r="F41" s="16"/>
      <c r="G41" s="16"/>
      <c r="H41" s="16"/>
      <c r="I41" s="16"/>
      <c r="J41" s="16"/>
      <c r="K41" s="16"/>
      <c r="L41" s="16"/>
      <c r="M41" s="16"/>
      <c r="N41" s="16"/>
      <c r="O41" s="16"/>
      <c r="P41" s="16"/>
      <c r="Q41" s="16"/>
      <c r="R41" s="16"/>
      <c r="S41" s="288"/>
      <c r="T41" s="15"/>
      <c r="W41" s="848" t="s">
        <v>276</v>
      </c>
      <c r="X41" s="849">
        <f>IF('消費量入力 (1年目)'!X16="-","",X16)</f>
      </c>
      <c r="Y41" s="850" t="e">
        <f>IF('消費量入力 (2年目) '!X16="-",NA(),AA16)</f>
        <v>#N/A</v>
      </c>
      <c r="Z41" s="851" t="e">
        <f>IF('消費量入力 (3年目) '!X16="-",NA(),AD16)</f>
        <v>#N/A</v>
      </c>
      <c r="AA41" s="852" t="e">
        <f>IF('消費量入力 (4年目) '!X16="-",NA(),AG16)</f>
        <v>#N/A</v>
      </c>
      <c r="AB41" s="853">
        <f t="shared" si="24"/>
      </c>
      <c r="AC41" s="854">
        <f t="shared" si="25"/>
        <v>0</v>
      </c>
      <c r="AD41" s="854">
        <f t="shared" si="26"/>
        <v>0</v>
      </c>
      <c r="AE41" s="855">
        <f t="shared" si="27"/>
        <v>0</v>
      </c>
      <c r="AF41" s="856">
        <f t="shared" si="28"/>
        <v>0</v>
      </c>
      <c r="AG41" s="856">
        <f t="shared" si="29"/>
        <v>0</v>
      </c>
      <c r="AH41" s="856">
        <f t="shared" si="30"/>
        <v>0</v>
      </c>
      <c r="AI41" s="856">
        <f t="shared" si="31"/>
        <v>0</v>
      </c>
    </row>
    <row r="42" spans="1:35" s="817" customFormat="1" ht="18" customHeight="1">
      <c r="A42" s="15"/>
      <c r="B42" s="15"/>
      <c r="C42" s="287"/>
      <c r="D42" s="16"/>
      <c r="E42" s="16"/>
      <c r="F42" s="16"/>
      <c r="G42" s="16"/>
      <c r="H42" s="16"/>
      <c r="I42" s="16"/>
      <c r="J42" s="16"/>
      <c r="K42" s="16"/>
      <c r="L42" s="16"/>
      <c r="M42" s="16"/>
      <c r="N42" s="16"/>
      <c r="O42" s="16"/>
      <c r="P42" s="16"/>
      <c r="Q42" s="16"/>
      <c r="R42" s="16"/>
      <c r="S42" s="288"/>
      <c r="T42" s="15"/>
      <c r="W42" s="848" t="s">
        <v>277</v>
      </c>
      <c r="X42" s="849">
        <f>IF('消費量入力 (1年目)'!X17="-","",X17)</f>
      </c>
      <c r="Y42" s="850" t="e">
        <f>IF('消費量入力 (2年目) '!X17="-",NA(),AA17)</f>
        <v>#N/A</v>
      </c>
      <c r="Z42" s="851" t="e">
        <f>IF('消費量入力 (3年目) '!X17="-",NA(),AD17)</f>
        <v>#N/A</v>
      </c>
      <c r="AA42" s="852" t="e">
        <f>IF('消費量入力 (4年目) '!X17="-",NA(),AG17)</f>
        <v>#N/A</v>
      </c>
      <c r="AB42" s="853">
        <f t="shared" si="24"/>
      </c>
      <c r="AC42" s="854">
        <f t="shared" si="25"/>
        <v>0</v>
      </c>
      <c r="AD42" s="854">
        <f t="shared" si="26"/>
        <v>0</v>
      </c>
      <c r="AE42" s="855">
        <f t="shared" si="27"/>
        <v>0</v>
      </c>
      <c r="AF42" s="856">
        <f t="shared" si="28"/>
        <v>0</v>
      </c>
      <c r="AG42" s="856">
        <f t="shared" si="29"/>
        <v>0</v>
      </c>
      <c r="AH42" s="856">
        <f t="shared" si="30"/>
        <v>0</v>
      </c>
      <c r="AI42" s="856">
        <f t="shared" si="31"/>
        <v>0</v>
      </c>
    </row>
    <row r="43" spans="1:35" s="817" customFormat="1" ht="18" customHeight="1">
      <c r="A43" s="15"/>
      <c r="B43" s="15"/>
      <c r="C43" s="287"/>
      <c r="D43" s="16"/>
      <c r="E43" s="16"/>
      <c r="F43" s="16"/>
      <c r="G43" s="16"/>
      <c r="H43" s="16"/>
      <c r="I43" s="16"/>
      <c r="J43" s="16"/>
      <c r="K43" s="16"/>
      <c r="L43" s="16"/>
      <c r="M43" s="16"/>
      <c r="N43" s="16"/>
      <c r="O43" s="16"/>
      <c r="P43" s="16"/>
      <c r="Q43" s="16"/>
      <c r="R43" s="16"/>
      <c r="S43" s="288"/>
      <c r="T43" s="15"/>
      <c r="W43" s="848" t="s">
        <v>278</v>
      </c>
      <c r="X43" s="849">
        <f>IF('消費量入力 (1年目)'!X18="-","",X18)</f>
      </c>
      <c r="Y43" s="850" t="e">
        <f>IF('消費量入力 (2年目) '!X18="-",NA(),AA18)</f>
        <v>#N/A</v>
      </c>
      <c r="Z43" s="851" t="e">
        <f>IF('消費量入力 (3年目) '!X18="-",NA(),AD18)</f>
        <v>#N/A</v>
      </c>
      <c r="AA43" s="852" t="e">
        <f>IF('消費量入力 (4年目) '!X18="-",NA(),AG18)</f>
        <v>#N/A</v>
      </c>
      <c r="AB43" s="853">
        <f t="shared" si="24"/>
      </c>
      <c r="AC43" s="854">
        <f t="shared" si="25"/>
        <v>0</v>
      </c>
      <c r="AD43" s="854">
        <f t="shared" si="26"/>
        <v>0</v>
      </c>
      <c r="AE43" s="855">
        <f t="shared" si="27"/>
        <v>0</v>
      </c>
      <c r="AF43" s="856">
        <f t="shared" si="28"/>
        <v>0</v>
      </c>
      <c r="AG43" s="856">
        <f t="shared" si="29"/>
        <v>0</v>
      </c>
      <c r="AH43" s="856">
        <f t="shared" si="30"/>
        <v>0</v>
      </c>
      <c r="AI43" s="856">
        <f t="shared" si="31"/>
        <v>0</v>
      </c>
    </row>
    <row r="44" spans="1:35" s="817" customFormat="1" ht="18" customHeight="1">
      <c r="A44" s="15"/>
      <c r="B44" s="15"/>
      <c r="C44" s="287"/>
      <c r="D44" s="16"/>
      <c r="E44" s="16"/>
      <c r="F44" s="16"/>
      <c r="G44" s="16"/>
      <c r="H44" s="16"/>
      <c r="I44" s="16"/>
      <c r="J44" s="16"/>
      <c r="K44" s="16"/>
      <c r="L44" s="16"/>
      <c r="M44" s="16"/>
      <c r="N44" s="16"/>
      <c r="O44" s="16"/>
      <c r="P44" s="16"/>
      <c r="Q44" s="16"/>
      <c r="R44" s="16"/>
      <c r="S44" s="288"/>
      <c r="T44" s="15"/>
      <c r="W44" s="848" t="s">
        <v>279</v>
      </c>
      <c r="X44" s="849">
        <f>IF('消費量入力 (1年目)'!X19="-","",X19)</f>
      </c>
      <c r="Y44" s="850" t="e">
        <f>IF('消費量入力 (2年目) '!X19="-",NA(),AA19)</f>
        <v>#N/A</v>
      </c>
      <c r="Z44" s="851" t="e">
        <f>IF('消費量入力 (3年目) '!X19="-",NA(),AD19)</f>
        <v>#N/A</v>
      </c>
      <c r="AA44" s="852" t="e">
        <f>IF('消費量入力 (4年目) '!X19="-",NA(),AG19)</f>
        <v>#N/A</v>
      </c>
      <c r="AB44" s="853">
        <f t="shared" si="24"/>
      </c>
      <c r="AC44" s="854">
        <f t="shared" si="25"/>
        <v>0</v>
      </c>
      <c r="AD44" s="854">
        <f t="shared" si="26"/>
        <v>0</v>
      </c>
      <c r="AE44" s="855">
        <f t="shared" si="27"/>
        <v>0</v>
      </c>
      <c r="AF44" s="856">
        <f t="shared" si="28"/>
        <v>0</v>
      </c>
      <c r="AG44" s="856">
        <f t="shared" si="29"/>
        <v>0</v>
      </c>
      <c r="AH44" s="856">
        <f t="shared" si="30"/>
        <v>0</v>
      </c>
      <c r="AI44" s="856">
        <f t="shared" si="31"/>
        <v>0</v>
      </c>
    </row>
    <row r="45" spans="1:35" s="817" customFormat="1" ht="18" customHeight="1">
      <c r="A45" s="15"/>
      <c r="B45" s="15"/>
      <c r="C45" s="287"/>
      <c r="D45" s="16"/>
      <c r="E45" s="16"/>
      <c r="F45" s="16"/>
      <c r="G45" s="16"/>
      <c r="H45" s="16"/>
      <c r="I45" s="16"/>
      <c r="J45" s="16"/>
      <c r="K45" s="16"/>
      <c r="L45" s="16"/>
      <c r="M45" s="16"/>
      <c r="N45" s="16"/>
      <c r="O45" s="16"/>
      <c r="P45" s="16"/>
      <c r="Q45" s="16"/>
      <c r="R45" s="16"/>
      <c r="S45" s="288"/>
      <c r="T45" s="15"/>
      <c r="W45" s="848" t="s">
        <v>280</v>
      </c>
      <c r="X45" s="849">
        <f>IF('消費量入力 (1年目)'!X20="-","",X20)</f>
      </c>
      <c r="Y45" s="850" t="e">
        <f>IF('消費量入力 (2年目) '!X20="-",NA(),AA20)</f>
        <v>#N/A</v>
      </c>
      <c r="Z45" s="851" t="e">
        <f>IF('消費量入力 (3年目) '!X20="-",NA(),AD20)</f>
        <v>#N/A</v>
      </c>
      <c r="AA45" s="852" t="e">
        <f>IF('消費量入力 (4年目) '!X20="-",NA(),AG20)</f>
        <v>#N/A</v>
      </c>
      <c r="AB45" s="853">
        <f t="shared" si="24"/>
      </c>
      <c r="AC45" s="854">
        <f t="shared" si="25"/>
        <v>0</v>
      </c>
      <c r="AD45" s="854">
        <f t="shared" si="26"/>
        <v>0</v>
      </c>
      <c r="AE45" s="855">
        <f t="shared" si="27"/>
        <v>0</v>
      </c>
      <c r="AF45" s="856">
        <f t="shared" si="28"/>
        <v>0</v>
      </c>
      <c r="AG45" s="856">
        <f t="shared" si="29"/>
        <v>0</v>
      </c>
      <c r="AH45" s="856">
        <f t="shared" si="30"/>
        <v>0</v>
      </c>
      <c r="AI45" s="856">
        <f t="shared" si="31"/>
        <v>0</v>
      </c>
    </row>
    <row r="46" spans="1:35" s="817" customFormat="1" ht="18" customHeight="1">
      <c r="A46" s="15"/>
      <c r="B46" s="15"/>
      <c r="C46" s="287"/>
      <c r="D46" s="16"/>
      <c r="E46" s="16"/>
      <c r="F46" s="16"/>
      <c r="G46" s="16"/>
      <c r="H46" s="16"/>
      <c r="I46" s="16"/>
      <c r="J46" s="16"/>
      <c r="K46" s="16"/>
      <c r="L46" s="16"/>
      <c r="M46" s="16"/>
      <c r="N46" s="16"/>
      <c r="O46" s="16"/>
      <c r="P46" s="16"/>
      <c r="Q46" s="16"/>
      <c r="R46" s="16"/>
      <c r="S46" s="288"/>
      <c r="T46" s="15"/>
      <c r="W46" s="848" t="s">
        <v>281</v>
      </c>
      <c r="X46" s="849">
        <f>IF('消費量入力 (1年目)'!X21="-","",X21)</f>
      </c>
      <c r="Y46" s="850" t="e">
        <f>IF('消費量入力 (2年目) '!X21="-",NA(),AA21)</f>
        <v>#N/A</v>
      </c>
      <c r="Z46" s="851" t="e">
        <f>IF('消費量入力 (3年目) '!X21="-",NA(),AD21)</f>
        <v>#N/A</v>
      </c>
      <c r="AA46" s="852" t="e">
        <f>IF('消費量入力 (4年目) '!X21="-",NA(),AG21)</f>
        <v>#N/A</v>
      </c>
      <c r="AB46" s="853">
        <f t="shared" si="24"/>
      </c>
      <c r="AC46" s="854">
        <f t="shared" si="25"/>
        <v>0</v>
      </c>
      <c r="AD46" s="854">
        <f t="shared" si="26"/>
        <v>0</v>
      </c>
      <c r="AE46" s="855">
        <f t="shared" si="27"/>
        <v>0</v>
      </c>
      <c r="AF46" s="856">
        <f t="shared" si="28"/>
        <v>0</v>
      </c>
      <c r="AG46" s="856">
        <f t="shared" si="29"/>
        <v>0</v>
      </c>
      <c r="AH46" s="856">
        <f t="shared" si="30"/>
        <v>0</v>
      </c>
      <c r="AI46" s="856">
        <f t="shared" si="31"/>
        <v>0</v>
      </c>
    </row>
    <row r="47" spans="1:35" s="817" customFormat="1" ht="18" customHeight="1">
      <c r="A47" s="15"/>
      <c r="B47" s="15"/>
      <c r="C47" s="287"/>
      <c r="D47" s="16"/>
      <c r="E47" s="16"/>
      <c r="F47" s="16"/>
      <c r="G47" s="16"/>
      <c r="H47" s="16"/>
      <c r="I47" s="16"/>
      <c r="J47" s="16"/>
      <c r="K47" s="16"/>
      <c r="L47" s="16"/>
      <c r="M47" s="16"/>
      <c r="N47" s="16"/>
      <c r="O47" s="16"/>
      <c r="P47" s="16"/>
      <c r="Q47" s="16"/>
      <c r="R47" s="16"/>
      <c r="S47" s="288"/>
      <c r="T47" s="15"/>
      <c r="W47" s="848" t="s">
        <v>282</v>
      </c>
      <c r="X47" s="849">
        <f>IF('消費量入力 (1年目)'!X22="-","",X22)</f>
      </c>
      <c r="Y47" s="850" t="e">
        <f>IF('消費量入力 (2年目) '!X22="-",NA(),AA22)</f>
        <v>#N/A</v>
      </c>
      <c r="Z47" s="851" t="e">
        <f>IF('消費量入力 (3年目) '!X22="-",NA(),AD22)</f>
        <v>#N/A</v>
      </c>
      <c r="AA47" s="852" t="e">
        <f>IF('消費量入力 (4年目) '!X22="-",NA(),AG22)</f>
        <v>#N/A</v>
      </c>
      <c r="AB47" s="853">
        <f t="shared" si="24"/>
      </c>
      <c r="AC47" s="854">
        <f t="shared" si="25"/>
        <v>0</v>
      </c>
      <c r="AD47" s="854">
        <f t="shared" si="26"/>
        <v>0</v>
      </c>
      <c r="AE47" s="855">
        <f t="shared" si="27"/>
        <v>0</v>
      </c>
      <c r="AF47" s="856">
        <f t="shared" si="28"/>
        <v>0</v>
      </c>
      <c r="AG47" s="856">
        <f t="shared" si="29"/>
        <v>0</v>
      </c>
      <c r="AH47" s="856">
        <f t="shared" si="30"/>
        <v>0</v>
      </c>
      <c r="AI47" s="856">
        <f t="shared" si="31"/>
        <v>0</v>
      </c>
    </row>
    <row r="48" spans="1:35" s="817" customFormat="1" ht="18" customHeight="1">
      <c r="A48" s="15"/>
      <c r="B48" s="15"/>
      <c r="C48" s="287"/>
      <c r="D48" s="16"/>
      <c r="E48" s="16"/>
      <c r="F48" s="16"/>
      <c r="G48" s="16"/>
      <c r="H48" s="16"/>
      <c r="I48" s="16"/>
      <c r="J48" s="16"/>
      <c r="K48" s="16"/>
      <c r="L48" s="16"/>
      <c r="M48" s="16"/>
      <c r="N48" s="16"/>
      <c r="O48" s="16"/>
      <c r="P48" s="16"/>
      <c r="Q48" s="16"/>
      <c r="R48" s="16"/>
      <c r="S48" s="288"/>
      <c r="T48" s="15"/>
      <c r="W48" s="848">
        <f>IF(C23="","",CONCATENATE(C23,"(",E23,")"))</f>
      </c>
      <c r="X48" s="849">
        <f>IF('消費量入力 (1年目)'!X23="-","",X23)</f>
      </c>
      <c r="Y48" s="850" t="e">
        <f>IF('消費量入力 (2年目) '!X23="-",NA(),AA23)</f>
        <v>#N/A</v>
      </c>
      <c r="Z48" s="851" t="e">
        <f>IF('消費量入力 (3年目) '!X23="-",NA(),AD23)</f>
        <v>#N/A</v>
      </c>
      <c r="AA48" s="852" t="e">
        <f>IF('消費量入力 (4年目) '!X23="-",NA(),AG23)</f>
        <v>#N/A</v>
      </c>
      <c r="AB48" s="853">
        <f t="shared" si="24"/>
      </c>
      <c r="AC48" s="854">
        <f t="shared" si="25"/>
        <v>0</v>
      </c>
      <c r="AD48" s="854">
        <f t="shared" si="26"/>
        <v>0</v>
      </c>
      <c r="AE48" s="855">
        <f t="shared" si="27"/>
        <v>0</v>
      </c>
      <c r="AF48" s="856">
        <f t="shared" si="28"/>
        <v>0</v>
      </c>
      <c r="AG48" s="856">
        <f t="shared" si="29"/>
        <v>0</v>
      </c>
      <c r="AH48" s="856">
        <f t="shared" si="30"/>
        <v>0</v>
      </c>
      <c r="AI48" s="856">
        <f t="shared" si="31"/>
        <v>0</v>
      </c>
    </row>
    <row r="49" spans="1:35" s="817" customFormat="1" ht="18" customHeight="1">
      <c r="A49" s="15"/>
      <c r="B49" s="15"/>
      <c r="C49" s="287"/>
      <c r="D49" s="16"/>
      <c r="E49" s="16"/>
      <c r="F49" s="16"/>
      <c r="G49" s="16"/>
      <c r="H49" s="16"/>
      <c r="I49" s="16"/>
      <c r="J49" s="16"/>
      <c r="K49" s="16"/>
      <c r="L49" s="16"/>
      <c r="M49" s="16"/>
      <c r="N49" s="16"/>
      <c r="O49" s="16"/>
      <c r="P49" s="16"/>
      <c r="Q49" s="16"/>
      <c r="R49" s="16"/>
      <c r="S49" s="288"/>
      <c r="T49" s="15"/>
      <c r="W49" s="848">
        <f>IF(C24="","",CONCATENATE(C24,"(",E24,")"))</f>
      </c>
      <c r="X49" s="849">
        <f>IF('消費量入力 (1年目)'!X24="-","",X24)</f>
      </c>
      <c r="Y49" s="850" t="e">
        <f>IF('消費量入力 (2年目) '!X24="-",NA(),AA24)</f>
        <v>#N/A</v>
      </c>
      <c r="Z49" s="851" t="e">
        <f>IF('消費量入力 (3年目) '!X24="-",NA(),AD24)</f>
        <v>#N/A</v>
      </c>
      <c r="AA49" s="852" t="e">
        <f>IF('消費量入力 (4年目) '!X24="-",NA(),AG24)</f>
        <v>#N/A</v>
      </c>
      <c r="AB49" s="853">
        <f t="shared" si="24"/>
      </c>
      <c r="AC49" s="854">
        <f t="shared" si="25"/>
        <v>0</v>
      </c>
      <c r="AD49" s="854">
        <f t="shared" si="26"/>
        <v>0</v>
      </c>
      <c r="AE49" s="855">
        <f t="shared" si="27"/>
        <v>0</v>
      </c>
      <c r="AF49" s="856">
        <f t="shared" si="28"/>
        <v>0</v>
      </c>
      <c r="AG49" s="856">
        <f t="shared" si="29"/>
        <v>0</v>
      </c>
      <c r="AH49" s="856">
        <f t="shared" si="30"/>
        <v>0</v>
      </c>
      <c r="AI49" s="856">
        <f t="shared" si="31"/>
        <v>0</v>
      </c>
    </row>
    <row r="50" spans="1:35" s="817" customFormat="1" ht="18" customHeight="1" thickBot="1">
      <c r="A50" s="15"/>
      <c r="B50" s="15"/>
      <c r="C50" s="287"/>
      <c r="D50" s="16"/>
      <c r="E50" s="16"/>
      <c r="F50" s="16"/>
      <c r="G50" s="16"/>
      <c r="H50" s="16"/>
      <c r="I50" s="16"/>
      <c r="J50" s="16"/>
      <c r="K50" s="16"/>
      <c r="L50" s="16"/>
      <c r="M50" s="16"/>
      <c r="N50" s="16"/>
      <c r="O50" s="16"/>
      <c r="P50" s="16"/>
      <c r="Q50" s="16"/>
      <c r="R50" s="16"/>
      <c r="S50" s="288"/>
      <c r="T50" s="15"/>
      <c r="W50" s="857">
        <f>IF(C25="","",CONCATENATE(C25,"(",E25,")"))</f>
      </c>
      <c r="X50" s="858">
        <f>X25</f>
        <v>0</v>
      </c>
      <c r="Y50" s="859" t="e">
        <f>IF('消費量入力 (2年目) '!X25="-",NA(),AA25)</f>
        <v>#N/A</v>
      </c>
      <c r="Z50" s="860" t="e">
        <f>IF('消費量入力 (3年目) '!X25="-",NA(),AD25)</f>
        <v>#N/A</v>
      </c>
      <c r="AA50" s="861" t="e">
        <f>IF('消費量入力 (4年目) '!X25="-",NA(),AG25)</f>
        <v>#N/A</v>
      </c>
      <c r="AB50" s="853">
        <f t="shared" si="24"/>
        <v>0</v>
      </c>
      <c r="AC50" s="854">
        <f t="shared" si="25"/>
        <v>0</v>
      </c>
      <c r="AD50" s="854">
        <f t="shared" si="26"/>
        <v>0</v>
      </c>
      <c r="AE50" s="855">
        <f t="shared" si="27"/>
        <v>0</v>
      </c>
      <c r="AF50" s="856">
        <f t="shared" si="28"/>
        <v>0</v>
      </c>
      <c r="AG50" s="856">
        <f t="shared" si="29"/>
        <v>0</v>
      </c>
      <c r="AH50" s="856">
        <f t="shared" si="30"/>
        <v>0</v>
      </c>
      <c r="AI50" s="856">
        <f t="shared" si="31"/>
        <v>0</v>
      </c>
    </row>
    <row r="51" spans="1:35" s="817" customFormat="1" ht="18" customHeight="1" thickBot="1">
      <c r="A51" s="15"/>
      <c r="B51" s="15"/>
      <c r="C51" s="287"/>
      <c r="D51" s="16"/>
      <c r="E51" s="16"/>
      <c r="F51" s="16"/>
      <c r="G51" s="16"/>
      <c r="H51" s="16"/>
      <c r="I51" s="16"/>
      <c r="J51" s="16"/>
      <c r="K51" s="16"/>
      <c r="L51" s="16"/>
      <c r="M51" s="16"/>
      <c r="N51" s="16"/>
      <c r="O51" s="16"/>
      <c r="P51" s="16"/>
      <c r="Q51" s="16"/>
      <c r="R51" s="16"/>
      <c r="S51" s="288"/>
      <c r="T51" s="15"/>
      <c r="AB51" s="862">
        <f>AJ26</f>
        <v>0</v>
      </c>
      <c r="AC51" s="863">
        <f>AK26</f>
        <v>0</v>
      </c>
      <c r="AD51" s="863">
        <f t="shared" si="26"/>
        <v>0</v>
      </c>
      <c r="AE51" s="864">
        <f t="shared" si="27"/>
        <v>0</v>
      </c>
      <c r="AF51" s="856">
        <f>IF(Y26&gt;200,200,Y26)</f>
        <v>0</v>
      </c>
      <c r="AG51" s="856">
        <f>IF(AB26&gt;200,200,AB26)</f>
        <v>0</v>
      </c>
      <c r="AH51" s="856">
        <f>IF(AE26&gt;200,200,AE26)</f>
        <v>0</v>
      </c>
      <c r="AI51" s="856">
        <f>IF(AH26&gt;200,200,AH26)</f>
        <v>0</v>
      </c>
    </row>
    <row r="52" spans="1:31" s="817" customFormat="1" ht="18" customHeight="1">
      <c r="A52" s="15"/>
      <c r="B52" s="15"/>
      <c r="C52" s="287"/>
      <c r="D52" s="16"/>
      <c r="E52" s="16"/>
      <c r="F52" s="16"/>
      <c r="G52" s="16"/>
      <c r="H52" s="16"/>
      <c r="I52" s="16"/>
      <c r="J52" s="16"/>
      <c r="K52" s="16"/>
      <c r="L52" s="16"/>
      <c r="M52" s="16"/>
      <c r="N52" s="16"/>
      <c r="O52" s="16"/>
      <c r="P52" s="16"/>
      <c r="Q52" s="16"/>
      <c r="R52" s="16"/>
      <c r="S52" s="288"/>
      <c r="T52" s="15"/>
      <c r="W52" s="817" t="s">
        <v>193</v>
      </c>
      <c r="X52" s="865">
        <f>V26</f>
        <v>0</v>
      </c>
      <c r="Y52" s="865">
        <f>Z26</f>
        <v>0</v>
      </c>
      <c r="Z52" s="865">
        <f>AC26</f>
        <v>0</v>
      </c>
      <c r="AA52" s="865">
        <f>AF26</f>
        <v>0</v>
      </c>
      <c r="AB52" s="865">
        <f>V26</f>
        <v>0</v>
      </c>
      <c r="AC52" s="865">
        <f>Z26</f>
        <v>0</v>
      </c>
      <c r="AD52" s="865">
        <f>AC26</f>
        <v>0</v>
      </c>
      <c r="AE52" s="865">
        <f>AF26</f>
        <v>0</v>
      </c>
    </row>
    <row r="53" spans="1:20" s="817" customFormat="1" ht="18" customHeight="1">
      <c r="A53" s="15"/>
      <c r="B53" s="15"/>
      <c r="C53" s="287"/>
      <c r="D53" s="16"/>
      <c r="E53" s="16"/>
      <c r="F53" s="16"/>
      <c r="G53" s="16"/>
      <c r="H53" s="16"/>
      <c r="I53" s="16"/>
      <c r="J53" s="16"/>
      <c r="K53" s="16"/>
      <c r="L53" s="16"/>
      <c r="M53" s="16"/>
      <c r="N53" s="16"/>
      <c r="O53" s="16"/>
      <c r="P53" s="16"/>
      <c r="Q53" s="16"/>
      <c r="R53" s="16"/>
      <c r="S53" s="288"/>
      <c r="T53" s="15"/>
    </row>
    <row r="54" spans="1:20" s="817" customFormat="1" ht="18" customHeight="1">
      <c r="A54" s="15"/>
      <c r="B54" s="15"/>
      <c r="C54" s="287"/>
      <c r="D54" s="16"/>
      <c r="E54" s="16"/>
      <c r="F54" s="16"/>
      <c r="G54" s="16"/>
      <c r="H54" s="16"/>
      <c r="I54" s="16"/>
      <c r="J54" s="16"/>
      <c r="K54" s="16"/>
      <c r="L54" s="16"/>
      <c r="M54" s="16"/>
      <c r="N54" s="16"/>
      <c r="O54" s="16"/>
      <c r="P54" s="16"/>
      <c r="Q54" s="16"/>
      <c r="R54" s="16"/>
      <c r="S54" s="288"/>
      <c r="T54" s="15"/>
    </row>
    <row r="55" spans="1:20" s="817" customFormat="1" ht="18" customHeight="1">
      <c r="A55" s="15"/>
      <c r="B55" s="15"/>
      <c r="C55" s="287"/>
      <c r="D55" s="16"/>
      <c r="E55" s="16"/>
      <c r="F55" s="16"/>
      <c r="G55" s="16"/>
      <c r="H55" s="16"/>
      <c r="I55" s="16"/>
      <c r="J55" s="16"/>
      <c r="K55" s="16"/>
      <c r="L55" s="16"/>
      <c r="M55" s="16"/>
      <c r="N55" s="16"/>
      <c r="O55" s="16"/>
      <c r="P55" s="16"/>
      <c r="Q55" s="16"/>
      <c r="R55" s="16"/>
      <c r="S55" s="288"/>
      <c r="T55" s="15"/>
    </row>
    <row r="56" spans="1:20" s="817" customFormat="1" ht="18" customHeight="1">
      <c r="A56" s="15"/>
      <c r="B56" s="15"/>
      <c r="C56" s="287"/>
      <c r="D56" s="16"/>
      <c r="E56" s="16"/>
      <c r="F56" s="16"/>
      <c r="G56" s="16"/>
      <c r="H56" s="16"/>
      <c r="I56" s="16"/>
      <c r="J56" s="16"/>
      <c r="K56" s="16"/>
      <c r="L56" s="16"/>
      <c r="M56" s="16"/>
      <c r="N56" s="16"/>
      <c r="O56" s="16"/>
      <c r="P56" s="16"/>
      <c r="Q56" s="16"/>
      <c r="R56" s="16"/>
      <c r="S56" s="288"/>
      <c r="T56" s="15"/>
    </row>
    <row r="57" spans="1:20" s="817" customFormat="1" ht="18" customHeight="1">
      <c r="A57" s="15"/>
      <c r="B57" s="15"/>
      <c r="C57" s="287"/>
      <c r="D57" s="16"/>
      <c r="E57" s="16"/>
      <c r="F57" s="16"/>
      <c r="G57" s="16"/>
      <c r="H57" s="16"/>
      <c r="I57" s="16"/>
      <c r="J57" s="16"/>
      <c r="K57" s="16"/>
      <c r="L57" s="16"/>
      <c r="M57" s="16"/>
      <c r="N57" s="16"/>
      <c r="O57" s="16"/>
      <c r="P57" s="16"/>
      <c r="Q57" s="16"/>
      <c r="R57" s="16"/>
      <c r="S57" s="288"/>
      <c r="T57" s="15"/>
    </row>
    <row r="58" spans="1:20" s="817" customFormat="1" ht="18" customHeight="1">
      <c r="A58" s="15"/>
      <c r="B58" s="15"/>
      <c r="C58" s="287"/>
      <c r="D58" s="16"/>
      <c r="E58" s="16"/>
      <c r="F58" s="16"/>
      <c r="G58" s="16"/>
      <c r="H58" s="16"/>
      <c r="I58" s="16"/>
      <c r="J58" s="16"/>
      <c r="K58" s="16"/>
      <c r="L58" s="16"/>
      <c r="M58" s="16"/>
      <c r="N58" s="16"/>
      <c r="O58" s="16"/>
      <c r="P58" s="16"/>
      <c r="Q58" s="16"/>
      <c r="R58" s="16"/>
      <c r="S58" s="288"/>
      <c r="T58" s="15"/>
    </row>
    <row r="59" spans="1:20" s="817" customFormat="1" ht="18" customHeight="1">
      <c r="A59" s="15"/>
      <c r="B59" s="15"/>
      <c r="C59" s="287"/>
      <c r="D59" s="16"/>
      <c r="E59" s="16"/>
      <c r="F59" s="16"/>
      <c r="G59" s="16"/>
      <c r="H59" s="16"/>
      <c r="I59" s="16"/>
      <c r="J59" s="16"/>
      <c r="K59" s="16"/>
      <c r="L59" s="16"/>
      <c r="M59" s="16"/>
      <c r="N59" s="16"/>
      <c r="O59" s="16"/>
      <c r="P59" s="16"/>
      <c r="Q59" s="16"/>
      <c r="R59" s="16"/>
      <c r="S59" s="288"/>
      <c r="T59" s="15"/>
    </row>
    <row r="60" spans="1:20" s="817" customFormat="1" ht="18" customHeight="1" thickBot="1">
      <c r="A60" s="15"/>
      <c r="B60" s="15"/>
      <c r="C60" s="299"/>
      <c r="D60" s="202"/>
      <c r="E60" s="202"/>
      <c r="F60" s="202"/>
      <c r="G60" s="202"/>
      <c r="H60" s="202"/>
      <c r="I60" s="202"/>
      <c r="J60" s="202"/>
      <c r="K60" s="202"/>
      <c r="L60" s="202"/>
      <c r="M60" s="202"/>
      <c r="N60" s="202"/>
      <c r="O60" s="202"/>
      <c r="P60" s="202"/>
      <c r="Q60" s="202"/>
      <c r="R60" s="202"/>
      <c r="S60" s="300"/>
      <c r="T60" s="15"/>
    </row>
    <row r="61" spans="1:20" s="817"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817"/>
      <c r="AA62" s="817"/>
      <c r="AB62" s="817"/>
      <c r="AC62" s="817"/>
      <c r="AD62" s="817"/>
      <c r="AE62" s="817"/>
      <c r="AF62" s="817"/>
      <c r="AG62" s="817"/>
      <c r="AH62" s="817"/>
      <c r="AI62" s="817"/>
      <c r="AJ62" s="817"/>
    </row>
    <row r="63" spans="26:36" ht="19.5" customHeight="1" hidden="1">
      <c r="Z63" s="817"/>
      <c r="AA63" s="817"/>
      <c r="AB63" s="817"/>
      <c r="AC63" s="817"/>
      <c r="AD63" s="817"/>
      <c r="AE63" s="817"/>
      <c r="AF63" s="817"/>
      <c r="AG63" s="817"/>
      <c r="AH63" s="817"/>
      <c r="AI63" s="817"/>
      <c r="AJ63" s="817"/>
    </row>
    <row r="64" spans="26:36" ht="19.5" customHeight="1" hidden="1">
      <c r="Z64" s="817"/>
      <c r="AA64" s="817"/>
      <c r="AB64" s="817"/>
      <c r="AC64" s="817"/>
      <c r="AD64" s="817"/>
      <c r="AE64" s="817"/>
      <c r="AF64" s="817"/>
      <c r="AG64" s="817"/>
      <c r="AH64" s="817"/>
      <c r="AI64" s="817"/>
      <c r="AJ64" s="817"/>
    </row>
    <row r="65" spans="26:36" ht="19.5" customHeight="1" hidden="1">
      <c r="Z65" s="817"/>
      <c r="AA65" s="817"/>
      <c r="AB65" s="817"/>
      <c r="AC65" s="817"/>
      <c r="AD65" s="817"/>
      <c r="AE65" s="817"/>
      <c r="AF65" s="817"/>
      <c r="AG65" s="817"/>
      <c r="AH65" s="817"/>
      <c r="AI65" s="817"/>
      <c r="AJ65" s="817"/>
    </row>
    <row r="66" spans="26:36" ht="19.5" customHeight="1" hidden="1">
      <c r="Z66" s="817"/>
      <c r="AA66" s="817"/>
      <c r="AB66" s="817"/>
      <c r="AC66" s="817"/>
      <c r="AD66" s="817"/>
      <c r="AE66" s="817"/>
      <c r="AF66" s="817"/>
      <c r="AG66" s="817"/>
      <c r="AH66" s="817"/>
      <c r="AI66" s="817"/>
      <c r="AJ66" s="817"/>
    </row>
    <row r="67" spans="26:28" ht="19.5" customHeight="1" hidden="1">
      <c r="Z67" s="817"/>
      <c r="AA67" s="817"/>
      <c r="AB67" s="817"/>
    </row>
    <row r="68" spans="26:28" ht="19.5" customHeight="1" hidden="1">
      <c r="Z68" s="817"/>
      <c r="AA68" s="817"/>
      <c r="AB68" s="817"/>
    </row>
    <row r="69" spans="26:28" ht="19.5" customHeight="1" hidden="1">
      <c r="Z69" s="817"/>
      <c r="AA69" s="817"/>
      <c r="AB69" s="817"/>
    </row>
    <row r="70" spans="26:28" ht="19.5" customHeight="1" hidden="1">
      <c r="Z70" s="817"/>
      <c r="AA70" s="817"/>
      <c r="AB70" s="817"/>
    </row>
    <row r="71" spans="26:28" ht="19.5" customHeight="1" hidden="1">
      <c r="Z71" s="817"/>
      <c r="AA71" s="817"/>
      <c r="AB71" s="817"/>
    </row>
    <row r="72" spans="26:28" ht="19.5" customHeight="1" hidden="1">
      <c r="Z72" s="817"/>
      <c r="AA72" s="817"/>
      <c r="AB72" s="817"/>
    </row>
    <row r="73" spans="26:28" ht="19.5" customHeight="1" hidden="1">
      <c r="Z73" s="817"/>
      <c r="AA73" s="817"/>
      <c r="AB73" s="817"/>
    </row>
    <row r="74" spans="26:28" ht="19.5" customHeight="1" hidden="1">
      <c r="Z74" s="817"/>
      <c r="AA74" s="817"/>
      <c r="AB74" s="817"/>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92" stopIfTrue="1">
      <formula>($Q$10="-")</formula>
    </cfRule>
    <cfRule type="expression" priority="3" dxfId="93" stopIfTrue="1">
      <formula>($AH12&gt;100)</formula>
    </cfRule>
  </conditionalFormatting>
  <conditionalFormatting sqref="P12:P26">
    <cfRule type="expression" priority="4" dxfId="93" stopIfTrue="1">
      <formula>($AE12&gt;100)</formula>
    </cfRule>
  </conditionalFormatting>
  <conditionalFormatting sqref="M12:M26">
    <cfRule type="expression" priority="5" dxfId="93" stopIfTrue="1">
      <formula>($AB12&gt;100)</formula>
    </cfRule>
  </conditionalFormatting>
  <conditionalFormatting sqref="J12:J26">
    <cfRule type="expression" priority="6" dxfId="93" stopIfTrue="1">
      <formula>($Y12&gt;100)</formula>
    </cfRule>
  </conditionalFormatting>
  <conditionalFormatting sqref="Q10:R26 S10:S11">
    <cfRule type="expression" priority="7" dxfId="92"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7.00390625" style="867" customWidth="1"/>
    <col min="4" max="4" width="9.75390625" style="867" customWidth="1"/>
    <col min="5" max="5" width="13.875" style="868" customWidth="1"/>
    <col min="6" max="6" width="12.50390625" style="869" customWidth="1"/>
    <col min="7" max="7" width="13.125" style="870" customWidth="1"/>
    <col min="8" max="8" width="9.375" style="871" customWidth="1"/>
    <col min="9" max="9" width="7.50390625" style="872" customWidth="1"/>
    <col min="10" max="10" width="16.875" style="872" customWidth="1"/>
    <col min="11" max="12" width="5.25390625" style="873" customWidth="1"/>
    <col min="13" max="13" width="4.25390625" style="873" customWidth="1"/>
    <col min="14" max="14" width="6.375" style="873" customWidth="1"/>
    <col min="15" max="17" width="5.25390625" style="873" customWidth="1"/>
    <col min="18" max="18" width="4.875" style="866" customWidth="1"/>
    <col min="19" max="19" width="0.875" style="817" customWidth="1"/>
    <col min="20" max="20" width="11.00390625" style="817" hidden="1" customWidth="1"/>
    <col min="21" max="21" width="10.125" style="818" hidden="1" customWidth="1"/>
    <col min="22" max="22" width="10.125" style="817" hidden="1" customWidth="1"/>
    <col min="23" max="23" width="12.625" style="818" hidden="1" customWidth="1"/>
    <col min="24" max="24" width="8.375" style="818" hidden="1" customWidth="1"/>
    <col min="25" max="28" width="9.00390625" style="818" hidden="1" customWidth="1"/>
    <col min="29" max="255" width="9.00390625" style="801" hidden="1" customWidth="1"/>
    <col min="256" max="16384" width="4.625" style="801" hidden="1" customWidth="1"/>
  </cols>
  <sheetData>
    <row r="1" spans="1:28" s="302" customFormat="1" ht="6" customHeight="1" thickBot="1">
      <c r="A1" s="12"/>
      <c r="B1" s="148"/>
      <c r="C1" s="141"/>
      <c r="D1" s="142"/>
      <c r="E1" s="143"/>
      <c r="F1" s="144"/>
      <c r="G1" s="145"/>
      <c r="H1" s="146"/>
      <c r="I1" s="146"/>
      <c r="J1" s="222"/>
      <c r="K1" s="145"/>
      <c r="L1" s="145"/>
      <c r="M1" s="145"/>
      <c r="N1" s="144"/>
      <c r="O1" s="144"/>
      <c r="P1" s="144"/>
      <c r="Q1" s="144"/>
      <c r="R1" s="144"/>
      <c r="S1" s="15"/>
      <c r="T1" s="120"/>
      <c r="U1" s="301"/>
      <c r="V1" s="120"/>
      <c r="W1" s="301"/>
      <c r="X1" s="301"/>
      <c r="Y1" s="301"/>
      <c r="Z1" s="301"/>
      <c r="AA1" s="301"/>
      <c r="AB1" s="301"/>
    </row>
    <row r="2" spans="1:28" s="58" customFormat="1" ht="27" customHeight="1">
      <c r="A2" s="10"/>
      <c r="B2" s="163"/>
      <c r="C2" s="1" t="s">
        <v>0</v>
      </c>
      <c r="D2" s="223"/>
      <c r="E2" s="2"/>
      <c r="F2" s="3"/>
      <c r="G2" s="224"/>
      <c r="H2" s="150"/>
      <c r="I2" s="150"/>
      <c r="J2" s="225"/>
      <c r="K2" s="151"/>
      <c r="L2" s="151"/>
      <c r="M2" s="151"/>
      <c r="N2" s="226"/>
      <c r="O2" s="226"/>
      <c r="P2" s="226"/>
      <c r="Q2" s="226"/>
      <c r="R2" s="227"/>
      <c r="S2" s="15"/>
      <c r="T2" s="815" t="str">
        <f>'評価結果表示'!O23</f>
        <v>対象外</v>
      </c>
      <c r="U2" s="301"/>
      <c r="V2" s="120"/>
      <c r="W2" s="301"/>
      <c r="X2" s="301"/>
      <c r="Y2" s="301"/>
      <c r="Z2" s="301"/>
      <c r="AA2" s="301"/>
      <c r="AB2" s="301"/>
    </row>
    <row r="3" spans="1:28" s="58" customFormat="1" ht="29.25" customHeight="1" thickBot="1">
      <c r="A3" s="10"/>
      <c r="B3" s="163"/>
      <c r="C3" s="5" t="s">
        <v>294</v>
      </c>
      <c r="D3" s="152"/>
      <c r="E3" s="6"/>
      <c r="F3" s="7"/>
      <c r="G3" s="153"/>
      <c r="H3" s="155"/>
      <c r="I3" s="155"/>
      <c r="J3" s="228"/>
      <c r="K3" s="154"/>
      <c r="L3" s="154"/>
      <c r="M3" s="154"/>
      <c r="N3" s="229"/>
      <c r="O3" s="229"/>
      <c r="P3" s="303"/>
      <c r="Q3" s="303"/>
      <c r="R3" s="304" t="str">
        <f>'評価結果表示'!O3</f>
        <v>Osakafu-新築・既存 2015V1.03</v>
      </c>
      <c r="S3" s="305"/>
      <c r="T3" s="120"/>
      <c r="U3" s="301"/>
      <c r="V3" s="120"/>
      <c r="W3" s="301"/>
      <c r="X3" s="301"/>
      <c r="Y3" s="301"/>
      <c r="Z3" s="301"/>
      <c r="AA3" s="301"/>
      <c r="AB3" s="301"/>
    </row>
    <row r="4" spans="1:28" s="58" customFormat="1" ht="3" customHeight="1" thickBot="1">
      <c r="A4" s="10"/>
      <c r="B4" s="163"/>
      <c r="C4" s="231"/>
      <c r="D4" s="157"/>
      <c r="E4" s="158"/>
      <c r="F4" s="159"/>
      <c r="G4" s="232"/>
      <c r="H4" s="14"/>
      <c r="I4" s="40"/>
      <c r="J4" s="40"/>
      <c r="K4" s="233"/>
      <c r="L4" s="233"/>
      <c r="M4" s="233"/>
      <c r="N4" s="233"/>
      <c r="O4" s="233"/>
      <c r="P4" s="233"/>
      <c r="Q4" s="233"/>
      <c r="R4" s="149"/>
      <c r="S4" s="305"/>
      <c r="T4" s="120"/>
      <c r="U4" s="301"/>
      <c r="V4" s="120"/>
      <c r="W4" s="301"/>
      <c r="X4" s="301"/>
      <c r="Y4" s="301"/>
      <c r="Z4" s="301"/>
      <c r="AA4" s="301"/>
      <c r="AB4" s="301"/>
    </row>
    <row r="5" spans="1:28" s="58" customFormat="1" ht="21.75" customHeight="1" thickBot="1">
      <c r="A5" s="10"/>
      <c r="B5" s="163"/>
      <c r="C5" s="164" t="s">
        <v>103</v>
      </c>
      <c r="D5" s="165"/>
      <c r="E5" s="166"/>
      <c r="F5" s="166"/>
      <c r="G5" s="167"/>
      <c r="H5" s="1212" t="s">
        <v>315</v>
      </c>
      <c r="I5" s="1213"/>
      <c r="J5" s="1190"/>
      <c r="K5" s="1191"/>
      <c r="L5" s="1191"/>
      <c r="M5" s="1191"/>
      <c r="N5" s="1191"/>
      <c r="O5" s="1191"/>
      <c r="P5" s="1191"/>
      <c r="Q5" s="1191"/>
      <c r="R5" s="1192"/>
      <c r="S5" s="10"/>
      <c r="T5" s="120"/>
      <c r="U5" s="301"/>
      <c r="V5" s="120"/>
      <c r="W5" s="301"/>
      <c r="X5" s="301"/>
      <c r="Y5" s="301"/>
      <c r="Z5" s="301"/>
      <c r="AA5" s="301"/>
      <c r="AB5" s="301"/>
    </row>
    <row r="6" spans="1:28" s="58" customFormat="1" ht="21.75" customHeight="1" thickBot="1">
      <c r="A6" s="10"/>
      <c r="B6" s="163"/>
      <c r="C6" s="164"/>
      <c r="D6" s="165"/>
      <c r="E6" s="166"/>
      <c r="F6" s="166"/>
      <c r="G6" s="167"/>
      <c r="H6" s="1214" t="s">
        <v>316</v>
      </c>
      <c r="I6" s="1215"/>
      <c r="J6" s="1193"/>
      <c r="K6" s="1194"/>
      <c r="L6" s="1194"/>
      <c r="M6" s="1194"/>
      <c r="N6" s="1194"/>
      <c r="O6" s="1194"/>
      <c r="P6" s="1194"/>
      <c r="Q6" s="1194"/>
      <c r="R6" s="1195"/>
      <c r="S6" s="10"/>
      <c r="T6" s="120"/>
      <c r="U6" s="301"/>
      <c r="V6" s="120"/>
      <c r="W6" s="301"/>
      <c r="X6" s="301"/>
      <c r="Y6" s="301"/>
      <c r="Z6" s="301"/>
      <c r="AA6" s="301"/>
      <c r="AB6" s="301"/>
    </row>
    <row r="7" spans="1:28" s="58" customFormat="1" ht="3" customHeight="1" thickBot="1">
      <c r="A7" s="10"/>
      <c r="B7" s="163"/>
      <c r="C7" s="231"/>
      <c r="D7" s="157"/>
      <c r="E7" s="158"/>
      <c r="F7" s="159"/>
      <c r="G7" s="232"/>
      <c r="H7" s="14"/>
      <c r="I7" s="40"/>
      <c r="J7" s="40"/>
      <c r="K7" s="233"/>
      <c r="L7" s="233"/>
      <c r="M7" s="233"/>
      <c r="N7" s="233"/>
      <c r="O7" s="233"/>
      <c r="P7" s="233"/>
      <c r="Q7" s="233"/>
      <c r="R7" s="149"/>
      <c r="S7" s="305"/>
      <c r="T7" s="120"/>
      <c r="U7" s="301"/>
      <c r="V7" s="120"/>
      <c r="W7" s="301"/>
      <c r="X7" s="301"/>
      <c r="Y7" s="301"/>
      <c r="Z7" s="301"/>
      <c r="AA7" s="301"/>
      <c r="AB7" s="301"/>
    </row>
    <row r="8" spans="1:28" s="58" customFormat="1" ht="22.5" customHeight="1" thickBot="1">
      <c r="A8" s="10"/>
      <c r="B8" s="163"/>
      <c r="C8" s="164" t="s">
        <v>142</v>
      </c>
      <c r="D8" s="182"/>
      <c r="E8" s="183"/>
      <c r="F8" s="182"/>
      <c r="G8" s="236"/>
      <c r="H8" s="182"/>
      <c r="I8" s="182"/>
      <c r="J8" s="237"/>
      <c r="K8" s="182"/>
      <c r="L8" s="182"/>
      <c r="M8" s="238" t="s">
        <v>144</v>
      </c>
      <c r="N8" s="238" t="s">
        <v>17</v>
      </c>
      <c r="O8" s="68">
        <v>27</v>
      </c>
      <c r="P8" s="310" t="s">
        <v>102</v>
      </c>
      <c r="Q8" s="68">
        <v>4</v>
      </c>
      <c r="R8" s="311" t="s">
        <v>143</v>
      </c>
      <c r="S8" s="305"/>
      <c r="T8" s="120"/>
      <c r="U8" s="312" t="s">
        <v>161</v>
      </c>
      <c r="V8" s="120"/>
      <c r="W8" s="312" t="s">
        <v>263</v>
      </c>
      <c r="X8" s="301" t="s">
        <v>264</v>
      </c>
      <c r="Y8" s="301" t="s">
        <v>265</v>
      </c>
      <c r="Z8" s="301" t="s">
        <v>266</v>
      </c>
      <c r="AA8" s="301" t="s">
        <v>267</v>
      </c>
      <c r="AB8" s="301"/>
    </row>
    <row r="9" spans="1:28" s="58" customFormat="1" ht="22.5" customHeight="1" thickBot="1">
      <c r="A9" s="10"/>
      <c r="B9" s="163"/>
      <c r="C9" s="240" t="str">
        <f>IF(N62="変更有",CONCATENATE("目標(計画)期間 ： 平成",O8,"年",Q8,"月 ～ 平成",O63,"年3月"),CONCATENATE("目標(計画)期間 ： 平成",O8,"年",Q8,"月 ～ 平成",W10,"年3月"))</f>
        <v>目標(計画)期間 ： 平成27年4月 ～ 平成30年3月</v>
      </c>
      <c r="D9" s="241"/>
      <c r="E9" s="241"/>
      <c r="F9" s="242"/>
      <c r="G9" s="243"/>
      <c r="H9" s="244"/>
      <c r="I9" s="244"/>
      <c r="J9" s="245"/>
      <c r="K9" s="244"/>
      <c r="L9" s="244"/>
      <c r="M9" s="244"/>
      <c r="N9" s="246"/>
      <c r="O9" s="313"/>
      <c r="P9" s="314"/>
      <c r="Q9" s="314"/>
      <c r="R9" s="315"/>
      <c r="S9" s="15"/>
      <c r="T9" s="120"/>
      <c r="U9" s="312" t="s">
        <v>145</v>
      </c>
      <c r="V9" s="120"/>
      <c r="W9" s="316">
        <f>O8</f>
        <v>27</v>
      </c>
      <c r="X9" s="317">
        <f>W9</f>
        <v>27</v>
      </c>
      <c r="Y9" s="301">
        <f>IF(N62="変更なし",0,X10)</f>
        <v>0</v>
      </c>
      <c r="Z9" s="301">
        <f>IF(N83="変更なし",0,IF(N104="変更なし",Y10,O105))</f>
        <v>0</v>
      </c>
      <c r="AA9" s="301">
        <f>IF(N104="変更なし",0,Z10)</f>
        <v>0</v>
      </c>
      <c r="AB9" s="301"/>
    </row>
    <row r="10" spans="1:28" s="318" customFormat="1" ht="22.5" customHeight="1">
      <c r="A10" s="250"/>
      <c r="B10" s="251"/>
      <c r="C10" s="1324" t="s">
        <v>112</v>
      </c>
      <c r="D10" s="1325"/>
      <c r="E10" s="1325"/>
      <c r="F10" s="1325"/>
      <c r="G10" s="1326"/>
      <c r="H10" s="1329" t="s">
        <v>18</v>
      </c>
      <c r="I10" s="1330"/>
      <c r="J10" s="1330"/>
      <c r="K10" s="1331" t="s">
        <v>107</v>
      </c>
      <c r="L10" s="1332"/>
      <c r="M10" s="1332"/>
      <c r="N10" s="1343"/>
      <c r="O10" s="1331" t="s">
        <v>93</v>
      </c>
      <c r="P10" s="1332"/>
      <c r="Q10" s="1332"/>
      <c r="R10" s="1333"/>
      <c r="S10" s="15"/>
      <c r="T10" s="120"/>
      <c r="U10" s="312" t="s">
        <v>146</v>
      </c>
      <c r="V10" s="120"/>
      <c r="W10" s="316">
        <f>IF(AND(Q8&gt;=1,Q8&lt;=4),O8+3,O8+4)</f>
        <v>30</v>
      </c>
      <c r="X10" s="301">
        <f>IF(N62="変更なし",W10,O63)</f>
        <v>30</v>
      </c>
      <c r="Y10" s="301">
        <f>IF(N62="変更なし",0,IF(N83="変更なし",W10,O84))</f>
        <v>0</v>
      </c>
      <c r="Z10" s="301">
        <f>IF(N83="変更なし",0,IF(N104="変更なし",W10,O105))</f>
        <v>0</v>
      </c>
      <c r="AA10" s="301">
        <f>IF(N104="変更なし",0,W10)</f>
        <v>0</v>
      </c>
      <c r="AB10" s="301"/>
    </row>
    <row r="11" spans="1:28" s="318" customFormat="1" ht="22.5" customHeight="1" thickBot="1">
      <c r="A11" s="250"/>
      <c r="B11" s="251"/>
      <c r="C11" s="319" t="s">
        <v>9</v>
      </c>
      <c r="D11" s="320"/>
      <c r="E11" s="320"/>
      <c r="F11" s="321" t="s">
        <v>10</v>
      </c>
      <c r="G11" s="321" t="s">
        <v>11</v>
      </c>
      <c r="H11" s="1327" t="s">
        <v>33</v>
      </c>
      <c r="I11" s="1328"/>
      <c r="J11" s="322" t="s">
        <v>109</v>
      </c>
      <c r="K11" s="1335"/>
      <c r="L11" s="1335"/>
      <c r="M11" s="1335"/>
      <c r="N11" s="1344"/>
      <c r="O11" s="1334"/>
      <c r="P11" s="1335"/>
      <c r="Q11" s="1335"/>
      <c r="R11" s="1336"/>
      <c r="S11" s="15"/>
      <c r="T11" s="120"/>
      <c r="U11" s="323" t="s">
        <v>194</v>
      </c>
      <c r="V11" s="120"/>
      <c r="W11" s="301"/>
      <c r="X11" s="301"/>
      <c r="Y11" s="301"/>
      <c r="Z11" s="301"/>
      <c r="AA11" s="301"/>
      <c r="AB11" s="301"/>
    </row>
    <row r="12" spans="1:28" s="318" customFormat="1" ht="22.5" customHeight="1">
      <c r="A12" s="250"/>
      <c r="B12" s="251"/>
      <c r="C12" s="1322" t="s">
        <v>97</v>
      </c>
      <c r="D12" s="1323"/>
      <c r="E12" s="1323"/>
      <c r="F12" s="324"/>
      <c r="G12" s="325" t="s">
        <v>127</v>
      </c>
      <c r="H12" s="1263">
        <f>'別表'!E36</f>
        <v>9.76</v>
      </c>
      <c r="I12" s="1264"/>
      <c r="J12" s="59"/>
      <c r="K12" s="1345"/>
      <c r="L12" s="1346"/>
      <c r="M12" s="1346"/>
      <c r="N12" s="1347"/>
      <c r="O12" s="1268">
        <f aca="true" t="shared" si="0" ref="O12:O25">IF(K12=0,"",IF(J12="",H12*K12,J12*K12))</f>
      </c>
      <c r="P12" s="1269"/>
      <c r="Q12" s="1269"/>
      <c r="R12" s="1270"/>
      <c r="S12" s="15"/>
      <c r="T12" s="120"/>
      <c r="U12" s="326">
        <f>K12</f>
        <v>0</v>
      </c>
      <c r="V12" s="120"/>
      <c r="W12" s="301"/>
      <c r="X12" s="301"/>
      <c r="Y12" s="301"/>
      <c r="Z12" s="301"/>
      <c r="AA12" s="301"/>
      <c r="AB12" s="301"/>
    </row>
    <row r="13" spans="1:28" s="318" customFormat="1" ht="22.5" customHeight="1">
      <c r="A13" s="250"/>
      <c r="B13" s="251"/>
      <c r="C13" s="1316"/>
      <c r="D13" s="1317"/>
      <c r="E13" s="1317"/>
      <c r="F13" s="327" t="s">
        <v>288</v>
      </c>
      <c r="G13" s="328" t="s">
        <v>126</v>
      </c>
      <c r="H13" s="1271">
        <f>'別表'!E34</f>
        <v>9.97</v>
      </c>
      <c r="I13" s="1272"/>
      <c r="J13" s="60"/>
      <c r="K13" s="1239"/>
      <c r="L13" s="1240"/>
      <c r="M13" s="1240"/>
      <c r="N13" s="1241"/>
      <c r="O13" s="1242">
        <f t="shared" si="0"/>
      </c>
      <c r="P13" s="1243"/>
      <c r="Q13" s="1243"/>
      <c r="R13" s="1244"/>
      <c r="S13" s="15"/>
      <c r="T13" s="120"/>
      <c r="U13" s="326">
        <f aca="true" t="shared" si="1" ref="U13:U25">K13</f>
        <v>0</v>
      </c>
      <c r="V13" s="120"/>
      <c r="W13" s="301"/>
      <c r="X13" s="301"/>
      <c r="Y13" s="301"/>
      <c r="Z13" s="301"/>
      <c r="AA13" s="301"/>
      <c r="AB13" s="301"/>
    </row>
    <row r="14" spans="1:28" s="318" customFormat="1" ht="22.5" customHeight="1">
      <c r="A14" s="250"/>
      <c r="B14" s="251"/>
      <c r="C14" s="1319"/>
      <c r="D14" s="1320"/>
      <c r="E14" s="1320"/>
      <c r="F14" s="329" t="s">
        <v>289</v>
      </c>
      <c r="G14" s="330" t="s">
        <v>128</v>
      </c>
      <c r="H14" s="1245">
        <f>'別表'!E35</f>
        <v>9.28</v>
      </c>
      <c r="I14" s="1246"/>
      <c r="J14" s="61"/>
      <c r="K14" s="1247"/>
      <c r="L14" s="1248"/>
      <c r="M14" s="1248"/>
      <c r="N14" s="1249"/>
      <c r="O14" s="1250">
        <f t="shared" si="0"/>
      </c>
      <c r="P14" s="1251"/>
      <c r="Q14" s="1251"/>
      <c r="R14" s="1252"/>
      <c r="S14" s="15"/>
      <c r="T14" s="120"/>
      <c r="U14" s="326">
        <f t="shared" si="1"/>
        <v>0</v>
      </c>
      <c r="V14" s="120"/>
      <c r="W14" s="301"/>
      <c r="X14" s="301"/>
      <c r="Y14" s="301"/>
      <c r="Z14" s="301"/>
      <c r="AA14" s="301"/>
      <c r="AB14" s="301"/>
    </row>
    <row r="15" spans="1:28" s="318" customFormat="1" ht="22.5" customHeight="1">
      <c r="A15" s="250"/>
      <c r="B15" s="251"/>
      <c r="C15" s="331" t="s">
        <v>98</v>
      </c>
      <c r="D15" s="332"/>
      <c r="E15" s="332"/>
      <c r="F15" s="333" t="s">
        <v>317</v>
      </c>
      <c r="G15" s="334" t="s">
        <v>129</v>
      </c>
      <c r="H15" s="1196">
        <f>'別表'!E31</f>
        <v>41.1</v>
      </c>
      <c r="I15" s="1197"/>
      <c r="J15" s="62"/>
      <c r="K15" s="1198"/>
      <c r="L15" s="1199"/>
      <c r="M15" s="1199"/>
      <c r="N15" s="1200"/>
      <c r="O15" s="1204">
        <f t="shared" si="0"/>
      </c>
      <c r="P15" s="1205"/>
      <c r="Q15" s="1205"/>
      <c r="R15" s="1206"/>
      <c r="S15" s="15"/>
      <c r="T15" s="120"/>
      <c r="U15" s="326">
        <f t="shared" si="1"/>
        <v>0</v>
      </c>
      <c r="V15" s="120"/>
      <c r="W15" s="301"/>
      <c r="X15" s="301"/>
      <c r="Y15" s="301"/>
      <c r="Z15" s="301"/>
      <c r="AA15" s="301"/>
      <c r="AB15" s="301"/>
    </row>
    <row r="16" spans="1:28" s="318" customFormat="1" ht="22.5" customHeight="1">
      <c r="A16" s="250"/>
      <c r="B16" s="251"/>
      <c r="C16" s="335" t="s">
        <v>119</v>
      </c>
      <c r="D16" s="336"/>
      <c r="E16" s="336"/>
      <c r="F16" s="337"/>
      <c r="G16" s="334" t="s">
        <v>132</v>
      </c>
      <c r="H16" s="1196">
        <f>'別表'!E25</f>
        <v>50.2</v>
      </c>
      <c r="I16" s="1197"/>
      <c r="J16" s="62"/>
      <c r="K16" s="1198"/>
      <c r="L16" s="1199"/>
      <c r="M16" s="1199"/>
      <c r="N16" s="1200"/>
      <c r="O16" s="1204">
        <f t="shared" si="0"/>
      </c>
      <c r="P16" s="1205"/>
      <c r="Q16" s="1205"/>
      <c r="R16" s="1206"/>
      <c r="S16" s="15"/>
      <c r="T16" s="120"/>
      <c r="U16" s="326">
        <f t="shared" si="1"/>
        <v>0</v>
      </c>
      <c r="V16" s="120"/>
      <c r="W16" s="301"/>
      <c r="X16" s="301"/>
      <c r="Y16" s="301"/>
      <c r="Z16" s="301"/>
      <c r="AA16" s="301"/>
      <c r="AB16" s="301"/>
    </row>
    <row r="17" spans="1:28" s="318" customFormat="1" ht="22.5" customHeight="1">
      <c r="A17" s="250"/>
      <c r="B17" s="251"/>
      <c r="C17" s="331" t="s">
        <v>99</v>
      </c>
      <c r="D17" s="332"/>
      <c r="E17" s="332"/>
      <c r="F17" s="337"/>
      <c r="G17" s="334" t="s">
        <v>130</v>
      </c>
      <c r="H17" s="1196">
        <f>'別表'!E18</f>
        <v>36.7</v>
      </c>
      <c r="I17" s="1197"/>
      <c r="J17" s="62"/>
      <c r="K17" s="1198"/>
      <c r="L17" s="1199"/>
      <c r="M17" s="1199"/>
      <c r="N17" s="1200"/>
      <c r="O17" s="1204">
        <f t="shared" si="0"/>
      </c>
      <c r="P17" s="1205"/>
      <c r="Q17" s="1205"/>
      <c r="R17" s="1206"/>
      <c r="S17" s="15"/>
      <c r="T17" s="120"/>
      <c r="U17" s="326">
        <f t="shared" si="1"/>
        <v>0</v>
      </c>
      <c r="V17" s="120"/>
      <c r="W17" s="301"/>
      <c r="X17" s="301"/>
      <c r="Y17" s="301"/>
      <c r="Z17" s="301"/>
      <c r="AA17" s="301"/>
      <c r="AB17" s="301"/>
    </row>
    <row r="18" spans="1:28" s="318" customFormat="1" ht="22.5" customHeight="1">
      <c r="A18" s="250"/>
      <c r="B18" s="251"/>
      <c r="C18" s="1313" t="s">
        <v>100</v>
      </c>
      <c r="D18" s="1314"/>
      <c r="E18" s="1315"/>
      <c r="F18" s="338" t="s">
        <v>110</v>
      </c>
      <c r="G18" s="339" t="s">
        <v>130</v>
      </c>
      <c r="H18" s="1196">
        <f>'別表'!E20</f>
        <v>39.1</v>
      </c>
      <c r="I18" s="1197"/>
      <c r="J18" s="62"/>
      <c r="K18" s="1198"/>
      <c r="L18" s="1199"/>
      <c r="M18" s="1199"/>
      <c r="N18" s="1200"/>
      <c r="O18" s="1204">
        <f>IF(K18=0,"",IF(J18="",H18*K18,J18*K18))</f>
      </c>
      <c r="P18" s="1205"/>
      <c r="Q18" s="1205"/>
      <c r="R18" s="1206"/>
      <c r="S18" s="15"/>
      <c r="T18" s="120"/>
      <c r="U18" s="326">
        <f t="shared" si="1"/>
        <v>0</v>
      </c>
      <c r="V18" s="120"/>
      <c r="W18" s="301"/>
      <c r="X18" s="301"/>
      <c r="Y18" s="301"/>
      <c r="Z18" s="301"/>
      <c r="AA18" s="301"/>
      <c r="AB18" s="301"/>
    </row>
    <row r="19" spans="1:28" s="318" customFormat="1" ht="22.5" customHeight="1">
      <c r="A19" s="250"/>
      <c r="B19" s="251"/>
      <c r="C19" s="1319"/>
      <c r="D19" s="1320"/>
      <c r="E19" s="1321"/>
      <c r="F19" s="338" t="s">
        <v>111</v>
      </c>
      <c r="G19" s="339" t="s">
        <v>130</v>
      </c>
      <c r="H19" s="1196">
        <f>'別表'!E21</f>
        <v>41.7</v>
      </c>
      <c r="I19" s="1197"/>
      <c r="J19" s="62"/>
      <c r="K19" s="1198"/>
      <c r="L19" s="1199"/>
      <c r="M19" s="1199"/>
      <c r="N19" s="1200"/>
      <c r="O19" s="1204">
        <f>IF(K19=0,"",IF(J19="",H19*K19,J19*K19))</f>
      </c>
      <c r="P19" s="1205"/>
      <c r="Q19" s="1205"/>
      <c r="R19" s="1206"/>
      <c r="S19" s="15"/>
      <c r="T19" s="120"/>
      <c r="U19" s="326">
        <f t="shared" si="1"/>
        <v>0</v>
      </c>
      <c r="V19" s="120"/>
      <c r="W19" s="301"/>
      <c r="X19" s="301"/>
      <c r="Y19" s="301"/>
      <c r="Z19" s="301"/>
      <c r="AA19" s="301"/>
      <c r="AB19" s="301"/>
    </row>
    <row r="20" spans="1:28" s="318" customFormat="1" ht="22.5" customHeight="1">
      <c r="A20" s="250"/>
      <c r="B20" s="251"/>
      <c r="C20" s="1313" t="s">
        <v>101</v>
      </c>
      <c r="D20" s="1314"/>
      <c r="E20" s="1315"/>
      <c r="F20" s="338" t="s">
        <v>12</v>
      </c>
      <c r="G20" s="339" t="s">
        <v>131</v>
      </c>
      <c r="H20" s="1227">
        <f>'別表'!E33</f>
        <v>1.36</v>
      </c>
      <c r="I20" s="1228"/>
      <c r="J20" s="62"/>
      <c r="K20" s="1198"/>
      <c r="L20" s="1199"/>
      <c r="M20" s="1199"/>
      <c r="N20" s="1200"/>
      <c r="O20" s="1204">
        <f t="shared" si="0"/>
      </c>
      <c r="P20" s="1205"/>
      <c r="Q20" s="1205"/>
      <c r="R20" s="1206"/>
      <c r="S20" s="15"/>
      <c r="T20" s="120"/>
      <c r="U20" s="326">
        <f t="shared" si="1"/>
        <v>0</v>
      </c>
      <c r="V20" s="120"/>
      <c r="W20" s="301"/>
      <c r="X20" s="301"/>
      <c r="Y20" s="301"/>
      <c r="Z20" s="301"/>
      <c r="AA20" s="301"/>
      <c r="AB20" s="301"/>
    </row>
    <row r="21" spans="1:28" s="318" customFormat="1" ht="22.5" customHeight="1">
      <c r="A21" s="250"/>
      <c r="B21" s="251"/>
      <c r="C21" s="1316"/>
      <c r="D21" s="1317"/>
      <c r="E21" s="1318"/>
      <c r="F21" s="338" t="s">
        <v>13</v>
      </c>
      <c r="G21" s="339" t="s">
        <v>131</v>
      </c>
      <c r="H21" s="1227">
        <f>'別表'!E33</f>
        <v>1.36</v>
      </c>
      <c r="I21" s="1228"/>
      <c r="J21" s="62"/>
      <c r="K21" s="1198"/>
      <c r="L21" s="1199"/>
      <c r="M21" s="1199"/>
      <c r="N21" s="1200"/>
      <c r="O21" s="1204">
        <f t="shared" si="0"/>
      </c>
      <c r="P21" s="1205"/>
      <c r="Q21" s="1205"/>
      <c r="R21" s="1206"/>
      <c r="S21" s="15"/>
      <c r="T21" s="120"/>
      <c r="U21" s="326">
        <f t="shared" si="1"/>
        <v>0</v>
      </c>
      <c r="V21" s="120"/>
      <c r="W21" s="301"/>
      <c r="X21" s="301"/>
      <c r="Y21" s="301"/>
      <c r="Z21" s="301"/>
      <c r="AA21" s="301"/>
      <c r="AB21" s="301"/>
    </row>
    <row r="22" spans="1:28" s="318" customFormat="1" ht="22.5" customHeight="1">
      <c r="A22" s="250"/>
      <c r="B22" s="279"/>
      <c r="C22" s="1319"/>
      <c r="D22" s="1320"/>
      <c r="E22" s="1321"/>
      <c r="F22" s="340" t="s">
        <v>14</v>
      </c>
      <c r="G22" s="339" t="s">
        <v>131</v>
      </c>
      <c r="H22" s="1227">
        <f>'別表'!E33</f>
        <v>1.36</v>
      </c>
      <c r="I22" s="1228"/>
      <c r="J22" s="62"/>
      <c r="K22" s="1198"/>
      <c r="L22" s="1199"/>
      <c r="M22" s="1199"/>
      <c r="N22" s="1200"/>
      <c r="O22" s="1204">
        <f t="shared" si="0"/>
      </c>
      <c r="P22" s="1205"/>
      <c r="Q22" s="1205"/>
      <c r="R22" s="1206"/>
      <c r="S22" s="15"/>
      <c r="T22" s="120"/>
      <c r="U22" s="326">
        <f t="shared" si="1"/>
        <v>0</v>
      </c>
      <c r="V22" s="120"/>
      <c r="W22" s="301"/>
      <c r="X22" s="301"/>
      <c r="Y22" s="301"/>
      <c r="Z22" s="301"/>
      <c r="AA22" s="301"/>
      <c r="AB22" s="301"/>
    </row>
    <row r="23" spans="1:28" s="318" customFormat="1" ht="22.5" customHeight="1">
      <c r="A23" s="250"/>
      <c r="B23" s="251"/>
      <c r="C23" s="1348" t="s">
        <v>120</v>
      </c>
      <c r="D23" s="1339"/>
      <c r="E23" s="1340"/>
      <c r="F23" s="66"/>
      <c r="G23" s="42"/>
      <c r="H23" s="1216" t="s">
        <v>118</v>
      </c>
      <c r="I23" s="1337"/>
      <c r="J23" s="63"/>
      <c r="K23" s="1198"/>
      <c r="L23" s="1199"/>
      <c r="M23" s="1199"/>
      <c r="N23" s="1200"/>
      <c r="O23" s="1204">
        <f t="shared" si="0"/>
      </c>
      <c r="P23" s="1205"/>
      <c r="Q23" s="1205"/>
      <c r="R23" s="1206"/>
      <c r="S23" s="15"/>
      <c r="T23" s="120"/>
      <c r="U23" s="326">
        <f t="shared" si="1"/>
        <v>0</v>
      </c>
      <c r="V23" s="120"/>
      <c r="W23" s="301"/>
      <c r="X23" s="301"/>
      <c r="Y23" s="301"/>
      <c r="Z23" s="301"/>
      <c r="AA23" s="301"/>
      <c r="AB23" s="301"/>
    </row>
    <row r="24" spans="1:28" s="318" customFormat="1" ht="22.5" customHeight="1">
      <c r="A24" s="250"/>
      <c r="B24" s="279"/>
      <c r="C24" s="1349"/>
      <c r="D24" s="1339"/>
      <c r="E24" s="1340"/>
      <c r="F24" s="66"/>
      <c r="G24" s="57"/>
      <c r="H24" s="1216" t="s">
        <v>118</v>
      </c>
      <c r="I24" s="1337"/>
      <c r="J24" s="64"/>
      <c r="K24" s="1198"/>
      <c r="L24" s="1199"/>
      <c r="M24" s="1199"/>
      <c r="N24" s="1200"/>
      <c r="O24" s="1204">
        <f t="shared" si="0"/>
      </c>
      <c r="P24" s="1205"/>
      <c r="Q24" s="1205"/>
      <c r="R24" s="1206"/>
      <c r="S24" s="15"/>
      <c r="T24" s="120"/>
      <c r="U24" s="326">
        <f t="shared" si="1"/>
        <v>0</v>
      </c>
      <c r="V24" s="120"/>
      <c r="W24" s="301"/>
      <c r="X24" s="301"/>
      <c r="Y24" s="301"/>
      <c r="Z24" s="301"/>
      <c r="AA24" s="301"/>
      <c r="AB24" s="301"/>
    </row>
    <row r="25" spans="1:28" s="318" customFormat="1" ht="22.5" customHeight="1" thickBot="1">
      <c r="A25" s="250"/>
      <c r="B25" s="279"/>
      <c r="C25" s="1350"/>
      <c r="D25" s="1341"/>
      <c r="E25" s="1342"/>
      <c r="F25" s="67"/>
      <c r="G25" s="56"/>
      <c r="H25" s="1234" t="s">
        <v>118</v>
      </c>
      <c r="I25" s="1338"/>
      <c r="J25" s="65"/>
      <c r="K25" s="1236"/>
      <c r="L25" s="1237"/>
      <c r="M25" s="1237"/>
      <c r="N25" s="1238"/>
      <c r="O25" s="1231">
        <f t="shared" si="0"/>
      </c>
      <c r="P25" s="1232"/>
      <c r="Q25" s="1232"/>
      <c r="R25" s="1233"/>
      <c r="S25" s="15"/>
      <c r="T25" s="120"/>
      <c r="U25" s="326">
        <f t="shared" si="1"/>
        <v>0</v>
      </c>
      <c r="V25" s="120"/>
      <c r="W25" s="301"/>
      <c r="X25" s="301"/>
      <c r="Y25" s="301"/>
      <c r="Z25" s="301"/>
      <c r="AA25" s="301"/>
      <c r="AB25" s="301"/>
    </row>
    <row r="26" spans="1:28" s="318" customFormat="1" ht="22.5" customHeight="1" thickBot="1" thickTop="1">
      <c r="A26" s="250"/>
      <c r="B26" s="279"/>
      <c r="C26" s="341"/>
      <c r="D26" s="342"/>
      <c r="E26" s="342"/>
      <c r="F26" s="342"/>
      <c r="G26" s="342" t="s">
        <v>121</v>
      </c>
      <c r="H26" s="342"/>
      <c r="I26" s="342"/>
      <c r="J26" s="342"/>
      <c r="K26" s="343"/>
      <c r="L26" s="343"/>
      <c r="M26" s="343"/>
      <c r="N26" s="344"/>
      <c r="O26" s="1201">
        <f>IF(SUM(O12:R25)=0,"",SUM(O12:R25))</f>
      </c>
      <c r="P26" s="1202"/>
      <c r="Q26" s="1202"/>
      <c r="R26" s="1203"/>
      <c r="S26" s="15"/>
      <c r="T26" s="120"/>
      <c r="U26" s="345">
        <f>IF(O26="",0,O26)</f>
        <v>0</v>
      </c>
      <c r="V26" s="120"/>
      <c r="W26" s="301"/>
      <c r="X26" s="301"/>
      <c r="Y26" s="301"/>
      <c r="Z26" s="301"/>
      <c r="AA26" s="301"/>
      <c r="AB26" s="301"/>
    </row>
    <row r="27" spans="1:28" s="318" customFormat="1" ht="17.25" customHeight="1" thickBot="1">
      <c r="A27" s="250"/>
      <c r="B27" s="279"/>
      <c r="C27" s="287"/>
      <c r="D27" s="16"/>
      <c r="E27" s="16"/>
      <c r="F27" s="16"/>
      <c r="G27" s="16"/>
      <c r="H27" s="16"/>
      <c r="I27" s="16"/>
      <c r="J27" s="16"/>
      <c r="K27" s="16"/>
      <c r="L27" s="16"/>
      <c r="M27" s="16"/>
      <c r="N27" s="16"/>
      <c r="O27" s="16"/>
      <c r="P27" s="16"/>
      <c r="Q27" s="16"/>
      <c r="R27" s="288"/>
      <c r="S27" s="15"/>
      <c r="T27" s="120"/>
      <c r="U27" s="301"/>
      <c r="V27" s="120"/>
      <c r="W27" s="301"/>
      <c r="X27" s="301"/>
      <c r="Y27" s="301"/>
      <c r="Z27" s="301"/>
      <c r="AA27" s="301"/>
      <c r="AB27" s="301"/>
    </row>
    <row r="28" spans="1:28" s="318" customFormat="1" ht="22.5" customHeight="1" thickBot="1">
      <c r="A28" s="250"/>
      <c r="B28" s="251"/>
      <c r="C28" s="289" t="s">
        <v>123</v>
      </c>
      <c r="D28" s="290"/>
      <c r="E28" s="291"/>
      <c r="F28" s="292"/>
      <c r="G28" s="293"/>
      <c r="H28" s="293"/>
      <c r="I28" s="293"/>
      <c r="J28" s="294"/>
      <c r="K28" s="293"/>
      <c r="L28" s="293"/>
      <c r="M28" s="293"/>
      <c r="N28" s="295"/>
      <c r="O28" s="295"/>
      <c r="P28" s="295"/>
      <c r="Q28" s="295"/>
      <c r="R28" s="296"/>
      <c r="S28" s="15"/>
      <c r="T28" s="120"/>
      <c r="U28" s="301"/>
      <c r="V28" s="120"/>
      <c r="W28" s="301"/>
      <c r="X28" s="301"/>
      <c r="Y28" s="301"/>
      <c r="Z28" s="301"/>
      <c r="AA28" s="301"/>
      <c r="AB28" s="301"/>
    </row>
    <row r="29" spans="1:28" s="318" customFormat="1" ht="31.5" customHeight="1">
      <c r="A29" s="250"/>
      <c r="B29" s="251"/>
      <c r="C29" s="1159" t="s">
        <v>15</v>
      </c>
      <c r="D29" s="1144"/>
      <c r="E29" s="1144"/>
      <c r="F29" s="1144"/>
      <c r="G29" s="1143" t="s">
        <v>124</v>
      </c>
      <c r="H29" s="1144"/>
      <c r="I29" s="1144"/>
      <c r="J29" s="1144"/>
      <c r="K29" s="1144"/>
      <c r="L29" s="1144"/>
      <c r="M29" s="1144"/>
      <c r="N29" s="1144"/>
      <c r="O29" s="1144"/>
      <c r="P29" s="1144"/>
      <c r="Q29" s="1144"/>
      <c r="R29" s="1145"/>
      <c r="S29" s="15"/>
      <c r="T29" s="120"/>
      <c r="U29" s="301"/>
      <c r="V29" s="120"/>
      <c r="W29" s="301"/>
      <c r="X29" s="301"/>
      <c r="Y29" s="301"/>
      <c r="Z29" s="301"/>
      <c r="AA29" s="301"/>
      <c r="AB29" s="301"/>
    </row>
    <row r="30" spans="1:28" s="318" customFormat="1" ht="61.5" customHeight="1" thickBot="1">
      <c r="A30" s="250"/>
      <c r="B30" s="251"/>
      <c r="C30" s="1356"/>
      <c r="D30" s="1357"/>
      <c r="E30" s="1357"/>
      <c r="F30" s="1357"/>
      <c r="G30" s="1308"/>
      <c r="H30" s="1309"/>
      <c r="I30" s="1309"/>
      <c r="J30" s="1309"/>
      <c r="K30" s="1309"/>
      <c r="L30" s="1309"/>
      <c r="M30" s="1309"/>
      <c r="N30" s="1309"/>
      <c r="O30" s="1309"/>
      <c r="P30" s="1309"/>
      <c r="Q30" s="1309"/>
      <c r="R30" s="1310"/>
      <c r="S30" s="15"/>
      <c r="T30" s="120"/>
      <c r="U30" s="301"/>
      <c r="V30" s="120"/>
      <c r="W30" s="301"/>
      <c r="X30" s="301"/>
      <c r="Y30" s="301"/>
      <c r="Z30" s="301"/>
      <c r="AA30" s="301"/>
      <c r="AB30" s="301"/>
    </row>
    <row r="31" spans="1:28" s="318" customFormat="1" ht="31.5" customHeight="1">
      <c r="A31" s="250"/>
      <c r="B31" s="251"/>
      <c r="C31" s="1284" t="s">
        <v>125</v>
      </c>
      <c r="D31" s="1285"/>
      <c r="E31" s="1143" t="s">
        <v>16</v>
      </c>
      <c r="F31" s="1144"/>
      <c r="G31" s="1143" t="s">
        <v>95</v>
      </c>
      <c r="H31" s="1311"/>
      <c r="I31" s="1354" t="s">
        <v>96</v>
      </c>
      <c r="J31" s="1355"/>
      <c r="K31" s="1143" t="s">
        <v>124</v>
      </c>
      <c r="L31" s="1144"/>
      <c r="M31" s="1144"/>
      <c r="N31" s="1144"/>
      <c r="O31" s="1144"/>
      <c r="P31" s="1144"/>
      <c r="Q31" s="1144"/>
      <c r="R31" s="1145"/>
      <c r="S31" s="15"/>
      <c r="T31" s="120"/>
      <c r="U31" s="301"/>
      <c r="V31" s="120"/>
      <c r="W31" s="301"/>
      <c r="X31" s="301"/>
      <c r="Y31" s="301"/>
      <c r="Z31" s="301"/>
      <c r="AA31" s="301"/>
      <c r="AB31" s="301"/>
    </row>
    <row r="32" spans="1:28" s="318" customFormat="1" ht="46.5" customHeight="1">
      <c r="A32" s="250"/>
      <c r="B32" s="251"/>
      <c r="C32" s="1286"/>
      <c r="D32" s="1287"/>
      <c r="E32" s="1299"/>
      <c r="F32" s="1300"/>
      <c r="G32" s="1301"/>
      <c r="H32" s="1302"/>
      <c r="I32" s="1301"/>
      <c r="J32" s="1302"/>
      <c r="K32" s="1351"/>
      <c r="L32" s="1352"/>
      <c r="M32" s="1352"/>
      <c r="N32" s="1352"/>
      <c r="O32" s="1352"/>
      <c r="P32" s="1352"/>
      <c r="Q32" s="1352"/>
      <c r="R32" s="1353"/>
      <c r="S32" s="15"/>
      <c r="T32" s="120"/>
      <c r="U32" s="301"/>
      <c r="V32" s="120"/>
      <c r="W32" s="301"/>
      <c r="X32" s="301"/>
      <c r="Y32" s="301"/>
      <c r="Z32" s="301"/>
      <c r="AA32" s="301"/>
      <c r="AB32" s="301"/>
    </row>
    <row r="33" spans="1:28" s="318" customFormat="1" ht="46.5" customHeight="1">
      <c r="A33" s="250"/>
      <c r="B33" s="251"/>
      <c r="C33" s="1286"/>
      <c r="D33" s="1287"/>
      <c r="E33" s="1297"/>
      <c r="F33" s="1298"/>
      <c r="G33" s="1293"/>
      <c r="H33" s="1294"/>
      <c r="I33" s="1293"/>
      <c r="J33" s="1294"/>
      <c r="K33" s="1293"/>
      <c r="L33" s="1358"/>
      <c r="M33" s="1358"/>
      <c r="N33" s="1358"/>
      <c r="O33" s="1358"/>
      <c r="P33" s="1358"/>
      <c r="Q33" s="1358"/>
      <c r="R33" s="1359"/>
      <c r="S33" s="15"/>
      <c r="T33" s="120"/>
      <c r="U33" s="301"/>
      <c r="V33" s="120"/>
      <c r="W33" s="301"/>
      <c r="X33" s="301"/>
      <c r="Y33" s="301"/>
      <c r="Z33" s="301"/>
      <c r="AA33" s="301"/>
      <c r="AB33" s="301"/>
    </row>
    <row r="34" spans="1:28" s="318" customFormat="1" ht="46.5" customHeight="1" thickBot="1">
      <c r="A34" s="250"/>
      <c r="B34" s="346"/>
      <c r="C34" s="1288"/>
      <c r="D34" s="1289"/>
      <c r="E34" s="1295"/>
      <c r="F34" s="1296"/>
      <c r="G34" s="1305"/>
      <c r="H34" s="1312"/>
      <c r="I34" s="1305"/>
      <c r="J34" s="1312"/>
      <c r="K34" s="1305"/>
      <c r="L34" s="1306"/>
      <c r="M34" s="1306"/>
      <c r="N34" s="1306"/>
      <c r="O34" s="1306"/>
      <c r="P34" s="1306"/>
      <c r="Q34" s="1306"/>
      <c r="R34" s="1307"/>
      <c r="S34" s="15"/>
      <c r="T34" s="120"/>
      <c r="U34" s="301"/>
      <c r="V34" s="120"/>
      <c r="W34" s="301"/>
      <c r="X34" s="301"/>
      <c r="Y34" s="301"/>
      <c r="Z34" s="301"/>
      <c r="AA34" s="301"/>
      <c r="AB34" s="301"/>
    </row>
    <row r="35" spans="1:28" s="318" customFormat="1" ht="80.25" customHeight="1" thickBot="1">
      <c r="A35" s="250"/>
      <c r="B35" s="251"/>
      <c r="C35" s="1303" t="s">
        <v>122</v>
      </c>
      <c r="D35" s="1304"/>
      <c r="E35" s="1290"/>
      <c r="F35" s="1291"/>
      <c r="G35" s="1291"/>
      <c r="H35" s="1291"/>
      <c r="I35" s="1291"/>
      <c r="J35" s="1291"/>
      <c r="K35" s="1291"/>
      <c r="L35" s="1291"/>
      <c r="M35" s="1291"/>
      <c r="N35" s="1291"/>
      <c r="O35" s="1291"/>
      <c r="P35" s="1291"/>
      <c r="Q35" s="1291"/>
      <c r="R35" s="1292"/>
      <c r="S35" s="15"/>
      <c r="T35" s="120"/>
      <c r="U35" s="301"/>
      <c r="V35" s="120"/>
      <c r="W35" s="301"/>
      <c r="X35" s="301"/>
      <c r="Y35" s="301"/>
      <c r="Z35" s="301"/>
      <c r="AA35" s="301"/>
      <c r="AB35" s="301"/>
    </row>
    <row r="36" spans="1:28" s="318" customFormat="1" ht="3.75" customHeight="1">
      <c r="A36" s="250"/>
      <c r="B36" s="251"/>
      <c r="C36" s="347"/>
      <c r="D36" s="250"/>
      <c r="E36" s="348"/>
      <c r="F36" s="349"/>
      <c r="G36" s="350"/>
      <c r="H36" s="350"/>
      <c r="I36" s="350"/>
      <c r="J36" s="351"/>
      <c r="K36" s="350"/>
      <c r="L36" s="350"/>
      <c r="M36" s="350"/>
      <c r="N36" s="352"/>
      <c r="O36" s="352"/>
      <c r="P36" s="352"/>
      <c r="Q36" s="352"/>
      <c r="R36" s="353"/>
      <c r="S36" s="15"/>
      <c r="T36" s="120"/>
      <c r="U36" s="301"/>
      <c r="V36" s="120"/>
      <c r="W36" s="301"/>
      <c r="X36" s="301"/>
      <c r="Y36" s="301"/>
      <c r="Z36" s="301"/>
      <c r="AA36" s="301"/>
      <c r="AB36" s="301"/>
    </row>
    <row r="37" spans="1:28" s="318" customFormat="1" ht="14.25">
      <c r="A37" s="250"/>
      <c r="B37" s="251"/>
      <c r="C37" s="347" t="s">
        <v>135</v>
      </c>
      <c r="D37" s="250"/>
      <c r="E37" s="348"/>
      <c r="F37" s="349"/>
      <c r="G37" s="350"/>
      <c r="H37" s="350"/>
      <c r="I37" s="350"/>
      <c r="J37" s="351"/>
      <c r="K37" s="350"/>
      <c r="L37" s="350"/>
      <c r="M37" s="350"/>
      <c r="N37" s="352"/>
      <c r="O37" s="352"/>
      <c r="P37" s="352"/>
      <c r="Q37" s="352"/>
      <c r="R37" s="353"/>
      <c r="S37" s="15"/>
      <c r="T37" s="120"/>
      <c r="U37" s="301"/>
      <c r="V37" s="120"/>
      <c r="W37" s="301"/>
      <c r="X37" s="301"/>
      <c r="Y37" s="301"/>
      <c r="Z37" s="301"/>
      <c r="AA37" s="301"/>
      <c r="AB37" s="301"/>
    </row>
    <row r="38" spans="1:28" s="318" customFormat="1" ht="14.25">
      <c r="A38" s="250"/>
      <c r="B38" s="251"/>
      <c r="C38" s="347" t="s">
        <v>136</v>
      </c>
      <c r="D38" s="250"/>
      <c r="E38" s="348"/>
      <c r="F38" s="349"/>
      <c r="G38" s="350"/>
      <c r="H38" s="350"/>
      <c r="I38" s="350"/>
      <c r="J38" s="351"/>
      <c r="K38" s="350"/>
      <c r="L38" s="350"/>
      <c r="M38" s="350"/>
      <c r="N38" s="352"/>
      <c r="O38" s="352"/>
      <c r="P38" s="352"/>
      <c r="Q38" s="352"/>
      <c r="R38" s="353"/>
      <c r="S38" s="15"/>
      <c r="T38" s="120"/>
      <c r="U38" s="301"/>
      <c r="V38" s="120"/>
      <c r="W38" s="301"/>
      <c r="X38" s="301"/>
      <c r="Y38" s="301"/>
      <c r="Z38" s="301"/>
      <c r="AA38" s="301"/>
      <c r="AB38" s="301"/>
    </row>
    <row r="39" spans="1:28" s="318" customFormat="1" ht="14.25">
      <c r="A39" s="250"/>
      <c r="B39" s="251"/>
      <c r="C39" s="347" t="s">
        <v>137</v>
      </c>
      <c r="D39" s="250"/>
      <c r="E39" s="348"/>
      <c r="F39" s="349"/>
      <c r="G39" s="350"/>
      <c r="H39" s="350"/>
      <c r="I39" s="350"/>
      <c r="J39" s="351"/>
      <c r="K39" s="350"/>
      <c r="L39" s="350"/>
      <c r="M39" s="350"/>
      <c r="N39" s="352"/>
      <c r="O39" s="352"/>
      <c r="P39" s="352"/>
      <c r="Q39" s="352"/>
      <c r="R39" s="353"/>
      <c r="S39" s="15"/>
      <c r="T39" s="120"/>
      <c r="U39" s="301"/>
      <c r="V39" s="120"/>
      <c r="W39" s="301"/>
      <c r="X39" s="301"/>
      <c r="Y39" s="301"/>
      <c r="Z39" s="301"/>
      <c r="AA39" s="301"/>
      <c r="AB39" s="301"/>
    </row>
    <row r="40" spans="1:28" s="318" customFormat="1" ht="14.25">
      <c r="A40" s="250"/>
      <c r="B40" s="251"/>
      <c r="C40" s="347" t="s">
        <v>138</v>
      </c>
      <c r="D40" s="250"/>
      <c r="E40" s="348"/>
      <c r="F40" s="349"/>
      <c r="G40" s="350"/>
      <c r="H40" s="350"/>
      <c r="I40" s="350"/>
      <c r="J40" s="351"/>
      <c r="K40" s="350"/>
      <c r="L40" s="350"/>
      <c r="M40" s="350"/>
      <c r="N40" s="352"/>
      <c r="O40" s="352"/>
      <c r="P40" s="352"/>
      <c r="Q40" s="352"/>
      <c r="R40" s="353"/>
      <c r="S40" s="15"/>
      <c r="T40" s="120"/>
      <c r="U40" s="301"/>
      <c r="V40" s="120"/>
      <c r="W40" s="301"/>
      <c r="X40" s="301"/>
      <c r="Y40" s="301"/>
      <c r="Z40" s="301"/>
      <c r="AA40" s="301"/>
      <c r="AB40" s="301"/>
    </row>
    <row r="41" spans="1:28" s="318" customFormat="1" ht="14.25">
      <c r="A41" s="250"/>
      <c r="B41" s="251"/>
      <c r="C41" s="354" t="s">
        <v>139</v>
      </c>
      <c r="D41" s="250"/>
      <c r="E41" s="348"/>
      <c r="F41" s="349"/>
      <c r="G41" s="350"/>
      <c r="H41" s="350"/>
      <c r="I41" s="350"/>
      <c r="J41" s="351"/>
      <c r="K41" s="350"/>
      <c r="L41" s="350"/>
      <c r="M41" s="350"/>
      <c r="N41" s="352"/>
      <c r="O41" s="352"/>
      <c r="P41" s="352"/>
      <c r="Q41" s="352"/>
      <c r="R41" s="353"/>
      <c r="S41" s="15"/>
      <c r="T41" s="120"/>
      <c r="U41" s="301"/>
      <c r="V41" s="120"/>
      <c r="W41" s="301"/>
      <c r="X41" s="301"/>
      <c r="Y41" s="301"/>
      <c r="Z41" s="301"/>
      <c r="AA41" s="301"/>
      <c r="AB41" s="301"/>
    </row>
    <row r="42" spans="1:28" s="318" customFormat="1" ht="14.25">
      <c r="A42" s="250"/>
      <c r="B42" s="251"/>
      <c r="C42" s="354" t="s">
        <v>140</v>
      </c>
      <c r="D42" s="250"/>
      <c r="E42" s="204"/>
      <c r="F42" s="204"/>
      <c r="G42" s="204"/>
      <c r="H42" s="204"/>
      <c r="I42" s="204"/>
      <c r="J42" s="204"/>
      <c r="K42" s="204"/>
      <c r="L42" s="204"/>
      <c r="M42" s="204"/>
      <c r="N42" s="204"/>
      <c r="O42" s="204"/>
      <c r="P42" s="204"/>
      <c r="Q42" s="204"/>
      <c r="R42" s="355"/>
      <c r="S42" s="15"/>
      <c r="T42" s="120"/>
      <c r="U42" s="301"/>
      <c r="V42" s="120"/>
      <c r="W42" s="301"/>
      <c r="X42" s="301"/>
      <c r="Y42" s="301"/>
      <c r="Z42" s="301"/>
      <c r="AA42" s="301"/>
      <c r="AB42" s="301"/>
    </row>
    <row r="43" spans="1:28" s="318" customFormat="1" ht="14.25">
      <c r="A43" s="250"/>
      <c r="B43" s="251"/>
      <c r="C43" s="354" t="s">
        <v>141</v>
      </c>
      <c r="D43" s="250"/>
      <c r="E43" s="204"/>
      <c r="F43" s="204"/>
      <c r="G43" s="204"/>
      <c r="H43" s="204"/>
      <c r="I43" s="204"/>
      <c r="J43" s="204"/>
      <c r="K43" s="204"/>
      <c r="L43" s="204"/>
      <c r="M43" s="204"/>
      <c r="N43" s="204"/>
      <c r="O43" s="204"/>
      <c r="P43" s="204"/>
      <c r="Q43" s="204"/>
      <c r="R43" s="355"/>
      <c r="S43" s="15"/>
      <c r="T43" s="120"/>
      <c r="U43" s="301"/>
      <c r="V43" s="120"/>
      <c r="W43" s="301"/>
      <c r="X43" s="301"/>
      <c r="Y43" s="301"/>
      <c r="Z43" s="301"/>
      <c r="AA43" s="301"/>
      <c r="AB43" s="301"/>
    </row>
    <row r="44" spans="1:28" s="318" customFormat="1" ht="5.25" customHeight="1" thickBot="1">
      <c r="A44" s="250"/>
      <c r="B44" s="251"/>
      <c r="C44" s="356"/>
      <c r="D44" s="357"/>
      <c r="E44" s="358"/>
      <c r="F44" s="358"/>
      <c r="G44" s="358"/>
      <c r="H44" s="358"/>
      <c r="I44" s="358"/>
      <c r="J44" s="358"/>
      <c r="K44" s="358"/>
      <c r="L44" s="358"/>
      <c r="M44" s="358"/>
      <c r="N44" s="358"/>
      <c r="O44" s="358"/>
      <c r="P44" s="358"/>
      <c r="Q44" s="358"/>
      <c r="R44" s="359"/>
      <c r="S44" s="15"/>
      <c r="T44" s="120"/>
      <c r="U44" s="301"/>
      <c r="V44" s="120"/>
      <c r="W44" s="301"/>
      <c r="X44" s="301"/>
      <c r="Y44" s="301"/>
      <c r="Z44" s="301"/>
      <c r="AA44" s="301"/>
      <c r="AB44" s="301"/>
    </row>
    <row r="45" spans="1:28" s="318" customFormat="1" ht="4.5" customHeight="1">
      <c r="A45" s="250"/>
      <c r="B45" s="251"/>
      <c r="C45" s="360"/>
      <c r="D45" s="361"/>
      <c r="E45" s="362"/>
      <c r="F45" s="362"/>
      <c r="G45" s="362"/>
      <c r="H45" s="362"/>
      <c r="I45" s="362"/>
      <c r="J45" s="362"/>
      <c r="K45" s="362"/>
      <c r="L45" s="362"/>
      <c r="M45" s="362"/>
      <c r="N45" s="362"/>
      <c r="O45" s="362"/>
      <c r="P45" s="362"/>
      <c r="Q45" s="362"/>
      <c r="R45" s="363"/>
      <c r="S45" s="15"/>
      <c r="T45" s="120"/>
      <c r="U45" s="301"/>
      <c r="V45" s="120"/>
      <c r="W45" s="301"/>
      <c r="X45" s="301"/>
      <c r="Y45" s="301"/>
      <c r="Z45" s="301"/>
      <c r="AA45" s="301"/>
      <c r="AB45" s="301"/>
    </row>
    <row r="46" spans="1:28" s="318" customFormat="1" ht="17.25" customHeight="1">
      <c r="A46" s="250"/>
      <c r="B46" s="251"/>
      <c r="C46" s="364" t="s">
        <v>291</v>
      </c>
      <c r="D46" s="365"/>
      <c r="E46" s="366"/>
      <c r="F46" s="367"/>
      <c r="G46" s="367"/>
      <c r="H46" s="367"/>
      <c r="I46" s="367"/>
      <c r="J46" s="367"/>
      <c r="K46" s="367"/>
      <c r="L46" s="367"/>
      <c r="M46" s="367"/>
      <c r="N46" s="367"/>
      <c r="O46" s="367"/>
      <c r="P46" s="367"/>
      <c r="Q46" s="367"/>
      <c r="R46" s="368"/>
      <c r="S46" s="15"/>
      <c r="T46" s="120"/>
      <c r="U46" s="301"/>
      <c r="V46" s="120"/>
      <c r="W46" s="301"/>
      <c r="X46" s="301"/>
      <c r="Y46" s="301"/>
      <c r="Z46" s="301"/>
      <c r="AA46" s="301"/>
      <c r="AB46" s="301"/>
    </row>
    <row r="47" spans="1:28" s="318" customFormat="1" ht="17.25" customHeight="1">
      <c r="A47" s="250"/>
      <c r="B47" s="251"/>
      <c r="C47" s="364" t="s">
        <v>290</v>
      </c>
      <c r="D47" s="365"/>
      <c r="E47" s="366"/>
      <c r="F47" s="367"/>
      <c r="G47" s="367"/>
      <c r="H47" s="367"/>
      <c r="I47" s="367"/>
      <c r="J47" s="367"/>
      <c r="K47" s="367"/>
      <c r="L47" s="367"/>
      <c r="M47" s="367"/>
      <c r="N47" s="367"/>
      <c r="O47" s="367"/>
      <c r="P47" s="367"/>
      <c r="Q47" s="367"/>
      <c r="R47" s="368"/>
      <c r="S47" s="15"/>
      <c r="T47" s="120"/>
      <c r="U47" s="301"/>
      <c r="V47" s="120"/>
      <c r="W47" s="301"/>
      <c r="X47" s="301"/>
      <c r="Y47" s="301"/>
      <c r="Z47" s="301"/>
      <c r="AA47" s="301"/>
      <c r="AB47" s="301"/>
    </row>
    <row r="48" spans="1:28" s="318" customFormat="1" ht="17.25" customHeight="1">
      <c r="A48" s="250"/>
      <c r="B48" s="251"/>
      <c r="C48" s="364" t="s">
        <v>133</v>
      </c>
      <c r="D48" s="365"/>
      <c r="E48" s="366"/>
      <c r="F48" s="367"/>
      <c r="G48" s="367"/>
      <c r="H48" s="367"/>
      <c r="I48" s="367"/>
      <c r="J48" s="367"/>
      <c r="K48" s="367"/>
      <c r="L48" s="367"/>
      <c r="M48" s="367"/>
      <c r="N48" s="367"/>
      <c r="O48" s="367"/>
      <c r="P48" s="367"/>
      <c r="Q48" s="367"/>
      <c r="R48" s="368"/>
      <c r="S48" s="15"/>
      <c r="T48" s="120"/>
      <c r="U48" s="301"/>
      <c r="V48" s="120"/>
      <c r="W48" s="301"/>
      <c r="X48" s="301"/>
      <c r="Y48" s="301"/>
      <c r="Z48" s="301"/>
      <c r="AA48" s="301"/>
      <c r="AB48" s="301"/>
    </row>
    <row r="49" spans="1:28" s="318" customFormat="1" ht="17.25" customHeight="1">
      <c r="A49" s="250"/>
      <c r="B49" s="251"/>
      <c r="C49" s="364" t="s">
        <v>292</v>
      </c>
      <c r="D49" s="365"/>
      <c r="E49" s="366"/>
      <c r="F49" s="367"/>
      <c r="G49" s="367"/>
      <c r="H49" s="367"/>
      <c r="I49" s="367"/>
      <c r="J49" s="367"/>
      <c r="K49" s="367"/>
      <c r="L49" s="367"/>
      <c r="M49" s="367"/>
      <c r="N49" s="367"/>
      <c r="O49" s="367"/>
      <c r="P49" s="367"/>
      <c r="Q49" s="367"/>
      <c r="R49" s="368"/>
      <c r="S49" s="15"/>
      <c r="T49" s="120"/>
      <c r="U49" s="301"/>
      <c r="V49" s="120"/>
      <c r="W49" s="301"/>
      <c r="X49" s="301"/>
      <c r="Y49" s="301"/>
      <c r="Z49" s="301"/>
      <c r="AA49" s="301"/>
      <c r="AB49" s="301"/>
    </row>
    <row r="50" spans="1:28" s="318" customFormat="1" ht="17.25" customHeight="1">
      <c r="A50" s="250"/>
      <c r="B50" s="251"/>
      <c r="C50" s="364" t="s">
        <v>293</v>
      </c>
      <c r="D50" s="365"/>
      <c r="E50" s="366"/>
      <c r="F50" s="367"/>
      <c r="G50" s="367"/>
      <c r="H50" s="367"/>
      <c r="I50" s="367"/>
      <c r="J50" s="367"/>
      <c r="K50" s="367"/>
      <c r="L50" s="367"/>
      <c r="M50" s="367"/>
      <c r="N50" s="367"/>
      <c r="O50" s="367"/>
      <c r="P50" s="367"/>
      <c r="Q50" s="367"/>
      <c r="R50" s="368"/>
      <c r="S50" s="15"/>
      <c r="T50" s="120"/>
      <c r="U50" s="301"/>
      <c r="V50" s="120"/>
      <c r="W50" s="301"/>
      <c r="X50" s="301"/>
      <c r="Y50" s="301"/>
      <c r="Z50" s="301"/>
      <c r="AA50" s="301"/>
      <c r="AB50" s="301"/>
    </row>
    <row r="51" spans="1:28" s="318" customFormat="1" ht="17.25" customHeight="1">
      <c r="A51" s="250"/>
      <c r="B51" s="251"/>
      <c r="C51" s="364" t="s">
        <v>134</v>
      </c>
      <c r="D51" s="365"/>
      <c r="E51" s="366"/>
      <c r="F51" s="367"/>
      <c r="G51" s="367"/>
      <c r="H51" s="367"/>
      <c r="I51" s="367"/>
      <c r="J51" s="367"/>
      <c r="K51" s="367"/>
      <c r="L51" s="367"/>
      <c r="M51" s="367"/>
      <c r="N51" s="367"/>
      <c r="O51" s="367"/>
      <c r="P51" s="367"/>
      <c r="Q51" s="367"/>
      <c r="R51" s="368"/>
      <c r="S51" s="15"/>
      <c r="T51" s="120"/>
      <c r="U51" s="301"/>
      <c r="V51" s="120"/>
      <c r="W51" s="301"/>
      <c r="X51" s="301"/>
      <c r="Y51" s="301"/>
      <c r="Z51" s="301"/>
      <c r="AA51" s="301"/>
      <c r="AB51" s="301"/>
    </row>
    <row r="52" spans="1:28" s="318" customFormat="1" ht="17.25" customHeight="1">
      <c r="A52" s="250"/>
      <c r="B52" s="251"/>
      <c r="C52" s="364" t="s">
        <v>167</v>
      </c>
      <c r="D52" s="365"/>
      <c r="E52" s="366"/>
      <c r="F52" s="367"/>
      <c r="G52" s="367"/>
      <c r="H52" s="367"/>
      <c r="I52" s="367"/>
      <c r="J52" s="367"/>
      <c r="K52" s="367"/>
      <c r="L52" s="367"/>
      <c r="M52" s="367"/>
      <c r="N52" s="367"/>
      <c r="O52" s="367"/>
      <c r="P52" s="367"/>
      <c r="Q52" s="367"/>
      <c r="R52" s="368"/>
      <c r="S52" s="15"/>
      <c r="T52" s="120"/>
      <c r="U52" s="301"/>
      <c r="V52" s="120"/>
      <c r="W52" s="301"/>
      <c r="X52" s="301"/>
      <c r="Y52" s="301"/>
      <c r="Z52" s="301"/>
      <c r="AA52" s="301"/>
      <c r="AB52" s="301"/>
    </row>
    <row r="53" spans="1:28" s="318" customFormat="1" ht="17.25" customHeight="1">
      <c r="A53" s="250"/>
      <c r="B53" s="251"/>
      <c r="C53" s="364" t="s">
        <v>168</v>
      </c>
      <c r="D53" s="365"/>
      <c r="E53" s="366"/>
      <c r="F53" s="367"/>
      <c r="G53" s="367"/>
      <c r="H53" s="367"/>
      <c r="I53" s="367"/>
      <c r="J53" s="367"/>
      <c r="K53" s="367"/>
      <c r="L53" s="367"/>
      <c r="M53" s="367"/>
      <c r="N53" s="367"/>
      <c r="O53" s="367"/>
      <c r="P53" s="367"/>
      <c r="Q53" s="367"/>
      <c r="R53" s="368"/>
      <c r="S53" s="15"/>
      <c r="T53" s="120"/>
      <c r="U53" s="301"/>
      <c r="V53" s="120"/>
      <c r="W53" s="301"/>
      <c r="X53" s="301"/>
      <c r="Y53" s="301"/>
      <c r="Z53" s="301"/>
      <c r="AA53" s="301"/>
      <c r="AB53" s="301"/>
    </row>
    <row r="54" spans="1:28" s="318" customFormat="1" ht="17.25" customHeight="1">
      <c r="A54" s="250"/>
      <c r="B54" s="251"/>
      <c r="C54" s="364" t="s">
        <v>169</v>
      </c>
      <c r="D54" s="365"/>
      <c r="E54" s="366"/>
      <c r="F54" s="367"/>
      <c r="G54" s="367"/>
      <c r="H54" s="367"/>
      <c r="I54" s="367"/>
      <c r="J54" s="367"/>
      <c r="K54" s="367"/>
      <c r="L54" s="367"/>
      <c r="M54" s="367"/>
      <c r="N54" s="367"/>
      <c r="O54" s="367"/>
      <c r="P54" s="367"/>
      <c r="Q54" s="367"/>
      <c r="R54" s="368"/>
      <c r="S54" s="15"/>
      <c r="T54" s="120"/>
      <c r="U54" s="301"/>
      <c r="V54" s="120"/>
      <c r="W54" s="301"/>
      <c r="X54" s="301"/>
      <c r="Y54" s="301"/>
      <c r="Z54" s="301"/>
      <c r="AA54" s="301"/>
      <c r="AB54" s="301"/>
    </row>
    <row r="55" spans="1:28" s="318" customFormat="1" ht="17.25" customHeight="1">
      <c r="A55" s="250"/>
      <c r="B55" s="251"/>
      <c r="C55" s="364" t="s">
        <v>170</v>
      </c>
      <c r="D55" s="365"/>
      <c r="E55" s="366"/>
      <c r="F55" s="367"/>
      <c r="G55" s="367"/>
      <c r="H55" s="367"/>
      <c r="I55" s="367"/>
      <c r="J55" s="367"/>
      <c r="K55" s="367"/>
      <c r="L55" s="367"/>
      <c r="M55" s="367"/>
      <c r="N55" s="367"/>
      <c r="O55" s="367"/>
      <c r="P55" s="367"/>
      <c r="Q55" s="367"/>
      <c r="R55" s="368"/>
      <c r="S55" s="15"/>
      <c r="T55" s="120"/>
      <c r="U55" s="301"/>
      <c r="V55" s="120"/>
      <c r="W55" s="301"/>
      <c r="X55" s="301"/>
      <c r="Y55" s="301"/>
      <c r="Z55" s="301"/>
      <c r="AA55" s="301"/>
      <c r="AB55" s="301"/>
    </row>
    <row r="56" spans="1:28" s="318" customFormat="1" ht="17.25" customHeight="1">
      <c r="A56" s="250"/>
      <c r="B56" s="251"/>
      <c r="C56" s="364" t="s">
        <v>171</v>
      </c>
      <c r="D56" s="365"/>
      <c r="E56" s="366"/>
      <c r="F56" s="367"/>
      <c r="G56" s="367"/>
      <c r="H56" s="367"/>
      <c r="I56" s="367"/>
      <c r="J56" s="367"/>
      <c r="K56" s="367"/>
      <c r="L56" s="367"/>
      <c r="M56" s="367"/>
      <c r="N56" s="367"/>
      <c r="O56" s="367"/>
      <c r="P56" s="367"/>
      <c r="Q56" s="367"/>
      <c r="R56" s="368"/>
      <c r="S56" s="15"/>
      <c r="T56" s="120"/>
      <c r="U56" s="301"/>
      <c r="V56" s="120"/>
      <c r="W56" s="301"/>
      <c r="X56" s="301"/>
      <c r="Y56" s="301"/>
      <c r="Z56" s="301"/>
      <c r="AA56" s="301"/>
      <c r="AB56" s="301"/>
    </row>
    <row r="57" spans="1:28" s="318" customFormat="1" ht="17.25" customHeight="1">
      <c r="A57" s="250"/>
      <c r="B57" s="251"/>
      <c r="C57" s="364" t="s">
        <v>172</v>
      </c>
      <c r="D57" s="365"/>
      <c r="E57" s="366"/>
      <c r="F57" s="367"/>
      <c r="G57" s="367"/>
      <c r="H57" s="367"/>
      <c r="I57" s="367"/>
      <c r="J57" s="367"/>
      <c r="K57" s="367"/>
      <c r="L57" s="367"/>
      <c r="M57" s="367"/>
      <c r="N57" s="367"/>
      <c r="O57" s="367"/>
      <c r="P57" s="367"/>
      <c r="Q57" s="367"/>
      <c r="R57" s="368"/>
      <c r="S57" s="15"/>
      <c r="T57" s="120"/>
      <c r="U57" s="301"/>
      <c r="V57" s="120"/>
      <c r="W57" s="301"/>
      <c r="X57" s="301"/>
      <c r="Y57" s="301"/>
      <c r="Z57" s="301"/>
      <c r="AA57" s="301"/>
      <c r="AB57" s="301"/>
    </row>
    <row r="58" spans="1:28" s="318" customFormat="1" ht="6.75" customHeight="1" thickBot="1">
      <c r="A58" s="250"/>
      <c r="B58" s="251"/>
      <c r="C58" s="369"/>
      <c r="D58" s="370"/>
      <c r="E58" s="297"/>
      <c r="F58" s="297"/>
      <c r="G58" s="297"/>
      <c r="H58" s="297"/>
      <c r="I58" s="297"/>
      <c r="J58" s="297"/>
      <c r="K58" s="297"/>
      <c r="L58" s="297"/>
      <c r="M58" s="297"/>
      <c r="N58" s="297"/>
      <c r="O58" s="297"/>
      <c r="P58" s="297"/>
      <c r="Q58" s="297"/>
      <c r="R58" s="298"/>
      <c r="S58" s="15"/>
      <c r="T58" s="120"/>
      <c r="U58" s="301"/>
      <c r="V58" s="120"/>
      <c r="W58" s="301"/>
      <c r="X58" s="301"/>
      <c r="Y58" s="301"/>
      <c r="Z58" s="301"/>
      <c r="AA58" s="301"/>
      <c r="AB58" s="301"/>
    </row>
    <row r="59" spans="1:28" s="318" customFormat="1" ht="4.5" customHeight="1">
      <c r="A59" s="250"/>
      <c r="B59" s="251"/>
      <c r="C59" s="204"/>
      <c r="D59" s="204"/>
      <c r="E59" s="204"/>
      <c r="F59" s="204"/>
      <c r="G59" s="204"/>
      <c r="H59" s="204"/>
      <c r="I59" s="204"/>
      <c r="J59" s="204"/>
      <c r="K59" s="204"/>
      <c r="L59" s="204"/>
      <c r="M59" s="204"/>
      <c r="N59" s="204"/>
      <c r="O59" s="204"/>
      <c r="P59" s="204"/>
      <c r="Q59" s="204"/>
      <c r="R59" s="204"/>
      <c r="S59" s="15"/>
      <c r="T59" s="120"/>
      <c r="U59" s="301"/>
      <c r="V59" s="120"/>
      <c r="W59" s="301"/>
      <c r="X59" s="301"/>
      <c r="Y59" s="301"/>
      <c r="Z59" s="301"/>
      <c r="AA59" s="301"/>
      <c r="AB59" s="301"/>
    </row>
    <row r="60" spans="1:28" s="376" customFormat="1" ht="10.5" customHeight="1">
      <c r="A60" s="11"/>
      <c r="B60" s="163"/>
      <c r="C60" s="201"/>
      <c r="D60" s="201"/>
      <c r="E60" s="196"/>
      <c r="F60" s="371"/>
      <c r="G60" s="372"/>
      <c r="H60" s="373"/>
      <c r="I60" s="374"/>
      <c r="J60" s="374"/>
      <c r="K60" s="375"/>
      <c r="L60" s="375"/>
      <c r="M60" s="375"/>
      <c r="N60" s="375"/>
      <c r="O60" s="375"/>
      <c r="P60" s="375"/>
      <c r="Q60" s="375"/>
      <c r="R60" s="163"/>
      <c r="S60" s="305"/>
      <c r="T60" s="120"/>
      <c r="U60" s="301"/>
      <c r="V60" s="120"/>
      <c r="W60" s="301"/>
      <c r="X60" s="301"/>
      <c r="Y60" s="301"/>
      <c r="Z60" s="301"/>
      <c r="AA60" s="301"/>
      <c r="AB60" s="301"/>
    </row>
    <row r="61" spans="1:28" s="376" customFormat="1" ht="35.25" customHeight="1" thickBot="1">
      <c r="A61" s="11"/>
      <c r="B61" s="163"/>
      <c r="C61" s="201"/>
      <c r="D61" s="201"/>
      <c r="E61" s="196"/>
      <c r="F61" s="371"/>
      <c r="G61" s="372"/>
      <c r="H61" s="373"/>
      <c r="I61" s="374"/>
      <c r="J61" s="374"/>
      <c r="K61" s="375"/>
      <c r="L61" s="375"/>
      <c r="M61" s="375"/>
      <c r="N61" s="375"/>
      <c r="O61" s="375"/>
      <c r="P61" s="375"/>
      <c r="Q61" s="375"/>
      <c r="R61" s="163"/>
      <c r="S61" s="305"/>
      <c r="T61" s="120"/>
      <c r="U61" s="301"/>
      <c r="V61" s="120"/>
      <c r="W61" s="301"/>
      <c r="X61" s="301"/>
      <c r="Y61" s="301"/>
      <c r="Z61" s="301"/>
      <c r="AA61" s="301"/>
      <c r="AB61" s="301"/>
    </row>
    <row r="62" spans="1:28" s="376" customFormat="1" ht="19.5" customHeight="1" thickBot="1">
      <c r="A62" s="11"/>
      <c r="B62" s="163"/>
      <c r="C62" s="164" t="s">
        <v>159</v>
      </c>
      <c r="D62" s="182"/>
      <c r="E62" s="183"/>
      <c r="F62" s="182"/>
      <c r="G62" s="236"/>
      <c r="H62" s="182"/>
      <c r="I62" s="377"/>
      <c r="J62" s="237"/>
      <c r="K62" s="378" t="s">
        <v>160</v>
      </c>
      <c r="L62" s="182"/>
      <c r="M62" s="238"/>
      <c r="N62" s="1253" t="s">
        <v>163</v>
      </c>
      <c r="O62" s="1253"/>
      <c r="P62" s="1253"/>
      <c r="Q62" s="1253"/>
      <c r="R62" s="1254"/>
      <c r="S62" s="15"/>
      <c r="T62" s="120"/>
      <c r="U62" s="312" t="s">
        <v>160</v>
      </c>
      <c r="V62" s="120"/>
      <c r="W62" s="120"/>
      <c r="X62" s="875"/>
      <c r="Y62" s="875"/>
      <c r="Z62" s="875"/>
      <c r="AA62" s="875"/>
      <c r="AB62" s="875"/>
    </row>
    <row r="63" spans="1:28" s="376" customFormat="1" ht="19.5" customHeight="1" thickBot="1">
      <c r="A63" s="11"/>
      <c r="B63" s="163"/>
      <c r="C63" s="240">
        <f>IF(N62="変更なし","",IF(N83="変更なし",CONCATENATE("目標(計画)期間 ： 平成",O63,"年4月 ～ 平成",W10,"年3月"),CONCATENATE("目標(計画)期間 ： 平成",O63,"年4月 ～ 平成",O84,"年3月")))</f>
      </c>
      <c r="D63" s="241"/>
      <c r="E63" s="241"/>
      <c r="F63" s="242"/>
      <c r="G63" s="243"/>
      <c r="H63" s="244"/>
      <c r="I63" s="244"/>
      <c r="J63" s="245"/>
      <c r="K63" s="241" t="s">
        <v>149</v>
      </c>
      <c r="L63" s="379"/>
      <c r="M63" s="380"/>
      <c r="N63" s="381" t="s">
        <v>17</v>
      </c>
      <c r="O63" s="68"/>
      <c r="P63" s="382" t="s">
        <v>102</v>
      </c>
      <c r="Q63" s="383">
        <v>4</v>
      </c>
      <c r="R63" s="384" t="s">
        <v>143</v>
      </c>
      <c r="S63" s="15"/>
      <c r="T63" s="120"/>
      <c r="U63" s="312" t="s">
        <v>163</v>
      </c>
      <c r="V63" s="120"/>
      <c r="W63" s="120"/>
      <c r="X63" s="875"/>
      <c r="Y63" s="875"/>
      <c r="Z63" s="875"/>
      <c r="AA63" s="875"/>
      <c r="AB63" s="875"/>
    </row>
    <row r="64" spans="1:28" s="376" customFormat="1" ht="16.5" customHeight="1">
      <c r="A64" s="11"/>
      <c r="B64" s="163"/>
      <c r="C64" s="1273" t="s">
        <v>112</v>
      </c>
      <c r="D64" s="1274"/>
      <c r="E64" s="1274"/>
      <c r="F64" s="1274"/>
      <c r="G64" s="1275"/>
      <c r="H64" s="1276" t="s">
        <v>18</v>
      </c>
      <c r="I64" s="1277"/>
      <c r="J64" s="1277"/>
      <c r="K64" s="1255" t="s">
        <v>107</v>
      </c>
      <c r="L64" s="1256"/>
      <c r="M64" s="1256"/>
      <c r="N64" s="1278"/>
      <c r="O64" s="1255" t="s">
        <v>93</v>
      </c>
      <c r="P64" s="1256"/>
      <c r="Q64" s="1256"/>
      <c r="R64" s="1257"/>
      <c r="S64" s="15"/>
      <c r="T64" s="120"/>
      <c r="U64" s="312" t="s">
        <v>162</v>
      </c>
      <c r="V64" s="120"/>
      <c r="W64" s="120"/>
      <c r="X64" s="875"/>
      <c r="Y64" s="875"/>
      <c r="Z64" s="875"/>
      <c r="AA64" s="875"/>
      <c r="AB64" s="875"/>
    </row>
    <row r="65" spans="1:28" s="376" customFormat="1" ht="16.5" customHeight="1" thickBot="1">
      <c r="A65" s="11"/>
      <c r="B65" s="163"/>
      <c r="C65" s="385" t="s">
        <v>9</v>
      </c>
      <c r="D65" s="386"/>
      <c r="E65" s="386"/>
      <c r="F65" s="387" t="s">
        <v>10</v>
      </c>
      <c r="G65" s="387" t="s">
        <v>11</v>
      </c>
      <c r="H65" s="1229" t="s">
        <v>33</v>
      </c>
      <c r="I65" s="1230"/>
      <c r="J65" s="388" t="s">
        <v>109</v>
      </c>
      <c r="K65" s="1259"/>
      <c r="L65" s="1259"/>
      <c r="M65" s="1259"/>
      <c r="N65" s="1279"/>
      <c r="O65" s="1258"/>
      <c r="P65" s="1259"/>
      <c r="Q65" s="1259"/>
      <c r="R65" s="1260"/>
      <c r="S65" s="15"/>
      <c r="T65" s="120"/>
      <c r="U65" s="323" t="s">
        <v>194</v>
      </c>
      <c r="V65" s="120"/>
      <c r="W65" s="120"/>
      <c r="X65" s="875"/>
      <c r="Y65" s="875"/>
      <c r="Z65" s="875"/>
      <c r="AA65" s="875"/>
      <c r="AB65" s="875"/>
    </row>
    <row r="66" spans="1:28" s="376" customFormat="1" ht="16.5" customHeight="1">
      <c r="A66" s="11"/>
      <c r="B66" s="163"/>
      <c r="C66" s="1261" t="s">
        <v>97</v>
      </c>
      <c r="D66" s="1262"/>
      <c r="E66" s="1262"/>
      <c r="F66" s="389"/>
      <c r="G66" s="390" t="s">
        <v>150</v>
      </c>
      <c r="H66" s="1263">
        <f>H12</f>
        <v>9.76</v>
      </c>
      <c r="I66" s="1264"/>
      <c r="J66" s="391">
        <f aca="true" t="shared" si="2" ref="J66:J76">IF(J12="","",J12)</f>
      </c>
      <c r="K66" s="1265">
        <f aca="true" t="shared" si="3" ref="K66:N69">IF(U66=0,"",U66)</f>
      </c>
      <c r="L66" s="1266">
        <f t="shared" si="3"/>
      </c>
      <c r="M66" s="1266">
        <f t="shared" si="3"/>
      </c>
      <c r="N66" s="1267">
        <f t="shared" si="3"/>
      </c>
      <c r="O66" s="1268">
        <f aca="true" t="shared" si="4" ref="O66:O76">IF(K66="","",IF(J66="",H66*K66,J66*K66))</f>
      </c>
      <c r="P66" s="1269"/>
      <c r="Q66" s="1269"/>
      <c r="R66" s="1283"/>
      <c r="S66" s="15"/>
      <c r="T66" s="120"/>
      <c r="U66" s="326">
        <f>U12</f>
        <v>0</v>
      </c>
      <c r="V66" s="326">
        <f>IF(K66="",0,K66)</f>
        <v>0</v>
      </c>
      <c r="W66" s="120"/>
      <c r="X66" s="875"/>
      <c r="Y66" s="875"/>
      <c r="Z66" s="875"/>
      <c r="AA66" s="875"/>
      <c r="AB66" s="875"/>
    </row>
    <row r="67" spans="1:28" s="376" customFormat="1" ht="16.5" customHeight="1">
      <c r="A67" s="11"/>
      <c r="B67" s="163"/>
      <c r="C67" s="1221"/>
      <c r="D67" s="1222"/>
      <c r="E67" s="1222"/>
      <c r="F67" s="392" t="s">
        <v>147</v>
      </c>
      <c r="G67" s="393" t="s">
        <v>126</v>
      </c>
      <c r="H67" s="1271">
        <f>H13</f>
        <v>9.97</v>
      </c>
      <c r="I67" s="1272"/>
      <c r="J67" s="394">
        <f t="shared" si="2"/>
      </c>
      <c r="K67" s="1239">
        <f t="shared" si="3"/>
      </c>
      <c r="L67" s="1240">
        <f t="shared" si="3"/>
      </c>
      <c r="M67" s="1240">
        <f t="shared" si="3"/>
      </c>
      <c r="N67" s="1241">
        <f t="shared" si="3"/>
      </c>
      <c r="O67" s="1242">
        <f t="shared" si="4"/>
      </c>
      <c r="P67" s="1243"/>
      <c r="Q67" s="1243"/>
      <c r="R67" s="1244"/>
      <c r="S67" s="15"/>
      <c r="T67" s="120"/>
      <c r="U67" s="326">
        <f aca="true" t="shared" si="5" ref="U67:U79">U13</f>
        <v>0</v>
      </c>
      <c r="V67" s="326">
        <f aca="true" t="shared" si="6" ref="V67:V79">IF(K67="",0,K67)</f>
        <v>0</v>
      </c>
      <c r="W67" s="120"/>
      <c r="X67" s="875"/>
      <c r="Y67" s="875"/>
      <c r="Z67" s="875"/>
      <c r="AA67" s="875"/>
      <c r="AB67" s="875"/>
    </row>
    <row r="68" spans="1:28" s="376" customFormat="1" ht="16.5" customHeight="1">
      <c r="A68" s="11"/>
      <c r="B68" s="163"/>
      <c r="C68" s="1224"/>
      <c r="D68" s="1225"/>
      <c r="E68" s="1225"/>
      <c r="F68" s="395" t="s">
        <v>148</v>
      </c>
      <c r="G68" s="396" t="s">
        <v>151</v>
      </c>
      <c r="H68" s="1245">
        <f aca="true" t="shared" si="7" ref="H68:H79">H14</f>
        <v>9.28</v>
      </c>
      <c r="I68" s="1246"/>
      <c r="J68" s="397">
        <f t="shared" si="2"/>
      </c>
      <c r="K68" s="1247">
        <f t="shared" si="3"/>
      </c>
      <c r="L68" s="1248">
        <f t="shared" si="3"/>
      </c>
      <c r="M68" s="1248">
        <f t="shared" si="3"/>
      </c>
      <c r="N68" s="1249">
        <f t="shared" si="3"/>
      </c>
      <c r="O68" s="1250">
        <f t="shared" si="4"/>
      </c>
      <c r="P68" s="1251"/>
      <c r="Q68" s="1251"/>
      <c r="R68" s="1252"/>
      <c r="S68" s="15"/>
      <c r="T68" s="120"/>
      <c r="U68" s="326">
        <f t="shared" si="5"/>
        <v>0</v>
      </c>
      <c r="V68" s="326">
        <f t="shared" si="6"/>
        <v>0</v>
      </c>
      <c r="W68" s="120"/>
      <c r="X68" s="875"/>
      <c r="Y68" s="875"/>
      <c r="Z68" s="875"/>
      <c r="AA68" s="875"/>
      <c r="AB68" s="875"/>
    </row>
    <row r="69" spans="1:28" s="376" customFormat="1" ht="16.5" customHeight="1">
      <c r="A69" s="11"/>
      <c r="B69" s="163"/>
      <c r="C69" s="398" t="s">
        <v>98</v>
      </c>
      <c r="D69" s="399"/>
      <c r="E69" s="399"/>
      <c r="F69" s="400" t="s">
        <v>317</v>
      </c>
      <c r="G69" s="401" t="s">
        <v>129</v>
      </c>
      <c r="H69" s="1196">
        <f t="shared" si="7"/>
        <v>41.1</v>
      </c>
      <c r="I69" s="1197"/>
      <c r="J69" s="402">
        <f t="shared" si="2"/>
      </c>
      <c r="K69" s="1198">
        <f t="shared" si="3"/>
      </c>
      <c r="L69" s="1199">
        <f t="shared" si="3"/>
      </c>
      <c r="M69" s="1199">
        <f t="shared" si="3"/>
      </c>
      <c r="N69" s="1200">
        <f t="shared" si="3"/>
      </c>
      <c r="O69" s="1204">
        <f t="shared" si="4"/>
      </c>
      <c r="P69" s="1205"/>
      <c r="Q69" s="1205"/>
      <c r="R69" s="1206"/>
      <c r="S69" s="15"/>
      <c r="T69" s="120"/>
      <c r="U69" s="326">
        <f t="shared" si="5"/>
        <v>0</v>
      </c>
      <c r="V69" s="326">
        <f t="shared" si="6"/>
        <v>0</v>
      </c>
      <c r="W69" s="120"/>
      <c r="X69" s="875"/>
      <c r="Y69" s="875"/>
      <c r="Z69" s="875"/>
      <c r="AA69" s="875"/>
      <c r="AB69" s="875"/>
    </row>
    <row r="70" spans="1:28" s="376" customFormat="1" ht="16.5" customHeight="1">
      <c r="A70" s="11"/>
      <c r="B70" s="163"/>
      <c r="C70" s="403" t="s">
        <v>152</v>
      </c>
      <c r="D70" s="404"/>
      <c r="E70" s="404"/>
      <c r="F70" s="405"/>
      <c r="G70" s="401" t="s">
        <v>153</v>
      </c>
      <c r="H70" s="1196">
        <f t="shared" si="7"/>
        <v>50.2</v>
      </c>
      <c r="I70" s="1197"/>
      <c r="J70" s="402">
        <f t="shared" si="2"/>
      </c>
      <c r="K70" s="1198">
        <f aca="true" t="shared" si="8" ref="K70:N79">IF(U70=0,"",U70)</f>
      </c>
      <c r="L70" s="1199">
        <f t="shared" si="8"/>
      </c>
      <c r="M70" s="1199">
        <f t="shared" si="8"/>
      </c>
      <c r="N70" s="1200">
        <f t="shared" si="8"/>
      </c>
      <c r="O70" s="1204">
        <f t="shared" si="4"/>
      </c>
      <c r="P70" s="1205"/>
      <c r="Q70" s="1205"/>
      <c r="R70" s="1206"/>
      <c r="S70" s="15"/>
      <c r="T70" s="120"/>
      <c r="U70" s="326">
        <f t="shared" si="5"/>
        <v>0</v>
      </c>
      <c r="V70" s="326">
        <f t="shared" si="6"/>
        <v>0</v>
      </c>
      <c r="W70" s="120"/>
      <c r="X70" s="875"/>
      <c r="Y70" s="875"/>
      <c r="Z70" s="875"/>
      <c r="AA70" s="875"/>
      <c r="AB70" s="875"/>
    </row>
    <row r="71" spans="1:28" s="376" customFormat="1" ht="16.5" customHeight="1">
      <c r="A71" s="11"/>
      <c r="B71" s="163"/>
      <c r="C71" s="398" t="s">
        <v>99</v>
      </c>
      <c r="D71" s="399"/>
      <c r="E71" s="399"/>
      <c r="F71" s="405"/>
      <c r="G71" s="401" t="s">
        <v>154</v>
      </c>
      <c r="H71" s="1196">
        <f t="shared" si="7"/>
        <v>36.7</v>
      </c>
      <c r="I71" s="1197"/>
      <c r="J71" s="402">
        <f t="shared" si="2"/>
      </c>
      <c r="K71" s="1198">
        <f t="shared" si="8"/>
      </c>
      <c r="L71" s="1199">
        <f t="shared" si="8"/>
      </c>
      <c r="M71" s="1199">
        <f t="shared" si="8"/>
      </c>
      <c r="N71" s="1200">
        <f t="shared" si="8"/>
      </c>
      <c r="O71" s="1204">
        <f t="shared" si="4"/>
      </c>
      <c r="P71" s="1205"/>
      <c r="Q71" s="1205"/>
      <c r="R71" s="1206"/>
      <c r="S71" s="15"/>
      <c r="T71" s="120"/>
      <c r="U71" s="326">
        <f t="shared" si="5"/>
        <v>0</v>
      </c>
      <c r="V71" s="326">
        <f t="shared" si="6"/>
        <v>0</v>
      </c>
      <c r="W71" s="120"/>
      <c r="X71" s="875"/>
      <c r="Y71" s="875"/>
      <c r="Z71" s="875"/>
      <c r="AA71" s="875"/>
      <c r="AB71" s="875"/>
    </row>
    <row r="72" spans="1:28" s="376" customFormat="1" ht="16.5" customHeight="1">
      <c r="A72" s="11"/>
      <c r="B72" s="163"/>
      <c r="C72" s="1218" t="s">
        <v>100</v>
      </c>
      <c r="D72" s="1219"/>
      <c r="E72" s="1220"/>
      <c r="F72" s="406" t="s">
        <v>110</v>
      </c>
      <c r="G72" s="407" t="s">
        <v>155</v>
      </c>
      <c r="H72" s="1196">
        <f t="shared" si="7"/>
        <v>39.1</v>
      </c>
      <c r="I72" s="1197"/>
      <c r="J72" s="402">
        <f t="shared" si="2"/>
      </c>
      <c r="K72" s="1198">
        <f t="shared" si="8"/>
      </c>
      <c r="L72" s="1199">
        <f t="shared" si="8"/>
      </c>
      <c r="M72" s="1199">
        <f t="shared" si="8"/>
      </c>
      <c r="N72" s="1200">
        <f t="shared" si="8"/>
      </c>
      <c r="O72" s="1204">
        <f t="shared" si="4"/>
      </c>
      <c r="P72" s="1205"/>
      <c r="Q72" s="1205"/>
      <c r="R72" s="1206"/>
      <c r="S72" s="15"/>
      <c r="T72" s="120"/>
      <c r="U72" s="326">
        <f t="shared" si="5"/>
        <v>0</v>
      </c>
      <c r="V72" s="326">
        <f t="shared" si="6"/>
        <v>0</v>
      </c>
      <c r="W72" s="120"/>
      <c r="X72" s="875"/>
      <c r="Y72" s="875"/>
      <c r="Z72" s="875"/>
      <c r="AA72" s="875"/>
      <c r="AB72" s="875"/>
    </row>
    <row r="73" spans="1:28" s="376" customFormat="1" ht="16.5" customHeight="1">
      <c r="A73" s="11"/>
      <c r="B73" s="163"/>
      <c r="C73" s="1224"/>
      <c r="D73" s="1225"/>
      <c r="E73" s="1226"/>
      <c r="F73" s="406" t="s">
        <v>111</v>
      </c>
      <c r="G73" s="407" t="s">
        <v>155</v>
      </c>
      <c r="H73" s="1196">
        <f t="shared" si="7"/>
        <v>41.7</v>
      </c>
      <c r="I73" s="1197"/>
      <c r="J73" s="402">
        <f t="shared" si="2"/>
      </c>
      <c r="K73" s="1198">
        <f t="shared" si="8"/>
      </c>
      <c r="L73" s="1199">
        <f t="shared" si="8"/>
      </c>
      <c r="M73" s="1199">
        <f t="shared" si="8"/>
      </c>
      <c r="N73" s="1200">
        <f t="shared" si="8"/>
      </c>
      <c r="O73" s="1204">
        <f t="shared" si="4"/>
      </c>
      <c r="P73" s="1205"/>
      <c r="Q73" s="1205"/>
      <c r="R73" s="1206"/>
      <c r="S73" s="15"/>
      <c r="T73" s="120"/>
      <c r="U73" s="326">
        <f t="shared" si="5"/>
        <v>0</v>
      </c>
      <c r="V73" s="326">
        <f t="shared" si="6"/>
        <v>0</v>
      </c>
      <c r="W73" s="120"/>
      <c r="X73" s="875"/>
      <c r="Y73" s="875"/>
      <c r="Z73" s="875"/>
      <c r="AA73" s="875"/>
      <c r="AB73" s="875"/>
    </row>
    <row r="74" spans="1:28" s="376" customFormat="1" ht="16.5" customHeight="1">
      <c r="A74" s="11"/>
      <c r="B74" s="163"/>
      <c r="C74" s="1218" t="s">
        <v>101</v>
      </c>
      <c r="D74" s="1219"/>
      <c r="E74" s="1220"/>
      <c r="F74" s="406" t="s">
        <v>12</v>
      </c>
      <c r="G74" s="407" t="s">
        <v>156</v>
      </c>
      <c r="H74" s="1227">
        <f t="shared" si="7"/>
        <v>1.36</v>
      </c>
      <c r="I74" s="1228"/>
      <c r="J74" s="402">
        <f t="shared" si="2"/>
      </c>
      <c r="K74" s="1198">
        <f t="shared" si="8"/>
      </c>
      <c r="L74" s="1199">
        <f t="shared" si="8"/>
      </c>
      <c r="M74" s="1199">
        <f t="shared" si="8"/>
      </c>
      <c r="N74" s="1200">
        <f t="shared" si="8"/>
      </c>
      <c r="O74" s="1204">
        <f t="shared" si="4"/>
      </c>
      <c r="P74" s="1205"/>
      <c r="Q74" s="1205"/>
      <c r="R74" s="1206"/>
      <c r="S74" s="15"/>
      <c r="T74" s="120"/>
      <c r="U74" s="326">
        <f t="shared" si="5"/>
        <v>0</v>
      </c>
      <c r="V74" s="326">
        <f t="shared" si="6"/>
        <v>0</v>
      </c>
      <c r="W74" s="120"/>
      <c r="X74" s="875"/>
      <c r="Y74" s="875"/>
      <c r="Z74" s="875"/>
      <c r="AA74" s="875"/>
      <c r="AB74" s="875"/>
    </row>
    <row r="75" spans="1:28" s="376" customFormat="1" ht="16.5" customHeight="1">
      <c r="A75" s="11"/>
      <c r="B75" s="163"/>
      <c r="C75" s="1221"/>
      <c r="D75" s="1222"/>
      <c r="E75" s="1223"/>
      <c r="F75" s="406" t="s">
        <v>13</v>
      </c>
      <c r="G75" s="407" t="s">
        <v>83</v>
      </c>
      <c r="H75" s="1227">
        <f t="shared" si="7"/>
        <v>1.36</v>
      </c>
      <c r="I75" s="1228"/>
      <c r="J75" s="402">
        <f t="shared" si="2"/>
      </c>
      <c r="K75" s="1198">
        <f t="shared" si="8"/>
      </c>
      <c r="L75" s="1199">
        <f t="shared" si="8"/>
      </c>
      <c r="M75" s="1199">
        <f t="shared" si="8"/>
      </c>
      <c r="N75" s="1200">
        <f t="shared" si="8"/>
      </c>
      <c r="O75" s="1204">
        <f t="shared" si="4"/>
      </c>
      <c r="P75" s="1205"/>
      <c r="Q75" s="1205"/>
      <c r="R75" s="1206"/>
      <c r="S75" s="15"/>
      <c r="T75" s="120"/>
      <c r="U75" s="326">
        <f t="shared" si="5"/>
        <v>0</v>
      </c>
      <c r="V75" s="326">
        <f t="shared" si="6"/>
        <v>0</v>
      </c>
      <c r="W75" s="120"/>
      <c r="X75" s="875"/>
      <c r="Y75" s="875"/>
      <c r="Z75" s="875"/>
      <c r="AA75" s="875"/>
      <c r="AB75" s="875"/>
    </row>
    <row r="76" spans="1:28" s="376" customFormat="1" ht="16.5" customHeight="1">
      <c r="A76" s="11"/>
      <c r="B76" s="163"/>
      <c r="C76" s="1224"/>
      <c r="D76" s="1225"/>
      <c r="E76" s="1226"/>
      <c r="F76" s="408" t="s">
        <v>14</v>
      </c>
      <c r="G76" s="407" t="s">
        <v>157</v>
      </c>
      <c r="H76" s="1227">
        <f t="shared" si="7"/>
        <v>1.36</v>
      </c>
      <c r="I76" s="1228"/>
      <c r="J76" s="402">
        <f t="shared" si="2"/>
      </c>
      <c r="K76" s="1198">
        <f t="shared" si="8"/>
      </c>
      <c r="L76" s="1199">
        <f t="shared" si="8"/>
      </c>
      <c r="M76" s="1199">
        <f t="shared" si="8"/>
      </c>
      <c r="N76" s="1200">
        <f t="shared" si="8"/>
      </c>
      <c r="O76" s="1204">
        <f t="shared" si="4"/>
      </c>
      <c r="P76" s="1205"/>
      <c r="Q76" s="1205"/>
      <c r="R76" s="1206"/>
      <c r="S76" s="15"/>
      <c r="T76" s="120"/>
      <c r="U76" s="326">
        <f t="shared" si="5"/>
        <v>0</v>
      </c>
      <c r="V76" s="326">
        <f t="shared" si="6"/>
        <v>0</v>
      </c>
      <c r="W76" s="120"/>
      <c r="X76" s="875"/>
      <c r="Y76" s="875"/>
      <c r="Z76" s="875"/>
      <c r="AA76" s="875"/>
      <c r="AB76" s="875"/>
    </row>
    <row r="77" spans="1:28" s="376" customFormat="1" ht="16.5" customHeight="1">
      <c r="A77" s="11"/>
      <c r="B77" s="163"/>
      <c r="C77" s="1207" t="s">
        <v>164</v>
      </c>
      <c r="D77" s="1210">
        <f>IF(D23="","",D23)</f>
      </c>
      <c r="E77" s="1211"/>
      <c r="F77" s="647">
        <f aca="true" t="shared" si="9" ref="F77:G79">IF(F23="","",F23)</f>
      </c>
      <c r="G77" s="647">
        <f t="shared" si="9"/>
      </c>
      <c r="H77" s="1216" t="str">
        <f t="shared" si="7"/>
        <v>-</v>
      </c>
      <c r="I77" s="1217"/>
      <c r="J77" s="646">
        <f>IF(J23="","",J23)</f>
      </c>
      <c r="K77" s="1198">
        <f t="shared" si="8"/>
      </c>
      <c r="L77" s="1199">
        <f t="shared" si="8"/>
      </c>
      <c r="M77" s="1199">
        <f t="shared" si="8"/>
      </c>
      <c r="N77" s="1200">
        <f t="shared" si="8"/>
      </c>
      <c r="O77" s="1204">
        <f>IF(K77="","",IF(J77="",H77*K77,J77*K77))</f>
      </c>
      <c r="P77" s="1205"/>
      <c r="Q77" s="1205"/>
      <c r="R77" s="1206"/>
      <c r="S77" s="15"/>
      <c r="T77" s="120"/>
      <c r="U77" s="326">
        <f t="shared" si="5"/>
        <v>0</v>
      </c>
      <c r="V77" s="326">
        <f t="shared" si="6"/>
        <v>0</v>
      </c>
      <c r="W77" s="120"/>
      <c r="X77" s="206"/>
      <c r="Y77" s="875"/>
      <c r="Z77" s="206"/>
      <c r="AA77" s="206"/>
      <c r="AB77" s="875"/>
    </row>
    <row r="78" spans="1:28" s="376" customFormat="1" ht="16.5" customHeight="1">
      <c r="A78" s="11"/>
      <c r="B78" s="163"/>
      <c r="C78" s="1208"/>
      <c r="D78" s="1210">
        <f>IF(D24="","",D24)</f>
      </c>
      <c r="E78" s="1211"/>
      <c r="F78" s="647">
        <f t="shared" si="9"/>
      </c>
      <c r="G78" s="647">
        <f t="shared" si="9"/>
      </c>
      <c r="H78" s="1216" t="str">
        <f t="shared" si="7"/>
        <v>-</v>
      </c>
      <c r="I78" s="1217"/>
      <c r="J78" s="646">
        <f>IF(J24="","",J24)</f>
      </c>
      <c r="K78" s="1198">
        <f t="shared" si="8"/>
      </c>
      <c r="L78" s="1199">
        <f t="shared" si="8"/>
      </c>
      <c r="M78" s="1199">
        <f t="shared" si="8"/>
      </c>
      <c r="N78" s="1200">
        <f t="shared" si="8"/>
      </c>
      <c r="O78" s="1204">
        <f>IF(K78="","",IF(J78="",H78*K78,J78*K78))</f>
      </c>
      <c r="P78" s="1205"/>
      <c r="Q78" s="1205"/>
      <c r="R78" s="1206"/>
      <c r="S78" s="15"/>
      <c r="T78" s="120"/>
      <c r="U78" s="326">
        <f t="shared" si="5"/>
        <v>0</v>
      </c>
      <c r="V78" s="326">
        <f t="shared" si="6"/>
        <v>0</v>
      </c>
      <c r="W78" s="120"/>
      <c r="X78" s="206"/>
      <c r="Y78" s="875"/>
      <c r="Z78" s="206"/>
      <c r="AA78" s="206"/>
      <c r="AB78" s="875"/>
    </row>
    <row r="79" spans="1:28" s="376" customFormat="1" ht="16.5" customHeight="1" thickBot="1">
      <c r="A79" s="11"/>
      <c r="B79" s="163"/>
      <c r="C79" s="1209"/>
      <c r="D79" s="1210">
        <f>IF(D25="","",D25)</f>
      </c>
      <c r="E79" s="1211"/>
      <c r="F79" s="647">
        <f t="shared" si="9"/>
      </c>
      <c r="G79" s="647">
        <f t="shared" si="9"/>
      </c>
      <c r="H79" s="1234" t="str">
        <f t="shared" si="7"/>
        <v>-</v>
      </c>
      <c r="I79" s="1235"/>
      <c r="J79" s="646">
        <f>IF(J25="","",J25)</f>
      </c>
      <c r="K79" s="1236">
        <f t="shared" si="8"/>
      </c>
      <c r="L79" s="1237">
        <f t="shared" si="8"/>
      </c>
      <c r="M79" s="1237">
        <f t="shared" si="8"/>
      </c>
      <c r="N79" s="1238">
        <f t="shared" si="8"/>
      </c>
      <c r="O79" s="1231">
        <f>IF(K79="","",IF(J79="",H79*K79,J79*K79))</f>
      </c>
      <c r="P79" s="1232"/>
      <c r="Q79" s="1232"/>
      <c r="R79" s="1233"/>
      <c r="S79" s="15"/>
      <c r="T79" s="120"/>
      <c r="U79" s="326">
        <f t="shared" si="5"/>
        <v>0</v>
      </c>
      <c r="V79" s="326">
        <f t="shared" si="6"/>
        <v>0</v>
      </c>
      <c r="W79" s="120"/>
      <c r="X79" s="206"/>
      <c r="Y79" s="875"/>
      <c r="Z79" s="206"/>
      <c r="AA79" s="206"/>
      <c r="AB79" s="875"/>
    </row>
    <row r="80" spans="1:28" s="376" customFormat="1" ht="16.5" customHeight="1" thickBot="1" thickTop="1">
      <c r="A80" s="11"/>
      <c r="B80" s="163"/>
      <c r="C80" s="1280" t="s">
        <v>158</v>
      </c>
      <c r="D80" s="1281"/>
      <c r="E80" s="1281"/>
      <c r="F80" s="1281"/>
      <c r="G80" s="1281"/>
      <c r="H80" s="1281"/>
      <c r="I80" s="1281"/>
      <c r="J80" s="1281"/>
      <c r="K80" s="1281"/>
      <c r="L80" s="1281"/>
      <c r="M80" s="1281"/>
      <c r="N80" s="1282"/>
      <c r="O80" s="1201">
        <f>IF(SUM(O66:R79)=0,"",SUM(O66:R79))</f>
      </c>
      <c r="P80" s="1202"/>
      <c r="Q80" s="1202"/>
      <c r="R80" s="1203"/>
      <c r="S80" s="15"/>
      <c r="T80" s="120"/>
      <c r="U80" s="301"/>
      <c r="V80" s="326">
        <f>IF(O80="",0,O80)</f>
        <v>0</v>
      </c>
      <c r="W80" s="120"/>
      <c r="X80" s="875"/>
      <c r="Y80" s="875"/>
      <c r="Z80" s="875"/>
      <c r="AA80" s="875"/>
      <c r="AB80" s="875"/>
    </row>
    <row r="81" spans="1:28" s="376" customFormat="1" ht="51" customHeight="1" thickBot="1">
      <c r="A81" s="11"/>
      <c r="B81" s="163"/>
      <c r="C81" s="1360" t="s">
        <v>195</v>
      </c>
      <c r="D81" s="1363"/>
      <c r="E81" s="1362" t="s">
        <v>299</v>
      </c>
      <c r="F81" s="1291"/>
      <c r="G81" s="1291"/>
      <c r="H81" s="1291"/>
      <c r="I81" s="1291"/>
      <c r="J81" s="1291"/>
      <c r="K81" s="1291"/>
      <c r="L81" s="1291"/>
      <c r="M81" s="1291"/>
      <c r="N81" s="1291"/>
      <c r="O81" s="1291"/>
      <c r="P81" s="1291"/>
      <c r="Q81" s="1291"/>
      <c r="R81" s="1292"/>
      <c r="S81" s="15"/>
      <c r="T81" s="120"/>
      <c r="U81" s="301"/>
      <c r="V81" s="120"/>
      <c r="W81" s="301"/>
      <c r="X81" s="876"/>
      <c r="Y81" s="876"/>
      <c r="Z81" s="876"/>
      <c r="AA81" s="876"/>
      <c r="AB81" s="876"/>
    </row>
    <row r="82" spans="1:28" s="376" customFormat="1" ht="35.25" customHeight="1" thickBot="1">
      <c r="A82" s="11"/>
      <c r="B82" s="163"/>
      <c r="C82" s="201"/>
      <c r="D82" s="201"/>
      <c r="E82" s="196"/>
      <c r="F82" s="371"/>
      <c r="G82" s="372"/>
      <c r="H82" s="373"/>
      <c r="I82" s="374"/>
      <c r="J82" s="374"/>
      <c r="K82" s="375"/>
      <c r="L82" s="375"/>
      <c r="M82" s="375"/>
      <c r="N82" s="375"/>
      <c r="O82" s="375"/>
      <c r="P82" s="375"/>
      <c r="Q82" s="375"/>
      <c r="R82" s="163"/>
      <c r="S82" s="15"/>
      <c r="T82" s="120"/>
      <c r="U82" s="301"/>
      <c r="V82" s="120"/>
      <c r="W82" s="301"/>
      <c r="X82" s="876"/>
      <c r="Y82" s="876"/>
      <c r="Z82" s="876"/>
      <c r="AA82" s="876"/>
      <c r="AB82" s="876"/>
    </row>
    <row r="83" spans="1:28" s="376" customFormat="1" ht="19.5" customHeight="1" thickBot="1">
      <c r="A83" s="11"/>
      <c r="B83" s="163"/>
      <c r="C83" s="164" t="s">
        <v>165</v>
      </c>
      <c r="D83" s="182"/>
      <c r="E83" s="183"/>
      <c r="F83" s="182"/>
      <c r="G83" s="236"/>
      <c r="H83" s="182"/>
      <c r="I83" s="377"/>
      <c r="J83" s="237"/>
      <c r="K83" s="378" t="s">
        <v>160</v>
      </c>
      <c r="L83" s="182"/>
      <c r="M83" s="238"/>
      <c r="N83" s="1253" t="s">
        <v>163</v>
      </c>
      <c r="O83" s="1253"/>
      <c r="P83" s="1253"/>
      <c r="Q83" s="1253"/>
      <c r="R83" s="1254"/>
      <c r="S83" s="15"/>
      <c r="T83" s="120"/>
      <c r="U83" s="301"/>
      <c r="V83" s="120" t="s">
        <v>161</v>
      </c>
      <c r="W83" s="312"/>
      <c r="X83" s="876"/>
      <c r="Y83" s="876"/>
      <c r="Z83" s="876"/>
      <c r="AA83" s="876"/>
      <c r="AB83" s="876"/>
    </row>
    <row r="84" spans="1:28" s="376" customFormat="1" ht="19.5" customHeight="1" thickBot="1">
      <c r="A84" s="11"/>
      <c r="B84" s="163"/>
      <c r="C84" s="240">
        <f>IF(N83="変更なし","",IF(N104="変更なし",CONCATENATE("目標(計画)期間 ： 平成",O84,"年4月 ～ 平成",W10,"年3月"),CONCATENATE("目標(計画)期間 ： 平成",O84,"年4月 ～ 平成",O105,"年3月")))</f>
      </c>
      <c r="D84" s="241"/>
      <c r="E84" s="241"/>
      <c r="F84" s="242"/>
      <c r="G84" s="243"/>
      <c r="H84" s="244"/>
      <c r="I84" s="244"/>
      <c r="J84" s="245"/>
      <c r="K84" s="241" t="s">
        <v>149</v>
      </c>
      <c r="L84" s="379"/>
      <c r="M84" s="380"/>
      <c r="N84" s="381" t="s">
        <v>17</v>
      </c>
      <c r="O84" s="68">
        <v>29</v>
      </c>
      <c r="P84" s="382" t="s">
        <v>102</v>
      </c>
      <c r="Q84" s="383">
        <v>4</v>
      </c>
      <c r="R84" s="384" t="s">
        <v>143</v>
      </c>
      <c r="S84" s="15"/>
      <c r="T84" s="120"/>
      <c r="U84" s="301"/>
      <c r="V84" s="120" t="s">
        <v>261</v>
      </c>
      <c r="W84" s="316">
        <f>IF(N83="変更なし",0,O84)</f>
        <v>0</v>
      </c>
      <c r="X84" s="876"/>
      <c r="Y84" s="876"/>
      <c r="Z84" s="876"/>
      <c r="AA84" s="876"/>
      <c r="AB84" s="876"/>
    </row>
    <row r="85" spans="1:28" s="376" customFormat="1" ht="16.5" customHeight="1">
      <c r="A85" s="11"/>
      <c r="B85" s="163"/>
      <c r="C85" s="1273" t="s">
        <v>112</v>
      </c>
      <c r="D85" s="1274"/>
      <c r="E85" s="1274"/>
      <c r="F85" s="1274"/>
      <c r="G85" s="1275"/>
      <c r="H85" s="1276" t="s">
        <v>18</v>
      </c>
      <c r="I85" s="1277"/>
      <c r="J85" s="1277"/>
      <c r="K85" s="1255" t="s">
        <v>107</v>
      </c>
      <c r="L85" s="1256"/>
      <c r="M85" s="1256"/>
      <c r="N85" s="1278"/>
      <c r="O85" s="1255" t="s">
        <v>93</v>
      </c>
      <c r="P85" s="1256"/>
      <c r="Q85" s="1256"/>
      <c r="R85" s="1257"/>
      <c r="S85" s="15"/>
      <c r="T85" s="120"/>
      <c r="U85" s="301"/>
      <c r="V85" s="120" t="s">
        <v>262</v>
      </c>
      <c r="W85" s="316">
        <f>IF(N104="変更なし",W10,O105)</f>
        <v>30</v>
      </c>
      <c r="X85" s="876"/>
      <c r="Y85" s="876"/>
      <c r="Z85" s="876"/>
      <c r="AA85" s="876"/>
      <c r="AB85" s="876"/>
    </row>
    <row r="86" spans="1:28" s="376" customFormat="1" ht="16.5" customHeight="1" thickBot="1">
      <c r="A86" s="11"/>
      <c r="B86" s="163"/>
      <c r="C86" s="385" t="s">
        <v>9</v>
      </c>
      <c r="D86" s="386"/>
      <c r="E86" s="386"/>
      <c r="F86" s="387" t="s">
        <v>10</v>
      </c>
      <c r="G86" s="387" t="s">
        <v>11</v>
      </c>
      <c r="H86" s="1229" t="s">
        <v>33</v>
      </c>
      <c r="I86" s="1230"/>
      <c r="J86" s="388" t="s">
        <v>109</v>
      </c>
      <c r="K86" s="1259"/>
      <c r="L86" s="1259"/>
      <c r="M86" s="1259"/>
      <c r="N86" s="1279"/>
      <c r="O86" s="1258"/>
      <c r="P86" s="1259"/>
      <c r="Q86" s="1259"/>
      <c r="R86" s="1260"/>
      <c r="S86" s="15"/>
      <c r="T86" s="120"/>
      <c r="U86" s="323" t="s">
        <v>194</v>
      </c>
      <c r="V86" s="120"/>
      <c r="W86" s="301"/>
      <c r="X86" s="876"/>
      <c r="Y86" s="876"/>
      <c r="Z86" s="876"/>
      <c r="AA86" s="876"/>
      <c r="AB86" s="876"/>
    </row>
    <row r="87" spans="1:28" s="376" customFormat="1" ht="16.5" customHeight="1">
      <c r="A87" s="11"/>
      <c r="B87" s="163"/>
      <c r="C87" s="1261" t="s">
        <v>97</v>
      </c>
      <c r="D87" s="1262"/>
      <c r="E87" s="1262"/>
      <c r="F87" s="389"/>
      <c r="G87" s="390" t="s">
        <v>150</v>
      </c>
      <c r="H87" s="1263">
        <f>H66</f>
        <v>9.76</v>
      </c>
      <c r="I87" s="1264"/>
      <c r="J87" s="391">
        <f>IF(J66="","",J66)</f>
      </c>
      <c r="K87" s="1265">
        <f aca="true" t="shared" si="10" ref="K87:N90">IF(U87=0,"",U87)</f>
      </c>
      <c r="L87" s="1266">
        <f t="shared" si="10"/>
      </c>
      <c r="M87" s="1266">
        <f t="shared" si="10"/>
      </c>
      <c r="N87" s="1267">
        <f t="shared" si="10"/>
      </c>
      <c r="O87" s="1268">
        <f>IF(K87="","",IF(J87="",H87*K87,J87*K87))</f>
      </c>
      <c r="P87" s="1269"/>
      <c r="Q87" s="1269"/>
      <c r="R87" s="1270"/>
      <c r="S87" s="15"/>
      <c r="T87" s="120"/>
      <c r="U87" s="326">
        <f>U66</f>
        <v>0</v>
      </c>
      <c r="V87" s="326">
        <f>IF(K87="",0,K87)</f>
        <v>0</v>
      </c>
      <c r="W87" s="120"/>
      <c r="X87" s="875"/>
      <c r="Y87" s="875"/>
      <c r="Z87" s="875"/>
      <c r="AA87" s="875"/>
      <c r="AB87" s="875"/>
    </row>
    <row r="88" spans="1:28" s="376" customFormat="1" ht="16.5" customHeight="1">
      <c r="A88" s="11"/>
      <c r="B88" s="163"/>
      <c r="C88" s="1221"/>
      <c r="D88" s="1222"/>
      <c r="E88" s="1222"/>
      <c r="F88" s="392" t="s">
        <v>147</v>
      </c>
      <c r="G88" s="393" t="s">
        <v>126</v>
      </c>
      <c r="H88" s="1271">
        <f aca="true" t="shared" si="11" ref="H88:H100">H67</f>
        <v>9.97</v>
      </c>
      <c r="I88" s="1272"/>
      <c r="J88" s="394">
        <f>IF(J67="","",J67)</f>
      </c>
      <c r="K88" s="1239">
        <f t="shared" si="10"/>
      </c>
      <c r="L88" s="1240">
        <f t="shared" si="10"/>
      </c>
      <c r="M88" s="1240">
        <f t="shared" si="10"/>
      </c>
      <c r="N88" s="1241">
        <f t="shared" si="10"/>
      </c>
      <c r="O88" s="1242">
        <f aca="true" t="shared" si="12" ref="O88:O100">IF(K88="","",IF(J88="",H88*K88,J88*K88))</f>
      </c>
      <c r="P88" s="1243"/>
      <c r="Q88" s="1243"/>
      <c r="R88" s="1244"/>
      <c r="S88" s="15"/>
      <c r="T88" s="120"/>
      <c r="U88" s="326">
        <f aca="true" t="shared" si="13" ref="U88:U100">U67</f>
        <v>0</v>
      </c>
      <c r="V88" s="326">
        <f aca="true" t="shared" si="14" ref="V88:V100">IF(K88="",0,K88)</f>
        <v>0</v>
      </c>
      <c r="W88" s="120"/>
      <c r="X88" s="875"/>
      <c r="Y88" s="875"/>
      <c r="Z88" s="875"/>
      <c r="AA88" s="875"/>
      <c r="AB88" s="875"/>
    </row>
    <row r="89" spans="1:28" s="376" customFormat="1" ht="16.5" customHeight="1">
      <c r="A89" s="11"/>
      <c r="B89" s="163"/>
      <c r="C89" s="1224"/>
      <c r="D89" s="1225"/>
      <c r="E89" s="1225"/>
      <c r="F89" s="395" t="s">
        <v>148</v>
      </c>
      <c r="G89" s="396" t="s">
        <v>151</v>
      </c>
      <c r="H89" s="1245">
        <f t="shared" si="11"/>
        <v>9.28</v>
      </c>
      <c r="I89" s="1246"/>
      <c r="J89" s="397">
        <f>IF(J68="","",J68)</f>
      </c>
      <c r="K89" s="1247">
        <f t="shared" si="10"/>
      </c>
      <c r="L89" s="1248">
        <f t="shared" si="10"/>
      </c>
      <c r="M89" s="1248">
        <f t="shared" si="10"/>
      </c>
      <c r="N89" s="1249">
        <f t="shared" si="10"/>
      </c>
      <c r="O89" s="1250">
        <f t="shared" si="12"/>
      </c>
      <c r="P89" s="1251"/>
      <c r="Q89" s="1251"/>
      <c r="R89" s="1252"/>
      <c r="S89" s="15"/>
      <c r="T89" s="120"/>
      <c r="U89" s="326">
        <f t="shared" si="13"/>
        <v>0</v>
      </c>
      <c r="V89" s="326">
        <f t="shared" si="14"/>
        <v>0</v>
      </c>
      <c r="W89" s="120"/>
      <c r="X89" s="875"/>
      <c r="Y89" s="875"/>
      <c r="Z89" s="875"/>
      <c r="AA89" s="875"/>
      <c r="AB89" s="875"/>
    </row>
    <row r="90" spans="1:28" s="376" customFormat="1" ht="16.5" customHeight="1">
      <c r="A90" s="11"/>
      <c r="B90" s="163"/>
      <c r="C90" s="398" t="s">
        <v>98</v>
      </c>
      <c r="D90" s="399"/>
      <c r="E90" s="399"/>
      <c r="F90" s="400" t="s">
        <v>318</v>
      </c>
      <c r="G90" s="401" t="s">
        <v>129</v>
      </c>
      <c r="H90" s="1196">
        <f t="shared" si="11"/>
        <v>41.1</v>
      </c>
      <c r="I90" s="1197"/>
      <c r="J90" s="402">
        <f>IF(J69="","",J69)</f>
      </c>
      <c r="K90" s="1198">
        <f t="shared" si="10"/>
      </c>
      <c r="L90" s="1199">
        <f t="shared" si="10"/>
      </c>
      <c r="M90" s="1199">
        <f t="shared" si="10"/>
      </c>
      <c r="N90" s="1200">
        <f t="shared" si="10"/>
      </c>
      <c r="O90" s="1204">
        <f t="shared" si="12"/>
      </c>
      <c r="P90" s="1205"/>
      <c r="Q90" s="1205"/>
      <c r="R90" s="1206"/>
      <c r="S90" s="15"/>
      <c r="T90" s="120"/>
      <c r="U90" s="326">
        <f t="shared" si="13"/>
        <v>0</v>
      </c>
      <c r="V90" s="326">
        <f t="shared" si="14"/>
        <v>0</v>
      </c>
      <c r="W90" s="120"/>
      <c r="X90" s="875"/>
      <c r="Y90" s="875"/>
      <c r="Z90" s="875"/>
      <c r="AA90" s="875"/>
      <c r="AB90" s="875"/>
    </row>
    <row r="91" spans="1:28" s="376" customFormat="1" ht="16.5" customHeight="1">
      <c r="A91" s="11"/>
      <c r="B91" s="163"/>
      <c r="C91" s="403" t="s">
        <v>152</v>
      </c>
      <c r="D91" s="404"/>
      <c r="E91" s="404"/>
      <c r="F91" s="405"/>
      <c r="G91" s="401" t="s">
        <v>153</v>
      </c>
      <c r="H91" s="1196">
        <f t="shared" si="11"/>
        <v>50.2</v>
      </c>
      <c r="I91" s="1197"/>
      <c r="J91" s="402">
        <f>IF(J70="","",J70)</f>
      </c>
      <c r="K91" s="1198">
        <f aca="true" t="shared" si="15" ref="K91:N100">IF(U91=0,"",U91)</f>
      </c>
      <c r="L91" s="1199">
        <f t="shared" si="15"/>
      </c>
      <c r="M91" s="1199">
        <f t="shared" si="15"/>
      </c>
      <c r="N91" s="1200">
        <f t="shared" si="15"/>
      </c>
      <c r="O91" s="1204">
        <f t="shared" si="12"/>
      </c>
      <c r="P91" s="1205"/>
      <c r="Q91" s="1205"/>
      <c r="R91" s="1206"/>
      <c r="S91" s="15"/>
      <c r="T91" s="120"/>
      <c r="U91" s="326">
        <f t="shared" si="13"/>
        <v>0</v>
      </c>
      <c r="V91" s="326">
        <f t="shared" si="14"/>
        <v>0</v>
      </c>
      <c r="W91" s="120"/>
      <c r="X91" s="875"/>
      <c r="Y91" s="875"/>
      <c r="Z91" s="875"/>
      <c r="AA91" s="875"/>
      <c r="AB91" s="875"/>
    </row>
    <row r="92" spans="1:28" s="376" customFormat="1" ht="16.5" customHeight="1">
      <c r="A92" s="11"/>
      <c r="B92" s="163"/>
      <c r="C92" s="398" t="s">
        <v>99</v>
      </c>
      <c r="D92" s="399"/>
      <c r="E92" s="399"/>
      <c r="F92" s="405"/>
      <c r="G92" s="401" t="s">
        <v>154</v>
      </c>
      <c r="H92" s="1196">
        <f t="shared" si="11"/>
        <v>36.7</v>
      </c>
      <c r="I92" s="1197"/>
      <c r="J92" s="402">
        <f aca="true" t="shared" si="16" ref="J92:J97">IF(J71="","",J71)</f>
      </c>
      <c r="K92" s="1198">
        <f t="shared" si="15"/>
      </c>
      <c r="L92" s="1199">
        <f t="shared" si="15"/>
      </c>
      <c r="M92" s="1199">
        <f t="shared" si="15"/>
      </c>
      <c r="N92" s="1200">
        <f t="shared" si="15"/>
      </c>
      <c r="O92" s="1204">
        <f t="shared" si="12"/>
      </c>
      <c r="P92" s="1205"/>
      <c r="Q92" s="1205"/>
      <c r="R92" s="1206"/>
      <c r="S92" s="15"/>
      <c r="T92" s="120"/>
      <c r="U92" s="326">
        <f t="shared" si="13"/>
        <v>0</v>
      </c>
      <c r="V92" s="326">
        <f t="shared" si="14"/>
        <v>0</v>
      </c>
      <c r="W92" s="120"/>
      <c r="X92" s="875"/>
      <c r="Y92" s="875"/>
      <c r="Z92" s="875"/>
      <c r="AA92" s="875"/>
      <c r="AB92" s="875"/>
    </row>
    <row r="93" spans="1:28" s="376" customFormat="1" ht="16.5" customHeight="1">
      <c r="A93" s="11"/>
      <c r="B93" s="163"/>
      <c r="C93" s="1218" t="s">
        <v>100</v>
      </c>
      <c r="D93" s="1219"/>
      <c r="E93" s="1220"/>
      <c r="F93" s="406" t="s">
        <v>110</v>
      </c>
      <c r="G93" s="407" t="s">
        <v>155</v>
      </c>
      <c r="H93" s="1196">
        <f t="shared" si="11"/>
        <v>39.1</v>
      </c>
      <c r="I93" s="1197"/>
      <c r="J93" s="402">
        <f t="shared" si="16"/>
      </c>
      <c r="K93" s="1198">
        <f t="shared" si="15"/>
      </c>
      <c r="L93" s="1199">
        <f t="shared" si="15"/>
      </c>
      <c r="M93" s="1199">
        <f t="shared" si="15"/>
      </c>
      <c r="N93" s="1200">
        <f t="shared" si="15"/>
      </c>
      <c r="O93" s="1204">
        <f t="shared" si="12"/>
      </c>
      <c r="P93" s="1205"/>
      <c r="Q93" s="1205"/>
      <c r="R93" s="1206"/>
      <c r="S93" s="15"/>
      <c r="T93" s="120"/>
      <c r="U93" s="326">
        <f t="shared" si="13"/>
        <v>0</v>
      </c>
      <c r="V93" s="326">
        <f t="shared" si="14"/>
        <v>0</v>
      </c>
      <c r="W93" s="120"/>
      <c r="X93" s="875"/>
      <c r="Y93" s="875"/>
      <c r="Z93" s="875"/>
      <c r="AA93" s="875"/>
      <c r="AB93" s="875"/>
    </row>
    <row r="94" spans="1:28" s="376" customFormat="1" ht="16.5" customHeight="1">
      <c r="A94" s="11"/>
      <c r="B94" s="163"/>
      <c r="C94" s="1224"/>
      <c r="D94" s="1225"/>
      <c r="E94" s="1226"/>
      <c r="F94" s="406" t="s">
        <v>111</v>
      </c>
      <c r="G94" s="407" t="s">
        <v>155</v>
      </c>
      <c r="H94" s="1196">
        <f t="shared" si="11"/>
        <v>41.7</v>
      </c>
      <c r="I94" s="1197"/>
      <c r="J94" s="402">
        <f t="shared" si="16"/>
      </c>
      <c r="K94" s="1198">
        <f t="shared" si="15"/>
      </c>
      <c r="L94" s="1199">
        <f t="shared" si="15"/>
      </c>
      <c r="M94" s="1199">
        <f t="shared" si="15"/>
      </c>
      <c r="N94" s="1200">
        <f t="shared" si="15"/>
      </c>
      <c r="O94" s="1204">
        <f t="shared" si="12"/>
      </c>
      <c r="P94" s="1205"/>
      <c r="Q94" s="1205"/>
      <c r="R94" s="1206"/>
      <c r="S94" s="15"/>
      <c r="T94" s="120"/>
      <c r="U94" s="326">
        <f t="shared" si="13"/>
        <v>0</v>
      </c>
      <c r="V94" s="326">
        <f t="shared" si="14"/>
        <v>0</v>
      </c>
      <c r="W94" s="120"/>
      <c r="X94" s="875"/>
      <c r="Y94" s="875"/>
      <c r="Z94" s="875"/>
      <c r="AA94" s="875"/>
      <c r="AB94" s="875"/>
    </row>
    <row r="95" spans="1:28" s="376" customFormat="1" ht="16.5" customHeight="1">
      <c r="A95" s="11"/>
      <c r="B95" s="163"/>
      <c r="C95" s="1218"/>
      <c r="D95" s="1219"/>
      <c r="E95" s="1220"/>
      <c r="F95" s="406"/>
      <c r="G95" s="407" t="s">
        <v>156</v>
      </c>
      <c r="H95" s="1227">
        <f t="shared" si="11"/>
        <v>1.36</v>
      </c>
      <c r="I95" s="1228"/>
      <c r="J95" s="402">
        <f t="shared" si="16"/>
      </c>
      <c r="K95" s="1198">
        <f t="shared" si="15"/>
      </c>
      <c r="L95" s="1199">
        <f t="shared" si="15"/>
      </c>
      <c r="M95" s="1199">
        <f t="shared" si="15"/>
      </c>
      <c r="N95" s="1200">
        <f t="shared" si="15"/>
      </c>
      <c r="O95" s="1204">
        <f t="shared" si="12"/>
      </c>
      <c r="P95" s="1205"/>
      <c r="Q95" s="1205"/>
      <c r="R95" s="1206"/>
      <c r="S95" s="15"/>
      <c r="T95" s="120"/>
      <c r="U95" s="326">
        <f t="shared" si="13"/>
        <v>0</v>
      </c>
      <c r="V95" s="326">
        <f t="shared" si="14"/>
        <v>0</v>
      </c>
      <c r="W95" s="120"/>
      <c r="X95" s="875"/>
      <c r="Y95" s="875"/>
      <c r="Z95" s="875"/>
      <c r="AA95" s="875"/>
      <c r="AB95" s="875"/>
    </row>
    <row r="96" spans="1:28" s="376" customFormat="1" ht="16.5" customHeight="1">
      <c r="A96" s="11"/>
      <c r="B96" s="163"/>
      <c r="C96" s="1221">
        <f>IF(C75="","",C75)</f>
      </c>
      <c r="D96" s="1222"/>
      <c r="E96" s="1223">
        <f>IF(E75="","",E75)</f>
      </c>
      <c r="F96" s="406" t="str">
        <f>IF(F75="","",F75)</f>
        <v>温水</v>
      </c>
      <c r="G96" s="407" t="s">
        <v>83</v>
      </c>
      <c r="H96" s="1227">
        <f t="shared" si="11"/>
        <v>1.36</v>
      </c>
      <c r="I96" s="1228"/>
      <c r="J96" s="402">
        <f t="shared" si="16"/>
      </c>
      <c r="K96" s="1198">
        <f t="shared" si="15"/>
      </c>
      <c r="L96" s="1199">
        <f t="shared" si="15"/>
      </c>
      <c r="M96" s="1199">
        <f t="shared" si="15"/>
      </c>
      <c r="N96" s="1200">
        <f t="shared" si="15"/>
      </c>
      <c r="O96" s="1204">
        <f t="shared" si="12"/>
      </c>
      <c r="P96" s="1205"/>
      <c r="Q96" s="1205"/>
      <c r="R96" s="1206"/>
      <c r="S96" s="15"/>
      <c r="T96" s="120"/>
      <c r="U96" s="326">
        <f t="shared" si="13"/>
        <v>0</v>
      </c>
      <c r="V96" s="326">
        <f t="shared" si="14"/>
        <v>0</v>
      </c>
      <c r="W96" s="120"/>
      <c r="X96" s="875"/>
      <c r="Y96" s="875"/>
      <c r="Z96" s="875"/>
      <c r="AA96" s="875"/>
      <c r="AB96" s="875"/>
    </row>
    <row r="97" spans="1:28" s="376" customFormat="1" ht="16.5" customHeight="1">
      <c r="A97" s="11"/>
      <c r="B97" s="163"/>
      <c r="C97" s="1224">
        <f>IF(C76="","",C76)</f>
      </c>
      <c r="D97" s="1225"/>
      <c r="E97" s="1226">
        <f>IF(E76="","",E76)</f>
      </c>
      <c r="F97" s="408" t="str">
        <f>IF(F76="","",F76)</f>
        <v>蒸気</v>
      </c>
      <c r="G97" s="407" t="s">
        <v>157</v>
      </c>
      <c r="H97" s="1227">
        <f t="shared" si="11"/>
        <v>1.36</v>
      </c>
      <c r="I97" s="1228"/>
      <c r="J97" s="402">
        <f t="shared" si="16"/>
      </c>
      <c r="K97" s="1198">
        <f t="shared" si="15"/>
      </c>
      <c r="L97" s="1199">
        <f t="shared" si="15"/>
      </c>
      <c r="M97" s="1199">
        <f t="shared" si="15"/>
      </c>
      <c r="N97" s="1200">
        <f t="shared" si="15"/>
      </c>
      <c r="O97" s="1204">
        <f t="shared" si="12"/>
      </c>
      <c r="P97" s="1205"/>
      <c r="Q97" s="1205"/>
      <c r="R97" s="1206"/>
      <c r="S97" s="15"/>
      <c r="T97" s="120"/>
      <c r="U97" s="326">
        <f t="shared" si="13"/>
        <v>0</v>
      </c>
      <c r="V97" s="326">
        <f t="shared" si="14"/>
        <v>0</v>
      </c>
      <c r="W97" s="120"/>
      <c r="X97" s="875"/>
      <c r="Y97" s="875"/>
      <c r="Z97" s="875"/>
      <c r="AA97" s="875"/>
      <c r="AB97" s="875"/>
    </row>
    <row r="98" spans="1:28" s="376" customFormat="1" ht="16.5" customHeight="1">
      <c r="A98" s="11"/>
      <c r="B98" s="163"/>
      <c r="C98" s="1207" t="s">
        <v>164</v>
      </c>
      <c r="D98" s="1210">
        <f>IF(D77="","",D77)</f>
      </c>
      <c r="E98" s="1211"/>
      <c r="F98" s="647">
        <f aca="true" t="shared" si="17" ref="F98:G100">IF(F77="","",F77)</f>
      </c>
      <c r="G98" s="647">
        <f t="shared" si="17"/>
      </c>
      <c r="H98" s="1216" t="str">
        <f t="shared" si="11"/>
        <v>-</v>
      </c>
      <c r="I98" s="1217"/>
      <c r="J98" s="646">
        <f>IF(J77="","",J77)</f>
      </c>
      <c r="K98" s="1198">
        <f t="shared" si="15"/>
      </c>
      <c r="L98" s="1199">
        <f t="shared" si="15"/>
      </c>
      <c r="M98" s="1199">
        <f t="shared" si="15"/>
      </c>
      <c r="N98" s="1200">
        <f t="shared" si="15"/>
      </c>
      <c r="O98" s="1204">
        <f t="shared" si="12"/>
      </c>
      <c r="P98" s="1205"/>
      <c r="Q98" s="1205"/>
      <c r="R98" s="1206"/>
      <c r="S98" s="15"/>
      <c r="T98" s="120"/>
      <c r="U98" s="326">
        <f t="shared" si="13"/>
        <v>0</v>
      </c>
      <c r="V98" s="326">
        <f t="shared" si="14"/>
        <v>0</v>
      </c>
      <c r="W98" s="120"/>
      <c r="X98" s="206"/>
      <c r="Y98" s="875"/>
      <c r="Z98" s="206"/>
      <c r="AA98" s="206"/>
      <c r="AB98" s="875"/>
    </row>
    <row r="99" spans="1:28" s="376" customFormat="1" ht="16.5" customHeight="1">
      <c r="A99" s="11"/>
      <c r="B99" s="163"/>
      <c r="C99" s="1208"/>
      <c r="D99" s="1210">
        <f>IF(D78="","",D78)</f>
      </c>
      <c r="E99" s="1211"/>
      <c r="F99" s="647">
        <f t="shared" si="17"/>
      </c>
      <c r="G99" s="647">
        <f t="shared" si="17"/>
      </c>
      <c r="H99" s="1216" t="str">
        <f t="shared" si="11"/>
        <v>-</v>
      </c>
      <c r="I99" s="1217"/>
      <c r="J99" s="646">
        <f>IF(J78="","",J78)</f>
      </c>
      <c r="K99" s="1198">
        <f t="shared" si="15"/>
      </c>
      <c r="L99" s="1199">
        <f t="shared" si="15"/>
      </c>
      <c r="M99" s="1199">
        <f t="shared" si="15"/>
      </c>
      <c r="N99" s="1200">
        <f t="shared" si="15"/>
      </c>
      <c r="O99" s="1204">
        <f t="shared" si="12"/>
      </c>
      <c r="P99" s="1205"/>
      <c r="Q99" s="1205"/>
      <c r="R99" s="1206"/>
      <c r="S99" s="15"/>
      <c r="T99" s="120"/>
      <c r="U99" s="326">
        <f t="shared" si="13"/>
        <v>0</v>
      </c>
      <c r="V99" s="326">
        <f t="shared" si="14"/>
        <v>0</v>
      </c>
      <c r="W99" s="120"/>
      <c r="X99" s="206"/>
      <c r="Y99" s="875"/>
      <c r="Z99" s="206"/>
      <c r="AA99" s="206"/>
      <c r="AB99" s="875"/>
    </row>
    <row r="100" spans="1:28" s="376" customFormat="1" ht="16.5" customHeight="1" thickBot="1">
      <c r="A100" s="11"/>
      <c r="B100" s="163"/>
      <c r="C100" s="1209"/>
      <c r="D100" s="1210">
        <f>IF(D79="","",D79)</f>
      </c>
      <c r="E100" s="1211"/>
      <c r="F100" s="647">
        <f t="shared" si="17"/>
      </c>
      <c r="G100" s="647">
        <f t="shared" si="17"/>
      </c>
      <c r="H100" s="1234" t="str">
        <f t="shared" si="11"/>
        <v>-</v>
      </c>
      <c r="I100" s="1235"/>
      <c r="J100" s="646">
        <f>IF(J79="","",J79)</f>
      </c>
      <c r="K100" s="1236">
        <f t="shared" si="15"/>
      </c>
      <c r="L100" s="1237">
        <f t="shared" si="15"/>
      </c>
      <c r="M100" s="1237">
        <f t="shared" si="15"/>
      </c>
      <c r="N100" s="1238">
        <f t="shared" si="15"/>
      </c>
      <c r="O100" s="1231">
        <f t="shared" si="12"/>
      </c>
      <c r="P100" s="1232"/>
      <c r="Q100" s="1232"/>
      <c r="R100" s="1233"/>
      <c r="S100" s="15"/>
      <c r="T100" s="120"/>
      <c r="U100" s="326">
        <f t="shared" si="13"/>
        <v>0</v>
      </c>
      <c r="V100" s="326">
        <f t="shared" si="14"/>
        <v>0</v>
      </c>
      <c r="W100" s="120"/>
      <c r="X100" s="206"/>
      <c r="Y100" s="875"/>
      <c r="Z100" s="206"/>
      <c r="AA100" s="206"/>
      <c r="AB100" s="875"/>
    </row>
    <row r="101" spans="1:28" s="376" customFormat="1" ht="16.5" customHeight="1" thickBot="1" thickTop="1">
      <c r="A101" s="11"/>
      <c r="B101" s="163"/>
      <c r="C101" s="409"/>
      <c r="D101" s="410"/>
      <c r="E101" s="410"/>
      <c r="F101" s="410"/>
      <c r="G101" s="410" t="s">
        <v>158</v>
      </c>
      <c r="H101" s="410"/>
      <c r="I101" s="410"/>
      <c r="J101" s="410"/>
      <c r="K101" s="411"/>
      <c r="L101" s="411"/>
      <c r="M101" s="411"/>
      <c r="N101" s="412"/>
      <c r="O101" s="1201">
        <f>IF(SUM(O87:R100)=0,"",SUM(O87:R100))</f>
      </c>
      <c r="P101" s="1202"/>
      <c r="Q101" s="1202"/>
      <c r="R101" s="1203"/>
      <c r="S101" s="15"/>
      <c r="T101" s="120"/>
      <c r="U101" s="326"/>
      <c r="V101" s="326">
        <f>IF(O101="",0,O101)</f>
        <v>0</v>
      </c>
      <c r="W101" s="301"/>
      <c r="X101" s="876"/>
      <c r="Y101" s="876"/>
      <c r="Z101" s="876"/>
      <c r="AA101" s="876"/>
      <c r="AB101" s="876"/>
    </row>
    <row r="102" spans="1:28" s="376" customFormat="1" ht="50.25" customHeight="1" thickBot="1">
      <c r="A102" s="11"/>
      <c r="B102" s="163"/>
      <c r="C102" s="1360" t="s">
        <v>195</v>
      </c>
      <c r="D102" s="1363"/>
      <c r="E102" s="1291"/>
      <c r="F102" s="1291"/>
      <c r="G102" s="1291"/>
      <c r="H102" s="1291"/>
      <c r="I102" s="1291"/>
      <c r="J102" s="1291"/>
      <c r="K102" s="1291"/>
      <c r="L102" s="1291"/>
      <c r="M102" s="1291"/>
      <c r="N102" s="1291"/>
      <c r="O102" s="1291"/>
      <c r="P102" s="1291"/>
      <c r="Q102" s="1291"/>
      <c r="R102" s="1292"/>
      <c r="S102" s="15"/>
      <c r="T102" s="120"/>
      <c r="U102" s="301"/>
      <c r="V102" s="120"/>
      <c r="W102" s="301"/>
      <c r="X102" s="876"/>
      <c r="Y102" s="876"/>
      <c r="Z102" s="876"/>
      <c r="AA102" s="876"/>
      <c r="AB102" s="876"/>
    </row>
    <row r="103" spans="1:28" s="376" customFormat="1" ht="35.25" customHeight="1" thickBot="1">
      <c r="A103" s="11"/>
      <c r="B103" s="163"/>
      <c r="C103" s="201"/>
      <c r="D103" s="201"/>
      <c r="E103" s="196"/>
      <c r="F103" s="371"/>
      <c r="G103" s="372"/>
      <c r="H103" s="373"/>
      <c r="I103" s="374"/>
      <c r="J103" s="374"/>
      <c r="K103" s="375"/>
      <c r="L103" s="375"/>
      <c r="M103" s="375"/>
      <c r="N103" s="375"/>
      <c r="O103" s="375"/>
      <c r="P103" s="375"/>
      <c r="Q103" s="375"/>
      <c r="R103" s="163"/>
      <c r="S103" s="15"/>
      <c r="T103" s="120"/>
      <c r="U103" s="301"/>
      <c r="V103" s="120"/>
      <c r="W103" s="301"/>
      <c r="X103" s="876"/>
      <c r="Y103" s="876"/>
      <c r="Z103" s="876"/>
      <c r="AA103" s="876"/>
      <c r="AB103" s="876"/>
    </row>
    <row r="104" spans="1:28" s="376" customFormat="1" ht="19.5" customHeight="1" thickBot="1">
      <c r="A104" s="11"/>
      <c r="B104" s="163"/>
      <c r="C104" s="164" t="s">
        <v>166</v>
      </c>
      <c r="D104" s="182"/>
      <c r="E104" s="183"/>
      <c r="F104" s="182"/>
      <c r="G104" s="236"/>
      <c r="H104" s="182"/>
      <c r="I104" s="377"/>
      <c r="J104" s="237"/>
      <c r="K104" s="378" t="s">
        <v>160</v>
      </c>
      <c r="L104" s="182"/>
      <c r="M104" s="238"/>
      <c r="N104" s="1253" t="s">
        <v>163</v>
      </c>
      <c r="O104" s="1253"/>
      <c r="P104" s="1253"/>
      <c r="Q104" s="1253"/>
      <c r="R104" s="1254"/>
      <c r="S104" s="15"/>
      <c r="T104" s="120"/>
      <c r="U104" s="301"/>
      <c r="V104" s="120"/>
      <c r="W104" s="301"/>
      <c r="X104" s="876"/>
      <c r="Y104" s="876"/>
      <c r="Z104" s="876"/>
      <c r="AA104" s="876"/>
      <c r="AB104" s="876"/>
    </row>
    <row r="105" spans="1:28" s="376" customFormat="1" ht="19.5" customHeight="1" thickBot="1">
      <c r="A105" s="11"/>
      <c r="B105" s="163"/>
      <c r="C105" s="240">
        <f>IF(N104="変更なし","",CONCATENATE("目標(計画)期間 ： 平成",O105,"年4月 ～ 平成",W10,"年3月"))</f>
      </c>
      <c r="D105" s="241"/>
      <c r="E105" s="241"/>
      <c r="F105" s="242"/>
      <c r="G105" s="243"/>
      <c r="H105" s="244"/>
      <c r="I105" s="244"/>
      <c r="J105" s="245"/>
      <c r="K105" s="241" t="s">
        <v>149</v>
      </c>
      <c r="L105" s="379"/>
      <c r="M105" s="380"/>
      <c r="N105" s="381" t="s">
        <v>17</v>
      </c>
      <c r="O105" s="68"/>
      <c r="P105" s="382" t="s">
        <v>102</v>
      </c>
      <c r="Q105" s="383">
        <v>4</v>
      </c>
      <c r="R105" s="384" t="s">
        <v>143</v>
      </c>
      <c r="S105" s="15"/>
      <c r="T105" s="120"/>
      <c r="U105" s="301"/>
      <c r="V105" s="120"/>
      <c r="W105" s="301"/>
      <c r="X105" s="876"/>
      <c r="Y105" s="876"/>
      <c r="Z105" s="876"/>
      <c r="AA105" s="876"/>
      <c r="AB105" s="876"/>
    </row>
    <row r="106" spans="1:28" s="376" customFormat="1" ht="16.5" customHeight="1">
      <c r="A106" s="11"/>
      <c r="B106" s="163"/>
      <c r="C106" s="1273" t="s">
        <v>112</v>
      </c>
      <c r="D106" s="1274"/>
      <c r="E106" s="1274"/>
      <c r="F106" s="1274"/>
      <c r="G106" s="1275"/>
      <c r="H106" s="1276" t="s">
        <v>18</v>
      </c>
      <c r="I106" s="1277"/>
      <c r="J106" s="1277"/>
      <c r="K106" s="1255" t="s">
        <v>19</v>
      </c>
      <c r="L106" s="1256"/>
      <c r="M106" s="1256"/>
      <c r="N106" s="1278"/>
      <c r="O106" s="1255" t="s">
        <v>93</v>
      </c>
      <c r="P106" s="1256"/>
      <c r="Q106" s="1256"/>
      <c r="R106" s="1257"/>
      <c r="S106" s="15"/>
      <c r="T106" s="120"/>
      <c r="U106" s="301"/>
      <c r="V106" s="120"/>
      <c r="W106" s="301"/>
      <c r="X106" s="876"/>
      <c r="Y106" s="876"/>
      <c r="Z106" s="876"/>
      <c r="AA106" s="876"/>
      <c r="AB106" s="876"/>
    </row>
    <row r="107" spans="1:28" s="376" customFormat="1" ht="16.5" customHeight="1" thickBot="1">
      <c r="A107" s="11"/>
      <c r="B107" s="163"/>
      <c r="C107" s="385" t="s">
        <v>9</v>
      </c>
      <c r="D107" s="386"/>
      <c r="E107" s="386"/>
      <c r="F107" s="387" t="s">
        <v>10</v>
      </c>
      <c r="G107" s="387" t="s">
        <v>11</v>
      </c>
      <c r="H107" s="1229" t="s">
        <v>33</v>
      </c>
      <c r="I107" s="1230"/>
      <c r="J107" s="388" t="s">
        <v>109</v>
      </c>
      <c r="K107" s="1259"/>
      <c r="L107" s="1259"/>
      <c r="M107" s="1259"/>
      <c r="N107" s="1279"/>
      <c r="O107" s="1258"/>
      <c r="P107" s="1259"/>
      <c r="Q107" s="1259"/>
      <c r="R107" s="1260"/>
      <c r="S107" s="15"/>
      <c r="T107" s="120"/>
      <c r="U107" s="323" t="s">
        <v>194</v>
      </c>
      <c r="V107" s="120"/>
      <c r="W107" s="301"/>
      <c r="X107" s="876"/>
      <c r="Y107" s="876"/>
      <c r="Z107" s="876"/>
      <c r="AA107" s="876"/>
      <c r="AB107" s="876"/>
    </row>
    <row r="108" spans="1:28" s="376" customFormat="1" ht="16.5" customHeight="1">
      <c r="A108" s="11"/>
      <c r="B108" s="163"/>
      <c r="C108" s="1261" t="s">
        <v>97</v>
      </c>
      <c r="D108" s="1262"/>
      <c r="E108" s="1262"/>
      <c r="F108" s="389"/>
      <c r="G108" s="390" t="s">
        <v>150</v>
      </c>
      <c r="H108" s="1263">
        <f>H87</f>
        <v>9.76</v>
      </c>
      <c r="I108" s="1264"/>
      <c r="J108" s="391">
        <f aca="true" t="shared" si="18" ref="J108:J118">IF(J87="","",J87)</f>
      </c>
      <c r="K108" s="1265">
        <f aca="true" t="shared" si="19" ref="K108:N121">IF(U108=0,"",U108)</f>
      </c>
      <c r="L108" s="1266">
        <f t="shared" si="19"/>
      </c>
      <c r="M108" s="1266">
        <f t="shared" si="19"/>
      </c>
      <c r="N108" s="1267">
        <f t="shared" si="19"/>
      </c>
      <c r="O108" s="1268">
        <f>IF(K108="","",IF(J108="",H108*K108,J108*K108))</f>
      </c>
      <c r="P108" s="1269"/>
      <c r="Q108" s="1269"/>
      <c r="R108" s="1270"/>
      <c r="S108" s="15"/>
      <c r="T108" s="120"/>
      <c r="U108" s="326">
        <f>U87</f>
        <v>0</v>
      </c>
      <c r="V108" s="326">
        <f>IF(K108="",0,K108)</f>
        <v>0</v>
      </c>
      <c r="W108" s="120"/>
      <c r="X108" s="875"/>
      <c r="Y108" s="875"/>
      <c r="Z108" s="875"/>
      <c r="AA108" s="875"/>
      <c r="AB108" s="875"/>
    </row>
    <row r="109" spans="1:28" s="376" customFormat="1" ht="16.5" customHeight="1">
      <c r="A109" s="11"/>
      <c r="B109" s="163"/>
      <c r="C109" s="1221"/>
      <c r="D109" s="1222"/>
      <c r="E109" s="1222"/>
      <c r="F109" s="392" t="s">
        <v>147</v>
      </c>
      <c r="G109" s="393" t="s">
        <v>126</v>
      </c>
      <c r="H109" s="1271">
        <f aca="true" t="shared" si="20" ref="H109:H121">H88</f>
        <v>9.97</v>
      </c>
      <c r="I109" s="1272"/>
      <c r="J109" s="394">
        <f t="shared" si="18"/>
      </c>
      <c r="K109" s="1239">
        <f t="shared" si="19"/>
      </c>
      <c r="L109" s="1240">
        <f t="shared" si="19"/>
      </c>
      <c r="M109" s="1240">
        <f t="shared" si="19"/>
      </c>
      <c r="N109" s="1241">
        <f t="shared" si="19"/>
      </c>
      <c r="O109" s="1242">
        <f aca="true" t="shared" si="21" ref="O109:O121">IF(K109="","",IF(J109="",H109*K109,J109*K109))</f>
      </c>
      <c r="P109" s="1243"/>
      <c r="Q109" s="1243"/>
      <c r="R109" s="1244"/>
      <c r="S109" s="15"/>
      <c r="T109" s="120"/>
      <c r="U109" s="326">
        <f aca="true" t="shared" si="22" ref="U109:U121">U88</f>
        <v>0</v>
      </c>
      <c r="V109" s="326">
        <f aca="true" t="shared" si="23" ref="V109:V121">IF(K109="",0,K109)</f>
        <v>0</v>
      </c>
      <c r="W109" s="120"/>
      <c r="X109" s="875"/>
      <c r="Y109" s="875"/>
      <c r="Z109" s="875"/>
      <c r="AA109" s="875"/>
      <c r="AB109" s="875"/>
    </row>
    <row r="110" spans="1:28" s="376" customFormat="1" ht="16.5" customHeight="1">
      <c r="A110" s="11"/>
      <c r="B110" s="163"/>
      <c r="C110" s="1224"/>
      <c r="D110" s="1225"/>
      <c r="E110" s="1225"/>
      <c r="F110" s="395" t="s">
        <v>148</v>
      </c>
      <c r="G110" s="396" t="s">
        <v>151</v>
      </c>
      <c r="H110" s="1245">
        <f t="shared" si="20"/>
        <v>9.28</v>
      </c>
      <c r="I110" s="1246"/>
      <c r="J110" s="397">
        <f t="shared" si="18"/>
      </c>
      <c r="K110" s="1247">
        <f t="shared" si="19"/>
      </c>
      <c r="L110" s="1248">
        <f t="shared" si="19"/>
      </c>
      <c r="M110" s="1248">
        <f t="shared" si="19"/>
      </c>
      <c r="N110" s="1249">
        <f t="shared" si="19"/>
      </c>
      <c r="O110" s="1250">
        <f t="shared" si="21"/>
      </c>
      <c r="P110" s="1251"/>
      <c r="Q110" s="1251"/>
      <c r="R110" s="1252"/>
      <c r="S110" s="15"/>
      <c r="T110" s="120"/>
      <c r="U110" s="326">
        <f t="shared" si="22"/>
        <v>0</v>
      </c>
      <c r="V110" s="326">
        <f t="shared" si="23"/>
        <v>0</v>
      </c>
      <c r="W110" s="120"/>
      <c r="X110" s="875"/>
      <c r="Y110" s="875"/>
      <c r="Z110" s="875"/>
      <c r="AA110" s="875"/>
      <c r="AB110" s="875"/>
    </row>
    <row r="111" spans="1:28" s="376" customFormat="1" ht="16.5" customHeight="1">
      <c r="A111" s="11"/>
      <c r="B111" s="163"/>
      <c r="C111" s="398" t="s">
        <v>98</v>
      </c>
      <c r="D111" s="399"/>
      <c r="E111" s="399"/>
      <c r="F111" s="400" t="s">
        <v>319</v>
      </c>
      <c r="G111" s="401" t="s">
        <v>129</v>
      </c>
      <c r="H111" s="1196">
        <f t="shared" si="20"/>
        <v>41.1</v>
      </c>
      <c r="I111" s="1197"/>
      <c r="J111" s="402">
        <f t="shared" si="18"/>
      </c>
      <c r="K111" s="1198">
        <f t="shared" si="19"/>
      </c>
      <c r="L111" s="1199">
        <f t="shared" si="19"/>
      </c>
      <c r="M111" s="1199">
        <f t="shared" si="19"/>
      </c>
      <c r="N111" s="1200">
        <f t="shared" si="19"/>
      </c>
      <c r="O111" s="1204">
        <f t="shared" si="21"/>
      </c>
      <c r="P111" s="1205"/>
      <c r="Q111" s="1205"/>
      <c r="R111" s="1206"/>
      <c r="S111" s="15"/>
      <c r="T111" s="120"/>
      <c r="U111" s="326">
        <f t="shared" si="22"/>
        <v>0</v>
      </c>
      <c r="V111" s="326">
        <f t="shared" si="23"/>
        <v>0</v>
      </c>
      <c r="W111" s="120"/>
      <c r="X111" s="875"/>
      <c r="Y111" s="875"/>
      <c r="Z111" s="875"/>
      <c r="AA111" s="875"/>
      <c r="AB111" s="875"/>
    </row>
    <row r="112" spans="1:28" s="376" customFormat="1" ht="16.5" customHeight="1">
      <c r="A112" s="11"/>
      <c r="B112" s="163"/>
      <c r="C112" s="403" t="s">
        <v>152</v>
      </c>
      <c r="D112" s="404"/>
      <c r="E112" s="404"/>
      <c r="F112" s="405"/>
      <c r="G112" s="401" t="s">
        <v>153</v>
      </c>
      <c r="H112" s="1196">
        <f t="shared" si="20"/>
        <v>50.2</v>
      </c>
      <c r="I112" s="1197"/>
      <c r="J112" s="402">
        <f t="shared" si="18"/>
      </c>
      <c r="K112" s="1198">
        <f t="shared" si="19"/>
      </c>
      <c r="L112" s="1199">
        <f t="shared" si="19"/>
      </c>
      <c r="M112" s="1199">
        <f t="shared" si="19"/>
      </c>
      <c r="N112" s="1200">
        <f t="shared" si="19"/>
      </c>
      <c r="O112" s="1204">
        <f t="shared" si="21"/>
      </c>
      <c r="P112" s="1205"/>
      <c r="Q112" s="1205"/>
      <c r="R112" s="1206"/>
      <c r="S112" s="15"/>
      <c r="T112" s="120"/>
      <c r="U112" s="326">
        <f t="shared" si="22"/>
        <v>0</v>
      </c>
      <c r="V112" s="326">
        <f t="shared" si="23"/>
        <v>0</v>
      </c>
      <c r="W112" s="120"/>
      <c r="X112" s="875"/>
      <c r="Y112" s="875"/>
      <c r="Z112" s="875"/>
      <c r="AA112" s="875"/>
      <c r="AB112" s="875"/>
    </row>
    <row r="113" spans="1:28" s="376" customFormat="1" ht="16.5" customHeight="1">
      <c r="A113" s="11"/>
      <c r="B113" s="163"/>
      <c r="C113" s="398" t="s">
        <v>99</v>
      </c>
      <c r="D113" s="399"/>
      <c r="E113" s="399"/>
      <c r="F113" s="405"/>
      <c r="G113" s="401" t="s">
        <v>154</v>
      </c>
      <c r="H113" s="1196">
        <f t="shared" si="20"/>
        <v>36.7</v>
      </c>
      <c r="I113" s="1197"/>
      <c r="J113" s="402">
        <f t="shared" si="18"/>
      </c>
      <c r="K113" s="1198">
        <f t="shared" si="19"/>
      </c>
      <c r="L113" s="1199">
        <f t="shared" si="19"/>
      </c>
      <c r="M113" s="1199">
        <f t="shared" si="19"/>
      </c>
      <c r="N113" s="1200">
        <f t="shared" si="19"/>
      </c>
      <c r="O113" s="1204">
        <f t="shared" si="21"/>
      </c>
      <c r="P113" s="1205"/>
      <c r="Q113" s="1205"/>
      <c r="R113" s="1206"/>
      <c r="S113" s="15"/>
      <c r="T113" s="120"/>
      <c r="U113" s="326">
        <f t="shared" si="22"/>
        <v>0</v>
      </c>
      <c r="V113" s="326">
        <f t="shared" si="23"/>
        <v>0</v>
      </c>
      <c r="W113" s="120"/>
      <c r="X113" s="875"/>
      <c r="Y113" s="875"/>
      <c r="Z113" s="875"/>
      <c r="AA113" s="875"/>
      <c r="AB113" s="875"/>
    </row>
    <row r="114" spans="1:28" s="376" customFormat="1" ht="16.5" customHeight="1">
      <c r="A114" s="11"/>
      <c r="B114" s="163"/>
      <c r="C114" s="1218" t="s">
        <v>100</v>
      </c>
      <c r="D114" s="1219"/>
      <c r="E114" s="1220"/>
      <c r="F114" s="406" t="s">
        <v>110</v>
      </c>
      <c r="G114" s="407" t="s">
        <v>155</v>
      </c>
      <c r="H114" s="1196">
        <f t="shared" si="20"/>
        <v>39.1</v>
      </c>
      <c r="I114" s="1197"/>
      <c r="J114" s="402">
        <f t="shared" si="18"/>
      </c>
      <c r="K114" s="1198">
        <f t="shared" si="19"/>
      </c>
      <c r="L114" s="1199">
        <f t="shared" si="19"/>
      </c>
      <c r="M114" s="1199">
        <f t="shared" si="19"/>
      </c>
      <c r="N114" s="1200">
        <f t="shared" si="19"/>
      </c>
      <c r="O114" s="1204">
        <f t="shared" si="21"/>
      </c>
      <c r="P114" s="1205"/>
      <c r="Q114" s="1205"/>
      <c r="R114" s="1206"/>
      <c r="S114" s="15"/>
      <c r="T114" s="120"/>
      <c r="U114" s="326">
        <f t="shared" si="22"/>
        <v>0</v>
      </c>
      <c r="V114" s="326">
        <f t="shared" si="23"/>
        <v>0</v>
      </c>
      <c r="W114" s="120"/>
      <c r="X114" s="875"/>
      <c r="Y114" s="875"/>
      <c r="Z114" s="875"/>
      <c r="AA114" s="875"/>
      <c r="AB114" s="875"/>
    </row>
    <row r="115" spans="1:28" s="376" customFormat="1" ht="16.5" customHeight="1">
      <c r="A115" s="11"/>
      <c r="B115" s="163"/>
      <c r="C115" s="1224"/>
      <c r="D115" s="1225"/>
      <c r="E115" s="1226"/>
      <c r="F115" s="406" t="s">
        <v>111</v>
      </c>
      <c r="G115" s="407" t="s">
        <v>155</v>
      </c>
      <c r="H115" s="1196">
        <f t="shared" si="20"/>
        <v>41.7</v>
      </c>
      <c r="I115" s="1197"/>
      <c r="J115" s="402">
        <f t="shared" si="18"/>
      </c>
      <c r="K115" s="1198">
        <f t="shared" si="19"/>
      </c>
      <c r="L115" s="1199">
        <f t="shared" si="19"/>
      </c>
      <c r="M115" s="1199">
        <f t="shared" si="19"/>
      </c>
      <c r="N115" s="1200">
        <f t="shared" si="19"/>
      </c>
      <c r="O115" s="1204">
        <f t="shared" si="21"/>
      </c>
      <c r="P115" s="1205"/>
      <c r="Q115" s="1205"/>
      <c r="R115" s="1206"/>
      <c r="S115" s="15"/>
      <c r="T115" s="120"/>
      <c r="U115" s="326">
        <f t="shared" si="22"/>
        <v>0</v>
      </c>
      <c r="V115" s="326">
        <f t="shared" si="23"/>
        <v>0</v>
      </c>
      <c r="W115" s="120"/>
      <c r="X115" s="875"/>
      <c r="Y115" s="875"/>
      <c r="Z115" s="875"/>
      <c r="AA115" s="875"/>
      <c r="AB115" s="875"/>
    </row>
    <row r="116" spans="1:28" s="376" customFormat="1" ht="16.5" customHeight="1">
      <c r="A116" s="11"/>
      <c r="B116" s="163"/>
      <c r="C116" s="1218"/>
      <c r="D116" s="1219"/>
      <c r="E116" s="1220"/>
      <c r="F116" s="406"/>
      <c r="G116" s="407" t="s">
        <v>156</v>
      </c>
      <c r="H116" s="1227">
        <f t="shared" si="20"/>
        <v>1.36</v>
      </c>
      <c r="I116" s="1228"/>
      <c r="J116" s="402">
        <f t="shared" si="18"/>
      </c>
      <c r="K116" s="1198">
        <f t="shared" si="19"/>
      </c>
      <c r="L116" s="1199">
        <f t="shared" si="19"/>
      </c>
      <c r="M116" s="1199">
        <f t="shared" si="19"/>
      </c>
      <c r="N116" s="1200">
        <f t="shared" si="19"/>
      </c>
      <c r="O116" s="1204">
        <f t="shared" si="21"/>
      </c>
      <c r="P116" s="1205"/>
      <c r="Q116" s="1205"/>
      <c r="R116" s="1206"/>
      <c r="S116" s="15"/>
      <c r="T116" s="120"/>
      <c r="U116" s="326">
        <f t="shared" si="22"/>
        <v>0</v>
      </c>
      <c r="V116" s="326">
        <f t="shared" si="23"/>
        <v>0</v>
      </c>
      <c r="W116" s="120"/>
      <c r="X116" s="875"/>
      <c r="Y116" s="875"/>
      <c r="Z116" s="875"/>
      <c r="AA116" s="875"/>
      <c r="AB116" s="875"/>
    </row>
    <row r="117" spans="1:28" s="376" customFormat="1" ht="16.5" customHeight="1">
      <c r="A117" s="11"/>
      <c r="B117" s="163"/>
      <c r="C117" s="1221"/>
      <c r="D117" s="1222"/>
      <c r="E117" s="1223"/>
      <c r="F117" s="406"/>
      <c r="G117" s="407" t="s">
        <v>83</v>
      </c>
      <c r="H117" s="1227">
        <f t="shared" si="20"/>
        <v>1.36</v>
      </c>
      <c r="I117" s="1228"/>
      <c r="J117" s="402">
        <f t="shared" si="18"/>
      </c>
      <c r="K117" s="1198">
        <f t="shared" si="19"/>
      </c>
      <c r="L117" s="1199">
        <f t="shared" si="19"/>
      </c>
      <c r="M117" s="1199">
        <f t="shared" si="19"/>
      </c>
      <c r="N117" s="1200">
        <f t="shared" si="19"/>
      </c>
      <c r="O117" s="1204">
        <f t="shared" si="21"/>
      </c>
      <c r="P117" s="1205"/>
      <c r="Q117" s="1205"/>
      <c r="R117" s="1206"/>
      <c r="S117" s="15"/>
      <c r="T117" s="120"/>
      <c r="U117" s="326">
        <f t="shared" si="22"/>
        <v>0</v>
      </c>
      <c r="V117" s="326">
        <f t="shared" si="23"/>
        <v>0</v>
      </c>
      <c r="W117" s="120"/>
      <c r="X117" s="875"/>
      <c r="Y117" s="875"/>
      <c r="Z117" s="875"/>
      <c r="AA117" s="875"/>
      <c r="AB117" s="875"/>
    </row>
    <row r="118" spans="1:28" s="376" customFormat="1" ht="16.5" customHeight="1">
      <c r="A118" s="11"/>
      <c r="B118" s="163"/>
      <c r="C118" s="1224">
        <f>IF(C97="","",C97)</f>
      </c>
      <c r="D118" s="1225"/>
      <c r="E118" s="1226">
        <f>IF(E97="","",E97)</f>
      </c>
      <c r="F118" s="408" t="str">
        <f>IF(F97="","",F97)</f>
        <v>蒸気</v>
      </c>
      <c r="G118" s="407" t="s">
        <v>157</v>
      </c>
      <c r="H118" s="1227">
        <f t="shared" si="20"/>
        <v>1.36</v>
      </c>
      <c r="I118" s="1228"/>
      <c r="J118" s="402">
        <f t="shared" si="18"/>
      </c>
      <c r="K118" s="1198">
        <f t="shared" si="19"/>
      </c>
      <c r="L118" s="1199">
        <f t="shared" si="19"/>
      </c>
      <c r="M118" s="1199">
        <f t="shared" si="19"/>
      </c>
      <c r="N118" s="1200">
        <f t="shared" si="19"/>
      </c>
      <c r="O118" s="1204">
        <f t="shared" si="21"/>
      </c>
      <c r="P118" s="1205"/>
      <c r="Q118" s="1205"/>
      <c r="R118" s="1206"/>
      <c r="S118" s="15"/>
      <c r="T118" s="120"/>
      <c r="U118" s="326">
        <f t="shared" si="22"/>
        <v>0</v>
      </c>
      <c r="V118" s="326">
        <f t="shared" si="23"/>
        <v>0</v>
      </c>
      <c r="W118" s="120"/>
      <c r="X118" s="875"/>
      <c r="Y118" s="875"/>
      <c r="Z118" s="875"/>
      <c r="AA118" s="875"/>
      <c r="AB118" s="875"/>
    </row>
    <row r="119" spans="1:28" s="376" customFormat="1" ht="16.5" customHeight="1">
      <c r="A119" s="11"/>
      <c r="B119" s="163"/>
      <c r="C119" s="1207" t="s">
        <v>164</v>
      </c>
      <c r="D119" s="1210">
        <f>IF(D98="","",D98)</f>
      </c>
      <c r="E119" s="1211"/>
      <c r="F119" s="647">
        <f aca="true" t="shared" si="24" ref="F119:G121">IF(F98="","",F98)</f>
      </c>
      <c r="G119" s="647">
        <f t="shared" si="24"/>
      </c>
      <c r="H119" s="1216" t="str">
        <f t="shared" si="20"/>
        <v>-</v>
      </c>
      <c r="I119" s="1217"/>
      <c r="J119" s="646">
        <f>IF(J98="","",J98)</f>
      </c>
      <c r="K119" s="1198">
        <f t="shared" si="19"/>
      </c>
      <c r="L119" s="1199">
        <f t="shared" si="19"/>
      </c>
      <c r="M119" s="1199">
        <f t="shared" si="19"/>
      </c>
      <c r="N119" s="1200">
        <f t="shared" si="19"/>
      </c>
      <c r="O119" s="1204">
        <f t="shared" si="21"/>
      </c>
      <c r="P119" s="1205"/>
      <c r="Q119" s="1205"/>
      <c r="R119" s="1206"/>
      <c r="S119" s="15"/>
      <c r="T119" s="120"/>
      <c r="U119" s="326">
        <f t="shared" si="22"/>
        <v>0</v>
      </c>
      <c r="V119" s="326">
        <f t="shared" si="23"/>
        <v>0</v>
      </c>
      <c r="W119" s="120"/>
      <c r="X119" s="206"/>
      <c r="Y119" s="875"/>
      <c r="Z119" s="206"/>
      <c r="AA119" s="206"/>
      <c r="AB119" s="875"/>
    </row>
    <row r="120" spans="1:28" s="376" customFormat="1" ht="16.5" customHeight="1">
      <c r="A120" s="11"/>
      <c r="B120" s="163"/>
      <c r="C120" s="1208"/>
      <c r="D120" s="1210">
        <f>IF(D99="","",D99)</f>
      </c>
      <c r="E120" s="1211"/>
      <c r="F120" s="647">
        <f t="shared" si="24"/>
      </c>
      <c r="G120" s="647">
        <f t="shared" si="24"/>
      </c>
      <c r="H120" s="1216" t="str">
        <f t="shared" si="20"/>
        <v>-</v>
      </c>
      <c r="I120" s="1217"/>
      <c r="J120" s="646">
        <f>IF(J99="","",J99)</f>
      </c>
      <c r="K120" s="1198">
        <f t="shared" si="19"/>
      </c>
      <c r="L120" s="1199">
        <f t="shared" si="19"/>
      </c>
      <c r="M120" s="1199">
        <f t="shared" si="19"/>
      </c>
      <c r="N120" s="1200">
        <f t="shared" si="19"/>
      </c>
      <c r="O120" s="1204">
        <f t="shared" si="21"/>
      </c>
      <c r="P120" s="1205"/>
      <c r="Q120" s="1205"/>
      <c r="R120" s="1206"/>
      <c r="S120" s="15"/>
      <c r="T120" s="120"/>
      <c r="U120" s="326">
        <f t="shared" si="22"/>
        <v>0</v>
      </c>
      <c r="V120" s="326">
        <f t="shared" si="23"/>
        <v>0</v>
      </c>
      <c r="W120" s="120"/>
      <c r="X120" s="206"/>
      <c r="Y120" s="875"/>
      <c r="Z120" s="206"/>
      <c r="AA120" s="206"/>
      <c r="AB120" s="875"/>
    </row>
    <row r="121" spans="1:28" s="376" customFormat="1" ht="16.5" customHeight="1" thickBot="1">
      <c r="A121" s="11"/>
      <c r="B121" s="163"/>
      <c r="C121" s="1209"/>
      <c r="D121" s="1210">
        <f>IF(D100="","",D100)</f>
      </c>
      <c r="E121" s="1211"/>
      <c r="F121" s="647">
        <f t="shared" si="24"/>
      </c>
      <c r="G121" s="647">
        <f t="shared" si="24"/>
      </c>
      <c r="H121" s="1234" t="str">
        <f t="shared" si="20"/>
        <v>-</v>
      </c>
      <c r="I121" s="1235"/>
      <c r="J121" s="646">
        <f>IF(J100="","",J100)</f>
      </c>
      <c r="K121" s="1236">
        <f t="shared" si="19"/>
      </c>
      <c r="L121" s="1237">
        <f t="shared" si="19"/>
      </c>
      <c r="M121" s="1237">
        <f t="shared" si="19"/>
      </c>
      <c r="N121" s="1238">
        <f t="shared" si="19"/>
      </c>
      <c r="O121" s="1231">
        <f t="shared" si="21"/>
      </c>
      <c r="P121" s="1232"/>
      <c r="Q121" s="1232"/>
      <c r="R121" s="1233"/>
      <c r="S121" s="15"/>
      <c r="T121" s="120"/>
      <c r="U121" s="326">
        <f t="shared" si="22"/>
        <v>0</v>
      </c>
      <c r="V121" s="326">
        <f t="shared" si="23"/>
        <v>0</v>
      </c>
      <c r="W121" s="120"/>
      <c r="X121" s="206"/>
      <c r="Y121" s="875"/>
      <c r="Z121" s="206"/>
      <c r="AA121" s="206"/>
      <c r="AB121" s="875"/>
    </row>
    <row r="122" spans="1:28" s="376" customFormat="1" ht="16.5" customHeight="1" thickBot="1" thickTop="1">
      <c r="A122" s="11"/>
      <c r="B122" s="163"/>
      <c r="C122" s="409"/>
      <c r="D122" s="410"/>
      <c r="E122" s="410"/>
      <c r="F122" s="410"/>
      <c r="G122" s="410" t="s">
        <v>158</v>
      </c>
      <c r="H122" s="410"/>
      <c r="I122" s="410"/>
      <c r="J122" s="410"/>
      <c r="K122" s="411"/>
      <c r="L122" s="411"/>
      <c r="M122" s="411"/>
      <c r="N122" s="412"/>
      <c r="O122" s="1201">
        <f>IF(SUM(O108:R121)=0,"",SUM(O108:R121))</f>
      </c>
      <c r="P122" s="1202"/>
      <c r="Q122" s="1202"/>
      <c r="R122" s="1203"/>
      <c r="S122" s="15"/>
      <c r="T122" s="120"/>
      <c r="U122" s="120"/>
      <c r="V122" s="326">
        <f>IF(O122="",0,O122)</f>
        <v>0</v>
      </c>
      <c r="W122" s="120"/>
      <c r="X122" s="875"/>
      <c r="Y122" s="875"/>
      <c r="Z122" s="875"/>
      <c r="AA122" s="875"/>
      <c r="AB122" s="875"/>
    </row>
    <row r="123" spans="1:28" s="376" customFormat="1" ht="51.75" customHeight="1" thickBot="1">
      <c r="A123" s="11"/>
      <c r="B123" s="163"/>
      <c r="C123" s="1360" t="s">
        <v>195</v>
      </c>
      <c r="D123" s="1361"/>
      <c r="E123" s="1362"/>
      <c r="F123" s="1291"/>
      <c r="G123" s="1291"/>
      <c r="H123" s="1291"/>
      <c r="I123" s="1291"/>
      <c r="J123" s="1291"/>
      <c r="K123" s="1291"/>
      <c r="L123" s="1291"/>
      <c r="M123" s="1291"/>
      <c r="N123" s="1291"/>
      <c r="O123" s="1291"/>
      <c r="P123" s="1291"/>
      <c r="Q123" s="1291"/>
      <c r="R123" s="1292"/>
      <c r="S123" s="15"/>
      <c r="T123" s="120"/>
      <c r="U123" s="120"/>
      <c r="V123" s="120"/>
      <c r="W123" s="120"/>
      <c r="X123" s="875"/>
      <c r="Y123" s="875"/>
      <c r="Z123" s="875"/>
      <c r="AA123" s="875"/>
      <c r="AB123" s="875"/>
    </row>
    <row r="124" spans="1:28" s="376" customFormat="1" ht="5.25" customHeight="1">
      <c r="A124" s="11"/>
      <c r="B124" s="163"/>
      <c r="C124" s="201"/>
      <c r="D124" s="201"/>
      <c r="E124" s="196"/>
      <c r="F124" s="371"/>
      <c r="G124" s="372"/>
      <c r="H124" s="373"/>
      <c r="I124" s="374"/>
      <c r="J124" s="374"/>
      <c r="K124" s="375"/>
      <c r="L124" s="375"/>
      <c r="M124" s="375"/>
      <c r="N124" s="375"/>
      <c r="O124" s="375"/>
      <c r="P124" s="375"/>
      <c r="Q124" s="375"/>
      <c r="R124" s="163"/>
      <c r="S124" s="305"/>
      <c r="T124" s="120"/>
      <c r="U124" s="301"/>
      <c r="V124" s="120"/>
      <c r="W124" s="301"/>
      <c r="X124" s="301"/>
      <c r="Y124" s="301"/>
      <c r="Z124" s="301"/>
      <c r="AA124" s="301"/>
      <c r="AB124" s="301"/>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94"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94"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95"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95"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95" stopIfTrue="1">
      <formula>(NOT(D119=D98))</formula>
    </cfRule>
  </conditionalFormatting>
  <conditionalFormatting sqref="K108:N118">
    <cfRule type="expression" priority="21" dxfId="34" stopIfTrue="1">
      <formula>($N$104="変更なし")</formula>
    </cfRule>
    <cfRule type="expression" priority="22" dxfId="95" stopIfTrue="1">
      <formula>(NOT(K87=K108))</formula>
    </cfRule>
  </conditionalFormatting>
  <conditionalFormatting sqref="K87:N97">
    <cfRule type="expression" priority="23" dxfId="34" stopIfTrue="1">
      <formula>($N$83="変更なし")</formula>
    </cfRule>
    <cfRule type="expression" priority="24" dxfId="95"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95"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6.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29" width="9.00390625" style="817" hidden="1" customWidth="1"/>
    <col min="30" max="30" width="17.00390625" style="817" hidden="1" customWidth="1"/>
    <col min="31" max="35" width="9.00390625" style="817" hidden="1" customWidth="1"/>
    <col min="36" max="16384" width="9.00390625" style="817" hidden="1" customWidth="1"/>
  </cols>
  <sheetData>
    <row r="1" spans="24:35" s="15" customFormat="1" ht="6" customHeight="1" thickBot="1">
      <c r="X1" s="120"/>
      <c r="Y1" s="120"/>
      <c r="Z1" s="120"/>
      <c r="AA1" s="120"/>
      <c r="AB1" s="120"/>
      <c r="AC1" s="120"/>
      <c r="AD1" s="120"/>
      <c r="AE1" s="120"/>
      <c r="AF1" s="120"/>
      <c r="AG1" s="120"/>
      <c r="AH1" s="120"/>
      <c r="AI1" s="120"/>
    </row>
    <row r="2" spans="1:35" s="15"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X2" s="815" t="str">
        <f>'評価結果表示'!O23</f>
        <v>対象外</v>
      </c>
      <c r="Y2" s="120"/>
      <c r="Z2" s="120"/>
      <c r="AA2" s="120"/>
      <c r="AB2" s="120"/>
      <c r="AC2" s="120"/>
      <c r="AD2" s="120"/>
      <c r="AE2" s="120"/>
      <c r="AF2" s="120"/>
      <c r="AG2" s="120"/>
      <c r="AH2" s="120"/>
      <c r="AI2" s="120"/>
    </row>
    <row r="3" spans="1:35" s="15" customFormat="1" ht="29.25" customHeight="1" thickBot="1">
      <c r="A3" s="10"/>
      <c r="B3" s="149"/>
      <c r="C3" s="419" t="s">
        <v>295</v>
      </c>
      <c r="D3" s="420"/>
      <c r="E3" s="421"/>
      <c r="F3" s="422"/>
      <c r="G3" s="422"/>
      <c r="H3" s="229"/>
      <c r="I3" s="423"/>
      <c r="J3" s="424"/>
      <c r="K3" s="424"/>
      <c r="L3" s="424"/>
      <c r="M3" s="424"/>
      <c r="N3" s="424"/>
      <c r="O3" s="424"/>
      <c r="P3" s="424"/>
      <c r="Q3" s="424"/>
      <c r="R3" s="424"/>
      <c r="S3" s="424"/>
      <c r="T3" s="424"/>
      <c r="U3" s="424"/>
      <c r="V3" s="425" t="str">
        <f>'評価結果表示'!O3</f>
        <v>Osakafu-新築・既存 2015V1.03</v>
      </c>
      <c r="X3" s="120"/>
      <c r="Y3" s="120"/>
      <c r="Z3" s="120"/>
      <c r="AA3" s="120"/>
      <c r="AB3" s="120"/>
      <c r="AC3" s="120"/>
      <c r="AD3" s="120"/>
      <c r="AE3" s="120"/>
      <c r="AF3" s="120"/>
      <c r="AG3" s="120"/>
      <c r="AH3" s="120"/>
      <c r="AI3" s="120"/>
    </row>
    <row r="4" spans="24:35" s="15" customFormat="1" ht="4.5" customHeight="1" thickBot="1">
      <c r="X4" s="120"/>
      <c r="Y4" s="120"/>
      <c r="Z4" s="120"/>
      <c r="AA4" s="120"/>
      <c r="AB4" s="120"/>
      <c r="AC4" s="120"/>
      <c r="AD4" s="120"/>
      <c r="AE4" s="120"/>
      <c r="AF4" s="120"/>
      <c r="AG4" s="120"/>
      <c r="AH4" s="120"/>
      <c r="AI4" s="120"/>
    </row>
    <row r="5" spans="3:35" s="15" customFormat="1" ht="21.75" customHeight="1" thickBot="1">
      <c r="C5" s="164" t="s">
        <v>103</v>
      </c>
      <c r="D5" s="165"/>
      <c r="E5" s="166"/>
      <c r="F5" s="166"/>
      <c r="G5" s="167"/>
      <c r="H5" s="306"/>
      <c r="I5" s="307"/>
      <c r="J5" s="1212" t="s">
        <v>315</v>
      </c>
      <c r="K5" s="1374"/>
      <c r="L5" s="1190"/>
      <c r="M5" s="1191"/>
      <c r="N5" s="1191"/>
      <c r="O5" s="1191"/>
      <c r="P5" s="1191"/>
      <c r="Q5" s="1191"/>
      <c r="R5" s="1191"/>
      <c r="S5" s="1191"/>
      <c r="T5" s="1191"/>
      <c r="U5" s="1191"/>
      <c r="V5" s="1192"/>
      <c r="X5" s="120"/>
      <c r="Y5" s="120"/>
      <c r="Z5" s="120"/>
      <c r="AA5" s="120"/>
      <c r="AB5" s="120"/>
      <c r="AC5" s="120"/>
      <c r="AD5" s="120"/>
      <c r="AE5" s="120"/>
      <c r="AF5" s="120"/>
      <c r="AG5" s="120"/>
      <c r="AH5" s="120"/>
      <c r="AI5" s="120"/>
    </row>
    <row r="6" spans="3:35" s="15" customFormat="1" ht="21.75" customHeight="1" thickBot="1">
      <c r="C6" s="164"/>
      <c r="D6" s="165"/>
      <c r="E6" s="166"/>
      <c r="F6" s="166"/>
      <c r="G6" s="167"/>
      <c r="H6" s="308"/>
      <c r="I6" s="309"/>
      <c r="J6" s="1214" t="s">
        <v>316</v>
      </c>
      <c r="K6" s="1373"/>
      <c r="L6" s="1193"/>
      <c r="M6" s="1194"/>
      <c r="N6" s="1194"/>
      <c r="O6" s="1194"/>
      <c r="P6" s="1194"/>
      <c r="Q6" s="1194"/>
      <c r="R6" s="1194"/>
      <c r="S6" s="1194"/>
      <c r="T6" s="1194"/>
      <c r="U6" s="1194"/>
      <c r="V6" s="1195"/>
      <c r="X6" s="120"/>
      <c r="Y6" s="120"/>
      <c r="Z6" s="120"/>
      <c r="AA6" s="120"/>
      <c r="AB6" s="120"/>
      <c r="AC6" s="120"/>
      <c r="AD6" s="120"/>
      <c r="AE6" s="120"/>
      <c r="AF6" s="120"/>
      <c r="AG6" s="120"/>
      <c r="AH6" s="120"/>
      <c r="AI6" s="120"/>
    </row>
    <row r="7" spans="24:35" s="15" customFormat="1" ht="4.5" customHeight="1" thickBot="1">
      <c r="X7" s="120"/>
      <c r="Y7" s="120"/>
      <c r="Z7" s="120"/>
      <c r="AA7" s="120"/>
      <c r="AB7" s="120"/>
      <c r="AC7" s="120"/>
      <c r="AD7" s="120"/>
      <c r="AE7" s="120"/>
      <c r="AF7" s="120"/>
      <c r="AG7" s="120"/>
      <c r="AH7" s="120"/>
      <c r="AI7" s="120"/>
    </row>
    <row r="8" spans="1:35" s="15" customFormat="1" ht="19.5" customHeight="1" thickBot="1">
      <c r="A8" s="10"/>
      <c r="B8" s="149"/>
      <c r="C8" s="164" t="s">
        <v>173</v>
      </c>
      <c r="D8" s="428"/>
      <c r="E8" s="428"/>
      <c r="F8" s="428"/>
      <c r="G8" s="429"/>
      <c r="H8" s="430"/>
      <c r="I8" s="430"/>
      <c r="J8" s="430"/>
      <c r="K8" s="430"/>
      <c r="L8" s="430"/>
      <c r="M8" s="430"/>
      <c r="N8" s="430"/>
      <c r="O8" s="430"/>
      <c r="P8" s="430"/>
      <c r="Q8" s="430"/>
      <c r="R8" s="430"/>
      <c r="S8" s="430"/>
      <c r="T8" s="430"/>
      <c r="U8" s="430"/>
      <c r="V8" s="430"/>
      <c r="X8" s="120"/>
      <c r="Y8" s="431" t="s">
        <v>230</v>
      </c>
      <c r="Z8" s="432"/>
      <c r="AA8" s="432"/>
      <c r="AB8" s="433"/>
      <c r="AC8" s="120"/>
      <c r="AD8" s="120"/>
      <c r="AE8" s="120"/>
      <c r="AF8" s="120"/>
      <c r="AG8" s="120"/>
      <c r="AH8" s="120"/>
      <c r="AI8" s="120"/>
    </row>
    <row r="9" spans="1:35" s="15" customFormat="1" ht="19.5" customHeight="1">
      <c r="A9" s="10"/>
      <c r="B9" s="149"/>
      <c r="C9" s="1375" t="str">
        <f>CONCATENATE("平成",AA10-1,"年度(平成",Y10,"年",Z10,"月～平成",AA10,"年3月)")</f>
        <v>平成27年度(平成27年4月～平成28年3月)</v>
      </c>
      <c r="D9" s="1376"/>
      <c r="E9" s="1376"/>
      <c r="F9" s="1376"/>
      <c r="G9" s="1376"/>
      <c r="H9" s="1376"/>
      <c r="I9" s="1376"/>
      <c r="J9" s="434"/>
      <c r="K9" s="434"/>
      <c r="L9" s="434"/>
      <c r="M9" s="434"/>
      <c r="N9" s="434"/>
      <c r="O9" s="434"/>
      <c r="P9" s="434"/>
      <c r="Q9" s="434"/>
      <c r="R9" s="434"/>
      <c r="S9" s="434"/>
      <c r="T9" s="434"/>
      <c r="U9" s="434"/>
      <c r="V9" s="435"/>
      <c r="X9" s="120"/>
      <c r="Y9" s="436" t="s">
        <v>231</v>
      </c>
      <c r="Z9" s="437" t="s">
        <v>232</v>
      </c>
      <c r="AA9" s="437" t="s">
        <v>233</v>
      </c>
      <c r="AB9" s="438" t="s">
        <v>234</v>
      </c>
      <c r="AC9" s="120"/>
      <c r="AD9" s="120"/>
      <c r="AE9" s="120"/>
      <c r="AF9" s="120"/>
      <c r="AG9" s="120"/>
      <c r="AH9" s="120"/>
      <c r="AI9" s="120"/>
    </row>
    <row r="10" spans="1:35" s="15"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X10" s="120"/>
      <c r="Y10" s="440">
        <f>'目標入力'!W9</f>
        <v>27</v>
      </c>
      <c r="Z10" s="441">
        <f>'目標入力'!Q8</f>
        <v>4</v>
      </c>
      <c r="AA10" s="441">
        <f>IF(Z10&lt;=3,Y10,Y10+1)</f>
        <v>28</v>
      </c>
      <c r="AB10" s="442">
        <v>3</v>
      </c>
      <c r="AC10" s="120"/>
      <c r="AD10" s="120"/>
      <c r="AE10" s="120"/>
      <c r="AF10" s="120"/>
      <c r="AG10" s="120"/>
      <c r="AH10" s="120"/>
      <c r="AI10" s="120"/>
    </row>
    <row r="11" spans="1:35" s="15"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X11" s="120" t="s">
        <v>440</v>
      </c>
      <c r="Y11" s="443" t="s">
        <v>193</v>
      </c>
      <c r="Z11" s="443" t="s">
        <v>190</v>
      </c>
      <c r="AA11" s="444" t="s">
        <v>191</v>
      </c>
      <c r="AB11" s="445" t="s">
        <v>193</v>
      </c>
      <c r="AC11" s="446" t="s">
        <v>36</v>
      </c>
      <c r="AD11" s="447" t="s">
        <v>205</v>
      </c>
      <c r="AE11" s="448"/>
      <c r="AF11" s="448" t="s">
        <v>19</v>
      </c>
      <c r="AG11" s="448" t="s">
        <v>283</v>
      </c>
      <c r="AH11" s="120"/>
      <c r="AI11" s="120"/>
    </row>
    <row r="12" spans="1:35" s="15" customFormat="1" ht="26.25" customHeight="1">
      <c r="A12" s="10"/>
      <c r="B12" s="149"/>
      <c r="C12" s="1379" t="s">
        <v>97</v>
      </c>
      <c r="D12" s="1380"/>
      <c r="E12" s="877"/>
      <c r="F12" s="878" t="s">
        <v>106</v>
      </c>
      <c r="G12" s="879">
        <f>'別表'!$E$36</f>
        <v>9.76</v>
      </c>
      <c r="H12" s="880">
        <f>IF('目標入力'!J12="","",'目標入力'!J12)</f>
      </c>
      <c r="I12" s="449">
        <f>IF(Z12=1,"",VLOOKUP(Z12,$AA$12:$AD$17,4,1))</f>
      </c>
      <c r="J12" s="70"/>
      <c r="K12" s="70"/>
      <c r="L12" s="70"/>
      <c r="M12" s="70"/>
      <c r="N12" s="70"/>
      <c r="O12" s="70"/>
      <c r="P12" s="70"/>
      <c r="Q12" s="70"/>
      <c r="R12" s="70"/>
      <c r="S12" s="70"/>
      <c r="T12" s="70"/>
      <c r="U12" s="71"/>
      <c r="V12" s="881"/>
      <c r="X12" s="120" t="str">
        <f>IF(COUNT(J12:U12)=0,"-","○")</f>
        <v>-</v>
      </c>
      <c r="Y12" s="450">
        <f>IF(('目標入力'!U12+'目標入力'!U66+'目標入力'!U87+'目標入力'!U108)&gt;0,1,0)</f>
        <v>0</v>
      </c>
      <c r="Z12" s="451">
        <f>IF(Y12=0,IF(OR(SUM(J12:U12)&gt;0,V12&gt;0),2,1),IF(AND(SUM(J12:U12)=0,V12=0),3,IF(AND(SUM(J12:U12)&gt;0,V12&gt;0),6,IF(V12&gt;0,5,4))))</f>
        <v>1</v>
      </c>
      <c r="AA12" s="452">
        <v>1</v>
      </c>
      <c r="AB12" s="453" t="s">
        <v>198</v>
      </c>
      <c r="AC12" s="454" t="s">
        <v>199</v>
      </c>
      <c r="AD12" s="455"/>
      <c r="AE12" s="448"/>
      <c r="AF12" s="456">
        <f>IF(OR(Z12=4,Z12=5),IF(Z12=4,SUM(J12:U12),V12),0)</f>
        <v>0</v>
      </c>
      <c r="AG12" s="456">
        <f>IF(H12="",G12*AF12,H12*AF12)</f>
        <v>0</v>
      </c>
      <c r="AH12" s="120"/>
      <c r="AI12" s="120"/>
    </row>
    <row r="13" spans="1:35" s="15" customFormat="1" ht="26.25" customHeight="1">
      <c r="A13" s="10"/>
      <c r="B13" s="149"/>
      <c r="C13" s="1377"/>
      <c r="D13" s="1381"/>
      <c r="E13" s="515" t="s">
        <v>214</v>
      </c>
      <c r="F13" s="84" t="s">
        <v>106</v>
      </c>
      <c r="G13" s="458">
        <f>'別表'!$E$34</f>
        <v>9.97</v>
      </c>
      <c r="H13" s="459">
        <f>IF('目標入力'!J13="","",'目標入力'!J13)</f>
      </c>
      <c r="I13" s="460">
        <f aca="true" t="shared" si="0" ref="I13:I25">IF(Z13=1,"",VLOOKUP(Z13,$AA$12:$AD$17,4,1))</f>
      </c>
      <c r="J13" s="72"/>
      <c r="K13" s="72"/>
      <c r="L13" s="72"/>
      <c r="M13" s="72"/>
      <c r="N13" s="72"/>
      <c r="O13" s="72"/>
      <c r="P13" s="72"/>
      <c r="Q13" s="72"/>
      <c r="R13" s="72"/>
      <c r="S13" s="72"/>
      <c r="T13" s="72"/>
      <c r="U13" s="73"/>
      <c r="V13" s="80"/>
      <c r="X13" s="120" t="str">
        <f aca="true" t="shared" si="1" ref="X13:X25">IF(COUNT(J13:U13)=0,"-","○")</f>
        <v>-</v>
      </c>
      <c r="Y13" s="450">
        <f>IF(('目標入力'!U13+'目標入力'!U67+'目標入力'!U88+'目標入力'!U109)&gt;0,1,0)</f>
        <v>0</v>
      </c>
      <c r="Z13" s="451">
        <f aca="true" t="shared" si="2" ref="Z13:Z25">IF(Y13=0,IF(OR(SUM(J13:U13)&gt;0,V13&gt;0),2,1),IF(AND(SUM(J13:U13)=0,V13=0),3,IF(AND(SUM(J13:U13)&gt;0,V13&gt;0),6,IF(V13&gt;0,5,4))))</f>
        <v>1</v>
      </c>
      <c r="AA13" s="452">
        <v>2</v>
      </c>
      <c r="AB13" s="454" t="s">
        <v>198</v>
      </c>
      <c r="AC13" s="454" t="s">
        <v>200</v>
      </c>
      <c r="AD13" s="455" t="s">
        <v>202</v>
      </c>
      <c r="AE13" s="448"/>
      <c r="AF13" s="456">
        <f aca="true" t="shared" si="3" ref="AF13:AF22">IF(OR(Z13=4,Z13=5),IF(Z13=4,SUM(J13:U13),V13),0)</f>
        <v>0</v>
      </c>
      <c r="AG13" s="456">
        <f aca="true" t="shared" si="4" ref="AG13:AG22">IF(H13="",G13*AF13,H13*AF13)</f>
        <v>0</v>
      </c>
      <c r="AH13" s="120"/>
      <c r="AI13" s="120"/>
    </row>
    <row r="14" spans="1:35" s="15" customFormat="1" ht="26.25" customHeight="1">
      <c r="A14" s="10"/>
      <c r="B14" s="149"/>
      <c r="C14" s="1377"/>
      <c r="D14" s="1381"/>
      <c r="E14" s="516"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X14" s="120" t="str">
        <f t="shared" si="1"/>
        <v>-</v>
      </c>
      <c r="Y14" s="450">
        <f>IF(('目標入力'!U14+'目標入力'!U68+'目標入力'!U89+'目標入力'!U110)&gt;0,1,0)</f>
        <v>0</v>
      </c>
      <c r="Z14" s="451">
        <f t="shared" si="2"/>
        <v>1</v>
      </c>
      <c r="AA14" s="452">
        <v>3</v>
      </c>
      <c r="AB14" s="454" t="s">
        <v>200</v>
      </c>
      <c r="AC14" s="454" t="s">
        <v>199</v>
      </c>
      <c r="AD14" s="465" t="s">
        <v>203</v>
      </c>
      <c r="AE14" s="466"/>
      <c r="AF14" s="456">
        <f t="shared" si="3"/>
        <v>0</v>
      </c>
      <c r="AG14" s="456">
        <f t="shared" si="4"/>
        <v>0</v>
      </c>
      <c r="AH14" s="120"/>
      <c r="AI14" s="120"/>
    </row>
    <row r="15" spans="1:35" s="15" customFormat="1" ht="26.25" customHeight="1">
      <c r="A15" s="10"/>
      <c r="B15" s="149"/>
      <c r="C15" s="1377" t="s">
        <v>98</v>
      </c>
      <c r="D15" s="1378"/>
      <c r="E15" s="517" t="s">
        <v>188</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X15" s="120" t="str">
        <f t="shared" si="1"/>
        <v>-</v>
      </c>
      <c r="Y15" s="450">
        <f>IF(('目標入力'!U15+'目標入力'!U69+'目標入力'!U90+'目標入力'!U111)&gt;0,1,0)</f>
        <v>0</v>
      </c>
      <c r="Z15" s="451">
        <f t="shared" si="2"/>
        <v>1</v>
      </c>
      <c r="AA15" s="452">
        <v>4</v>
      </c>
      <c r="AB15" s="454" t="s">
        <v>200</v>
      </c>
      <c r="AC15" s="454" t="s">
        <v>201</v>
      </c>
      <c r="AD15" s="465" t="s">
        <v>192</v>
      </c>
      <c r="AE15" s="466"/>
      <c r="AF15" s="456">
        <f t="shared" si="3"/>
        <v>0</v>
      </c>
      <c r="AG15" s="456">
        <f t="shared" si="4"/>
        <v>0</v>
      </c>
      <c r="AH15" s="120"/>
      <c r="AI15" s="120"/>
    </row>
    <row r="16" spans="1:35" s="15" customFormat="1" ht="26.25" customHeight="1">
      <c r="A16" s="10"/>
      <c r="B16" s="149"/>
      <c r="C16" s="1410" t="s">
        <v>152</v>
      </c>
      <c r="D16" s="1411"/>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X16" s="120" t="str">
        <f t="shared" si="1"/>
        <v>-</v>
      </c>
      <c r="Y16" s="450">
        <f>IF(('目標入力'!U16+'目標入力'!U70+'目標入力'!U91+'目標入力'!U112)&gt;0,1,0)</f>
        <v>0</v>
      </c>
      <c r="Z16" s="451">
        <f t="shared" si="2"/>
        <v>1</v>
      </c>
      <c r="AA16" s="452">
        <v>5</v>
      </c>
      <c r="AB16" s="454" t="s">
        <v>200</v>
      </c>
      <c r="AC16" s="454" t="s">
        <v>196</v>
      </c>
      <c r="AD16" s="465" t="s">
        <v>19</v>
      </c>
      <c r="AE16" s="466"/>
      <c r="AF16" s="456">
        <f t="shared" si="3"/>
        <v>0</v>
      </c>
      <c r="AG16" s="456">
        <f t="shared" si="4"/>
        <v>0</v>
      </c>
      <c r="AH16" s="120"/>
      <c r="AI16" s="120"/>
    </row>
    <row r="17" spans="1:35" s="15" customFormat="1" ht="26.25" customHeight="1" thickBot="1">
      <c r="A17" s="10"/>
      <c r="B17" s="149"/>
      <c r="C17" s="1387" t="s">
        <v>99</v>
      </c>
      <c r="D17" s="1388"/>
      <c r="E17" s="510"/>
      <c r="F17" s="88" t="s">
        <v>189</v>
      </c>
      <c r="G17" s="468">
        <f>'別表'!$E$18</f>
        <v>36.7</v>
      </c>
      <c r="H17" s="473">
        <f>IF('目標入力'!J17="","",'目標入力'!J17)</f>
      </c>
      <c r="I17" s="472">
        <f t="shared" si="0"/>
      </c>
      <c r="J17" s="76"/>
      <c r="K17" s="76"/>
      <c r="L17" s="76"/>
      <c r="M17" s="76"/>
      <c r="N17" s="76"/>
      <c r="O17" s="76"/>
      <c r="P17" s="76"/>
      <c r="Q17" s="76"/>
      <c r="R17" s="76"/>
      <c r="S17" s="76"/>
      <c r="T17" s="76"/>
      <c r="U17" s="77"/>
      <c r="V17" s="83"/>
      <c r="X17" s="120" t="str">
        <f t="shared" si="1"/>
        <v>-</v>
      </c>
      <c r="Y17" s="450">
        <f>IF(('目標入力'!U17+'目標入力'!U71+'目標入力'!U92+'目標入力'!U113)&gt;0,1,0)</f>
        <v>0</v>
      </c>
      <c r="Z17" s="451">
        <f t="shared" si="2"/>
        <v>1</v>
      </c>
      <c r="AA17" s="474">
        <v>6</v>
      </c>
      <c r="AB17" s="475" t="s">
        <v>200</v>
      </c>
      <c r="AC17" s="475" t="s">
        <v>197</v>
      </c>
      <c r="AD17" s="476" t="s">
        <v>204</v>
      </c>
      <c r="AE17" s="466"/>
      <c r="AF17" s="456">
        <f t="shared" si="3"/>
        <v>0</v>
      </c>
      <c r="AG17" s="456">
        <f t="shared" si="4"/>
        <v>0</v>
      </c>
      <c r="AH17" s="120"/>
      <c r="AI17" s="120"/>
    </row>
    <row r="18" spans="1:35" s="15" customFormat="1" ht="26.25" customHeight="1">
      <c r="A18" s="10"/>
      <c r="B18" s="149"/>
      <c r="C18" s="1377" t="s">
        <v>100</v>
      </c>
      <c r="D18" s="1378"/>
      <c r="E18" s="511" t="s">
        <v>110</v>
      </c>
      <c r="F18" s="88" t="s">
        <v>189</v>
      </c>
      <c r="G18" s="468">
        <f>'別表'!$E$20</f>
        <v>39.1</v>
      </c>
      <c r="H18" s="473">
        <f>IF('目標入力'!J18="","",'目標入力'!J18)</f>
      </c>
      <c r="I18" s="472">
        <f t="shared" si="0"/>
      </c>
      <c r="J18" s="76"/>
      <c r="K18" s="76"/>
      <c r="L18" s="76"/>
      <c r="M18" s="76"/>
      <c r="N18" s="76"/>
      <c r="O18" s="76"/>
      <c r="P18" s="76"/>
      <c r="Q18" s="76"/>
      <c r="R18" s="76"/>
      <c r="S18" s="76"/>
      <c r="T18" s="76"/>
      <c r="U18" s="77"/>
      <c r="V18" s="82"/>
      <c r="X18" s="120" t="str">
        <f t="shared" si="1"/>
        <v>-</v>
      </c>
      <c r="Y18" s="450">
        <f>IF(('目標入力'!U18+'目標入力'!U72+'目標入力'!U93+'目標入力'!U114)&gt;0,1,0)</f>
        <v>0</v>
      </c>
      <c r="Z18" s="451">
        <f t="shared" si="2"/>
        <v>1</v>
      </c>
      <c r="AA18" s="120"/>
      <c r="AB18" s="120"/>
      <c r="AC18" s="120"/>
      <c r="AD18" s="120"/>
      <c r="AE18" s="120"/>
      <c r="AF18" s="456">
        <f t="shared" si="3"/>
        <v>0</v>
      </c>
      <c r="AG18" s="456">
        <f t="shared" si="4"/>
        <v>0</v>
      </c>
      <c r="AH18" s="120"/>
      <c r="AI18" s="120"/>
    </row>
    <row r="19" spans="1:35" s="15" customFormat="1" ht="26.25" customHeight="1">
      <c r="A19" s="10"/>
      <c r="B19" s="149"/>
      <c r="C19" s="1377"/>
      <c r="D19" s="1378"/>
      <c r="E19" s="518" t="s">
        <v>111</v>
      </c>
      <c r="F19" s="88" t="s">
        <v>189</v>
      </c>
      <c r="G19" s="468">
        <f>'別表'!$E$21</f>
        <v>41.7</v>
      </c>
      <c r="H19" s="473">
        <f>IF('目標入力'!J19="","",'目標入力'!J19)</f>
      </c>
      <c r="I19" s="472">
        <f t="shared" si="0"/>
      </c>
      <c r="J19" s="76"/>
      <c r="K19" s="76"/>
      <c r="L19" s="76"/>
      <c r="M19" s="76"/>
      <c r="N19" s="76"/>
      <c r="O19" s="76"/>
      <c r="P19" s="76"/>
      <c r="Q19" s="76"/>
      <c r="R19" s="76"/>
      <c r="S19" s="76"/>
      <c r="T19" s="76"/>
      <c r="U19" s="77"/>
      <c r="V19" s="82"/>
      <c r="X19" s="120" t="str">
        <f t="shared" si="1"/>
        <v>-</v>
      </c>
      <c r="Y19" s="450">
        <f>IF(('目標入力'!U19+'目標入力'!U73+'目標入力'!U94+'目標入力'!U115)&gt;0,1,0)</f>
        <v>0</v>
      </c>
      <c r="Z19" s="451">
        <f t="shared" si="2"/>
        <v>1</v>
      </c>
      <c r="AA19" s="466"/>
      <c r="AB19" s="120"/>
      <c r="AC19" s="120"/>
      <c r="AD19" s="120"/>
      <c r="AE19" s="120"/>
      <c r="AF19" s="456">
        <f t="shared" si="3"/>
        <v>0</v>
      </c>
      <c r="AG19" s="456">
        <f t="shared" si="4"/>
        <v>0</v>
      </c>
      <c r="AH19" s="120"/>
      <c r="AI19" s="120"/>
    </row>
    <row r="20" spans="1:35" s="15" customFormat="1" ht="26.25" customHeight="1">
      <c r="A20" s="10"/>
      <c r="B20" s="149"/>
      <c r="C20" s="1377" t="s">
        <v>101</v>
      </c>
      <c r="D20" s="1378"/>
      <c r="E20" s="518"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X20" s="120" t="str">
        <f t="shared" si="1"/>
        <v>-</v>
      </c>
      <c r="Y20" s="450">
        <f>IF(('目標入力'!U20+'目標入力'!U74+'目標入力'!U95+'目標入力'!U116)&gt;0,1,0)</f>
        <v>0</v>
      </c>
      <c r="Z20" s="451">
        <f t="shared" si="2"/>
        <v>1</v>
      </c>
      <c r="AA20" s="466"/>
      <c r="AB20" s="120"/>
      <c r="AC20" s="120"/>
      <c r="AD20" s="120"/>
      <c r="AE20" s="120"/>
      <c r="AF20" s="456">
        <f t="shared" si="3"/>
        <v>0</v>
      </c>
      <c r="AG20" s="456">
        <f t="shared" si="4"/>
        <v>0</v>
      </c>
      <c r="AH20" s="120"/>
      <c r="AI20" s="120"/>
    </row>
    <row r="21" spans="1:35" s="15" customFormat="1" ht="26.25" customHeight="1">
      <c r="A21" s="10"/>
      <c r="B21" s="149"/>
      <c r="C21" s="1377"/>
      <c r="D21" s="1378"/>
      <c r="E21" s="518"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X21" s="120" t="str">
        <f t="shared" si="1"/>
        <v>-</v>
      </c>
      <c r="Y21" s="450">
        <f>IF(('目標入力'!U21+'目標入力'!U75+'目標入力'!U96+'目標入力'!U117)&gt;0,1,0)</f>
        <v>0</v>
      </c>
      <c r="Z21" s="451">
        <f t="shared" si="2"/>
        <v>1</v>
      </c>
      <c r="AA21" s="466"/>
      <c r="AB21" s="120"/>
      <c r="AC21" s="120"/>
      <c r="AD21" s="120"/>
      <c r="AE21" s="120"/>
      <c r="AF21" s="456">
        <f t="shared" si="3"/>
        <v>0</v>
      </c>
      <c r="AG21" s="456">
        <f t="shared" si="4"/>
        <v>0</v>
      </c>
      <c r="AH21" s="120"/>
      <c r="AI21" s="120"/>
    </row>
    <row r="22" spans="1:35" s="15" customFormat="1" ht="26.25" customHeight="1">
      <c r="A22" s="10"/>
      <c r="B22" s="197"/>
      <c r="C22" s="1377"/>
      <c r="D22" s="1378"/>
      <c r="E22" s="518"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X22" s="120" t="str">
        <f t="shared" si="1"/>
        <v>-</v>
      </c>
      <c r="Y22" s="450">
        <f>IF(('目標入力'!U22+'目標入力'!U76+'目標入力'!U97+'目標入力'!U118)&gt;0,1,0)</f>
        <v>0</v>
      </c>
      <c r="Z22" s="451">
        <f t="shared" si="2"/>
        <v>1</v>
      </c>
      <c r="AA22" s="466"/>
      <c r="AB22" s="120"/>
      <c r="AC22" s="120"/>
      <c r="AD22" s="120"/>
      <c r="AE22" s="120"/>
      <c r="AF22" s="456">
        <f t="shared" si="3"/>
        <v>0</v>
      </c>
      <c r="AG22" s="456">
        <f t="shared" si="4"/>
        <v>0</v>
      </c>
      <c r="AH22" s="120"/>
      <c r="AI22" s="120"/>
    </row>
    <row r="23" spans="1:35" s="15" customFormat="1" ht="26.25" customHeight="1">
      <c r="A23" s="10"/>
      <c r="B23" s="149"/>
      <c r="C23" s="1403" t="s">
        <v>164</v>
      </c>
      <c r="D23" s="519">
        <f>IF('目標入力'!D23="","",'目標入力'!D23)</f>
      </c>
      <c r="E23" s="519">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X23" s="120" t="str">
        <f t="shared" si="1"/>
        <v>-</v>
      </c>
      <c r="Y23" s="450">
        <f>IF(('目標入力'!U23+'目標入力'!U77+'目標入力'!U98+'目標入力'!U119)&gt;0,1,0)</f>
        <v>0</v>
      </c>
      <c r="Z23" s="451">
        <f t="shared" si="2"/>
        <v>1</v>
      </c>
      <c r="AA23" s="466"/>
      <c r="AB23" s="120"/>
      <c r="AC23" s="120"/>
      <c r="AD23" s="120"/>
      <c r="AE23" s="120"/>
      <c r="AF23" s="544">
        <f>IF(OR(Z23=2,Z23=4,Z23=5),IF(Z23=2,IF(SUM(J23:U23)&gt;0,SUM(J23:U23),V23),IF(Z23=4,SUM(J23:U23),V23)),0)</f>
        <v>0</v>
      </c>
      <c r="AG23" s="456">
        <f>IF(H23="",0,H23*AF23)</f>
        <v>0</v>
      </c>
      <c r="AH23" s="120"/>
      <c r="AI23" s="120"/>
    </row>
    <row r="24" spans="1:35" s="15" customFormat="1" ht="26.25" customHeight="1">
      <c r="A24" s="10"/>
      <c r="B24" s="149"/>
      <c r="C24" s="1404"/>
      <c r="D24" s="520">
        <f>IF('目標入力'!B24="","",'目標入力'!B24)</f>
      </c>
      <c r="E24" s="520">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X24" s="120" t="str">
        <f t="shared" si="1"/>
        <v>-</v>
      </c>
      <c r="Y24" s="450">
        <f>IF(('目標入力'!U24+'目標入力'!U78+'目標入力'!U99+'目標入力'!U120)&gt;0,1,0)</f>
        <v>0</v>
      </c>
      <c r="Z24" s="451">
        <f t="shared" si="2"/>
        <v>1</v>
      </c>
      <c r="AA24" s="466"/>
      <c r="AB24" s="466"/>
      <c r="AC24" s="466"/>
      <c r="AD24" s="120"/>
      <c r="AE24" s="120"/>
      <c r="AF24" s="544">
        <f>IF(OR(Z24=2,Z24=4,Z24=5),IF(Z24=2,IF(SUM(J24:U24)&gt;0,SUM(J24:U24),V24),IF(Z24=4,SUM(J24:U24),V24)),0)</f>
        <v>0</v>
      </c>
      <c r="AG24" s="456">
        <f>IF(H24="",0,H24*AF24)</f>
        <v>0</v>
      </c>
      <c r="AH24" s="120"/>
      <c r="AI24" s="120"/>
    </row>
    <row r="25" spans="1:35" s="15" customFormat="1" ht="26.25" customHeight="1" thickBot="1">
      <c r="A25" s="10"/>
      <c r="B25" s="197"/>
      <c r="C25" s="1405"/>
      <c r="D25" s="521">
        <f>IF('目標入力'!B25="","",'目標入力'!B25)</f>
      </c>
      <c r="E25" s="521">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X25" s="120" t="str">
        <f t="shared" si="1"/>
        <v>-</v>
      </c>
      <c r="Y25" s="487">
        <f>IF(('目標入力'!U25+'目標入力'!U79+'目標入力'!U100+'目標入力'!U121)&gt;0,1,0)</f>
        <v>0</v>
      </c>
      <c r="Z25" s="488">
        <f t="shared" si="2"/>
        <v>1</v>
      </c>
      <c r="AA25" s="466"/>
      <c r="AB25" s="466"/>
      <c r="AC25" s="466"/>
      <c r="AD25" s="120"/>
      <c r="AE25" s="120"/>
      <c r="AF25" s="544">
        <f>IF(OR(Z25=2,Z25=4,Z25=5),IF(Z25=2,IF(SUM(J25:U25)&gt;0,SUM(J25:U25),V25),IF(Z25=4,SUM(J25:U25),V25)),0)</f>
        <v>0</v>
      </c>
      <c r="AG25" s="456">
        <f>IF(H25="",0,H25*AF25)</f>
        <v>0</v>
      </c>
      <c r="AH25" s="120"/>
      <c r="AI25" s="120"/>
    </row>
    <row r="26" spans="1:35" s="15" customFormat="1" ht="11.25" customHeight="1" thickBot="1">
      <c r="A26" s="10"/>
      <c r="B26" s="197"/>
      <c r="C26" s="522"/>
      <c r="D26" s="523"/>
      <c r="E26" s="523"/>
      <c r="F26" s="523"/>
      <c r="G26" s="523"/>
      <c r="H26" s="523"/>
      <c r="I26" s="523"/>
      <c r="J26" s="523"/>
      <c r="K26" s="523"/>
      <c r="L26" s="523"/>
      <c r="M26" s="523"/>
      <c r="N26" s="523"/>
      <c r="O26" s="523"/>
      <c r="P26" s="523"/>
      <c r="Q26" s="523"/>
      <c r="R26" s="523"/>
      <c r="S26" s="523"/>
      <c r="T26" s="523"/>
      <c r="U26" s="523"/>
      <c r="V26" s="524"/>
      <c r="X26" s="120"/>
      <c r="Y26" s="120"/>
      <c r="Z26" s="120"/>
      <c r="AA26" s="120"/>
      <c r="AB26" s="120"/>
      <c r="AC26" s="120"/>
      <c r="AD26" s="120"/>
      <c r="AE26" s="120"/>
      <c r="AF26" s="492">
        <f>SUM(AG12:AG25)</f>
        <v>0</v>
      </c>
      <c r="AG26" s="326"/>
      <c r="AH26" s="120"/>
      <c r="AI26" s="120"/>
    </row>
    <row r="27" spans="1:35" s="15"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X27" s="120"/>
      <c r="Y27" s="120"/>
      <c r="Z27" s="120"/>
      <c r="AA27" s="120"/>
      <c r="AB27" s="120"/>
      <c r="AC27" s="120"/>
      <c r="AD27" s="120"/>
      <c r="AE27" s="120"/>
      <c r="AF27" s="120"/>
      <c r="AG27" s="120"/>
      <c r="AH27" s="120"/>
      <c r="AI27" s="120"/>
    </row>
    <row r="28" spans="1:35" s="15" customFormat="1" ht="120.75" customHeight="1" thickBot="1">
      <c r="A28" s="10"/>
      <c r="B28" s="149"/>
      <c r="C28" s="1392" t="s">
        <v>216</v>
      </c>
      <c r="D28" s="1393"/>
      <c r="E28" s="1406"/>
      <c r="F28" s="1407"/>
      <c r="G28" s="1407"/>
      <c r="H28" s="1407"/>
      <c r="I28" s="1409"/>
      <c r="J28" s="1394" t="s">
        <v>217</v>
      </c>
      <c r="K28" s="1395"/>
      <c r="L28" s="1406"/>
      <c r="M28" s="1407"/>
      <c r="N28" s="1407"/>
      <c r="O28" s="1407"/>
      <c r="P28" s="1407"/>
      <c r="Q28" s="1407"/>
      <c r="R28" s="1407"/>
      <c r="S28" s="1407"/>
      <c r="T28" s="1407"/>
      <c r="U28" s="1407"/>
      <c r="V28" s="1408"/>
      <c r="X28" s="120"/>
      <c r="Y28" s="120"/>
      <c r="Z28" s="120"/>
      <c r="AA28" s="120"/>
      <c r="AB28" s="120"/>
      <c r="AC28" s="120"/>
      <c r="AD28" s="120"/>
      <c r="AE28" s="120"/>
      <c r="AF28" s="120"/>
      <c r="AG28" s="120"/>
      <c r="AH28" s="120"/>
      <c r="AI28" s="120"/>
    </row>
    <row r="29" spans="1:35" s="15"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X29" s="120"/>
      <c r="Y29" s="120"/>
      <c r="Z29" s="120"/>
      <c r="AA29" s="120"/>
      <c r="AB29" s="120"/>
      <c r="AC29" s="120"/>
      <c r="AD29" s="120"/>
      <c r="AE29" s="120"/>
      <c r="AF29" s="120"/>
      <c r="AG29" s="120"/>
      <c r="AH29" s="120"/>
      <c r="AI29" s="120"/>
    </row>
    <row r="30" spans="1:35" s="505"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X30" s="214"/>
      <c r="Y30" s="214"/>
      <c r="Z30" s="214"/>
      <c r="AA30" s="214"/>
      <c r="AB30" s="214"/>
      <c r="AC30" s="214"/>
      <c r="AD30" s="214"/>
      <c r="AE30" s="214"/>
      <c r="AF30" s="214"/>
      <c r="AG30" s="214"/>
      <c r="AH30" s="214"/>
      <c r="AI30" s="214"/>
    </row>
    <row r="31" spans="1:35" s="505"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X31" s="214"/>
      <c r="Y31" s="214"/>
      <c r="Z31" s="214"/>
      <c r="AA31" s="214"/>
      <c r="AB31" s="214"/>
      <c r="AC31" s="214"/>
      <c r="AD31" s="214"/>
      <c r="AE31" s="214"/>
      <c r="AF31" s="214"/>
      <c r="AG31" s="214"/>
      <c r="AH31" s="214"/>
      <c r="AI31" s="214"/>
    </row>
    <row r="32" spans="1:35" s="505" customFormat="1" ht="12.75" customHeight="1">
      <c r="A32" s="504"/>
      <c r="B32" s="199"/>
      <c r="C32" s="1389" t="s">
        <v>209</v>
      </c>
      <c r="D32" s="1390"/>
      <c r="E32" s="1390"/>
      <c r="F32" s="1390"/>
      <c r="G32" s="1390"/>
      <c r="H32" s="1390"/>
      <c r="I32" s="1390"/>
      <c r="J32" s="1390"/>
      <c r="K32" s="1390"/>
      <c r="L32" s="1390"/>
      <c r="M32" s="1390"/>
      <c r="N32" s="1390"/>
      <c r="O32" s="1390"/>
      <c r="P32" s="1390"/>
      <c r="Q32" s="1390"/>
      <c r="R32" s="1390"/>
      <c r="S32" s="1390"/>
      <c r="T32" s="1390"/>
      <c r="U32" s="1390"/>
      <c r="V32" s="1391"/>
      <c r="X32" s="214"/>
      <c r="Y32" s="214"/>
      <c r="Z32" s="214"/>
      <c r="AA32" s="214"/>
      <c r="AB32" s="214"/>
      <c r="AC32" s="214"/>
      <c r="AD32" s="214"/>
      <c r="AE32" s="214"/>
      <c r="AF32" s="214"/>
      <c r="AG32" s="214"/>
      <c r="AH32" s="214"/>
      <c r="AI32" s="214"/>
    </row>
    <row r="33" spans="1:35" s="505" customFormat="1" ht="12.75" customHeight="1">
      <c r="A33" s="504"/>
      <c r="B33" s="199"/>
      <c r="C33" s="1389" t="s">
        <v>210</v>
      </c>
      <c r="D33" s="1390"/>
      <c r="E33" s="1390"/>
      <c r="F33" s="1390"/>
      <c r="G33" s="1390"/>
      <c r="H33" s="1390"/>
      <c r="I33" s="1390"/>
      <c r="J33" s="1390"/>
      <c r="K33" s="1390"/>
      <c r="L33" s="1390"/>
      <c r="M33" s="1390"/>
      <c r="N33" s="1390"/>
      <c r="O33" s="1390"/>
      <c r="P33" s="1390"/>
      <c r="Q33" s="1390"/>
      <c r="R33" s="1390"/>
      <c r="S33" s="1390"/>
      <c r="T33" s="1390"/>
      <c r="U33" s="1390"/>
      <c r="V33" s="1391"/>
      <c r="X33" s="214"/>
      <c r="Y33" s="214"/>
      <c r="Z33" s="214"/>
      <c r="AA33" s="214"/>
      <c r="AB33" s="214"/>
      <c r="AC33" s="214"/>
      <c r="AD33" s="214"/>
      <c r="AE33" s="214"/>
      <c r="AF33" s="214"/>
      <c r="AG33" s="214"/>
      <c r="AH33" s="214"/>
      <c r="AI33" s="214"/>
    </row>
    <row r="34" spans="1:35" s="505" customFormat="1" ht="12.75" customHeight="1">
      <c r="A34" s="504"/>
      <c r="B34" s="199"/>
      <c r="C34" s="1370" t="s">
        <v>219</v>
      </c>
      <c r="D34" s="1371"/>
      <c r="E34" s="1371"/>
      <c r="F34" s="1371"/>
      <c r="G34" s="1371"/>
      <c r="H34" s="1371"/>
      <c r="I34" s="1371"/>
      <c r="J34" s="1371"/>
      <c r="K34" s="1371"/>
      <c r="L34" s="1371"/>
      <c r="M34" s="1371"/>
      <c r="N34" s="1371"/>
      <c r="O34" s="1371"/>
      <c r="P34" s="1371"/>
      <c r="Q34" s="1371"/>
      <c r="R34" s="1371"/>
      <c r="S34" s="1371"/>
      <c r="T34" s="1371"/>
      <c r="U34" s="1371"/>
      <c r="V34" s="1372"/>
      <c r="X34" s="214"/>
      <c r="Y34" s="214"/>
      <c r="Z34" s="214"/>
      <c r="AA34" s="214"/>
      <c r="AB34" s="214"/>
      <c r="AC34" s="214"/>
      <c r="AD34" s="214"/>
      <c r="AE34" s="214"/>
      <c r="AF34" s="214"/>
      <c r="AG34" s="214"/>
      <c r="AH34" s="214"/>
      <c r="AI34" s="214"/>
    </row>
    <row r="35" spans="1:35" s="505" customFormat="1" ht="12.75" customHeight="1">
      <c r="A35" s="504"/>
      <c r="B35" s="199"/>
      <c r="C35" s="1370" t="s">
        <v>218</v>
      </c>
      <c r="D35" s="1371"/>
      <c r="E35" s="1371"/>
      <c r="F35" s="1371"/>
      <c r="G35" s="1371"/>
      <c r="H35" s="1371"/>
      <c r="I35" s="1371"/>
      <c r="J35" s="1371"/>
      <c r="K35" s="1371"/>
      <c r="L35" s="1371"/>
      <c r="M35" s="1371"/>
      <c r="N35" s="1371"/>
      <c r="O35" s="1371"/>
      <c r="P35" s="1371"/>
      <c r="Q35" s="1371"/>
      <c r="R35" s="1371"/>
      <c r="S35" s="1371"/>
      <c r="T35" s="1371"/>
      <c r="U35" s="1371"/>
      <c r="V35" s="1372"/>
      <c r="X35" s="214"/>
      <c r="Y35" s="214"/>
      <c r="Z35" s="214"/>
      <c r="AA35" s="214"/>
      <c r="AB35" s="214"/>
      <c r="AC35" s="214"/>
      <c r="AD35" s="214"/>
      <c r="AE35" s="214"/>
      <c r="AF35" s="214"/>
      <c r="AG35" s="214"/>
      <c r="AH35" s="214"/>
      <c r="AI35" s="214"/>
    </row>
    <row r="36" spans="1:35" s="505" customFormat="1" ht="4.5" customHeight="1" thickBot="1">
      <c r="A36" s="504"/>
      <c r="B36" s="199"/>
      <c r="C36" s="1396"/>
      <c r="D36" s="1397"/>
      <c r="E36" s="1397"/>
      <c r="F36" s="1397"/>
      <c r="G36" s="1397"/>
      <c r="H36" s="1397"/>
      <c r="I36" s="1397"/>
      <c r="J36" s="1397"/>
      <c r="K36" s="1397"/>
      <c r="L36" s="1397"/>
      <c r="M36" s="1397"/>
      <c r="N36" s="1397"/>
      <c r="O36" s="1397"/>
      <c r="P36" s="1397"/>
      <c r="Q36" s="1397"/>
      <c r="R36" s="1397"/>
      <c r="S36" s="1397"/>
      <c r="T36" s="1397"/>
      <c r="U36" s="1397"/>
      <c r="V36" s="1398"/>
      <c r="X36" s="214"/>
      <c r="Y36" s="214"/>
      <c r="Z36" s="214"/>
      <c r="AA36" s="214"/>
      <c r="AB36" s="214"/>
      <c r="AC36" s="214"/>
      <c r="AD36" s="214"/>
      <c r="AE36" s="214"/>
      <c r="AF36" s="214"/>
      <c r="AG36" s="214"/>
      <c r="AH36" s="214"/>
      <c r="AI36" s="214"/>
    </row>
    <row r="37" spans="1:35" s="15"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X37" s="120"/>
      <c r="Y37" s="120"/>
      <c r="Z37" s="120"/>
      <c r="AA37" s="120"/>
      <c r="AB37" s="120"/>
      <c r="AC37" s="120"/>
      <c r="AD37" s="120"/>
      <c r="AE37" s="120"/>
      <c r="AF37" s="120"/>
      <c r="AG37" s="120"/>
      <c r="AH37" s="120"/>
      <c r="AI37" s="120"/>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7" width="9.00390625" style="817" hidden="1" customWidth="1"/>
    <col min="38"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296</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229</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平成28年度(平成28年4月～平成29年3月)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(1年目)'!AA10</f>
        <v>28</v>
      </c>
      <c r="Z10" s="441">
        <v>4</v>
      </c>
      <c r="AA10" s="441">
        <f>'消費量入力 (1年目)'!AA10+1</f>
        <v>29</v>
      </c>
      <c r="AB10" s="442">
        <v>3</v>
      </c>
    </row>
    <row r="11" spans="1:36"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c r="AI11" s="448"/>
      <c r="AJ11" s="448"/>
    </row>
    <row r="12" spans="1:36"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220</v>
      </c>
      <c r="AC12" s="454" t="s">
        <v>220</v>
      </c>
      <c r="AD12" s="455"/>
      <c r="AE12" s="448"/>
      <c r="AF12" s="456">
        <f>IF(OR(Z12=4,Z12=5),IF(Z12=4,SUM(J12:U12),V12),0)</f>
        <v>0</v>
      </c>
      <c r="AG12" s="456">
        <f>IF(H12="",G12*AF12,H12*AF12)</f>
        <v>0</v>
      </c>
      <c r="AH12" s="448"/>
      <c r="AI12" s="448"/>
      <c r="AJ12" s="448"/>
    </row>
    <row r="13" spans="1:36"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220</v>
      </c>
      <c r="AC13" s="454" t="s">
        <v>200</v>
      </c>
      <c r="AD13" s="455" t="s">
        <v>202</v>
      </c>
      <c r="AE13" s="448"/>
      <c r="AF13" s="456">
        <f aca="true" t="shared" si="3" ref="AF13:AF22">IF(OR(Z13=4,Z13=5),IF(Z13=4,SUM(J13:U13),V13),0)</f>
        <v>0</v>
      </c>
      <c r="AG13" s="456">
        <f aca="true" t="shared" si="4" ref="AG13:AG22">IF(H13="",G13*AF13,H13*AF13)</f>
        <v>0</v>
      </c>
      <c r="AH13" s="448"/>
      <c r="AI13" s="448"/>
      <c r="AJ13" s="448"/>
    </row>
    <row r="14" spans="1:36"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220</v>
      </c>
      <c r="AD14" s="465" t="s">
        <v>203</v>
      </c>
      <c r="AE14" s="466"/>
      <c r="AF14" s="456">
        <f t="shared" si="3"/>
        <v>0</v>
      </c>
      <c r="AG14" s="456">
        <f t="shared" si="4"/>
        <v>0</v>
      </c>
      <c r="AH14" s="466"/>
      <c r="AI14" s="466"/>
      <c r="AJ14" s="466"/>
    </row>
    <row r="15" spans="1:36" s="120" customFormat="1" ht="26.25" customHeight="1">
      <c r="A15" s="10"/>
      <c r="B15" s="149"/>
      <c r="C15" s="1418" t="s">
        <v>98</v>
      </c>
      <c r="D15" s="1419"/>
      <c r="E15" s="53" t="s">
        <v>221</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c r="AI15" s="466"/>
      <c r="AJ15" s="466"/>
    </row>
    <row r="16" spans="1:36"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c r="AI16" s="466"/>
      <c r="AJ16" s="466"/>
    </row>
    <row r="17" spans="1:36"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c r="AI17" s="466"/>
      <c r="AJ17" s="466"/>
    </row>
    <row r="18" spans="1:33" s="120" customFormat="1" ht="26.25" customHeight="1">
      <c r="A18" s="10"/>
      <c r="B18" s="149"/>
      <c r="C18" s="1418" t="s">
        <v>100</v>
      </c>
      <c r="D18" s="1419"/>
      <c r="E18" s="511" t="s">
        <v>222</v>
      </c>
      <c r="F18" s="88" t="s">
        <v>223</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224</v>
      </c>
      <c r="F19" s="88" t="s">
        <v>223</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297</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175</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平成29年度(平成29年4月～平成30年3月)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(2年目) '!AA10</f>
        <v>29</v>
      </c>
      <c r="Z10" s="441">
        <v>4</v>
      </c>
      <c r="AA10" s="441">
        <f>Y10+1</f>
        <v>30</v>
      </c>
      <c r="AB10" s="442">
        <v>3</v>
      </c>
    </row>
    <row r="11" spans="1:34"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236</v>
      </c>
      <c r="AC12" s="454" t="s">
        <v>236</v>
      </c>
      <c r="AD12" s="455"/>
      <c r="AE12" s="448"/>
      <c r="AF12" s="456">
        <f>IF(OR(Z12=4,Z12=5),IF(Z12=4,SUM(J12:U12),V12),0)</f>
        <v>0</v>
      </c>
      <c r="AG12" s="456">
        <f>IF(H12="",G12*AF12,H12*AF12)</f>
        <v>0</v>
      </c>
      <c r="AH12" s="448"/>
    </row>
    <row r="13" spans="1:34"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236</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236</v>
      </c>
      <c r="AD14" s="465" t="s">
        <v>203</v>
      </c>
      <c r="AE14" s="466"/>
      <c r="AF14" s="456">
        <f t="shared" si="3"/>
        <v>0</v>
      </c>
      <c r="AG14" s="456">
        <f t="shared" si="4"/>
        <v>0</v>
      </c>
      <c r="AH14" s="466"/>
    </row>
    <row r="15" spans="1:34" s="120" customFormat="1" ht="26.25" customHeight="1">
      <c r="A15" s="10"/>
      <c r="B15" s="149"/>
      <c r="C15" s="1418" t="s">
        <v>98</v>
      </c>
      <c r="D15" s="1419"/>
      <c r="E15" s="53" t="s">
        <v>237</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18" t="s">
        <v>100</v>
      </c>
      <c r="D18" s="1419"/>
      <c r="E18" s="511" t="s">
        <v>238</v>
      </c>
      <c r="F18" s="88" t="s">
        <v>239</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240</v>
      </c>
      <c r="F19" s="88" t="s">
        <v>239</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31" s="120" customFormat="1" ht="29.25" customHeight="1" thickBot="1">
      <c r="A3" s="10"/>
      <c r="B3" s="149"/>
      <c r="C3" s="419" t="s">
        <v>298</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c r="AE3" s="426"/>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427"/>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427"/>
      <c r="W7" s="15"/>
    </row>
    <row r="8" spans="1:28" s="120" customFormat="1" ht="19.5" customHeight="1" thickBot="1">
      <c r="A8" s="10"/>
      <c r="B8" s="149"/>
      <c r="C8" s="164" t="s">
        <v>246</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e">
        <f>CONCATENATE("平成",AA10-1,"年度(平成",Y10,"年",Z10,"月～平成",AA10,"年3月)")</f>
        <v>#VALUE!</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433" t="s">
        <v>11</v>
      </c>
      <c r="G10" s="1430" t="s">
        <v>18</v>
      </c>
      <c r="H10" s="1431"/>
      <c r="I10" s="1400" t="s">
        <v>212</v>
      </c>
      <c r="J10" s="1436" t="s">
        <v>211</v>
      </c>
      <c r="K10" s="1437"/>
      <c r="L10" s="1437"/>
      <c r="M10" s="1437"/>
      <c r="N10" s="1437"/>
      <c r="O10" s="1437"/>
      <c r="P10" s="1437"/>
      <c r="Q10" s="1437"/>
      <c r="R10" s="1437"/>
      <c r="S10" s="1437"/>
      <c r="T10" s="1437"/>
      <c r="U10" s="1438"/>
      <c r="V10" s="1057" t="s">
        <v>213</v>
      </c>
      <c r="W10" s="15"/>
      <c r="Y10" s="440" t="str">
        <f>IF('目標入力'!Q8=4,"-",'消費量入力 (3年目) '!AA10)</f>
        <v>-</v>
      </c>
      <c r="Z10" s="441">
        <v>4</v>
      </c>
      <c r="AA10" s="441" t="str">
        <f>IF('目標入力'!Q8=4,"-",Y10+1)</f>
        <v>-</v>
      </c>
      <c r="AB10" s="442">
        <v>3</v>
      </c>
    </row>
    <row r="11" spans="1:34" s="120" customFormat="1" ht="26.25" customHeight="1" thickBot="1">
      <c r="A11" s="10"/>
      <c r="B11" s="149"/>
      <c r="C11" s="1439" t="s">
        <v>9</v>
      </c>
      <c r="D11" s="1440"/>
      <c r="E11" s="886" t="s">
        <v>10</v>
      </c>
      <c r="F11" s="1434"/>
      <c r="G11" s="887" t="s">
        <v>33</v>
      </c>
      <c r="H11" s="888" t="s">
        <v>108</v>
      </c>
      <c r="I11" s="1432"/>
      <c r="J11" s="23" t="s">
        <v>176</v>
      </c>
      <c r="K11" s="23" t="s">
        <v>177</v>
      </c>
      <c r="L11" s="23" t="s">
        <v>178</v>
      </c>
      <c r="M11" s="23" t="s">
        <v>179</v>
      </c>
      <c r="N11" s="23" t="s">
        <v>180</v>
      </c>
      <c r="O11" s="23" t="s">
        <v>181</v>
      </c>
      <c r="P11" s="23" t="s">
        <v>182</v>
      </c>
      <c r="Q11" s="23" t="s">
        <v>183</v>
      </c>
      <c r="R11" s="23" t="s">
        <v>184</v>
      </c>
      <c r="S11" s="23" t="s">
        <v>185</v>
      </c>
      <c r="T11" s="23" t="s">
        <v>186</v>
      </c>
      <c r="U11" s="69" t="s">
        <v>187</v>
      </c>
      <c r="V11" s="1435"/>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46" t="s">
        <v>97</v>
      </c>
      <c r="D12" s="1447"/>
      <c r="E12" s="885"/>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241</v>
      </c>
      <c r="AC12" s="454" t="s">
        <v>241</v>
      </c>
      <c r="AD12" s="455"/>
      <c r="AE12" s="448"/>
      <c r="AF12" s="456">
        <f>IF(OR(Z12=4,Z12=5),IF(Z12=4,SUM(J12:U12),V12),0)</f>
        <v>0</v>
      </c>
      <c r="AG12" s="456">
        <f>IF(H12="",G12*AF12,H12*AF12)</f>
        <v>0</v>
      </c>
      <c r="AH12" s="448"/>
    </row>
    <row r="13" spans="1:34" s="120" customFormat="1" ht="26.25" customHeight="1">
      <c r="A13" s="10"/>
      <c r="B13" s="149"/>
      <c r="C13" s="1441"/>
      <c r="D13" s="1448"/>
      <c r="E13" s="457"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241</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41"/>
      <c r="D14" s="1448"/>
      <c r="E14" s="461"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241</v>
      </c>
      <c r="AD14" s="465" t="s">
        <v>203</v>
      </c>
      <c r="AE14" s="466"/>
      <c r="AF14" s="456">
        <f t="shared" si="3"/>
        <v>0</v>
      </c>
      <c r="AG14" s="456">
        <f t="shared" si="4"/>
        <v>0</v>
      </c>
      <c r="AH14" s="466"/>
    </row>
    <row r="15" spans="1:34" s="120" customFormat="1" ht="26.25" customHeight="1">
      <c r="A15" s="10"/>
      <c r="B15" s="149"/>
      <c r="C15" s="1441" t="s">
        <v>98</v>
      </c>
      <c r="D15" s="1442"/>
      <c r="E15" s="467" t="s">
        <v>242</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49" t="s">
        <v>206</v>
      </c>
      <c r="D16" s="1450"/>
      <c r="E16" s="471"/>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51" t="s">
        <v>99</v>
      </c>
      <c r="D17" s="1452"/>
      <c r="E17" s="471"/>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41" t="s">
        <v>100</v>
      </c>
      <c r="D18" s="1442"/>
      <c r="E18" s="477" t="s">
        <v>243</v>
      </c>
      <c r="F18" s="88" t="s">
        <v>244</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41"/>
      <c r="D19" s="1442"/>
      <c r="E19" s="439" t="s">
        <v>245</v>
      </c>
      <c r="F19" s="88" t="s">
        <v>244</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41" t="s">
        <v>101</v>
      </c>
      <c r="D20" s="1442"/>
      <c r="E20" s="439"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IF(OR(Z20=4,Z20=5),IF(Z20=4,SUM(J20:U20),V20),0)</f>
        <v>0</v>
      </c>
      <c r="AG20" s="456">
        <f t="shared" si="4"/>
        <v>0</v>
      </c>
    </row>
    <row r="21" spans="1:33" s="120" customFormat="1" ht="26.25" customHeight="1">
      <c r="A21" s="10"/>
      <c r="B21" s="149"/>
      <c r="C21" s="1441"/>
      <c r="D21" s="1442"/>
      <c r="E21" s="439"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41"/>
      <c r="D22" s="1442"/>
      <c r="E22" s="439"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43" t="s">
        <v>164</v>
      </c>
      <c r="D23" s="479">
        <f>IF('目標入力'!D23="","",'目標入力'!D23)</f>
      </c>
      <c r="E23" s="479">
        <f>IF('目標入力'!F23="","",'目標入力'!F23)</f>
      </c>
      <c r="F23" s="479">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44"/>
      <c r="D24" s="482">
        <f>IF('目標入力'!B24="","",'目標入力'!B24)</f>
      </c>
      <c r="E24" s="482">
        <f>IF('目標入力'!E24="","",'目標入力'!E24)</f>
      </c>
      <c r="F24" s="479">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45"/>
      <c r="D25" s="483">
        <f>IF('目標入力'!B25="","",'目標入力'!B25)</f>
      </c>
      <c r="E25" s="483">
        <f>IF('目標入力'!E25="","",'目標入力'!E25)</f>
      </c>
      <c r="F25" s="483">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5.2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97"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2015-01-20T10:32:49Z</cp:lastPrinted>
  <dcterms:created xsi:type="dcterms:W3CDTF">2007-01-05T08:06:50Z</dcterms:created>
  <dcterms:modified xsi:type="dcterms:W3CDTF">2015-11-26T06:11:19Z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