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9395" windowHeight="7785" tabRatio="631" activeTab="0"/>
  </bookViews>
  <sheets>
    <sheet name="府大経年比較" sheetId="1" r:id="rId1"/>
    <sheet name="大学決算比較 (病院等除く)" sheetId="2" r:id="rId2"/>
  </sheets>
  <definedNames>
    <definedName name="_xlnm.Print_Area" localSheetId="1">'大学決算比較 (病院等除く)'!$A$22:$K$120</definedName>
    <definedName name="_xlnm.Print_Area" localSheetId="0">'府大経年比較'!$A$22:$L$119</definedName>
    <definedName name="Z_2C48930A_F51C_4613_BF9B_334A1AE18718_.wvu.PrintArea" localSheetId="1" hidden="1">'大学決算比較 (病院等除く)'!$A$22:$K$124</definedName>
    <definedName name="Z_2C48930A_F51C_4613_BF9B_334A1AE18718_.wvu.PrintArea" localSheetId="0" hidden="1">'府大経年比較'!$A$22:$L$120</definedName>
    <definedName name="Z_2C48930A_F51C_4613_BF9B_334A1AE18718_.wvu.Rows" localSheetId="1" hidden="1">'大学決算比較 (病院等除く)'!$1:$66,'大学決算比較 (病院等除く)'!$72:$72,'大学決算比較 (病院等除く)'!$74:$74,'大学決算比較 (病院等除く)'!$95:$95</definedName>
    <definedName name="Z_2C48930A_F51C_4613_BF9B_334A1AE18718_.wvu.Rows" localSheetId="0" hidden="1">'府大経年比較'!$1:$66,'府大経年比較'!$93:$93</definedName>
  </definedNames>
  <calcPr fullCalcOnLoad="1"/>
</workbook>
</file>

<file path=xl/sharedStrings.xml><?xml version="1.0" encoding="utf-8"?>
<sst xmlns="http://schemas.openxmlformats.org/spreadsheetml/2006/main" count="672" uniqueCount="239">
  <si>
    <t>収入</t>
  </si>
  <si>
    <t>運営費交付金</t>
  </si>
  <si>
    <t>補助金</t>
  </si>
  <si>
    <t>自己収入</t>
  </si>
  <si>
    <t>財産処分収入</t>
  </si>
  <si>
    <t>支出</t>
  </si>
  <si>
    <t>業務費</t>
  </si>
  <si>
    <t>教育研究経費</t>
  </si>
  <si>
    <t>施設整備費</t>
  </si>
  <si>
    <t>産学研究収入・寄附金収入等</t>
  </si>
  <si>
    <t>産学研究費・寄附金事業費</t>
  </si>
  <si>
    <t>（参考）医療収支</t>
  </si>
  <si>
    <t>目的積立金取崩</t>
  </si>
  <si>
    <t>-</t>
  </si>
  <si>
    <t>補助金等</t>
  </si>
  <si>
    <t>長期借入金収入</t>
  </si>
  <si>
    <t>附属病院収入</t>
  </si>
  <si>
    <t>診療経費</t>
  </si>
  <si>
    <t>施設整備補助金</t>
  </si>
  <si>
    <t>補助金等収入</t>
  </si>
  <si>
    <r>
      <t>その他</t>
    </r>
    <r>
      <rPr>
        <sz val="8"/>
        <color indexed="8"/>
        <rFont val="ＭＳ Ｐゴシック"/>
        <family val="3"/>
      </rPr>
      <t>※3</t>
    </r>
  </si>
  <si>
    <t>①</t>
  </si>
  <si>
    <t>②</t>
  </si>
  <si>
    <t>③</t>
  </si>
  <si>
    <t>④</t>
  </si>
  <si>
    <t>⑤</t>
  </si>
  <si>
    <t>⑥</t>
  </si>
  <si>
    <t>⑦</t>
  </si>
  <si>
    <t>⑧</t>
  </si>
  <si>
    <t>一般管理費（人件費を含む）</t>
  </si>
  <si>
    <t>⑨</t>
  </si>
  <si>
    <t>⑩</t>
  </si>
  <si>
    <t>学生数（大学院を含む）</t>
  </si>
  <si>
    <t>事務職員数</t>
  </si>
  <si>
    <t>⑪</t>
  </si>
  <si>
    <t>⑫</t>
  </si>
  <si>
    <t>収入に占める学生納付金の割合</t>
  </si>
  <si>
    <t>収入に占める外部資金の割合</t>
  </si>
  <si>
    <t>業務費に占める学生納付金の割合</t>
  </si>
  <si>
    <t>産学研究・寄付金等の収支割合</t>
  </si>
  <si>
    <t>⑬</t>
  </si>
  <si>
    <t>収益率（収支/収入）</t>
  </si>
  <si>
    <t>全収入に占める運営交付金の割合</t>
  </si>
  <si>
    <t>流動比率</t>
  </si>
  <si>
    <t>未払金比率</t>
  </si>
  <si>
    <t>人件費比率</t>
  </si>
  <si>
    <t>一般管理費比率</t>
  </si>
  <si>
    <t>外部資金比率</t>
  </si>
  <si>
    <t>業務費対研究経費比率</t>
  </si>
  <si>
    <t>業務費対教育経費比率</t>
  </si>
  <si>
    <t>経常利益率</t>
  </si>
  <si>
    <t>流動資産/流動負債</t>
  </si>
  <si>
    <t>未払金/業務費</t>
  </si>
  <si>
    <t>人件費/業務費</t>
  </si>
  <si>
    <t>(研究経費+受託研究費等+科研費等)/教員数</t>
  </si>
  <si>
    <t>研究経費/業務費</t>
  </si>
  <si>
    <t>教育経費/業務費</t>
  </si>
  <si>
    <t>教育経費/学生数</t>
  </si>
  <si>
    <t>研究経費/教員数</t>
  </si>
  <si>
    <t>経常利益/経常収益</t>
  </si>
  <si>
    <t>流動資産</t>
  </si>
  <si>
    <t>流動負債</t>
  </si>
  <si>
    <t>未払金</t>
  </si>
  <si>
    <t>（決算報告書より）</t>
  </si>
  <si>
    <t>（貸借対照表より）</t>
  </si>
  <si>
    <t>（損益計算書より）</t>
  </si>
  <si>
    <t>教育経費</t>
  </si>
  <si>
    <t>研究経費</t>
  </si>
  <si>
    <t>人件費</t>
  </si>
  <si>
    <t>一般管理費</t>
  </si>
  <si>
    <t>経常費用</t>
  </si>
  <si>
    <t>経常収益</t>
  </si>
  <si>
    <t>受託研究等収益</t>
  </si>
  <si>
    <t>受託事業等収益</t>
  </si>
  <si>
    <t>寄附金収益</t>
  </si>
  <si>
    <t>一般管理費/経常費用</t>
  </si>
  <si>
    <t>経常利益（損失）</t>
  </si>
  <si>
    <t>補助金等収益</t>
  </si>
  <si>
    <t>自動計算</t>
  </si>
  <si>
    <r>
      <t>その他</t>
    </r>
    <r>
      <rPr>
        <sz val="8"/>
        <color indexed="8"/>
        <rFont val="ＭＳ Ｐゴシック"/>
        <family val="3"/>
      </rPr>
      <t>※2</t>
    </r>
  </si>
  <si>
    <t>附属病院収益</t>
  </si>
  <si>
    <t>収支</t>
  </si>
  <si>
    <t>損益計算書</t>
  </si>
  <si>
    <t>長期借入金償還金</t>
  </si>
  <si>
    <t>決算報告書</t>
  </si>
  <si>
    <t>貸借対照表</t>
  </si>
  <si>
    <t>大きい方が望ましい</t>
  </si>
  <si>
    <t>小さい方が望ましい</t>
  </si>
  <si>
    <t>学生当教育経費</t>
  </si>
  <si>
    <t>教員当研究経費</t>
  </si>
  <si>
    <t>事業報告書</t>
  </si>
  <si>
    <t>運営費交付金収益</t>
  </si>
  <si>
    <t>授業料収益</t>
  </si>
  <si>
    <t>入学金収益</t>
  </si>
  <si>
    <t>検定料収益</t>
  </si>
  <si>
    <t>学生納付金収益</t>
  </si>
  <si>
    <t>学生納付金収益/経常収益</t>
  </si>
  <si>
    <t>外部資金収益</t>
  </si>
  <si>
    <t>授業料及び入学金・検定料収入</t>
  </si>
  <si>
    <t>外部資金収益/教員数</t>
  </si>
  <si>
    <t>外部資金収益/経常収益</t>
  </si>
  <si>
    <t>学生当業務コスト</t>
  </si>
  <si>
    <t>業務実施コスト計算書</t>
  </si>
  <si>
    <t>行政サービス実施コスト/学生数</t>
  </si>
  <si>
    <t>120%以上が好ましい</t>
  </si>
  <si>
    <t>学生当教員数</t>
  </si>
  <si>
    <t>学生当職員数</t>
  </si>
  <si>
    <t>学生当運営交付金額</t>
  </si>
  <si>
    <t>学生当学生納付金額</t>
  </si>
  <si>
    <t>教員当学生納付金額</t>
  </si>
  <si>
    <t>職員当学生納付金額</t>
  </si>
  <si>
    <t>教員当外部資金獲得額</t>
  </si>
  <si>
    <t>教員当教育研究経費</t>
  </si>
  <si>
    <t>職員当一般管理費</t>
  </si>
  <si>
    <t>学生当施設整備費</t>
  </si>
  <si>
    <t>（業務実施コスト計算書より）</t>
  </si>
  <si>
    <t>国立大学財務・経営センター施設費交付金</t>
  </si>
  <si>
    <t>運営費交付金収益/経常収益</t>
  </si>
  <si>
    <t>C</t>
  </si>
  <si>
    <t>D</t>
  </si>
  <si>
    <t>E</t>
  </si>
  <si>
    <t>F</t>
  </si>
  <si>
    <t>G</t>
  </si>
  <si>
    <t>H</t>
  </si>
  <si>
    <t>I</t>
  </si>
  <si>
    <t>C/D</t>
  </si>
  <si>
    <t>E/G</t>
  </si>
  <si>
    <t>I/G</t>
  </si>
  <si>
    <t>H/G</t>
  </si>
  <si>
    <t>H/A</t>
  </si>
  <si>
    <t>I/B</t>
  </si>
  <si>
    <t>⑩/①</t>
  </si>
  <si>
    <t>②/①</t>
  </si>
  <si>
    <t>③/①</t>
  </si>
  <si>
    <t>④/①</t>
  </si>
  <si>
    <t>③/⑤</t>
  </si>
  <si>
    <t>⑨/④</t>
  </si>
  <si>
    <t>⑧/⑩</t>
  </si>
  <si>
    <t>⑫/⑪</t>
  </si>
  <si>
    <t>⑬/⑪</t>
  </si>
  <si>
    <t>②/⑪</t>
  </si>
  <si>
    <t>③/⑪</t>
  </si>
  <si>
    <t>③/⑫</t>
  </si>
  <si>
    <t>③/⑬</t>
  </si>
  <si>
    <t>④/⑫</t>
  </si>
  <si>
    <t>⑥/⑫</t>
  </si>
  <si>
    <t>⑦/⑬</t>
  </si>
  <si>
    <t>⑧/⑪</t>
  </si>
  <si>
    <t>（診療経費を除く）</t>
  </si>
  <si>
    <t>（病院収入を除く）</t>
  </si>
  <si>
    <t>-</t>
  </si>
  <si>
    <t>教員数</t>
  </si>
  <si>
    <t>うち常勤</t>
  </si>
  <si>
    <t>（百万円、人）</t>
  </si>
  <si>
    <t>（人）</t>
  </si>
  <si>
    <t>（人、百万円）</t>
  </si>
  <si>
    <t>（千円、%）</t>
  </si>
  <si>
    <t>A</t>
  </si>
  <si>
    <t>運営費交付金比率</t>
  </si>
  <si>
    <t>学生納付金比率</t>
  </si>
  <si>
    <t>H17</t>
  </si>
  <si>
    <t>H18</t>
  </si>
  <si>
    <t>H19</t>
  </si>
  <si>
    <t>H20</t>
  </si>
  <si>
    <t>H21</t>
  </si>
  <si>
    <t>H22</t>
  </si>
  <si>
    <t>B</t>
  </si>
  <si>
    <t>（年）</t>
  </si>
  <si>
    <t>大阪府立大学</t>
  </si>
  <si>
    <t>大阪市立大学</t>
  </si>
  <si>
    <r>
      <t>首都大学東京</t>
    </r>
    <r>
      <rPr>
        <sz val="8"/>
        <color indexed="8"/>
        <rFont val="ＭＳ Ｐゴシック"/>
        <family val="3"/>
      </rPr>
      <t>※1</t>
    </r>
  </si>
  <si>
    <r>
      <t>京都府立大学</t>
    </r>
    <r>
      <rPr>
        <sz val="8"/>
        <color indexed="8"/>
        <rFont val="ＭＳ Ｐゴシック"/>
        <family val="3"/>
      </rPr>
      <t>※1</t>
    </r>
  </si>
  <si>
    <t>東京農工大学</t>
  </si>
  <si>
    <t>東京工業大学</t>
  </si>
  <si>
    <t>大阪大学</t>
  </si>
  <si>
    <t>雑収入/その他</t>
  </si>
  <si>
    <t>（事業報告書より、H22.5.1現在）</t>
  </si>
  <si>
    <t>※1 公立大学法人全体の数字（複数の大学・高専等を含む）</t>
  </si>
  <si>
    <t>※2 収入「その他」については次の通り　　　…</t>
  </si>
  <si>
    <t>東京農工大学：引当金取崩10、大阪大学：引当金取崩131</t>
  </si>
  <si>
    <t>※3 支出「その他」については次の通り　　　…</t>
  </si>
  <si>
    <t>京都府立大学：財務費用44、京都府償還負担金2534</t>
  </si>
  <si>
    <t>東京農工大学：長期借入金償還金71</t>
  </si>
  <si>
    <t>（千円）</t>
  </si>
  <si>
    <t>業務（行政サービス）実施コスト</t>
  </si>
  <si>
    <t>7大学平均</t>
  </si>
  <si>
    <t>3大学平均</t>
  </si>
  <si>
    <t>大阪府立大学</t>
  </si>
  <si>
    <t>大阪市立大学</t>
  </si>
  <si>
    <t>首都大学東京</t>
  </si>
  <si>
    <t>京都府立大学</t>
  </si>
  <si>
    <t>東京農工大学</t>
  </si>
  <si>
    <t>東京工業大学</t>
  </si>
  <si>
    <t>大阪大学</t>
  </si>
  <si>
    <t>七大学平均</t>
  </si>
  <si>
    <t>三大学平均</t>
  </si>
  <si>
    <t>平成22年度　大学決算比較表　財務分析（その1）　（案）</t>
  </si>
  <si>
    <t>教育研究支援経費</t>
  </si>
  <si>
    <t>受託事業費</t>
  </si>
  <si>
    <t>受託研究費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</si>
  <si>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</si>
  <si>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</si>
  <si>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</si>
  <si>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</si>
  <si>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</si>
  <si>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</si>
  <si>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</si>
  <si>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</si>
  <si>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</si>
  <si>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</si>
  <si>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L/G</t>
  </si>
  <si>
    <t>Q/N</t>
  </si>
  <si>
    <t>(I+J+K)/B</t>
  </si>
  <si>
    <t>R/N</t>
  </si>
  <si>
    <t>S/A</t>
  </si>
  <si>
    <t>O/N</t>
  </si>
  <si>
    <t>P/N</t>
  </si>
  <si>
    <t>Q/B</t>
  </si>
  <si>
    <t>教員当広義研究経費（科研費を含まず）</t>
  </si>
  <si>
    <t>教員当外部資金獲得額（科研費を含まず）</t>
  </si>
  <si>
    <t>東京工業大学</t>
  </si>
  <si>
    <r>
      <t xml:space="preserve">H23
</t>
    </r>
    <r>
      <rPr>
        <sz val="8"/>
        <color indexed="8"/>
        <rFont val="ＭＳ Ｐゴシック"/>
        <family val="3"/>
      </rPr>
      <t>（大学）</t>
    </r>
  </si>
  <si>
    <r>
      <t xml:space="preserve">H23
</t>
    </r>
    <r>
      <rPr>
        <sz val="8"/>
        <color indexed="8"/>
        <rFont val="ＭＳ Ｐゴシック"/>
        <family val="3"/>
      </rPr>
      <t>（法人統括）</t>
    </r>
  </si>
  <si>
    <t>大阪府立大学　決算経年比較表</t>
  </si>
  <si>
    <t>財務分析指標（国立大学の分析指標に準拠）</t>
  </si>
  <si>
    <t>大阪府評価委員会　独自指標</t>
  </si>
  <si>
    <t>（人、百万円）</t>
  </si>
  <si>
    <t>平成22年度　大学決算比較表</t>
  </si>
  <si>
    <t>当期総利益</t>
  </si>
  <si>
    <r>
      <t>（損益計算書より）　</t>
    </r>
    <r>
      <rPr>
        <b/>
        <sz val="8"/>
        <rFont val="ＭＳ Ｐゴシック"/>
        <family val="3"/>
      </rPr>
      <t>※法人本部・大学にかかるもの(セグメント情報より、附属病院、高等専門学校、附属高校は除いている)</t>
    </r>
  </si>
  <si>
    <t>参考資料２</t>
  </si>
  <si>
    <t>大阪府立
大学</t>
  </si>
  <si>
    <t>大阪市立
大学</t>
  </si>
  <si>
    <t>首都大学
東京</t>
  </si>
  <si>
    <t>京都府立
大学</t>
  </si>
  <si>
    <t>東京農工
大学</t>
  </si>
  <si>
    <t>東京工業
大学</t>
  </si>
  <si>
    <t>（事業報告書等より）</t>
  </si>
  <si>
    <t>M/G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</si>
</sst>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;\ &quot;▲ &quot;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color indexed="8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5">
    <xf numFmtId="0" fontId="0" fillId="0" borderId="0" xfId="0" applyFont="1" applyAlignment="1">
      <alignment vertical="center"/>
    </xf>
    <xf numFmtId="176" fontId="46" fillId="33" borderId="10" xfId="48" applyNumberFormat="1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11" xfId="48" applyNumberFormat="1" applyFont="1" applyFill="1" applyBorder="1" applyAlignment="1">
      <alignment vertical="center"/>
    </xf>
    <xf numFmtId="176" fontId="46" fillId="33" borderId="11" xfId="48" applyNumberFormat="1" applyFont="1" applyFill="1" applyBorder="1" applyAlignment="1">
      <alignment horizontal="center" vertical="center"/>
    </xf>
    <xf numFmtId="176" fontId="46" fillId="33" borderId="13" xfId="48" applyNumberFormat="1" applyFont="1" applyFill="1" applyBorder="1" applyAlignment="1">
      <alignment vertical="center"/>
    </xf>
    <xf numFmtId="176" fontId="46" fillId="33" borderId="14" xfId="48" applyNumberFormat="1" applyFont="1" applyFill="1" applyBorder="1" applyAlignment="1">
      <alignment vertical="center"/>
    </xf>
    <xf numFmtId="176" fontId="46" fillId="33" borderId="10" xfId="48" applyNumberFormat="1" applyFont="1" applyFill="1" applyBorder="1" applyAlignment="1">
      <alignment vertical="center"/>
    </xf>
    <xf numFmtId="176" fontId="46" fillId="33" borderId="15" xfId="48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8" fillId="33" borderId="0" xfId="0" applyFont="1" applyFill="1" applyAlignment="1">
      <alignment horizontal="right"/>
    </xf>
    <xf numFmtId="0" fontId="47" fillId="33" borderId="0" xfId="0" applyFont="1" applyFill="1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vertical="center"/>
    </xf>
    <xf numFmtId="0" fontId="46" fillId="33" borderId="17" xfId="0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176" fontId="47" fillId="33" borderId="13" xfId="48" applyNumberFormat="1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176" fontId="47" fillId="33" borderId="26" xfId="48" applyNumberFormat="1" applyFont="1" applyFill="1" applyBorder="1" applyAlignment="1">
      <alignment vertical="center"/>
    </xf>
    <xf numFmtId="176" fontId="47" fillId="33" borderId="26" xfId="48" applyNumberFormat="1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vertical="center"/>
    </xf>
    <xf numFmtId="0" fontId="47" fillId="33" borderId="28" xfId="0" applyFont="1" applyFill="1" applyBorder="1" applyAlignment="1">
      <alignment vertical="center"/>
    </xf>
    <xf numFmtId="176" fontId="47" fillId="33" borderId="29" xfId="48" applyNumberFormat="1" applyFont="1" applyFill="1" applyBorder="1" applyAlignment="1">
      <alignment horizontal="center" vertical="center"/>
    </xf>
    <xf numFmtId="176" fontId="47" fillId="33" borderId="29" xfId="48" applyNumberFormat="1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176" fontId="46" fillId="33" borderId="13" xfId="48" applyNumberFormat="1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vertical="center"/>
    </xf>
    <xf numFmtId="0" fontId="46" fillId="33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0" fontId="46" fillId="33" borderId="34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176" fontId="46" fillId="33" borderId="33" xfId="48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176" fontId="46" fillId="33" borderId="14" xfId="48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35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176" fontId="47" fillId="33" borderId="10" xfId="48" applyNumberFormat="1" applyFont="1" applyFill="1" applyBorder="1" applyAlignment="1">
      <alignment vertical="center"/>
    </xf>
    <xf numFmtId="0" fontId="47" fillId="33" borderId="36" xfId="0" applyFont="1" applyFill="1" applyBorder="1" applyAlignment="1">
      <alignment vertical="center"/>
    </xf>
    <xf numFmtId="0" fontId="47" fillId="33" borderId="31" xfId="0" applyFont="1" applyFill="1" applyBorder="1" applyAlignment="1">
      <alignment vertical="center"/>
    </xf>
    <xf numFmtId="0" fontId="47" fillId="33" borderId="32" xfId="0" applyFont="1" applyFill="1" applyBorder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37" xfId="0" applyFont="1" applyFill="1" applyBorder="1" applyAlignment="1">
      <alignment vertical="center"/>
    </xf>
    <xf numFmtId="0" fontId="47" fillId="33" borderId="38" xfId="0" applyFont="1" applyFill="1" applyBorder="1" applyAlignment="1">
      <alignment vertical="center"/>
    </xf>
    <xf numFmtId="178" fontId="47" fillId="33" borderId="14" xfId="0" applyNumberFormat="1" applyFont="1" applyFill="1" applyBorder="1" applyAlignment="1">
      <alignment vertical="center"/>
    </xf>
    <xf numFmtId="0" fontId="47" fillId="33" borderId="39" xfId="0" applyFont="1" applyFill="1" applyBorder="1" applyAlignment="1">
      <alignment vertical="center"/>
    </xf>
    <xf numFmtId="0" fontId="47" fillId="33" borderId="40" xfId="0" applyFont="1" applyFill="1" applyBorder="1" applyAlignment="1">
      <alignment vertical="center"/>
    </xf>
    <xf numFmtId="178" fontId="47" fillId="33" borderId="13" xfId="0" applyNumberFormat="1" applyFont="1" applyFill="1" applyBorder="1" applyAlignment="1">
      <alignment vertical="center"/>
    </xf>
    <xf numFmtId="0" fontId="47" fillId="33" borderId="35" xfId="0" applyFont="1" applyFill="1" applyBorder="1" applyAlignment="1">
      <alignment vertical="center"/>
    </xf>
    <xf numFmtId="0" fontId="47" fillId="33" borderId="41" xfId="0" applyFont="1" applyFill="1" applyBorder="1" applyAlignment="1">
      <alignment horizontal="right" vertical="center"/>
    </xf>
    <xf numFmtId="178" fontId="47" fillId="33" borderId="29" xfId="0" applyNumberFormat="1" applyFont="1" applyFill="1" applyBorder="1" applyAlignment="1">
      <alignment vertical="center"/>
    </xf>
    <xf numFmtId="0" fontId="47" fillId="33" borderId="42" xfId="0" applyFont="1" applyFill="1" applyBorder="1" applyAlignment="1">
      <alignment vertical="center"/>
    </xf>
    <xf numFmtId="0" fontId="47" fillId="33" borderId="43" xfId="0" applyFont="1" applyFill="1" applyBorder="1" applyAlignment="1">
      <alignment vertical="center"/>
    </xf>
    <xf numFmtId="178" fontId="47" fillId="33" borderId="10" xfId="0" applyNumberFormat="1" applyFont="1" applyFill="1" applyBorder="1" applyAlignment="1">
      <alignment vertical="center"/>
    </xf>
    <xf numFmtId="0" fontId="47" fillId="33" borderId="44" xfId="0" applyFont="1" applyFill="1" applyBorder="1" applyAlignment="1">
      <alignment vertical="center"/>
    </xf>
    <xf numFmtId="0" fontId="47" fillId="33" borderId="45" xfId="0" applyFont="1" applyFill="1" applyBorder="1" applyAlignment="1">
      <alignment vertical="center"/>
    </xf>
    <xf numFmtId="177" fontId="47" fillId="33" borderId="46" xfId="0" applyNumberFormat="1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right"/>
    </xf>
    <xf numFmtId="4" fontId="47" fillId="33" borderId="14" xfId="0" applyNumberFormat="1" applyFont="1" applyFill="1" applyBorder="1" applyAlignment="1">
      <alignment vertical="center"/>
    </xf>
    <xf numFmtId="4" fontId="47" fillId="33" borderId="46" xfId="0" applyNumberFormat="1" applyFont="1" applyFill="1" applyBorder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horizontal="right"/>
    </xf>
    <xf numFmtId="3" fontId="47" fillId="33" borderId="14" xfId="0" applyNumberFormat="1" applyFont="1" applyFill="1" applyBorder="1" applyAlignment="1">
      <alignment vertical="center"/>
    </xf>
    <xf numFmtId="3" fontId="47" fillId="33" borderId="10" xfId="0" applyNumberFormat="1" applyFont="1" applyFill="1" applyBorder="1" applyAlignment="1">
      <alignment vertical="center"/>
    </xf>
    <xf numFmtId="3" fontId="47" fillId="33" borderId="46" xfId="0" applyNumberFormat="1" applyFont="1" applyFill="1" applyBorder="1" applyAlignment="1">
      <alignment vertical="center"/>
    </xf>
    <xf numFmtId="0" fontId="47" fillId="33" borderId="0" xfId="0" applyFont="1" applyFill="1" applyAlignment="1">
      <alignment horizontal="right" vertical="center"/>
    </xf>
    <xf numFmtId="3" fontId="47" fillId="33" borderId="0" xfId="0" applyNumberFormat="1" applyFont="1" applyFill="1" applyBorder="1" applyAlignment="1">
      <alignment vertical="center"/>
    </xf>
    <xf numFmtId="0" fontId="48" fillId="33" borderId="47" xfId="0" applyFont="1" applyFill="1" applyBorder="1" applyAlignment="1">
      <alignment horizontal="right"/>
    </xf>
    <xf numFmtId="0" fontId="46" fillId="33" borderId="0" xfId="0" applyFont="1" applyFill="1" applyAlignment="1">
      <alignment vertical="center"/>
    </xf>
    <xf numFmtId="0" fontId="46" fillId="33" borderId="14" xfId="0" applyFont="1" applyFill="1" applyBorder="1" applyAlignment="1">
      <alignment vertical="center"/>
    </xf>
    <xf numFmtId="0" fontId="46" fillId="33" borderId="37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42" xfId="0" applyFont="1" applyFill="1" applyBorder="1" applyAlignment="1">
      <alignment vertical="center"/>
    </xf>
    <xf numFmtId="0" fontId="46" fillId="33" borderId="30" xfId="0" applyFont="1" applyFill="1" applyBorder="1" applyAlignment="1">
      <alignment vertical="center"/>
    </xf>
    <xf numFmtId="176" fontId="46" fillId="33" borderId="46" xfId="48" applyNumberFormat="1" applyFont="1" applyFill="1" applyBorder="1" applyAlignment="1">
      <alignment vertical="center"/>
    </xf>
    <xf numFmtId="0" fontId="46" fillId="33" borderId="15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176" fontId="47" fillId="33" borderId="10" xfId="48" applyNumberFormat="1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vertical="center"/>
    </xf>
    <xf numFmtId="0" fontId="46" fillId="33" borderId="44" xfId="0" applyFont="1" applyFill="1" applyBorder="1" applyAlignment="1">
      <alignment vertical="center"/>
    </xf>
    <xf numFmtId="176" fontId="46" fillId="33" borderId="10" xfId="48" applyNumberFormat="1" applyFont="1" applyFill="1" applyBorder="1" applyAlignment="1">
      <alignment horizontal="center" vertical="center"/>
    </xf>
    <xf numFmtId="176" fontId="46" fillId="33" borderId="11" xfId="48" applyNumberFormat="1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178" fontId="47" fillId="33" borderId="14" xfId="42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vertical="center"/>
    </xf>
    <xf numFmtId="178" fontId="47" fillId="33" borderId="10" xfId="42" applyNumberFormat="1" applyFont="1" applyFill="1" applyBorder="1" applyAlignment="1">
      <alignment vertical="center"/>
    </xf>
    <xf numFmtId="38" fontId="47" fillId="33" borderId="10" xfId="48" applyFont="1" applyFill="1" applyBorder="1" applyAlignment="1">
      <alignment vertical="center"/>
    </xf>
    <xf numFmtId="0" fontId="47" fillId="33" borderId="46" xfId="0" applyFont="1" applyFill="1" applyBorder="1" applyAlignment="1">
      <alignment vertical="center"/>
    </xf>
    <xf numFmtId="38" fontId="47" fillId="33" borderId="46" xfId="48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7" fillId="33" borderId="48" xfId="0" applyFont="1" applyFill="1" applyBorder="1" applyAlignment="1">
      <alignment vertical="center"/>
    </xf>
    <xf numFmtId="0" fontId="47" fillId="33" borderId="49" xfId="0" applyFont="1" applyFill="1" applyBorder="1" applyAlignment="1">
      <alignment horizontal="right" vertical="center"/>
    </xf>
    <xf numFmtId="0" fontId="47" fillId="33" borderId="49" xfId="0" applyFont="1" applyFill="1" applyBorder="1" applyAlignment="1">
      <alignment horizontal="right" vertical="center"/>
    </xf>
    <xf numFmtId="0" fontId="47" fillId="33" borderId="0" xfId="0" applyFont="1" applyFill="1" applyAlignment="1">
      <alignment vertical="center"/>
    </xf>
    <xf numFmtId="3" fontId="47" fillId="33" borderId="0" xfId="0" applyNumberFormat="1" applyFont="1" applyFill="1" applyAlignment="1">
      <alignment vertical="center"/>
    </xf>
    <xf numFmtId="176" fontId="47" fillId="33" borderId="46" xfId="48" applyNumberFormat="1" applyFont="1" applyFill="1" applyBorder="1" applyAlignment="1">
      <alignment horizontal="center" vertical="center"/>
    </xf>
    <xf numFmtId="176" fontId="46" fillId="33" borderId="10" xfId="48" applyNumberFormat="1" applyFont="1" applyFill="1" applyBorder="1" applyAlignment="1">
      <alignment vertical="center"/>
    </xf>
    <xf numFmtId="10" fontId="46" fillId="33" borderId="0" xfId="42" applyNumberFormat="1" applyFont="1" applyFill="1" applyAlignment="1">
      <alignment vertical="center"/>
    </xf>
    <xf numFmtId="0" fontId="48" fillId="33" borderId="0" xfId="0" applyFont="1" applyFill="1" applyAlignment="1">
      <alignment horizontal="right" vertical="center"/>
    </xf>
    <xf numFmtId="176" fontId="46" fillId="33" borderId="0" xfId="48" applyNumberFormat="1" applyFont="1" applyFill="1" applyBorder="1" applyAlignment="1">
      <alignment vertical="center"/>
    </xf>
    <xf numFmtId="176" fontId="47" fillId="33" borderId="0" xfId="48" applyNumberFormat="1" applyFont="1" applyFill="1" applyBorder="1" applyAlignment="1">
      <alignment vertical="center"/>
    </xf>
    <xf numFmtId="176" fontId="46" fillId="33" borderId="0" xfId="48" applyNumberFormat="1" applyFont="1" applyFill="1" applyBorder="1" applyAlignment="1">
      <alignment vertical="center"/>
    </xf>
    <xf numFmtId="178" fontId="47" fillId="33" borderId="0" xfId="0" applyNumberFormat="1" applyFont="1" applyFill="1" applyBorder="1" applyAlignment="1">
      <alignment vertical="center"/>
    </xf>
    <xf numFmtId="177" fontId="47" fillId="33" borderId="0" xfId="0" applyNumberFormat="1" applyFont="1" applyFill="1" applyBorder="1" applyAlignment="1">
      <alignment vertical="center"/>
    </xf>
    <xf numFmtId="4" fontId="47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horizontal="right"/>
    </xf>
    <xf numFmtId="176" fontId="46" fillId="33" borderId="0" xfId="0" applyNumberFormat="1" applyFont="1" applyFill="1" applyBorder="1" applyAlignment="1">
      <alignment vertical="center"/>
    </xf>
    <xf numFmtId="178" fontId="47" fillId="33" borderId="0" xfId="42" applyNumberFormat="1" applyFont="1" applyFill="1" applyBorder="1" applyAlignment="1">
      <alignment vertical="center"/>
    </xf>
    <xf numFmtId="38" fontId="47" fillId="33" borderId="0" xfId="48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176" fontId="47" fillId="33" borderId="13" xfId="48" applyNumberFormat="1" applyFont="1" applyFill="1" applyBorder="1" applyAlignment="1">
      <alignment horizontal="right" vertical="center"/>
    </xf>
    <xf numFmtId="176" fontId="47" fillId="33" borderId="13" xfId="48" applyNumberFormat="1" applyFont="1" applyFill="1" applyBorder="1" applyAlignment="1">
      <alignment horizontal="center" vertical="center"/>
    </xf>
    <xf numFmtId="176" fontId="46" fillId="33" borderId="13" xfId="48" applyNumberFormat="1" applyFont="1" applyFill="1" applyBorder="1" applyAlignment="1">
      <alignment vertical="center"/>
    </xf>
    <xf numFmtId="176" fontId="46" fillId="33" borderId="33" xfId="48" applyNumberFormat="1" applyFont="1" applyFill="1" applyBorder="1" applyAlignment="1">
      <alignment vertical="center"/>
    </xf>
    <xf numFmtId="176" fontId="47" fillId="33" borderId="46" xfId="48" applyNumberFormat="1" applyFont="1" applyFill="1" applyBorder="1" applyAlignment="1">
      <alignment vertical="center"/>
    </xf>
    <xf numFmtId="3" fontId="47" fillId="33" borderId="10" xfId="0" applyNumberFormat="1" applyFont="1" applyFill="1" applyBorder="1" applyAlignment="1">
      <alignment horizontal="center" vertical="center"/>
    </xf>
    <xf numFmtId="0" fontId="46" fillId="33" borderId="0" xfId="0" applyNumberFormat="1" applyFont="1" applyFill="1" applyAlignment="1">
      <alignment vertical="center"/>
    </xf>
    <xf numFmtId="38" fontId="46" fillId="33" borderId="0" xfId="0" applyNumberFormat="1" applyFont="1" applyFill="1" applyAlignment="1">
      <alignment vertical="center"/>
    </xf>
    <xf numFmtId="0" fontId="46" fillId="33" borderId="0" xfId="0" applyFont="1" applyFill="1" applyAlignment="1">
      <alignment horizontal="right"/>
    </xf>
    <xf numFmtId="10" fontId="46" fillId="33" borderId="0" xfId="42" applyNumberFormat="1" applyFont="1" applyFill="1" applyBorder="1" applyAlignment="1">
      <alignment vertical="center"/>
    </xf>
    <xf numFmtId="0" fontId="46" fillId="33" borderId="0" xfId="42" applyNumberFormat="1" applyFont="1" applyFill="1" applyBorder="1" applyAlignment="1">
      <alignment vertical="center"/>
    </xf>
    <xf numFmtId="0" fontId="46" fillId="33" borderId="0" xfId="48" applyNumberFormat="1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0" fontId="46" fillId="33" borderId="45" xfId="0" applyFont="1" applyFill="1" applyBorder="1" applyAlignment="1">
      <alignment vertical="center"/>
    </xf>
    <xf numFmtId="0" fontId="46" fillId="33" borderId="39" xfId="0" applyFont="1" applyFill="1" applyBorder="1" applyAlignment="1">
      <alignment vertical="center"/>
    </xf>
    <xf numFmtId="0" fontId="46" fillId="33" borderId="37" xfId="0" applyFont="1" applyFill="1" applyBorder="1" applyAlignment="1">
      <alignment vertical="center"/>
    </xf>
    <xf numFmtId="0" fontId="46" fillId="33" borderId="38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6" fillId="33" borderId="50" xfId="0" applyFont="1" applyFill="1" applyBorder="1" applyAlignment="1">
      <alignment vertical="center"/>
    </xf>
    <xf numFmtId="0" fontId="46" fillId="33" borderId="40" xfId="0" applyFont="1" applyFill="1" applyBorder="1" applyAlignment="1">
      <alignment vertical="center"/>
    </xf>
    <xf numFmtId="176" fontId="47" fillId="33" borderId="10" xfId="48" applyNumberFormat="1" applyFont="1" applyFill="1" applyBorder="1" applyAlignment="1">
      <alignment vertical="center"/>
    </xf>
    <xf numFmtId="0" fontId="47" fillId="33" borderId="51" xfId="0" applyFont="1" applyFill="1" applyBorder="1" applyAlignment="1">
      <alignment vertical="center"/>
    </xf>
    <xf numFmtId="0" fontId="47" fillId="33" borderId="52" xfId="0" applyFont="1" applyFill="1" applyBorder="1" applyAlignment="1">
      <alignment vertical="center"/>
    </xf>
    <xf numFmtId="176" fontId="47" fillId="33" borderId="53" xfId="48" applyNumberFormat="1" applyFont="1" applyFill="1" applyBorder="1" applyAlignment="1">
      <alignment horizontal="center" vertical="center"/>
    </xf>
    <xf numFmtId="176" fontId="47" fillId="33" borderId="53" xfId="48" applyNumberFormat="1" applyFont="1" applyFill="1" applyBorder="1" applyAlignment="1">
      <alignment vertical="center"/>
    </xf>
    <xf numFmtId="0" fontId="46" fillId="33" borderId="44" xfId="0" applyFont="1" applyFill="1" applyBorder="1" applyAlignment="1">
      <alignment vertical="center"/>
    </xf>
    <xf numFmtId="176" fontId="46" fillId="33" borderId="46" xfId="48" applyNumberFormat="1" applyFont="1" applyFill="1" applyBorder="1" applyAlignment="1">
      <alignment vertical="center"/>
    </xf>
    <xf numFmtId="0" fontId="46" fillId="33" borderId="37" xfId="0" applyFont="1" applyFill="1" applyBorder="1" applyAlignment="1">
      <alignment vertical="center"/>
    </xf>
    <xf numFmtId="0" fontId="46" fillId="33" borderId="38" xfId="0" applyFont="1" applyFill="1" applyBorder="1" applyAlignment="1">
      <alignment vertical="center"/>
    </xf>
    <xf numFmtId="0" fontId="46" fillId="33" borderId="39" xfId="0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0" fontId="46" fillId="33" borderId="45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6" fillId="33" borderId="40" xfId="0" applyFont="1" applyFill="1" applyBorder="1" applyAlignment="1">
      <alignment vertical="center"/>
    </xf>
    <xf numFmtId="0" fontId="46" fillId="33" borderId="50" xfId="0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176" fontId="46" fillId="33" borderId="13" xfId="48" applyNumberFormat="1" applyFont="1" applyFill="1" applyBorder="1" applyAlignment="1">
      <alignment horizontal="center" vertical="top"/>
    </xf>
    <xf numFmtId="176" fontId="47" fillId="33" borderId="29" xfId="48" applyNumberFormat="1" applyFont="1" applyFill="1" applyBorder="1" applyAlignment="1">
      <alignment horizontal="center" vertical="top"/>
    </xf>
    <xf numFmtId="3" fontId="47" fillId="33" borderId="10" xfId="0" applyNumberFormat="1" applyFont="1" applyFill="1" applyBorder="1" applyAlignment="1">
      <alignment horizontal="center" vertical="top"/>
    </xf>
    <xf numFmtId="178" fontId="47" fillId="33" borderId="54" xfId="42" applyNumberFormat="1" applyFont="1" applyFill="1" applyBorder="1" applyAlignment="1">
      <alignment vertical="center"/>
    </xf>
    <xf numFmtId="178" fontId="47" fillId="33" borderId="55" xfId="42" applyNumberFormat="1" applyFont="1" applyFill="1" applyBorder="1" applyAlignment="1">
      <alignment vertical="center"/>
    </xf>
    <xf numFmtId="38" fontId="47" fillId="33" borderId="55" xfId="48" applyFont="1" applyFill="1" applyBorder="1" applyAlignment="1">
      <alignment vertical="center"/>
    </xf>
    <xf numFmtId="38" fontId="47" fillId="33" borderId="56" xfId="48" applyFont="1" applyFill="1" applyBorder="1" applyAlignment="1">
      <alignment vertical="center"/>
    </xf>
    <xf numFmtId="176" fontId="46" fillId="33" borderId="57" xfId="48" applyNumberFormat="1" applyFont="1" applyFill="1" applyBorder="1" applyAlignment="1">
      <alignment vertical="center"/>
    </xf>
    <xf numFmtId="176" fontId="46" fillId="33" borderId="54" xfId="48" applyNumberFormat="1" applyFont="1" applyFill="1" applyBorder="1" applyAlignment="1">
      <alignment vertical="center"/>
    </xf>
    <xf numFmtId="176" fontId="46" fillId="33" borderId="55" xfId="48" applyNumberFormat="1" applyFont="1" applyFill="1" applyBorder="1" applyAlignment="1">
      <alignment vertical="center"/>
    </xf>
    <xf numFmtId="176" fontId="47" fillId="33" borderId="55" xfId="48" applyNumberFormat="1" applyFont="1" applyFill="1" applyBorder="1" applyAlignment="1">
      <alignment vertical="center"/>
    </xf>
    <xf numFmtId="176" fontId="47" fillId="33" borderId="55" xfId="48" applyNumberFormat="1" applyFont="1" applyFill="1" applyBorder="1" applyAlignment="1">
      <alignment vertical="center"/>
    </xf>
    <xf numFmtId="176" fontId="46" fillId="33" borderId="56" xfId="48" applyNumberFormat="1" applyFont="1" applyFill="1" applyBorder="1" applyAlignment="1">
      <alignment vertical="center"/>
    </xf>
    <xf numFmtId="176" fontId="46" fillId="33" borderId="55" xfId="48" applyNumberFormat="1" applyFont="1" applyFill="1" applyBorder="1" applyAlignment="1">
      <alignment horizontal="center" vertical="center"/>
    </xf>
    <xf numFmtId="176" fontId="46" fillId="33" borderId="57" xfId="0" applyNumberFormat="1" applyFont="1" applyFill="1" applyBorder="1" applyAlignment="1">
      <alignment vertical="center"/>
    </xf>
    <xf numFmtId="0" fontId="46" fillId="33" borderId="57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38" fontId="47" fillId="0" borderId="55" xfId="48" applyFont="1" applyFill="1" applyBorder="1" applyAlignment="1">
      <alignment vertical="center"/>
    </xf>
    <xf numFmtId="0" fontId="47" fillId="33" borderId="0" xfId="0" applyFont="1" applyFill="1" applyBorder="1" applyAlignment="1">
      <alignment/>
    </xf>
    <xf numFmtId="38" fontId="47" fillId="0" borderId="46" xfId="48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38" fontId="47" fillId="33" borderId="13" xfId="48" applyFont="1" applyFill="1" applyBorder="1" applyAlignment="1">
      <alignment vertical="center"/>
    </xf>
    <xf numFmtId="0" fontId="47" fillId="33" borderId="29" xfId="0" applyFont="1" applyFill="1" applyBorder="1" applyAlignment="1">
      <alignment vertical="center"/>
    </xf>
    <xf numFmtId="178" fontId="47" fillId="33" borderId="29" xfId="42" applyNumberFormat="1" applyFont="1" applyFill="1" applyBorder="1" applyAlignment="1">
      <alignment vertical="center"/>
    </xf>
    <xf numFmtId="38" fontId="47" fillId="33" borderId="33" xfId="48" applyFont="1" applyFill="1" applyBorder="1" applyAlignment="1">
      <alignment vertical="center"/>
    </xf>
    <xf numFmtId="0" fontId="47" fillId="33" borderId="33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176" fontId="52" fillId="33" borderId="14" xfId="48" applyNumberFormat="1" applyFont="1" applyFill="1" applyBorder="1" applyAlignment="1">
      <alignment vertical="center"/>
    </xf>
    <xf numFmtId="176" fontId="52" fillId="33" borderId="10" xfId="48" applyNumberFormat="1" applyFont="1" applyFill="1" applyBorder="1" applyAlignment="1">
      <alignment vertical="center"/>
    </xf>
    <xf numFmtId="176" fontId="53" fillId="33" borderId="10" xfId="48" applyNumberFormat="1" applyFont="1" applyFill="1" applyBorder="1" applyAlignment="1">
      <alignment horizontal="center" vertical="center"/>
    </xf>
    <xf numFmtId="176" fontId="52" fillId="33" borderId="46" xfId="48" applyNumberFormat="1" applyFont="1" applyFill="1" applyBorder="1" applyAlignment="1">
      <alignment vertical="center"/>
    </xf>
    <xf numFmtId="176" fontId="52" fillId="33" borderId="46" xfId="48" applyNumberFormat="1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right" vertical="center"/>
    </xf>
    <xf numFmtId="0" fontId="50" fillId="33" borderId="0" xfId="0" applyFont="1" applyFill="1" applyAlignment="1">
      <alignment horizontal="left" vertical="center"/>
    </xf>
    <xf numFmtId="38" fontId="53" fillId="33" borderId="10" xfId="48" applyFont="1" applyFill="1" applyBorder="1" applyAlignment="1">
      <alignment vertical="center"/>
    </xf>
    <xf numFmtId="178" fontId="53" fillId="33" borderId="10" xfId="42" applyNumberFormat="1" applyFont="1" applyFill="1" applyBorder="1" applyAlignment="1">
      <alignment vertical="center"/>
    </xf>
    <xf numFmtId="38" fontId="53" fillId="33" borderId="13" xfId="48" applyFont="1" applyFill="1" applyBorder="1" applyAlignment="1">
      <alignment vertical="center"/>
    </xf>
    <xf numFmtId="38" fontId="53" fillId="33" borderId="33" xfId="48" applyFont="1" applyFill="1" applyBorder="1" applyAlignment="1">
      <alignment vertical="center"/>
    </xf>
    <xf numFmtId="178" fontId="53" fillId="33" borderId="29" xfId="42" applyNumberFormat="1" applyFont="1" applyFill="1" applyBorder="1" applyAlignment="1">
      <alignment vertical="center"/>
    </xf>
    <xf numFmtId="38" fontId="53" fillId="33" borderId="46" xfId="48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178" fontId="47" fillId="33" borderId="21" xfId="42" applyNumberFormat="1" applyFont="1" applyFill="1" applyBorder="1" applyAlignment="1">
      <alignment vertical="center"/>
    </xf>
    <xf numFmtId="178" fontId="47" fillId="33" borderId="58" xfId="42" applyNumberFormat="1" applyFont="1" applyFill="1" applyBorder="1" applyAlignment="1">
      <alignment vertical="center"/>
    </xf>
    <xf numFmtId="0" fontId="46" fillId="33" borderId="34" xfId="0" applyFont="1" applyFill="1" applyBorder="1" applyAlignment="1">
      <alignment horizontal="center" vertical="center" wrapText="1"/>
    </xf>
    <xf numFmtId="176" fontId="46" fillId="33" borderId="50" xfId="48" applyNumberFormat="1" applyFont="1" applyFill="1" applyBorder="1" applyAlignment="1">
      <alignment vertical="center"/>
    </xf>
    <xf numFmtId="176" fontId="46" fillId="33" borderId="21" xfId="48" applyNumberFormat="1" applyFont="1" applyFill="1" applyBorder="1" applyAlignment="1">
      <alignment vertical="center"/>
    </xf>
    <xf numFmtId="176" fontId="47" fillId="33" borderId="21" xfId="48" applyNumberFormat="1" applyFont="1" applyFill="1" applyBorder="1" applyAlignment="1">
      <alignment vertical="center"/>
    </xf>
    <xf numFmtId="176" fontId="46" fillId="33" borderId="32" xfId="48" applyNumberFormat="1" applyFont="1" applyFill="1" applyBorder="1" applyAlignment="1">
      <alignment vertical="center"/>
    </xf>
    <xf numFmtId="176" fontId="47" fillId="33" borderId="21" xfId="48" applyNumberFormat="1" applyFont="1" applyFill="1" applyBorder="1" applyAlignment="1">
      <alignment vertical="center"/>
    </xf>
    <xf numFmtId="176" fontId="46" fillId="33" borderId="34" xfId="0" applyNumberFormat="1" applyFont="1" applyFill="1" applyBorder="1" applyAlignment="1">
      <alignment vertical="center"/>
    </xf>
    <xf numFmtId="176" fontId="46" fillId="33" borderId="34" xfId="48" applyNumberFormat="1" applyFont="1" applyFill="1" applyBorder="1" applyAlignment="1">
      <alignment vertical="center"/>
    </xf>
    <xf numFmtId="178" fontId="47" fillId="33" borderId="50" xfId="42" applyNumberFormat="1" applyFont="1" applyFill="1" applyBorder="1" applyAlignment="1">
      <alignment vertical="center"/>
    </xf>
    <xf numFmtId="178" fontId="47" fillId="0" borderId="21" xfId="42" applyNumberFormat="1" applyFont="1" applyFill="1" applyBorder="1" applyAlignment="1">
      <alignment vertical="center"/>
    </xf>
    <xf numFmtId="38" fontId="47" fillId="33" borderId="21" xfId="48" applyFont="1" applyFill="1" applyBorder="1" applyAlignment="1">
      <alignment vertical="center"/>
    </xf>
    <xf numFmtId="38" fontId="47" fillId="33" borderId="32" xfId="48" applyFont="1" applyFill="1" applyBorder="1" applyAlignment="1">
      <alignment vertical="center"/>
    </xf>
    <xf numFmtId="3" fontId="55" fillId="33" borderId="59" xfId="0" applyNumberFormat="1" applyFont="1" applyFill="1" applyBorder="1" applyAlignment="1">
      <alignment horizontal="center" vertical="center"/>
    </xf>
    <xf numFmtId="3" fontId="55" fillId="33" borderId="60" xfId="0" applyNumberFormat="1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vertical="center"/>
    </xf>
    <xf numFmtId="0" fontId="47" fillId="33" borderId="27" xfId="0" applyFont="1" applyFill="1" applyBorder="1" applyAlignment="1">
      <alignment vertical="center"/>
    </xf>
    <xf numFmtId="0" fontId="46" fillId="33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9" xfId="0" applyBorder="1" applyAlignment="1">
      <alignment vertical="center" shrinkToFit="1"/>
    </xf>
    <xf numFmtId="0" fontId="46" fillId="33" borderId="19" xfId="0" applyFont="1" applyFill="1" applyBorder="1" applyAlignment="1">
      <alignment vertical="center"/>
    </xf>
    <xf numFmtId="0" fontId="46" fillId="33" borderId="30" xfId="0" applyFont="1" applyFill="1" applyBorder="1" applyAlignment="1">
      <alignment vertical="center"/>
    </xf>
    <xf numFmtId="0" fontId="46" fillId="33" borderId="24" xfId="0" applyFont="1" applyFill="1" applyBorder="1" applyAlignment="1">
      <alignment vertical="center"/>
    </xf>
    <xf numFmtId="0" fontId="46" fillId="33" borderId="27" xfId="0" applyFont="1" applyFill="1" applyBorder="1" applyAlignment="1">
      <alignment vertical="center"/>
    </xf>
    <xf numFmtId="0" fontId="46" fillId="33" borderId="20" xfId="0" applyFont="1" applyFill="1" applyBorder="1" applyAlignment="1">
      <alignment vertical="center"/>
    </xf>
    <xf numFmtId="0" fontId="46" fillId="33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3" borderId="23" xfId="0" applyFont="1" applyFill="1" applyBorder="1" applyAlignment="1">
      <alignment vertical="center"/>
    </xf>
    <xf numFmtId="0" fontId="46" fillId="33" borderId="39" xfId="0" applyFont="1" applyFill="1" applyBorder="1" applyAlignment="1">
      <alignment vertical="center"/>
    </xf>
    <xf numFmtId="0" fontId="46" fillId="33" borderId="40" xfId="0" applyFont="1" applyFill="1" applyBorder="1" applyAlignment="1">
      <alignment vertical="center"/>
    </xf>
    <xf numFmtId="0" fontId="47" fillId="33" borderId="47" xfId="0" applyFont="1" applyFill="1" applyBorder="1" applyAlignment="1">
      <alignment/>
    </xf>
    <xf numFmtId="0" fontId="47" fillId="33" borderId="52" xfId="0" applyFont="1" applyFill="1" applyBorder="1" applyAlignment="1">
      <alignment/>
    </xf>
    <xf numFmtId="0" fontId="47" fillId="33" borderId="49" xfId="0" applyFont="1" applyFill="1" applyBorder="1" applyAlignment="1">
      <alignment vertical="center"/>
    </xf>
    <xf numFmtId="0" fontId="46" fillId="33" borderId="37" xfId="0" applyFont="1" applyFill="1" applyBorder="1" applyAlignment="1">
      <alignment vertical="center"/>
    </xf>
    <xf numFmtId="0" fontId="46" fillId="33" borderId="38" xfId="0" applyFont="1" applyFill="1" applyBorder="1" applyAlignment="1">
      <alignment vertical="center"/>
    </xf>
    <xf numFmtId="0" fontId="46" fillId="33" borderId="50" xfId="0" applyFont="1" applyFill="1" applyBorder="1" applyAlignment="1">
      <alignment vertical="center"/>
    </xf>
    <xf numFmtId="0" fontId="47" fillId="33" borderId="49" xfId="0" applyFont="1" applyFill="1" applyBorder="1" applyAlignment="1">
      <alignment vertical="center"/>
    </xf>
    <xf numFmtId="0" fontId="51" fillId="33" borderId="47" xfId="0" applyFont="1" applyFill="1" applyBorder="1" applyAlignment="1">
      <alignment horizontal="left" wrapText="1"/>
    </xf>
    <xf numFmtId="0" fontId="51" fillId="33" borderId="52" xfId="0" applyFont="1" applyFill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9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8"/>
  <sheetViews>
    <sheetView tabSelected="1" zoomScaleSheetLayoutView="100" zoomScalePageLayoutView="0" workbookViewId="0" topLeftCell="A67">
      <selection activeCell="A67" sqref="A67"/>
    </sheetView>
  </sheetViews>
  <sheetFormatPr defaultColWidth="9.140625" defaultRowHeight="13.5" customHeight="1"/>
  <cols>
    <col min="1" max="1" width="2.421875" style="11" customWidth="1"/>
    <col min="2" max="3" width="2.421875" style="12" customWidth="1"/>
    <col min="4" max="4" width="30.421875" style="12" bestFit="1" customWidth="1"/>
    <col min="5" max="12" width="8.00390625" style="12" customWidth="1"/>
    <col min="13" max="13" width="8.00390625" style="12" hidden="1" customWidth="1"/>
    <col min="14" max="14" width="32.421875" style="111" hidden="1" customWidth="1"/>
    <col min="15" max="16" width="14.421875" style="12" hidden="1" customWidth="1"/>
    <col min="17" max="18" width="0" style="12" hidden="1" customWidth="1"/>
    <col min="19" max="16384" width="9.00390625" style="12" customWidth="1"/>
  </cols>
  <sheetData>
    <row r="1" spans="2:13" ht="30" customHeight="1" hidden="1">
      <c r="B1" s="127" t="s">
        <v>196</v>
      </c>
      <c r="L1" s="13" t="s">
        <v>153</v>
      </c>
      <c r="M1" s="13"/>
    </row>
    <row r="2" spans="1:13" ht="27" customHeight="1" hidden="1">
      <c r="A2" s="14"/>
      <c r="B2" s="246" t="s">
        <v>63</v>
      </c>
      <c r="C2" s="246"/>
      <c r="D2" s="247"/>
      <c r="E2" s="15" t="s">
        <v>168</v>
      </c>
      <c r="F2" s="15" t="s">
        <v>169</v>
      </c>
      <c r="G2" s="15" t="s">
        <v>170</v>
      </c>
      <c r="H2" s="15" t="s">
        <v>171</v>
      </c>
      <c r="I2" s="15" t="s">
        <v>172</v>
      </c>
      <c r="J2" s="15" t="s">
        <v>173</v>
      </c>
      <c r="K2" s="15" t="s">
        <v>173</v>
      </c>
      <c r="L2" s="128" t="s">
        <v>174</v>
      </c>
      <c r="M2" s="129"/>
    </row>
    <row r="3" spans="1:14" ht="13.5" customHeight="1" hidden="1">
      <c r="A3" s="248" t="s">
        <v>21</v>
      </c>
      <c r="B3" s="16" t="s">
        <v>0</v>
      </c>
      <c r="C3" s="17"/>
      <c r="D3" s="18"/>
      <c r="E3" s="10">
        <f>SUM(E5,E6,E10,E15:E18)</f>
        <v>21530</v>
      </c>
      <c r="F3" s="10">
        <f>SUM(F5,F6,F10,F15:F18)</f>
        <v>48957</v>
      </c>
      <c r="G3" s="10">
        <f>SUM(G5,G6,G10,G15:G18)-1</f>
        <v>28443</v>
      </c>
      <c r="H3" s="10">
        <f>SUM(H5,H6,H10,H15:H18)+3</f>
        <v>36525</v>
      </c>
      <c r="I3" s="10">
        <f>SUM(I5,I6,I10,I15:I18)</f>
        <v>15973</v>
      </c>
      <c r="J3" s="10">
        <f>SUM(J5,J6,J10,J15:J18)+3</f>
        <v>47209</v>
      </c>
      <c r="K3" s="10">
        <f>SUM(K5,K6,K10,K15:K18)+3</f>
        <v>47209</v>
      </c>
      <c r="L3" s="10">
        <f>SUM(L5,L6,L10,L15:L18)+2</f>
        <v>141413</v>
      </c>
      <c r="M3" s="117"/>
      <c r="N3" s="111" t="s">
        <v>78</v>
      </c>
    </row>
    <row r="4" spans="1:14" ht="13.5" customHeight="1" hidden="1">
      <c r="A4" s="248"/>
      <c r="B4" s="108"/>
      <c r="C4" s="42"/>
      <c r="D4" s="109" t="s">
        <v>149</v>
      </c>
      <c r="E4" s="32">
        <f aca="true" t="shared" si="0" ref="E4:L4">IF(E12="-","",E3-E12)</f>
      </c>
      <c r="F4" s="33">
        <f>IF(F12="-","",F3-F12)</f>
        <v>23437</v>
      </c>
      <c r="G4" s="32">
        <f t="shared" si="0"/>
      </c>
      <c r="H4" s="33">
        <f t="shared" si="0"/>
        <v>15601</v>
      </c>
      <c r="I4" s="32">
        <f t="shared" si="0"/>
      </c>
      <c r="J4" s="32">
        <f>IF(J12="-","",J3-J12)</f>
      </c>
      <c r="K4" s="32">
        <f t="shared" si="0"/>
      </c>
      <c r="L4" s="33">
        <f t="shared" si="0"/>
        <v>110251</v>
      </c>
      <c r="M4" s="118"/>
      <c r="N4" s="111" t="s">
        <v>78</v>
      </c>
    </row>
    <row r="5" spans="1:13" ht="13.5" customHeight="1" hidden="1">
      <c r="A5" s="161" t="s">
        <v>22</v>
      </c>
      <c r="B5" s="19"/>
      <c r="C5" s="20" t="s">
        <v>1</v>
      </c>
      <c r="D5" s="21"/>
      <c r="E5" s="9">
        <v>10184</v>
      </c>
      <c r="F5" s="9">
        <v>13252</v>
      </c>
      <c r="G5" s="9">
        <v>16223</v>
      </c>
      <c r="H5" s="9">
        <v>10148</v>
      </c>
      <c r="I5" s="9">
        <v>6526</v>
      </c>
      <c r="J5" s="9">
        <v>21876</v>
      </c>
      <c r="K5" s="9">
        <v>21876</v>
      </c>
      <c r="L5" s="9">
        <v>49891</v>
      </c>
      <c r="M5" s="117"/>
    </row>
    <row r="6" spans="1:14" ht="13.5" customHeight="1" hidden="1">
      <c r="A6" s="161"/>
      <c r="B6" s="19"/>
      <c r="C6" s="22" t="s">
        <v>2</v>
      </c>
      <c r="D6" s="23"/>
      <c r="E6" s="9">
        <f aca="true" t="shared" si="1" ref="E6:L6">SUM(E7:E9)</f>
        <v>2956</v>
      </c>
      <c r="F6" s="9">
        <f t="shared" si="1"/>
        <v>763</v>
      </c>
      <c r="G6" s="9">
        <f t="shared" si="1"/>
        <v>3704</v>
      </c>
      <c r="H6" s="9">
        <f t="shared" si="1"/>
        <v>0</v>
      </c>
      <c r="I6" s="9">
        <f t="shared" si="1"/>
        <v>2431</v>
      </c>
      <c r="J6" s="9">
        <f>SUM(J7:J9)</f>
        <v>7954</v>
      </c>
      <c r="K6" s="9">
        <f t="shared" si="1"/>
        <v>7954</v>
      </c>
      <c r="L6" s="9">
        <f t="shared" si="1"/>
        <v>16352</v>
      </c>
      <c r="M6" s="117"/>
      <c r="N6" s="111" t="s">
        <v>78</v>
      </c>
    </row>
    <row r="7" spans="1:13" ht="13.5" customHeight="1" hidden="1">
      <c r="A7" s="161"/>
      <c r="B7" s="19"/>
      <c r="C7" s="24"/>
      <c r="D7" s="25" t="s">
        <v>19</v>
      </c>
      <c r="E7" s="26">
        <v>1568</v>
      </c>
      <c r="F7" s="26">
        <v>501</v>
      </c>
      <c r="G7" s="130">
        <v>0</v>
      </c>
      <c r="H7" s="131" t="s">
        <v>150</v>
      </c>
      <c r="I7" s="26">
        <v>1745</v>
      </c>
      <c r="J7" s="26">
        <v>5346</v>
      </c>
      <c r="K7" s="26">
        <v>5346</v>
      </c>
      <c r="L7" s="26">
        <v>9373</v>
      </c>
      <c r="M7" s="118"/>
    </row>
    <row r="8" spans="1:13" ht="13.5" customHeight="1" hidden="1">
      <c r="A8" s="161"/>
      <c r="B8" s="19"/>
      <c r="C8" s="24"/>
      <c r="D8" s="27" t="s">
        <v>18</v>
      </c>
      <c r="E8" s="28">
        <v>1388</v>
      </c>
      <c r="F8" s="28">
        <v>262</v>
      </c>
      <c r="G8" s="28">
        <v>3704</v>
      </c>
      <c r="H8" s="29" t="s">
        <v>150</v>
      </c>
      <c r="I8" s="28">
        <v>650</v>
      </c>
      <c r="J8" s="28">
        <v>2540</v>
      </c>
      <c r="K8" s="28">
        <v>2540</v>
      </c>
      <c r="L8" s="28">
        <v>6831</v>
      </c>
      <c r="M8" s="118"/>
    </row>
    <row r="9" spans="1:13" ht="13.5" customHeight="1" hidden="1">
      <c r="A9" s="161"/>
      <c r="B9" s="19"/>
      <c r="C9" s="30"/>
      <c r="D9" s="31" t="s">
        <v>116</v>
      </c>
      <c r="E9" s="32" t="s">
        <v>150</v>
      </c>
      <c r="F9" s="32" t="s">
        <v>150</v>
      </c>
      <c r="G9" s="32" t="s">
        <v>150</v>
      </c>
      <c r="H9" s="32" t="s">
        <v>150</v>
      </c>
      <c r="I9" s="33">
        <v>36</v>
      </c>
      <c r="J9" s="33">
        <v>68</v>
      </c>
      <c r="K9" s="33">
        <v>68</v>
      </c>
      <c r="L9" s="33">
        <v>148</v>
      </c>
      <c r="M9" s="118"/>
    </row>
    <row r="10" spans="1:14" ht="13.5" customHeight="1" hidden="1">
      <c r="A10" s="161"/>
      <c r="B10" s="19"/>
      <c r="C10" s="22" t="s">
        <v>3</v>
      </c>
      <c r="D10" s="23"/>
      <c r="E10" s="9">
        <f aca="true" t="shared" si="2" ref="E10:K10">SUM(E11:E14)</f>
        <v>5551</v>
      </c>
      <c r="F10" s="9">
        <f>SUM(F11:F14)</f>
        <v>31778</v>
      </c>
      <c r="G10" s="9">
        <v>6141</v>
      </c>
      <c r="H10" s="9">
        <v>23579</v>
      </c>
      <c r="I10" s="9">
        <f t="shared" si="2"/>
        <v>4229</v>
      </c>
      <c r="J10" s="9">
        <f>SUM(J11:J14)</f>
        <v>6706</v>
      </c>
      <c r="K10" s="9">
        <f t="shared" si="2"/>
        <v>6706</v>
      </c>
      <c r="L10" s="9">
        <f>SUM(L11:L14)+2</f>
        <v>48416</v>
      </c>
      <c r="M10" s="117"/>
      <c r="N10" s="111" t="s">
        <v>78</v>
      </c>
    </row>
    <row r="11" spans="1:13" ht="13.5" customHeight="1" hidden="1">
      <c r="A11" s="161" t="s">
        <v>23</v>
      </c>
      <c r="B11" s="19"/>
      <c r="C11" s="24"/>
      <c r="D11" s="34" t="s">
        <v>98</v>
      </c>
      <c r="E11" s="26">
        <v>5227</v>
      </c>
      <c r="F11" s="26">
        <v>5230</v>
      </c>
      <c r="G11" s="26">
        <v>5844</v>
      </c>
      <c r="H11" s="26">
        <v>2067</v>
      </c>
      <c r="I11" s="26">
        <v>3433</v>
      </c>
      <c r="J11" s="26">
        <v>5854</v>
      </c>
      <c r="K11" s="26">
        <v>5854</v>
      </c>
      <c r="L11" s="26">
        <v>13423</v>
      </c>
      <c r="M11" s="118"/>
    </row>
    <row r="12" spans="1:13" ht="13.5" customHeight="1" hidden="1">
      <c r="A12" s="161"/>
      <c r="B12" s="19"/>
      <c r="C12" s="24"/>
      <c r="D12" s="27" t="s">
        <v>16</v>
      </c>
      <c r="E12" s="29" t="s">
        <v>150</v>
      </c>
      <c r="F12" s="28">
        <v>25520</v>
      </c>
      <c r="G12" s="29" t="s">
        <v>150</v>
      </c>
      <c r="H12" s="28">
        <v>20924</v>
      </c>
      <c r="I12" s="29" t="s">
        <v>150</v>
      </c>
      <c r="J12" s="29" t="s">
        <v>150</v>
      </c>
      <c r="K12" s="29" t="s">
        <v>150</v>
      </c>
      <c r="L12" s="28">
        <v>31162</v>
      </c>
      <c r="M12" s="118"/>
    </row>
    <row r="13" spans="1:13" ht="13.5" customHeight="1" hidden="1">
      <c r="A13" s="161"/>
      <c r="B13" s="19"/>
      <c r="C13" s="24"/>
      <c r="D13" s="27" t="s">
        <v>4</v>
      </c>
      <c r="E13" s="29" t="s">
        <v>150</v>
      </c>
      <c r="F13" s="29" t="s">
        <v>13</v>
      </c>
      <c r="G13" s="29" t="s">
        <v>150</v>
      </c>
      <c r="H13" s="28">
        <v>12</v>
      </c>
      <c r="I13" s="29" t="s">
        <v>150</v>
      </c>
      <c r="J13" s="29" t="s">
        <v>150</v>
      </c>
      <c r="K13" s="29" t="s">
        <v>150</v>
      </c>
      <c r="L13" s="28">
        <v>28</v>
      </c>
      <c r="M13" s="118"/>
    </row>
    <row r="14" spans="1:13" ht="13.5" customHeight="1" hidden="1">
      <c r="A14" s="161"/>
      <c r="B14" s="19"/>
      <c r="C14" s="30"/>
      <c r="D14" s="31" t="s">
        <v>175</v>
      </c>
      <c r="E14" s="33">
        <v>324</v>
      </c>
      <c r="F14" s="33">
        <v>1028</v>
      </c>
      <c r="G14" s="33">
        <v>298</v>
      </c>
      <c r="H14" s="33">
        <v>574</v>
      </c>
      <c r="I14" s="33">
        <v>796</v>
      </c>
      <c r="J14" s="33">
        <v>852</v>
      </c>
      <c r="K14" s="33">
        <v>852</v>
      </c>
      <c r="L14" s="33">
        <v>3801</v>
      </c>
      <c r="M14" s="118"/>
    </row>
    <row r="15" spans="1:13" ht="13.5" customHeight="1" hidden="1">
      <c r="A15" s="161" t="s">
        <v>24</v>
      </c>
      <c r="B15" s="19"/>
      <c r="C15" s="20" t="s">
        <v>9</v>
      </c>
      <c r="D15" s="21"/>
      <c r="E15" s="9">
        <v>1844</v>
      </c>
      <c r="F15" s="9">
        <f>1225+980</f>
        <v>2205</v>
      </c>
      <c r="G15" s="9">
        <v>1972</v>
      </c>
      <c r="H15" s="9">
        <v>1670</v>
      </c>
      <c r="I15" s="9">
        <v>2617</v>
      </c>
      <c r="J15" s="9">
        <v>10659</v>
      </c>
      <c r="K15" s="9">
        <v>10659</v>
      </c>
      <c r="L15" s="9">
        <v>25255</v>
      </c>
      <c r="M15" s="117"/>
    </row>
    <row r="16" spans="1:13" ht="13.5" customHeight="1" hidden="1">
      <c r="A16" s="161"/>
      <c r="B16" s="19"/>
      <c r="C16" s="20" t="s">
        <v>15</v>
      </c>
      <c r="D16" s="21"/>
      <c r="E16" s="35" t="s">
        <v>150</v>
      </c>
      <c r="F16" s="7">
        <v>600</v>
      </c>
      <c r="G16" s="35" t="s">
        <v>150</v>
      </c>
      <c r="H16" s="7">
        <v>1120</v>
      </c>
      <c r="I16" s="7" t="s">
        <v>150</v>
      </c>
      <c r="J16" s="168" t="s">
        <v>150</v>
      </c>
      <c r="K16" s="35" t="s">
        <v>150</v>
      </c>
      <c r="L16" s="7">
        <v>1366</v>
      </c>
      <c r="M16" s="117"/>
    </row>
    <row r="17" spans="1:13" ht="13.5" customHeight="1" hidden="1">
      <c r="A17" s="161"/>
      <c r="B17" s="19"/>
      <c r="C17" s="20" t="s">
        <v>79</v>
      </c>
      <c r="D17" s="21"/>
      <c r="E17" s="35" t="s">
        <v>150</v>
      </c>
      <c r="F17" s="35" t="s">
        <v>13</v>
      </c>
      <c r="G17" s="35" t="s">
        <v>150</v>
      </c>
      <c r="H17" s="35" t="s">
        <v>150</v>
      </c>
      <c r="I17" s="7">
        <v>10</v>
      </c>
      <c r="J17" s="168" t="s">
        <v>150</v>
      </c>
      <c r="K17" s="35" t="s">
        <v>150</v>
      </c>
      <c r="L17" s="7">
        <v>131</v>
      </c>
      <c r="M17" s="117"/>
    </row>
    <row r="18" spans="1:13" ht="13.5" customHeight="1" hidden="1">
      <c r="A18" s="161"/>
      <c r="B18" s="36"/>
      <c r="C18" s="37" t="s">
        <v>12</v>
      </c>
      <c r="D18" s="38"/>
      <c r="E18" s="7">
        <v>995</v>
      </c>
      <c r="F18" s="132">
        <v>359</v>
      </c>
      <c r="G18" s="7">
        <v>404</v>
      </c>
      <c r="H18" s="7">
        <v>5</v>
      </c>
      <c r="I18" s="7">
        <v>160</v>
      </c>
      <c r="J18" s="7">
        <v>11</v>
      </c>
      <c r="K18" s="7">
        <v>11</v>
      </c>
      <c r="L18" s="7">
        <v>0</v>
      </c>
      <c r="M18" s="117"/>
    </row>
    <row r="19" spans="1:14" ht="13.5" customHeight="1" hidden="1">
      <c r="A19" s="161"/>
      <c r="B19" s="16" t="s">
        <v>5</v>
      </c>
      <c r="C19" s="17"/>
      <c r="D19" s="18"/>
      <c r="E19" s="8">
        <f>SUM(E20,E25:E29)</f>
        <v>21529</v>
      </c>
      <c r="F19" s="8">
        <f>SUM(F20,F25:F29)</f>
        <v>47002</v>
      </c>
      <c r="G19" s="8">
        <v>26749</v>
      </c>
      <c r="H19" s="8">
        <f>SUM(H20,H25:H29)+1</f>
        <v>35891</v>
      </c>
      <c r="I19" s="8">
        <f>SUM(I20,I25:I29)</f>
        <v>14889</v>
      </c>
      <c r="J19" s="8">
        <f>SUM(J20,J25:J29)</f>
        <v>44773</v>
      </c>
      <c r="K19" s="8">
        <f>SUM(K20,K25:K29)</f>
        <v>44773</v>
      </c>
      <c r="L19" s="8">
        <f>SUM(L20,L25:L29)+3</f>
        <v>131863</v>
      </c>
      <c r="M19" s="117"/>
      <c r="N19" s="111" t="s">
        <v>78</v>
      </c>
    </row>
    <row r="20" spans="1:14" ht="13.5" customHeight="1" hidden="1">
      <c r="A20" s="248" t="s">
        <v>25</v>
      </c>
      <c r="B20" s="19"/>
      <c r="C20" s="22" t="s">
        <v>6</v>
      </c>
      <c r="D20" s="23"/>
      <c r="E20" s="7">
        <f>SUM(E22:E24)</f>
        <v>16487</v>
      </c>
      <c r="F20" s="7">
        <f>SUM(F22:F24)</f>
        <v>44335</v>
      </c>
      <c r="G20" s="7">
        <f>SUM(G22:G24)</f>
        <v>21145</v>
      </c>
      <c r="H20" s="7">
        <f>SUM(H22:H24)+3</f>
        <v>30526</v>
      </c>
      <c r="I20" s="7">
        <f>SUM(I22:I24)</f>
        <v>9878</v>
      </c>
      <c r="J20" s="7">
        <f>SUM(J22:J24)</f>
        <v>27772</v>
      </c>
      <c r="K20" s="7">
        <f>SUM(K22:K24)</f>
        <v>27772</v>
      </c>
      <c r="L20" s="7">
        <f>SUM(L22:L24)</f>
        <v>89883</v>
      </c>
      <c r="M20" s="117"/>
      <c r="N20" s="111" t="s">
        <v>78</v>
      </c>
    </row>
    <row r="21" spans="1:14" ht="13.5" customHeight="1" hidden="1">
      <c r="A21" s="248"/>
      <c r="B21" s="106"/>
      <c r="C21" s="107"/>
      <c r="D21" s="110" t="s">
        <v>148</v>
      </c>
      <c r="E21" s="33">
        <f aca="true" t="shared" si="3" ref="E21:L21">IF(E23="-","",E20-E23)</f>
      </c>
      <c r="F21" s="33">
        <f t="shared" si="3"/>
        <v>30135</v>
      </c>
      <c r="G21" s="33">
        <f t="shared" si="3"/>
      </c>
      <c r="H21" s="33">
        <f t="shared" si="3"/>
        <v>19780</v>
      </c>
      <c r="I21" s="33">
        <f t="shared" si="3"/>
      </c>
      <c r="J21" s="33">
        <f>IF(J23="-","",J20-J23)</f>
      </c>
      <c r="K21" s="33">
        <f t="shared" si="3"/>
      </c>
      <c r="L21" s="33">
        <f t="shared" si="3"/>
        <v>59005</v>
      </c>
      <c r="M21" s="118"/>
      <c r="N21" s="111" t="s">
        <v>78</v>
      </c>
    </row>
    <row r="22" spans="1:13" ht="13.5" customHeight="1" hidden="1">
      <c r="A22" s="161" t="s">
        <v>26</v>
      </c>
      <c r="B22" s="19"/>
      <c r="C22" s="24"/>
      <c r="D22" s="34" t="s">
        <v>7</v>
      </c>
      <c r="E22" s="26">
        <v>13505</v>
      </c>
      <c r="F22" s="26">
        <v>4590</v>
      </c>
      <c r="G22" s="26">
        <v>13394</v>
      </c>
      <c r="H22" s="26">
        <f>494+1023+174</f>
        <v>1691</v>
      </c>
      <c r="I22" s="26">
        <v>6915</v>
      </c>
      <c r="J22" s="26">
        <v>27772</v>
      </c>
      <c r="K22" s="26">
        <v>27772</v>
      </c>
      <c r="L22" s="26">
        <v>46853</v>
      </c>
      <c r="M22" s="118"/>
    </row>
    <row r="23" spans="1:13" ht="13.5" customHeight="1" hidden="1">
      <c r="A23" s="161"/>
      <c r="B23" s="19"/>
      <c r="C23" s="24"/>
      <c r="D23" s="27" t="s">
        <v>17</v>
      </c>
      <c r="E23" s="29" t="s">
        <v>150</v>
      </c>
      <c r="F23" s="28">
        <v>14200</v>
      </c>
      <c r="G23" s="29" t="s">
        <v>150</v>
      </c>
      <c r="H23" s="28">
        <v>10746</v>
      </c>
      <c r="I23" s="29" t="s">
        <v>150</v>
      </c>
      <c r="J23" s="29" t="s">
        <v>150</v>
      </c>
      <c r="K23" s="29" t="s">
        <v>150</v>
      </c>
      <c r="L23" s="28">
        <v>30878</v>
      </c>
      <c r="M23" s="118"/>
    </row>
    <row r="24" spans="1:13" ht="13.5" customHeight="1" hidden="1">
      <c r="A24" s="161" t="s">
        <v>27</v>
      </c>
      <c r="B24" s="19"/>
      <c r="C24" s="30"/>
      <c r="D24" s="31" t="s">
        <v>29</v>
      </c>
      <c r="E24" s="33">
        <v>2982</v>
      </c>
      <c r="F24" s="33">
        <f>1326+24219</f>
        <v>25545</v>
      </c>
      <c r="G24" s="33">
        <v>7751</v>
      </c>
      <c r="H24" s="33">
        <f>705+17381</f>
        <v>18086</v>
      </c>
      <c r="I24" s="33">
        <v>2963</v>
      </c>
      <c r="J24" s="169" t="s">
        <v>150</v>
      </c>
      <c r="K24" s="32" t="s">
        <v>150</v>
      </c>
      <c r="L24" s="33">
        <v>12152</v>
      </c>
      <c r="M24" s="118"/>
    </row>
    <row r="25" spans="1:13" ht="13.5" customHeight="1" hidden="1">
      <c r="A25" s="161" t="s">
        <v>28</v>
      </c>
      <c r="B25" s="19"/>
      <c r="C25" s="20" t="s">
        <v>8</v>
      </c>
      <c r="D25" s="21"/>
      <c r="E25" s="9">
        <v>1497</v>
      </c>
      <c r="F25" s="9">
        <v>862</v>
      </c>
      <c r="G25" s="9">
        <v>3704</v>
      </c>
      <c r="H25" s="9">
        <v>1333</v>
      </c>
      <c r="I25" s="9">
        <v>686</v>
      </c>
      <c r="J25" s="9">
        <v>2606</v>
      </c>
      <c r="K25" s="9">
        <v>2606</v>
      </c>
      <c r="L25" s="9">
        <v>8312</v>
      </c>
      <c r="M25" s="117"/>
    </row>
    <row r="26" spans="1:13" ht="13.5" customHeight="1" hidden="1">
      <c r="A26" s="161"/>
      <c r="B26" s="19"/>
      <c r="C26" s="20" t="s">
        <v>14</v>
      </c>
      <c r="D26" s="21"/>
      <c r="E26" s="7">
        <v>1568</v>
      </c>
      <c r="F26" s="35" t="s">
        <v>13</v>
      </c>
      <c r="G26" s="35" t="s">
        <v>150</v>
      </c>
      <c r="H26" s="35" t="s">
        <v>150</v>
      </c>
      <c r="I26" s="7">
        <v>1744</v>
      </c>
      <c r="J26" s="7">
        <v>5201</v>
      </c>
      <c r="K26" s="7">
        <v>5201</v>
      </c>
      <c r="L26" s="7">
        <v>9181</v>
      </c>
      <c r="M26" s="117"/>
    </row>
    <row r="27" spans="1:13" ht="13.5" customHeight="1" hidden="1">
      <c r="A27" s="161" t="s">
        <v>30</v>
      </c>
      <c r="B27" s="19"/>
      <c r="C27" s="20" t="s">
        <v>10</v>
      </c>
      <c r="D27" s="21"/>
      <c r="E27" s="7">
        <v>1977</v>
      </c>
      <c r="F27" s="7">
        <v>1229</v>
      </c>
      <c r="G27" s="7">
        <v>1899</v>
      </c>
      <c r="H27" s="7">
        <v>1453</v>
      </c>
      <c r="I27" s="7">
        <v>2510</v>
      </c>
      <c r="J27" s="7">
        <v>9194</v>
      </c>
      <c r="K27" s="7">
        <v>9194</v>
      </c>
      <c r="L27" s="7">
        <v>18939</v>
      </c>
      <c r="M27" s="117"/>
    </row>
    <row r="28" spans="1:13" ht="13.5" customHeight="1" hidden="1">
      <c r="A28" s="161"/>
      <c r="B28" s="19"/>
      <c r="C28" s="20" t="s">
        <v>83</v>
      </c>
      <c r="D28" s="21"/>
      <c r="E28" s="35" t="s">
        <v>150</v>
      </c>
      <c r="F28" s="7">
        <v>576</v>
      </c>
      <c r="G28" s="35" t="s">
        <v>150</v>
      </c>
      <c r="H28" s="35" t="s">
        <v>150</v>
      </c>
      <c r="I28" s="7"/>
      <c r="J28" s="168" t="s">
        <v>150</v>
      </c>
      <c r="K28" s="35" t="s">
        <v>150</v>
      </c>
      <c r="L28" s="7">
        <v>5545</v>
      </c>
      <c r="M28" s="117"/>
    </row>
    <row r="29" spans="1:13" ht="13.5" customHeight="1" hidden="1">
      <c r="A29" s="161"/>
      <c r="B29" s="36"/>
      <c r="C29" s="37" t="s">
        <v>20</v>
      </c>
      <c r="D29" s="38"/>
      <c r="E29" s="35" t="s">
        <v>150</v>
      </c>
      <c r="F29" s="35" t="s">
        <v>13</v>
      </c>
      <c r="G29" s="35" t="s">
        <v>150</v>
      </c>
      <c r="H29" s="7">
        <f>44+2534</f>
        <v>2578</v>
      </c>
      <c r="I29" s="7">
        <v>71</v>
      </c>
      <c r="J29" s="168" t="s">
        <v>150</v>
      </c>
      <c r="K29" s="35" t="s">
        <v>150</v>
      </c>
      <c r="L29" s="35" t="s">
        <v>13</v>
      </c>
      <c r="M29" s="117"/>
    </row>
    <row r="30" spans="1:14" ht="13.5" customHeight="1" hidden="1">
      <c r="A30" s="161" t="s">
        <v>31</v>
      </c>
      <c r="B30" s="39" t="s">
        <v>81</v>
      </c>
      <c r="C30" s="40"/>
      <c r="D30" s="41"/>
      <c r="E30" s="5">
        <f aca="true" t="shared" si="4" ref="E30:L30">E3-E19</f>
        <v>1</v>
      </c>
      <c r="F30" s="5">
        <f t="shared" si="4"/>
        <v>1955</v>
      </c>
      <c r="G30" s="5">
        <f t="shared" si="4"/>
        <v>1694</v>
      </c>
      <c r="H30" s="5">
        <f t="shared" si="4"/>
        <v>634</v>
      </c>
      <c r="I30" s="5">
        <f t="shared" si="4"/>
        <v>1084</v>
      </c>
      <c r="J30" s="5">
        <f>J3-J19</f>
        <v>2436</v>
      </c>
      <c r="K30" s="5">
        <f t="shared" si="4"/>
        <v>2436</v>
      </c>
      <c r="L30" s="5">
        <f t="shared" si="4"/>
        <v>9550</v>
      </c>
      <c r="M30" s="117"/>
      <c r="N30" s="111" t="s">
        <v>78</v>
      </c>
    </row>
    <row r="31" spans="1:14" ht="13.5" customHeight="1" hidden="1">
      <c r="A31" s="161"/>
      <c r="B31" s="39" t="s">
        <v>11</v>
      </c>
      <c r="C31" s="40"/>
      <c r="D31" s="41"/>
      <c r="E31" s="6" t="str">
        <f aca="true" t="shared" si="5" ref="E31:L31">IF(E12="-","-",E12-E23)</f>
        <v>-</v>
      </c>
      <c r="F31" s="5">
        <f>IF(F12="-","-",F12-F23)</f>
        <v>11320</v>
      </c>
      <c r="G31" s="6" t="str">
        <f t="shared" si="5"/>
        <v>-</v>
      </c>
      <c r="H31" s="5">
        <f t="shared" si="5"/>
        <v>10178</v>
      </c>
      <c r="I31" s="6" t="str">
        <f t="shared" si="5"/>
        <v>-</v>
      </c>
      <c r="J31" s="6" t="str">
        <f>IF(J12="-","-",J12-J23)</f>
        <v>-</v>
      </c>
      <c r="K31" s="6" t="str">
        <f t="shared" si="5"/>
        <v>-</v>
      </c>
      <c r="L31" s="5">
        <f t="shared" si="5"/>
        <v>284</v>
      </c>
      <c r="M31" s="117"/>
      <c r="N31" s="111" t="s">
        <v>78</v>
      </c>
    </row>
    <row r="32" spans="1:13" ht="13.5" customHeight="1" hidden="1">
      <c r="A32" s="42"/>
      <c r="B32" s="43" t="s">
        <v>176</v>
      </c>
      <c r="C32" s="40"/>
      <c r="D32" s="40"/>
      <c r="E32" s="44"/>
      <c r="F32" s="133"/>
      <c r="G32" s="44"/>
      <c r="H32" s="133"/>
      <c r="I32" s="44"/>
      <c r="J32" s="44"/>
      <c r="K32" s="44"/>
      <c r="L32" s="133"/>
      <c r="M32" s="117"/>
    </row>
    <row r="33" spans="1:13" s="47" customFormat="1" ht="13.5" customHeight="1" hidden="1">
      <c r="A33" s="45" t="s">
        <v>34</v>
      </c>
      <c r="B33" s="249" t="s">
        <v>32</v>
      </c>
      <c r="C33" s="250"/>
      <c r="D33" s="251"/>
      <c r="E33" s="46">
        <v>8000</v>
      </c>
      <c r="F33" s="46">
        <v>9042</v>
      </c>
      <c r="G33" s="46">
        <v>11235</v>
      </c>
      <c r="H33" s="46">
        <v>3350</v>
      </c>
      <c r="I33" s="46">
        <v>5952</v>
      </c>
      <c r="J33" s="46">
        <v>10044</v>
      </c>
      <c r="K33" s="46">
        <v>10044</v>
      </c>
      <c r="L33" s="46">
        <v>23789</v>
      </c>
      <c r="M33" s="119"/>
    </row>
    <row r="34" spans="1:13" s="47" customFormat="1" ht="13.5" customHeight="1" hidden="1">
      <c r="A34" s="45"/>
      <c r="B34" s="244" t="s">
        <v>151</v>
      </c>
      <c r="C34" s="245"/>
      <c r="D34" s="243"/>
      <c r="E34" s="1">
        <v>707</v>
      </c>
      <c r="F34" s="1">
        <v>712</v>
      </c>
      <c r="G34" s="1">
        <v>870</v>
      </c>
      <c r="H34" s="1">
        <v>486</v>
      </c>
      <c r="I34" s="1">
        <v>778</v>
      </c>
      <c r="J34" s="1">
        <v>1587</v>
      </c>
      <c r="K34" s="1">
        <v>1587</v>
      </c>
      <c r="L34" s="1">
        <v>4605</v>
      </c>
      <c r="M34" s="119"/>
    </row>
    <row r="35" spans="1:13" s="47" customFormat="1" ht="13.5" customHeight="1" hidden="1">
      <c r="A35" s="45" t="s">
        <v>35</v>
      </c>
      <c r="B35" s="48"/>
      <c r="C35" s="49" t="s">
        <v>152</v>
      </c>
      <c r="D35" s="50"/>
      <c r="E35" s="93" t="s">
        <v>13</v>
      </c>
      <c r="F35" s="93" t="s">
        <v>13</v>
      </c>
      <c r="G35" s="93" t="s">
        <v>13</v>
      </c>
      <c r="H35" s="93" t="s">
        <v>13</v>
      </c>
      <c r="I35" s="51">
        <v>416</v>
      </c>
      <c r="J35" s="51">
        <v>1135</v>
      </c>
      <c r="K35" s="51">
        <v>1135</v>
      </c>
      <c r="L35" s="51">
        <v>3106</v>
      </c>
      <c r="M35" s="118"/>
    </row>
    <row r="36" spans="1:13" s="47" customFormat="1" ht="13.5" customHeight="1" hidden="1">
      <c r="A36" s="45" t="s">
        <v>40</v>
      </c>
      <c r="B36" s="244" t="s">
        <v>33</v>
      </c>
      <c r="C36" s="245"/>
      <c r="D36" s="243"/>
      <c r="E36" s="114">
        <v>211</v>
      </c>
      <c r="F36" s="1">
        <v>1335</v>
      </c>
      <c r="G36" s="114">
        <v>460</v>
      </c>
      <c r="H36" s="1">
        <v>1111</v>
      </c>
      <c r="I36" s="1">
        <v>549</v>
      </c>
      <c r="J36" s="1">
        <v>1734</v>
      </c>
      <c r="K36" s="1">
        <v>1734</v>
      </c>
      <c r="L36" s="1">
        <v>4312</v>
      </c>
      <c r="M36" s="119"/>
    </row>
    <row r="37" spans="1:13" s="47" customFormat="1" ht="13.5" customHeight="1" hidden="1">
      <c r="A37" s="45"/>
      <c r="B37" s="52"/>
      <c r="C37" s="53" t="s">
        <v>152</v>
      </c>
      <c r="D37" s="54"/>
      <c r="E37" s="113" t="s">
        <v>150</v>
      </c>
      <c r="F37" s="113" t="s">
        <v>13</v>
      </c>
      <c r="G37" s="113" t="s">
        <v>13</v>
      </c>
      <c r="H37" s="113" t="s">
        <v>13</v>
      </c>
      <c r="I37" s="134">
        <v>216</v>
      </c>
      <c r="J37" s="134">
        <v>579</v>
      </c>
      <c r="K37" s="134">
        <v>579</v>
      </c>
      <c r="L37" s="134">
        <v>2478</v>
      </c>
      <c r="M37" s="118"/>
    </row>
    <row r="38" spans="1:19" s="47" customFormat="1" ht="12" customHeight="1" hidden="1">
      <c r="A38" s="45"/>
      <c r="B38" s="47" t="s">
        <v>177</v>
      </c>
      <c r="D38" s="55"/>
      <c r="F38" s="118"/>
      <c r="G38" s="118"/>
      <c r="H38" s="118"/>
      <c r="I38" s="118"/>
      <c r="J38" s="118"/>
      <c r="K38" s="118"/>
      <c r="L38" s="118"/>
      <c r="M38" s="118"/>
      <c r="S38" s="55"/>
    </row>
    <row r="39" spans="1:19" s="47" customFormat="1" ht="12" customHeight="1" hidden="1">
      <c r="A39" s="45"/>
      <c r="B39" s="47" t="s">
        <v>178</v>
      </c>
      <c r="D39" s="55"/>
      <c r="E39" s="47" t="s">
        <v>179</v>
      </c>
      <c r="F39" s="118"/>
      <c r="G39" s="118"/>
      <c r="H39" s="118"/>
      <c r="I39" s="118"/>
      <c r="J39" s="118"/>
      <c r="K39" s="118"/>
      <c r="L39" s="118"/>
      <c r="M39" s="118"/>
      <c r="S39" s="55"/>
    </row>
    <row r="40" spans="1:19" s="47" customFormat="1" ht="12" customHeight="1" hidden="1">
      <c r="A40" s="45"/>
      <c r="B40" s="47" t="s">
        <v>180</v>
      </c>
      <c r="D40" s="55"/>
      <c r="E40" s="47" t="s">
        <v>181</v>
      </c>
      <c r="F40" s="118"/>
      <c r="G40" s="118"/>
      <c r="H40" s="118"/>
      <c r="I40" s="118"/>
      <c r="J40" s="118"/>
      <c r="K40" s="118"/>
      <c r="L40" s="118"/>
      <c r="M40" s="118"/>
      <c r="S40" s="55"/>
    </row>
    <row r="41" spans="1:19" s="47" customFormat="1" ht="12" customHeight="1" hidden="1">
      <c r="A41" s="45"/>
      <c r="D41" s="55"/>
      <c r="E41" s="47" t="s">
        <v>182</v>
      </c>
      <c r="F41" s="118"/>
      <c r="G41" s="118"/>
      <c r="H41" s="118"/>
      <c r="I41" s="118"/>
      <c r="J41" s="118"/>
      <c r="K41" s="118"/>
      <c r="L41" s="118"/>
      <c r="M41" s="118"/>
      <c r="S41" s="55"/>
    </row>
    <row r="42" s="47" customFormat="1" ht="12" customHeight="1" hidden="1">
      <c r="A42" s="45"/>
    </row>
    <row r="43" spans="1:13" s="47" customFormat="1" ht="12" customHeight="1" hidden="1">
      <c r="A43" s="45" t="s">
        <v>131</v>
      </c>
      <c r="C43" s="56" t="s">
        <v>41</v>
      </c>
      <c r="D43" s="57"/>
      <c r="E43" s="58">
        <f aca="true" t="shared" si="6" ref="E43:L43">E30/E3</f>
        <v>4.644681839294008E-05</v>
      </c>
      <c r="F43" s="58">
        <f>F30/F3</f>
        <v>0.039933002430704495</v>
      </c>
      <c r="G43" s="58">
        <f t="shared" si="6"/>
        <v>0.05955771191505819</v>
      </c>
      <c r="H43" s="58">
        <f t="shared" si="6"/>
        <v>0.01735797399041752</v>
      </c>
      <c r="I43" s="58">
        <f t="shared" si="6"/>
        <v>0.06786452137982846</v>
      </c>
      <c r="J43" s="58">
        <f>J30/J3</f>
        <v>0.05160033044546591</v>
      </c>
      <c r="K43" s="58">
        <f t="shared" si="6"/>
        <v>0.05160033044546591</v>
      </c>
      <c r="L43" s="58">
        <f t="shared" si="6"/>
        <v>0.06753268794240982</v>
      </c>
      <c r="M43" s="120"/>
    </row>
    <row r="44" spans="1:13" s="47" customFormat="1" ht="12" customHeight="1" hidden="1">
      <c r="A44" s="45" t="s">
        <v>132</v>
      </c>
      <c r="C44" s="59" t="s">
        <v>42</v>
      </c>
      <c r="D44" s="60"/>
      <c r="E44" s="61">
        <f aca="true" t="shared" si="7" ref="E44:L44">E5/E3</f>
        <v>0.4730143985137018</v>
      </c>
      <c r="F44" s="61">
        <f>F5/F3</f>
        <v>0.2706865208243969</v>
      </c>
      <c r="G44" s="61">
        <f t="shared" si="7"/>
        <v>0.5703688077910206</v>
      </c>
      <c r="H44" s="61">
        <f t="shared" si="7"/>
        <v>0.27783709787816563</v>
      </c>
      <c r="I44" s="61">
        <f t="shared" si="7"/>
        <v>0.4085644525136167</v>
      </c>
      <c r="J44" s="61">
        <f>J5/J3</f>
        <v>0.46338621872947955</v>
      </c>
      <c r="K44" s="61">
        <f t="shared" si="7"/>
        <v>0.46338621872947955</v>
      </c>
      <c r="L44" s="61">
        <f t="shared" si="7"/>
        <v>0.35280349048531606</v>
      </c>
      <c r="M44" s="120"/>
    </row>
    <row r="45" spans="1:13" s="47" customFormat="1" ht="12" customHeight="1" hidden="1">
      <c r="A45" s="45"/>
      <c r="C45" s="62"/>
      <c r="D45" s="63" t="s">
        <v>149</v>
      </c>
      <c r="E45" s="64"/>
      <c r="F45" s="64">
        <f>F5/F4</f>
        <v>0.5654307291888894</v>
      </c>
      <c r="G45" s="64"/>
      <c r="H45" s="64">
        <f>H5/H4</f>
        <v>0.6504711236459201</v>
      </c>
      <c r="I45" s="64"/>
      <c r="J45" s="64"/>
      <c r="K45" s="64"/>
      <c r="L45" s="64">
        <f>L5/L4</f>
        <v>0.4525219725898178</v>
      </c>
      <c r="M45" s="120"/>
    </row>
    <row r="46" spans="1:13" s="47" customFormat="1" ht="12" customHeight="1" hidden="1">
      <c r="A46" s="45" t="s">
        <v>133</v>
      </c>
      <c r="C46" s="59" t="s">
        <v>36</v>
      </c>
      <c r="D46" s="60"/>
      <c r="E46" s="61">
        <f aca="true" t="shared" si="8" ref="E46:L46">E11/E3</f>
        <v>0.2427775197398978</v>
      </c>
      <c r="F46" s="61">
        <f>F11/F3</f>
        <v>0.10682844128520946</v>
      </c>
      <c r="G46" s="61">
        <f t="shared" si="8"/>
        <v>0.20546355869634006</v>
      </c>
      <c r="H46" s="61">
        <f t="shared" si="8"/>
        <v>0.05659137577002053</v>
      </c>
      <c r="I46" s="61">
        <f t="shared" si="8"/>
        <v>0.2149251862517999</v>
      </c>
      <c r="J46" s="61">
        <f>J11/J3</f>
        <v>0.1240017793217395</v>
      </c>
      <c r="K46" s="61">
        <f t="shared" si="8"/>
        <v>0.1240017793217395</v>
      </c>
      <c r="L46" s="61">
        <f t="shared" si="8"/>
        <v>0.09492055185874</v>
      </c>
      <c r="M46" s="120"/>
    </row>
    <row r="47" spans="1:13" s="47" customFormat="1" ht="12" customHeight="1" hidden="1">
      <c r="A47" s="45"/>
      <c r="C47" s="62"/>
      <c r="D47" s="63" t="s">
        <v>149</v>
      </c>
      <c r="E47" s="64"/>
      <c r="F47" s="64">
        <f>F11/F4</f>
        <v>0.2231514272304476</v>
      </c>
      <c r="G47" s="64"/>
      <c r="H47" s="64">
        <f>H11/H4</f>
        <v>0.1324915069546824</v>
      </c>
      <c r="I47" s="64"/>
      <c r="J47" s="64"/>
      <c r="K47" s="64"/>
      <c r="L47" s="64">
        <f>L11/L4</f>
        <v>0.12174946258990849</v>
      </c>
      <c r="M47" s="120"/>
    </row>
    <row r="48" spans="1:13" s="47" customFormat="1" ht="12" customHeight="1" hidden="1">
      <c r="A48" s="45" t="s">
        <v>134</v>
      </c>
      <c r="C48" s="59" t="s">
        <v>37</v>
      </c>
      <c r="D48" s="60"/>
      <c r="E48" s="61">
        <f aca="true" t="shared" si="9" ref="E48:L48">E15/E3</f>
        <v>0.08564793311658152</v>
      </c>
      <c r="F48" s="61">
        <f>F15/F3</f>
        <v>0.045039524480666705</v>
      </c>
      <c r="G48" s="61">
        <f t="shared" si="9"/>
        <v>0.06933164574763562</v>
      </c>
      <c r="H48" s="61">
        <f t="shared" si="9"/>
        <v>0.04572210814510609</v>
      </c>
      <c r="I48" s="61">
        <f t="shared" si="9"/>
        <v>0.16383897827584049</v>
      </c>
      <c r="J48" s="61">
        <f>J15/J3</f>
        <v>0.22578321930140438</v>
      </c>
      <c r="K48" s="61">
        <f t="shared" si="9"/>
        <v>0.22578321930140438</v>
      </c>
      <c r="L48" s="61">
        <f t="shared" si="9"/>
        <v>0.178590370050844</v>
      </c>
      <c r="M48" s="120"/>
    </row>
    <row r="49" spans="1:13" s="47" customFormat="1" ht="12" customHeight="1" hidden="1">
      <c r="A49" s="45"/>
      <c r="C49" s="62"/>
      <c r="D49" s="63" t="s">
        <v>149</v>
      </c>
      <c r="E49" s="64"/>
      <c r="F49" s="64">
        <f>F15/F4</f>
        <v>0.09408200708281776</v>
      </c>
      <c r="G49" s="64"/>
      <c r="H49" s="64">
        <f>H15/H4</f>
        <v>0.10704442022947247</v>
      </c>
      <c r="I49" s="64"/>
      <c r="J49" s="64"/>
      <c r="K49" s="64"/>
      <c r="L49" s="64">
        <f>L15/L4</f>
        <v>0.22906821706832592</v>
      </c>
      <c r="M49" s="120"/>
    </row>
    <row r="50" spans="1:13" s="47" customFormat="1" ht="12" customHeight="1" hidden="1">
      <c r="A50" s="45" t="s">
        <v>135</v>
      </c>
      <c r="C50" s="59" t="s">
        <v>38</v>
      </c>
      <c r="D50" s="60"/>
      <c r="E50" s="61">
        <f aca="true" t="shared" si="10" ref="E50:L50">E11/E20</f>
        <v>0.31703766603991024</v>
      </c>
      <c r="F50" s="61">
        <f>F11/F20</f>
        <v>0.11796549001917221</v>
      </c>
      <c r="G50" s="61">
        <f t="shared" si="10"/>
        <v>0.276377394183022</v>
      </c>
      <c r="H50" s="61">
        <f t="shared" si="10"/>
        <v>0.0677127694424425</v>
      </c>
      <c r="I50" s="61">
        <f t="shared" si="10"/>
        <v>0.34753998785179185</v>
      </c>
      <c r="J50" s="61">
        <f>J11/J20</f>
        <v>0.21078784387152527</v>
      </c>
      <c r="K50" s="61">
        <f t="shared" si="10"/>
        <v>0.21078784387152527</v>
      </c>
      <c r="L50" s="61">
        <f t="shared" si="10"/>
        <v>0.1493385846044302</v>
      </c>
      <c r="M50" s="120"/>
    </row>
    <row r="51" spans="1:13" s="47" customFormat="1" ht="12" customHeight="1" hidden="1">
      <c r="A51" s="45"/>
      <c r="C51" s="62"/>
      <c r="D51" s="63" t="s">
        <v>148</v>
      </c>
      <c r="E51" s="64"/>
      <c r="F51" s="64">
        <f>F11/F21</f>
        <v>0.17355234776837564</v>
      </c>
      <c r="G51" s="64"/>
      <c r="H51" s="64">
        <f>H11/H21</f>
        <v>0.1044994944388271</v>
      </c>
      <c r="I51" s="64"/>
      <c r="J51" s="64"/>
      <c r="K51" s="64"/>
      <c r="L51" s="64">
        <f>L11/L21</f>
        <v>0.2274891958308618</v>
      </c>
      <c r="M51" s="120"/>
    </row>
    <row r="52" spans="1:13" s="47" customFormat="1" ht="12" customHeight="1" hidden="1">
      <c r="A52" s="45" t="s">
        <v>136</v>
      </c>
      <c r="C52" s="65" t="s">
        <v>39</v>
      </c>
      <c r="D52" s="66"/>
      <c r="E52" s="67">
        <f aca="true" t="shared" si="11" ref="E52:L52">E27/E15</f>
        <v>1.072125813449024</v>
      </c>
      <c r="F52" s="67">
        <f>F27/F15</f>
        <v>0.5573696145124717</v>
      </c>
      <c r="G52" s="67">
        <f t="shared" si="11"/>
        <v>0.9629817444219066</v>
      </c>
      <c r="H52" s="67">
        <f t="shared" si="11"/>
        <v>0.870059880239521</v>
      </c>
      <c r="I52" s="67">
        <f t="shared" si="11"/>
        <v>0.9591134887275506</v>
      </c>
      <c r="J52" s="67">
        <f>J27/J15</f>
        <v>0.8625574631766583</v>
      </c>
      <c r="K52" s="67">
        <f t="shared" si="11"/>
        <v>0.8625574631766583</v>
      </c>
      <c r="L52" s="67">
        <f t="shared" si="11"/>
        <v>0.7499109087309443</v>
      </c>
      <c r="M52" s="120"/>
    </row>
    <row r="53" spans="1:13" s="47" customFormat="1" ht="12" customHeight="1" hidden="1">
      <c r="A53" s="45" t="s">
        <v>137</v>
      </c>
      <c r="C53" s="68" t="s">
        <v>167</v>
      </c>
      <c r="D53" s="69"/>
      <c r="E53" s="70">
        <f aca="true" t="shared" si="12" ref="E53:L53">E25/E30</f>
        <v>1497</v>
      </c>
      <c r="F53" s="70">
        <f>F25/F30</f>
        <v>0.440920716112532</v>
      </c>
      <c r="G53" s="70">
        <f t="shared" si="12"/>
        <v>2.1865407319952777</v>
      </c>
      <c r="H53" s="70">
        <f t="shared" si="12"/>
        <v>2.1025236593059935</v>
      </c>
      <c r="I53" s="70">
        <f t="shared" si="12"/>
        <v>0.6328413284132841</v>
      </c>
      <c r="J53" s="70">
        <f>J25/J30</f>
        <v>1.0697865353037768</v>
      </c>
      <c r="K53" s="70">
        <f t="shared" si="12"/>
        <v>1.0697865353037768</v>
      </c>
      <c r="L53" s="70">
        <f t="shared" si="12"/>
        <v>0.8703664921465969</v>
      </c>
      <c r="M53" s="121"/>
    </row>
    <row r="54" spans="1:13" s="47" customFormat="1" ht="12" customHeight="1" hidden="1">
      <c r="A54" s="45"/>
      <c r="C54" s="71"/>
      <c r="D54" s="71"/>
      <c r="L54" s="72" t="s">
        <v>154</v>
      </c>
      <c r="M54" s="72"/>
    </row>
    <row r="55" spans="1:13" s="47" customFormat="1" ht="12" customHeight="1" hidden="1">
      <c r="A55" s="45" t="s">
        <v>138</v>
      </c>
      <c r="C55" s="56" t="s">
        <v>105</v>
      </c>
      <c r="D55" s="57"/>
      <c r="E55" s="73">
        <f aca="true" t="shared" si="13" ref="E55:L55">IF(E35="-",E34/E33,E35/E33)</f>
        <v>0.088375</v>
      </c>
      <c r="F55" s="73">
        <f t="shared" si="13"/>
        <v>0.07874364078743641</v>
      </c>
      <c r="G55" s="73">
        <f t="shared" si="13"/>
        <v>0.0774365821094793</v>
      </c>
      <c r="H55" s="73">
        <f t="shared" si="13"/>
        <v>0.14507462686567163</v>
      </c>
      <c r="I55" s="73">
        <f t="shared" si="13"/>
        <v>0.06989247311827956</v>
      </c>
      <c r="J55" s="73">
        <f>IF(J35="-",J34/J33,J35/J33)</f>
        <v>0.11300278773397053</v>
      </c>
      <c r="K55" s="73">
        <f t="shared" si="13"/>
        <v>0.11300278773397053</v>
      </c>
      <c r="L55" s="73">
        <f t="shared" si="13"/>
        <v>0.130564546639203</v>
      </c>
      <c r="M55" s="122"/>
    </row>
    <row r="56" spans="1:13" s="47" customFormat="1" ht="12" customHeight="1" hidden="1">
      <c r="A56" s="45" t="s">
        <v>139</v>
      </c>
      <c r="C56" s="68" t="s">
        <v>106</v>
      </c>
      <c r="D56" s="69"/>
      <c r="E56" s="74">
        <f>IF(E37="-",E36/E33,E37/E33)</f>
        <v>0.026375</v>
      </c>
      <c r="F56" s="74">
        <f aca="true" t="shared" si="14" ref="F56:L56">IF(F37="-",F36/F33,F37/F33)</f>
        <v>0.14764432647644327</v>
      </c>
      <c r="G56" s="74">
        <f t="shared" si="14"/>
        <v>0.040943480195816645</v>
      </c>
      <c r="H56" s="74">
        <f t="shared" si="14"/>
        <v>0.33164179104477615</v>
      </c>
      <c r="I56" s="74">
        <f t="shared" si="14"/>
        <v>0.036290322580645164</v>
      </c>
      <c r="J56" s="74">
        <f>IF(J37="-",J36/J33,J37/J33)</f>
        <v>0.057646356033452806</v>
      </c>
      <c r="K56" s="74">
        <f t="shared" si="14"/>
        <v>0.057646356033452806</v>
      </c>
      <c r="L56" s="74">
        <f t="shared" si="14"/>
        <v>0.10416579091176595</v>
      </c>
      <c r="M56" s="122"/>
    </row>
    <row r="57" spans="1:13" s="47" customFormat="1" ht="12" customHeight="1" hidden="1">
      <c r="A57" s="45"/>
      <c r="C57" s="71"/>
      <c r="D57" s="71"/>
      <c r="E57" s="75"/>
      <c r="F57" s="75"/>
      <c r="G57" s="75"/>
      <c r="H57" s="75"/>
      <c r="I57" s="75"/>
      <c r="J57" s="75"/>
      <c r="K57" s="75"/>
      <c r="L57" s="76" t="s">
        <v>183</v>
      </c>
      <c r="M57" s="76"/>
    </row>
    <row r="58" spans="1:13" s="47" customFormat="1" ht="12" customHeight="1" hidden="1">
      <c r="A58" s="45" t="s">
        <v>140</v>
      </c>
      <c r="C58" s="56" t="s">
        <v>107</v>
      </c>
      <c r="D58" s="57"/>
      <c r="E58" s="77">
        <f aca="true" t="shared" si="15" ref="E58:L58">E5/E33*1000</f>
        <v>1273</v>
      </c>
      <c r="F58" s="77">
        <f t="shared" si="15"/>
        <v>1465.6049546560494</v>
      </c>
      <c r="G58" s="77">
        <f t="shared" si="15"/>
        <v>1443.9697374276814</v>
      </c>
      <c r="H58" s="77">
        <f t="shared" si="15"/>
        <v>3029.2537313432836</v>
      </c>
      <c r="I58" s="77">
        <f t="shared" si="15"/>
        <v>1096.4381720430108</v>
      </c>
      <c r="J58" s="77">
        <f>J5/J33*1000</f>
        <v>2178.016726403823</v>
      </c>
      <c r="K58" s="77">
        <f t="shared" si="15"/>
        <v>2178.016726403823</v>
      </c>
      <c r="L58" s="77">
        <f t="shared" si="15"/>
        <v>2097.2298120980286</v>
      </c>
      <c r="M58" s="81"/>
    </row>
    <row r="59" spans="1:13" s="47" customFormat="1" ht="12" customHeight="1" hidden="1">
      <c r="A59" s="45" t="s">
        <v>141</v>
      </c>
      <c r="C59" s="65" t="s">
        <v>108</v>
      </c>
      <c r="D59" s="66"/>
      <c r="E59" s="78">
        <f aca="true" t="shared" si="16" ref="E59:L59">E11/E33*1000</f>
        <v>653.375</v>
      </c>
      <c r="F59" s="78">
        <f t="shared" si="16"/>
        <v>578.4118557841185</v>
      </c>
      <c r="G59" s="78">
        <f t="shared" si="16"/>
        <v>520.1602136181575</v>
      </c>
      <c r="H59" s="78">
        <f t="shared" si="16"/>
        <v>617.0149253731342</v>
      </c>
      <c r="I59" s="78">
        <f t="shared" si="16"/>
        <v>576.7809139784946</v>
      </c>
      <c r="J59" s="78">
        <f>J11/J33*1000</f>
        <v>582.8355236957387</v>
      </c>
      <c r="K59" s="78">
        <f t="shared" si="16"/>
        <v>582.8355236957387</v>
      </c>
      <c r="L59" s="78">
        <f t="shared" si="16"/>
        <v>564.2523855563496</v>
      </c>
      <c r="M59" s="81"/>
    </row>
    <row r="60" spans="1:13" s="47" customFormat="1" ht="12" customHeight="1" hidden="1">
      <c r="A60" s="45" t="s">
        <v>142</v>
      </c>
      <c r="C60" s="65" t="s">
        <v>109</v>
      </c>
      <c r="D60" s="66"/>
      <c r="E60" s="78">
        <f aca="true" t="shared" si="17" ref="E60:L60">IF(E35="-",E11/E34*1000,E11/E35*1000)</f>
        <v>7393.210749646393</v>
      </c>
      <c r="F60" s="78">
        <f t="shared" si="17"/>
        <v>7345.505617977528</v>
      </c>
      <c r="G60" s="78">
        <f t="shared" si="17"/>
        <v>6717.241379310344</v>
      </c>
      <c r="H60" s="78">
        <f t="shared" si="17"/>
        <v>4253.086419753086</v>
      </c>
      <c r="I60" s="78">
        <f t="shared" si="17"/>
        <v>8252.403846153848</v>
      </c>
      <c r="J60" s="78">
        <f>IF(J35="-",J11/J34*1000,J11/J35*1000)</f>
        <v>5157.709251101322</v>
      </c>
      <c r="K60" s="78">
        <f t="shared" si="17"/>
        <v>5157.709251101322</v>
      </c>
      <c r="L60" s="78">
        <f t="shared" si="17"/>
        <v>4321.635544108178</v>
      </c>
      <c r="M60" s="81"/>
    </row>
    <row r="61" spans="1:13" s="47" customFormat="1" ht="12" customHeight="1" hidden="1">
      <c r="A61" s="45" t="s">
        <v>143</v>
      </c>
      <c r="C61" s="65" t="s">
        <v>110</v>
      </c>
      <c r="D61" s="66"/>
      <c r="E61" s="78">
        <f>IF(E37="-",E11/E36*1000,E11/E37*1000)</f>
        <v>24772.511848341233</v>
      </c>
      <c r="F61" s="78">
        <f aca="true" t="shared" si="18" ref="F61:L61">IF(F37="-",F11/F36*1000,F11/F37*1000)</f>
        <v>3917.6029962546813</v>
      </c>
      <c r="G61" s="78">
        <f t="shared" si="18"/>
        <v>12704.347826086958</v>
      </c>
      <c r="H61" s="78">
        <f t="shared" si="18"/>
        <v>1860.4860486048603</v>
      </c>
      <c r="I61" s="78">
        <f t="shared" si="18"/>
        <v>15893.518518518518</v>
      </c>
      <c r="J61" s="78">
        <f>IF(J37="-",J11/J36*1000,J11/J37*1000)</f>
        <v>10110.535405872193</v>
      </c>
      <c r="K61" s="78">
        <f t="shared" si="18"/>
        <v>10110.535405872193</v>
      </c>
      <c r="L61" s="78">
        <f t="shared" si="18"/>
        <v>5416.868442292171</v>
      </c>
      <c r="M61" s="81"/>
    </row>
    <row r="62" spans="1:13" s="47" customFormat="1" ht="12" customHeight="1" hidden="1">
      <c r="A62" s="45" t="s">
        <v>144</v>
      </c>
      <c r="C62" s="65" t="s">
        <v>111</v>
      </c>
      <c r="D62" s="66"/>
      <c r="E62" s="78">
        <f aca="true" t="shared" si="19" ref="E62:L62">IF(E35="-",E15/E34*1000,E15/E35*1000)</f>
        <v>2608.203677510608</v>
      </c>
      <c r="F62" s="78">
        <f t="shared" si="19"/>
        <v>3096.9101123595506</v>
      </c>
      <c r="G62" s="78">
        <f t="shared" si="19"/>
        <v>2266.6666666666665</v>
      </c>
      <c r="H62" s="78">
        <f t="shared" si="19"/>
        <v>3436.213991769547</v>
      </c>
      <c r="I62" s="78">
        <f t="shared" si="19"/>
        <v>6290.865384615385</v>
      </c>
      <c r="J62" s="78">
        <f>IF(J35="-",J15/J34*1000,J15/J35*1000)</f>
        <v>9391.189427312776</v>
      </c>
      <c r="K62" s="78">
        <f t="shared" si="19"/>
        <v>9391.189427312776</v>
      </c>
      <c r="L62" s="78">
        <f t="shared" si="19"/>
        <v>8131.036703155184</v>
      </c>
      <c r="M62" s="81"/>
    </row>
    <row r="63" spans="1:13" s="47" customFormat="1" ht="12" customHeight="1" hidden="1">
      <c r="A63" s="45" t="s">
        <v>145</v>
      </c>
      <c r="C63" s="65" t="s">
        <v>112</v>
      </c>
      <c r="D63" s="66"/>
      <c r="E63" s="78">
        <f aca="true" t="shared" si="20" ref="E63:L63">IF(E35="-",E22/E34*1000,E22/E35*1000)</f>
        <v>19101.8387553041</v>
      </c>
      <c r="F63" s="78">
        <f t="shared" si="20"/>
        <v>6446.6292134831465</v>
      </c>
      <c r="G63" s="78">
        <f t="shared" si="20"/>
        <v>15395.402298850575</v>
      </c>
      <c r="H63" s="78">
        <f t="shared" si="20"/>
        <v>3479.4238683127573</v>
      </c>
      <c r="I63" s="78">
        <f t="shared" si="20"/>
        <v>16622.596153846152</v>
      </c>
      <c r="J63" s="78">
        <f>IF(J35="-",J22/J34*1000,J22/J35*1000)</f>
        <v>24468.72246696035</v>
      </c>
      <c r="K63" s="78">
        <f t="shared" si="20"/>
        <v>24468.72246696035</v>
      </c>
      <c r="L63" s="78">
        <f t="shared" si="20"/>
        <v>15084.674822923374</v>
      </c>
      <c r="M63" s="81"/>
    </row>
    <row r="64" spans="1:13" s="47" customFormat="1" ht="12" customHeight="1" hidden="1">
      <c r="A64" s="45" t="s">
        <v>146</v>
      </c>
      <c r="C64" s="65" t="s">
        <v>113</v>
      </c>
      <c r="D64" s="66"/>
      <c r="E64" s="78">
        <f>IF(E37="-",E24/E36*1000,E24/E37*1000)</f>
        <v>14132.701421800946</v>
      </c>
      <c r="F64" s="78">
        <f aca="true" t="shared" si="21" ref="F64:L64">IF(F37="-",F24/F36*1000,F24/F37*1000)</f>
        <v>19134.831460674155</v>
      </c>
      <c r="G64" s="78">
        <f t="shared" si="21"/>
        <v>16850</v>
      </c>
      <c r="H64" s="78">
        <f t="shared" si="21"/>
        <v>16279.02790279028</v>
      </c>
      <c r="I64" s="78">
        <f t="shared" si="21"/>
        <v>13717.592592592593</v>
      </c>
      <c r="J64" s="170" t="str">
        <f>IF(J24="-","-",IF(J37="-",J24/J36*1000,J24/J37*1000))</f>
        <v>-</v>
      </c>
      <c r="K64" s="135" t="str">
        <f>IF(K24="-","-",IF(K37="-",K24/K36*1000,K24/K37*1000))</f>
        <v>-</v>
      </c>
      <c r="L64" s="78">
        <f t="shared" si="21"/>
        <v>4903.9548022598865</v>
      </c>
      <c r="M64" s="81"/>
    </row>
    <row r="65" spans="1:13" s="47" customFormat="1" ht="22.5" customHeight="1" hidden="1">
      <c r="A65" s="45" t="s">
        <v>147</v>
      </c>
      <c r="C65" s="68" t="s">
        <v>114</v>
      </c>
      <c r="D65" s="69"/>
      <c r="E65" s="79">
        <f aca="true" t="shared" si="22" ref="E65:L65">E25/E33*1000</f>
        <v>187.125</v>
      </c>
      <c r="F65" s="79">
        <f t="shared" si="22"/>
        <v>95.3328909533289</v>
      </c>
      <c r="G65" s="79">
        <f t="shared" si="22"/>
        <v>329.68402314196703</v>
      </c>
      <c r="H65" s="79">
        <f t="shared" si="22"/>
        <v>397.91044776119406</v>
      </c>
      <c r="I65" s="79">
        <f t="shared" si="22"/>
        <v>115.25537634408602</v>
      </c>
      <c r="J65" s="79">
        <f>J25/J33*1000</f>
        <v>259.4583831142971</v>
      </c>
      <c r="K65" s="79">
        <f t="shared" si="22"/>
        <v>259.4583831142971</v>
      </c>
      <c r="L65" s="79">
        <f t="shared" si="22"/>
        <v>349.405187271428</v>
      </c>
      <c r="M65" s="81"/>
    </row>
    <row r="66" spans="1:13" s="47" customFormat="1" ht="38.25" customHeight="1" hidden="1">
      <c r="A66" s="45"/>
      <c r="C66" s="80"/>
      <c r="D66" s="71"/>
      <c r="E66" s="81"/>
      <c r="F66" s="81"/>
      <c r="G66" s="81"/>
      <c r="H66" s="81"/>
      <c r="I66" s="81"/>
      <c r="J66" s="81"/>
      <c r="K66" s="81"/>
      <c r="L66" s="81"/>
      <c r="M66" s="81"/>
    </row>
    <row r="67" spans="1:13" s="47" customFormat="1" ht="29.25" customHeight="1" thickBot="1">
      <c r="A67" s="45"/>
      <c r="C67" s="80"/>
      <c r="D67" s="71"/>
      <c r="E67" s="81"/>
      <c r="F67" s="81"/>
      <c r="G67" s="81"/>
      <c r="H67" s="81"/>
      <c r="I67" s="81"/>
      <c r="J67" s="81"/>
      <c r="K67" s="227" t="s">
        <v>230</v>
      </c>
      <c r="L67" s="228"/>
      <c r="M67" s="81"/>
    </row>
    <row r="68" spans="1:13" s="47" customFormat="1" ht="29.25" customHeight="1">
      <c r="A68" s="45"/>
      <c r="B68" s="205" t="s">
        <v>223</v>
      </c>
      <c r="K68" s="82"/>
      <c r="L68" s="197" t="s">
        <v>226</v>
      </c>
      <c r="M68" s="123"/>
    </row>
    <row r="69" spans="1:13" s="47" customFormat="1" ht="27" customHeight="1">
      <c r="A69" s="45"/>
      <c r="B69" s="196" t="s">
        <v>176</v>
      </c>
      <c r="E69" s="15" t="s">
        <v>160</v>
      </c>
      <c r="F69" s="15" t="s">
        <v>161</v>
      </c>
      <c r="G69" s="15" t="s">
        <v>162</v>
      </c>
      <c r="H69" s="15" t="s">
        <v>163</v>
      </c>
      <c r="I69" s="15" t="s">
        <v>164</v>
      </c>
      <c r="J69" s="15" t="s">
        <v>165</v>
      </c>
      <c r="K69" s="183" t="s">
        <v>221</v>
      </c>
      <c r="L69" s="128" t="s">
        <v>222</v>
      </c>
      <c r="M69" s="129"/>
    </row>
    <row r="70" spans="1:14" s="47" customFormat="1" ht="15" customHeight="1">
      <c r="A70" s="45" t="s">
        <v>157</v>
      </c>
      <c r="B70" s="158" t="str">
        <f>B33</f>
        <v>学生数（大学院を含む）</v>
      </c>
      <c r="C70" s="159"/>
      <c r="D70" s="166"/>
      <c r="E70" s="46">
        <v>8019</v>
      </c>
      <c r="F70" s="46">
        <v>8038</v>
      </c>
      <c r="G70" s="46">
        <v>7959</v>
      </c>
      <c r="H70" s="46">
        <v>7916</v>
      </c>
      <c r="I70" s="46">
        <v>7949</v>
      </c>
      <c r="J70" s="46">
        <v>8000</v>
      </c>
      <c r="K70" s="176">
        <v>8110</v>
      </c>
      <c r="L70" s="46">
        <v>9147</v>
      </c>
      <c r="M70" s="119"/>
      <c r="N70" s="111" t="s">
        <v>78</v>
      </c>
    </row>
    <row r="71" spans="1:14" s="47" customFormat="1" ht="15" customHeight="1">
      <c r="A71" s="167" t="s">
        <v>166</v>
      </c>
      <c r="B71" s="160" t="str">
        <f>B34</f>
        <v>教員数</v>
      </c>
      <c r="C71" s="165"/>
      <c r="D71" s="164"/>
      <c r="E71" s="1">
        <v>817</v>
      </c>
      <c r="F71" s="1">
        <v>792</v>
      </c>
      <c r="G71" s="1">
        <v>755</v>
      </c>
      <c r="H71" s="1">
        <v>745</v>
      </c>
      <c r="I71" s="1">
        <v>723</v>
      </c>
      <c r="J71" s="1">
        <v>707</v>
      </c>
      <c r="K71" s="177">
        <v>728</v>
      </c>
      <c r="L71" s="1">
        <v>806</v>
      </c>
      <c r="M71" s="119"/>
      <c r="N71" s="111" t="s">
        <v>78</v>
      </c>
    </row>
    <row r="72" spans="1:14" s="47" customFormat="1" ht="15" customHeight="1">
      <c r="A72" s="45"/>
      <c r="B72" s="156" t="str">
        <f>B36</f>
        <v>事務職員数</v>
      </c>
      <c r="C72" s="162"/>
      <c r="D72" s="163"/>
      <c r="E72" s="90">
        <v>276</v>
      </c>
      <c r="F72" s="90">
        <v>248</v>
      </c>
      <c r="G72" s="157">
        <v>237</v>
      </c>
      <c r="H72" s="90">
        <v>225</v>
      </c>
      <c r="I72" s="90">
        <v>214</v>
      </c>
      <c r="J72" s="90">
        <v>211</v>
      </c>
      <c r="K72" s="180">
        <v>183</v>
      </c>
      <c r="L72" s="90">
        <v>195</v>
      </c>
      <c r="M72" s="119"/>
      <c r="N72" s="111" t="s">
        <v>78</v>
      </c>
    </row>
    <row r="73" spans="1:14" s="83" customFormat="1" ht="15" customHeight="1">
      <c r="A73" s="45"/>
      <c r="B73" s="195" t="s">
        <v>64</v>
      </c>
      <c r="L73" s="13"/>
      <c r="M73" s="13"/>
      <c r="N73" s="80"/>
    </row>
    <row r="74" spans="1:14" s="83" customFormat="1" ht="15" customHeight="1">
      <c r="A74" s="45" t="s">
        <v>118</v>
      </c>
      <c r="B74" s="84" t="s">
        <v>60</v>
      </c>
      <c r="C74" s="84"/>
      <c r="D74" s="85"/>
      <c r="E74" s="46">
        <v>2532</v>
      </c>
      <c r="F74" s="46">
        <v>4283</v>
      </c>
      <c r="G74" s="46">
        <v>4040</v>
      </c>
      <c r="H74" s="46">
        <v>4345</v>
      </c>
      <c r="I74" s="46">
        <v>5904</v>
      </c>
      <c r="J74" s="46">
        <v>5562</v>
      </c>
      <c r="K74" s="176">
        <v>4947</v>
      </c>
      <c r="L74" s="46">
        <v>5252</v>
      </c>
      <c r="M74" s="119"/>
      <c r="N74" s="47"/>
    </row>
    <row r="75" spans="1:14" s="83" customFormat="1" ht="15" customHeight="1">
      <c r="A75" s="45" t="s">
        <v>119</v>
      </c>
      <c r="B75" s="86" t="s">
        <v>61</v>
      </c>
      <c r="C75" s="87"/>
      <c r="D75" s="88"/>
      <c r="E75" s="1">
        <v>2807</v>
      </c>
      <c r="F75" s="1">
        <v>4388</v>
      </c>
      <c r="G75" s="1">
        <v>3753</v>
      </c>
      <c r="H75" s="1">
        <v>4065</v>
      </c>
      <c r="I75" s="1">
        <v>4959</v>
      </c>
      <c r="J75" s="1">
        <v>5340</v>
      </c>
      <c r="K75" s="177">
        <v>5029</v>
      </c>
      <c r="L75" s="1">
        <v>5318</v>
      </c>
      <c r="M75" s="119"/>
      <c r="N75" s="47"/>
    </row>
    <row r="76" spans="1:14" s="83" customFormat="1" ht="15" customHeight="1">
      <c r="A76" s="45" t="s">
        <v>120</v>
      </c>
      <c r="B76" s="89"/>
      <c r="C76" s="231" t="s">
        <v>62</v>
      </c>
      <c r="D76" s="232"/>
      <c r="E76" s="90">
        <v>1916</v>
      </c>
      <c r="F76" s="90">
        <v>3188</v>
      </c>
      <c r="G76" s="90">
        <v>3685</v>
      </c>
      <c r="H76" s="90">
        <v>2950</v>
      </c>
      <c r="I76" s="90">
        <v>3412</v>
      </c>
      <c r="J76" s="90">
        <v>4037</v>
      </c>
      <c r="K76" s="180">
        <v>3541</v>
      </c>
      <c r="L76" s="90">
        <v>3733</v>
      </c>
      <c r="M76" s="119"/>
      <c r="N76" s="47"/>
    </row>
    <row r="77" spans="1:14" s="83" customFormat="1" ht="15" customHeight="1">
      <c r="A77" s="45"/>
      <c r="B77" s="195" t="s">
        <v>65</v>
      </c>
      <c r="L77" s="13"/>
      <c r="M77" s="13"/>
      <c r="N77" s="47"/>
    </row>
    <row r="78" spans="1:14" s="83" customFormat="1" ht="15" customHeight="1">
      <c r="A78" s="45" t="s">
        <v>121</v>
      </c>
      <c r="B78" s="91" t="s">
        <v>70</v>
      </c>
      <c r="C78" s="84"/>
      <c r="D78" s="85"/>
      <c r="E78" s="46">
        <v>18940</v>
      </c>
      <c r="F78" s="46">
        <v>19308</v>
      </c>
      <c r="G78" s="46">
        <v>19070</v>
      </c>
      <c r="H78" s="46">
        <v>19502</v>
      </c>
      <c r="I78" s="46">
        <v>18750</v>
      </c>
      <c r="J78" s="46">
        <v>18919</v>
      </c>
      <c r="K78" s="176">
        <v>20070</v>
      </c>
      <c r="L78" s="46">
        <v>21442</v>
      </c>
      <c r="M78" s="119"/>
      <c r="N78" s="47"/>
    </row>
    <row r="79" spans="1:14" s="83" customFormat="1" ht="15" customHeight="1">
      <c r="A79" s="45" t="s">
        <v>122</v>
      </c>
      <c r="B79" s="236"/>
      <c r="C79" s="92" t="s">
        <v>6</v>
      </c>
      <c r="D79" s="88"/>
      <c r="E79" s="1">
        <v>17777</v>
      </c>
      <c r="F79" s="1">
        <v>18084</v>
      </c>
      <c r="G79" s="1">
        <v>17777</v>
      </c>
      <c r="H79" s="1">
        <v>17921</v>
      </c>
      <c r="I79" s="1">
        <v>17141</v>
      </c>
      <c r="J79" s="1">
        <v>17457</v>
      </c>
      <c r="K79" s="177">
        <v>18708</v>
      </c>
      <c r="L79" s="1">
        <v>20003</v>
      </c>
      <c r="M79" s="119"/>
      <c r="N79" s="47"/>
    </row>
    <row r="80" spans="1:14" s="83" customFormat="1" ht="15" customHeight="1">
      <c r="A80" s="45" t="s">
        <v>123</v>
      </c>
      <c r="B80" s="236"/>
      <c r="C80" s="238"/>
      <c r="D80" s="66" t="s">
        <v>66</v>
      </c>
      <c r="E80" s="51">
        <v>2050</v>
      </c>
      <c r="F80" s="51">
        <v>1983</v>
      </c>
      <c r="G80" s="51">
        <v>2169</v>
      </c>
      <c r="H80" s="51">
        <v>2459</v>
      </c>
      <c r="I80" s="51">
        <v>2150</v>
      </c>
      <c r="J80" s="51">
        <v>2039</v>
      </c>
      <c r="K80" s="178">
        <v>1930</v>
      </c>
      <c r="L80" s="51">
        <v>2126</v>
      </c>
      <c r="M80" s="118"/>
      <c r="N80" s="47"/>
    </row>
    <row r="81" spans="1:14" s="83" customFormat="1" ht="15" customHeight="1">
      <c r="A81" s="45" t="s">
        <v>124</v>
      </c>
      <c r="B81" s="236"/>
      <c r="C81" s="238"/>
      <c r="D81" s="66" t="s">
        <v>67</v>
      </c>
      <c r="E81" s="51">
        <v>1872</v>
      </c>
      <c r="F81" s="51">
        <v>1909</v>
      </c>
      <c r="G81" s="51">
        <v>1971</v>
      </c>
      <c r="H81" s="51">
        <v>2141</v>
      </c>
      <c r="I81" s="51">
        <v>1950</v>
      </c>
      <c r="J81" s="51">
        <v>2000</v>
      </c>
      <c r="K81" s="178">
        <v>2109</v>
      </c>
      <c r="L81" s="51">
        <v>2160</v>
      </c>
      <c r="M81" s="118"/>
      <c r="N81" s="47"/>
    </row>
    <row r="82" spans="1:14" s="83" customFormat="1" ht="15" customHeight="1">
      <c r="A82" s="45"/>
      <c r="B82" s="236"/>
      <c r="C82" s="238"/>
      <c r="D82" s="66" t="s">
        <v>197</v>
      </c>
      <c r="E82" s="151">
        <v>397</v>
      </c>
      <c r="F82" s="151">
        <v>430</v>
      </c>
      <c r="G82" s="151">
        <v>543</v>
      </c>
      <c r="H82" s="151">
        <v>387</v>
      </c>
      <c r="I82" s="151">
        <v>472</v>
      </c>
      <c r="J82" s="151">
        <v>1003</v>
      </c>
      <c r="K82" s="179">
        <v>1225</v>
      </c>
      <c r="L82" s="151">
        <v>1234</v>
      </c>
      <c r="M82" s="118"/>
      <c r="N82" s="47"/>
    </row>
    <row r="83" spans="1:14" s="83" customFormat="1" ht="15" customHeight="1">
      <c r="A83" s="45" t="s">
        <v>200</v>
      </c>
      <c r="B83" s="236"/>
      <c r="C83" s="238"/>
      <c r="D83" s="66" t="s">
        <v>199</v>
      </c>
      <c r="E83" s="151">
        <v>561</v>
      </c>
      <c r="F83" s="151">
        <v>1009</v>
      </c>
      <c r="G83" s="151">
        <v>1113</v>
      </c>
      <c r="H83" s="151">
        <v>974</v>
      </c>
      <c r="I83" s="151">
        <v>1327</v>
      </c>
      <c r="J83" s="151">
        <v>1004</v>
      </c>
      <c r="K83" s="179">
        <v>1485</v>
      </c>
      <c r="L83" s="151">
        <v>1486</v>
      </c>
      <c r="M83" s="118"/>
      <c r="N83" s="47"/>
    </row>
    <row r="84" spans="1:14" s="83" customFormat="1" ht="15" customHeight="1">
      <c r="A84" s="45" t="s">
        <v>201</v>
      </c>
      <c r="B84" s="236"/>
      <c r="C84" s="238"/>
      <c r="D84" s="66" t="s">
        <v>198</v>
      </c>
      <c r="E84" s="151">
        <v>53</v>
      </c>
      <c r="F84" s="151">
        <v>47</v>
      </c>
      <c r="G84" s="151">
        <v>41</v>
      </c>
      <c r="H84" s="151">
        <v>243</v>
      </c>
      <c r="I84" s="151">
        <v>93</v>
      </c>
      <c r="J84" s="151">
        <v>121</v>
      </c>
      <c r="K84" s="179">
        <v>79</v>
      </c>
      <c r="L84" s="151">
        <v>79</v>
      </c>
      <c r="M84" s="118"/>
      <c r="N84" s="47"/>
    </row>
    <row r="85" spans="1:14" s="83" customFormat="1" ht="15" customHeight="1">
      <c r="A85" s="45" t="s">
        <v>202</v>
      </c>
      <c r="B85" s="236"/>
      <c r="C85" s="239"/>
      <c r="D85" s="66" t="s">
        <v>68</v>
      </c>
      <c r="E85" s="51">
        <v>12845</v>
      </c>
      <c r="F85" s="51">
        <v>12706</v>
      </c>
      <c r="G85" s="51">
        <v>11941</v>
      </c>
      <c r="H85" s="51">
        <v>11717</v>
      </c>
      <c r="I85" s="51">
        <v>11149</v>
      </c>
      <c r="J85" s="51">
        <v>11290</v>
      </c>
      <c r="K85" s="178">
        <v>11880</v>
      </c>
      <c r="L85" s="51">
        <v>12917</v>
      </c>
      <c r="M85" s="118"/>
      <c r="N85" s="112"/>
    </row>
    <row r="86" spans="1:14" s="83" customFormat="1" ht="15" customHeight="1">
      <c r="A86" s="45" t="s">
        <v>203</v>
      </c>
      <c r="B86" s="237"/>
      <c r="C86" s="94" t="s">
        <v>69</v>
      </c>
      <c r="D86" s="95"/>
      <c r="E86" s="90">
        <v>955</v>
      </c>
      <c r="F86" s="90">
        <v>1149</v>
      </c>
      <c r="G86" s="90">
        <v>1232</v>
      </c>
      <c r="H86" s="90">
        <v>1473</v>
      </c>
      <c r="I86" s="90">
        <v>1370</v>
      </c>
      <c r="J86" s="90">
        <v>1197</v>
      </c>
      <c r="K86" s="180">
        <v>1062</v>
      </c>
      <c r="L86" s="90">
        <v>1134</v>
      </c>
      <c r="M86" s="119"/>
      <c r="N86" s="112"/>
    </row>
    <row r="87" spans="1:14" s="83" customFormat="1" ht="15" customHeight="1">
      <c r="A87" s="45" t="s">
        <v>204</v>
      </c>
      <c r="B87" s="91" t="s">
        <v>71</v>
      </c>
      <c r="C87" s="84"/>
      <c r="D87" s="85"/>
      <c r="E87" s="46">
        <v>19481</v>
      </c>
      <c r="F87" s="46">
        <v>19663</v>
      </c>
      <c r="G87" s="46">
        <v>19680</v>
      </c>
      <c r="H87" s="46">
        <v>19467</v>
      </c>
      <c r="I87" s="46">
        <v>19070</v>
      </c>
      <c r="J87" s="46">
        <v>18773</v>
      </c>
      <c r="K87" s="176">
        <v>20158</v>
      </c>
      <c r="L87" s="46">
        <v>21562</v>
      </c>
      <c r="M87" s="119"/>
      <c r="N87" s="112"/>
    </row>
    <row r="88" spans="1:14" s="83" customFormat="1" ht="15" customHeight="1">
      <c r="A88" s="45" t="s">
        <v>205</v>
      </c>
      <c r="B88" s="236"/>
      <c r="C88" s="240" t="s">
        <v>91</v>
      </c>
      <c r="D88" s="241"/>
      <c r="E88" s="1">
        <v>12684</v>
      </c>
      <c r="F88" s="1">
        <v>12283</v>
      </c>
      <c r="G88" s="1">
        <v>11863</v>
      </c>
      <c r="H88" s="1">
        <v>10763</v>
      </c>
      <c r="I88" s="1">
        <v>10463</v>
      </c>
      <c r="J88" s="1">
        <v>10350</v>
      </c>
      <c r="K88" s="177">
        <v>10042</v>
      </c>
      <c r="L88" s="1">
        <v>11144</v>
      </c>
      <c r="M88" s="119"/>
      <c r="N88" s="47"/>
    </row>
    <row r="89" spans="1:14" s="83" customFormat="1" ht="15" customHeight="1">
      <c r="A89" s="45" t="s">
        <v>206</v>
      </c>
      <c r="B89" s="236"/>
      <c r="C89" s="242" t="s">
        <v>95</v>
      </c>
      <c r="D89" s="243"/>
      <c r="E89" s="1">
        <f aca="true" t="shared" si="23" ref="E89:L89">SUM(E90:E92)</f>
        <v>4766</v>
      </c>
      <c r="F89" s="1">
        <f t="shared" si="23"/>
        <v>4737</v>
      </c>
      <c r="G89" s="1">
        <f t="shared" si="23"/>
        <v>4759</v>
      </c>
      <c r="H89" s="1">
        <f t="shared" si="23"/>
        <v>4701</v>
      </c>
      <c r="I89" s="1">
        <f t="shared" si="23"/>
        <v>4707</v>
      </c>
      <c r="J89" s="1">
        <f t="shared" si="23"/>
        <v>4767</v>
      </c>
      <c r="K89" s="177">
        <f t="shared" si="23"/>
        <v>5046</v>
      </c>
      <c r="L89" s="1">
        <f t="shared" si="23"/>
        <v>5281</v>
      </c>
      <c r="M89" s="119"/>
      <c r="N89" s="47" t="s">
        <v>78</v>
      </c>
    </row>
    <row r="90" spans="1:13" s="47" customFormat="1" ht="15" customHeight="1">
      <c r="A90" s="45"/>
      <c r="B90" s="236"/>
      <c r="C90" s="229"/>
      <c r="D90" s="49" t="s">
        <v>92</v>
      </c>
      <c r="E90" s="51">
        <v>3805</v>
      </c>
      <c r="F90" s="51">
        <v>3795</v>
      </c>
      <c r="G90" s="51">
        <v>3795</v>
      </c>
      <c r="H90" s="51">
        <v>3757</v>
      </c>
      <c r="I90" s="51">
        <v>3622</v>
      </c>
      <c r="J90" s="51">
        <v>3642</v>
      </c>
      <c r="K90" s="178">
        <v>3967</v>
      </c>
      <c r="L90" s="51">
        <v>4180</v>
      </c>
      <c r="M90" s="118"/>
    </row>
    <row r="91" spans="1:13" s="47" customFormat="1" ht="15" customHeight="1">
      <c r="A91" s="45"/>
      <c r="B91" s="236"/>
      <c r="C91" s="229"/>
      <c r="D91" s="49" t="s">
        <v>93</v>
      </c>
      <c r="E91" s="51">
        <v>747</v>
      </c>
      <c r="F91" s="51">
        <v>734</v>
      </c>
      <c r="G91" s="51">
        <v>753</v>
      </c>
      <c r="H91" s="51">
        <v>721</v>
      </c>
      <c r="I91" s="51">
        <v>739</v>
      </c>
      <c r="J91" s="51">
        <v>747</v>
      </c>
      <c r="K91" s="178">
        <v>732</v>
      </c>
      <c r="L91" s="51">
        <v>749</v>
      </c>
      <c r="M91" s="118"/>
    </row>
    <row r="92" spans="1:13" s="47" customFormat="1" ht="15" customHeight="1">
      <c r="A92" s="45"/>
      <c r="B92" s="236"/>
      <c r="C92" s="230"/>
      <c r="D92" s="49" t="s">
        <v>94</v>
      </c>
      <c r="E92" s="51">
        <v>214</v>
      </c>
      <c r="F92" s="51">
        <v>208</v>
      </c>
      <c r="G92" s="51">
        <v>211</v>
      </c>
      <c r="H92" s="51">
        <v>223</v>
      </c>
      <c r="I92" s="51">
        <v>346</v>
      </c>
      <c r="J92" s="51">
        <v>378</v>
      </c>
      <c r="K92" s="178">
        <v>347</v>
      </c>
      <c r="L92" s="51">
        <v>352</v>
      </c>
      <c r="M92" s="118"/>
    </row>
    <row r="93" spans="1:14" s="83" customFormat="1" ht="15" customHeight="1" hidden="1">
      <c r="A93" s="45"/>
      <c r="B93" s="236"/>
      <c r="C93" s="240" t="s">
        <v>80</v>
      </c>
      <c r="D93" s="241"/>
      <c r="E93" s="96"/>
      <c r="F93" s="1"/>
      <c r="G93" s="96"/>
      <c r="H93" s="1"/>
      <c r="I93" s="96"/>
      <c r="J93" s="96"/>
      <c r="K93" s="181"/>
      <c r="L93" s="1"/>
      <c r="M93" s="119"/>
      <c r="N93" s="47"/>
    </row>
    <row r="94" spans="1:14" s="83" customFormat="1" ht="15" customHeight="1">
      <c r="A94" s="45" t="s">
        <v>207</v>
      </c>
      <c r="B94" s="236"/>
      <c r="C94" s="242" t="s">
        <v>97</v>
      </c>
      <c r="D94" s="243"/>
      <c r="E94" s="1">
        <f aca="true" t="shared" si="24" ref="E94:L94">SUM(E95:E97)</f>
        <v>883</v>
      </c>
      <c r="F94" s="1">
        <f t="shared" si="24"/>
        <v>1403</v>
      </c>
      <c r="G94" s="1">
        <f t="shared" si="24"/>
        <v>1449</v>
      </c>
      <c r="H94" s="1">
        <f t="shared" si="24"/>
        <v>1572</v>
      </c>
      <c r="I94" s="1">
        <f t="shared" si="24"/>
        <v>1722</v>
      </c>
      <c r="J94" s="1">
        <f t="shared" si="24"/>
        <v>1409</v>
      </c>
      <c r="K94" s="177">
        <f t="shared" si="24"/>
        <v>1868</v>
      </c>
      <c r="L94" s="1">
        <f t="shared" si="24"/>
        <v>1872</v>
      </c>
      <c r="M94" s="119"/>
      <c r="N94" s="47" t="s">
        <v>78</v>
      </c>
    </row>
    <row r="95" spans="1:13" s="47" customFormat="1" ht="15" customHeight="1">
      <c r="A95" s="45"/>
      <c r="B95" s="236"/>
      <c r="C95" s="229"/>
      <c r="D95" s="49" t="s">
        <v>72</v>
      </c>
      <c r="E95" s="51">
        <v>656</v>
      </c>
      <c r="F95" s="51">
        <v>1182</v>
      </c>
      <c r="G95" s="51">
        <v>1254</v>
      </c>
      <c r="H95" s="51">
        <v>1107</v>
      </c>
      <c r="I95" s="51">
        <v>1500</v>
      </c>
      <c r="J95" s="51">
        <v>1163</v>
      </c>
      <c r="K95" s="178">
        <v>1673</v>
      </c>
      <c r="L95" s="51">
        <v>1674</v>
      </c>
      <c r="M95" s="118"/>
    </row>
    <row r="96" spans="1:13" s="47" customFormat="1" ht="15" customHeight="1">
      <c r="A96" s="45"/>
      <c r="B96" s="236"/>
      <c r="C96" s="229"/>
      <c r="D96" s="49" t="s">
        <v>73</v>
      </c>
      <c r="E96" s="51">
        <v>53</v>
      </c>
      <c r="F96" s="51">
        <v>47</v>
      </c>
      <c r="G96" s="51">
        <v>41</v>
      </c>
      <c r="H96" s="51">
        <v>307</v>
      </c>
      <c r="I96" s="51">
        <v>95</v>
      </c>
      <c r="J96" s="51">
        <v>124</v>
      </c>
      <c r="K96" s="178">
        <v>80</v>
      </c>
      <c r="L96" s="51">
        <v>80</v>
      </c>
      <c r="M96" s="118"/>
    </row>
    <row r="97" spans="1:13" s="47" customFormat="1" ht="15" customHeight="1">
      <c r="A97" s="45"/>
      <c r="B97" s="236"/>
      <c r="C97" s="230"/>
      <c r="D97" s="49" t="s">
        <v>74</v>
      </c>
      <c r="E97" s="51">
        <v>174</v>
      </c>
      <c r="F97" s="51">
        <v>174</v>
      </c>
      <c r="G97" s="51">
        <v>154</v>
      </c>
      <c r="H97" s="51">
        <v>158</v>
      </c>
      <c r="I97" s="51">
        <v>127</v>
      </c>
      <c r="J97" s="51">
        <v>122</v>
      </c>
      <c r="K97" s="178">
        <v>115</v>
      </c>
      <c r="L97" s="51">
        <v>118</v>
      </c>
      <c r="M97" s="118"/>
    </row>
    <row r="98" spans="1:14" s="83" customFormat="1" ht="15" customHeight="1">
      <c r="A98" s="45"/>
      <c r="B98" s="237"/>
      <c r="C98" s="231" t="s">
        <v>77</v>
      </c>
      <c r="D98" s="232"/>
      <c r="E98" s="90">
        <v>263</v>
      </c>
      <c r="F98" s="90">
        <v>220</v>
      </c>
      <c r="G98" s="90">
        <v>413</v>
      </c>
      <c r="H98" s="90">
        <v>1284</v>
      </c>
      <c r="I98" s="90">
        <v>1002</v>
      </c>
      <c r="J98" s="90">
        <v>771</v>
      </c>
      <c r="K98" s="180">
        <v>981</v>
      </c>
      <c r="L98" s="90">
        <v>1000</v>
      </c>
      <c r="M98" s="119"/>
      <c r="N98" s="47"/>
    </row>
    <row r="99" spans="1:14" s="83" customFormat="1" ht="15" customHeight="1">
      <c r="A99" s="45" t="s">
        <v>208</v>
      </c>
      <c r="B99" s="2" t="s">
        <v>76</v>
      </c>
      <c r="C99" s="2"/>
      <c r="D99" s="3"/>
      <c r="E99" s="4">
        <f>E87-E78</f>
        <v>541</v>
      </c>
      <c r="F99" s="4">
        <f>F87-F78</f>
        <v>355</v>
      </c>
      <c r="G99" s="4">
        <f>G87-G78</f>
        <v>610</v>
      </c>
      <c r="H99" s="4">
        <f>H87-H78</f>
        <v>-35</v>
      </c>
      <c r="I99" s="4">
        <f>I87-I78</f>
        <v>320</v>
      </c>
      <c r="J99" s="4">
        <f>J87-J78</f>
        <v>-146</v>
      </c>
      <c r="K99" s="182">
        <f>K87-K78</f>
        <v>88</v>
      </c>
      <c r="L99" s="4">
        <v>119</v>
      </c>
      <c r="M99" s="124"/>
      <c r="N99" s="47" t="s">
        <v>78</v>
      </c>
    </row>
    <row r="100" spans="1:14" s="83" customFormat="1" ht="15" customHeight="1" hidden="1">
      <c r="A100" s="45"/>
      <c r="B100" s="203"/>
      <c r="C100" s="203"/>
      <c r="D100" s="204" t="s">
        <v>228</v>
      </c>
      <c r="E100" s="124">
        <v>560</v>
      </c>
      <c r="F100" s="124">
        <v>370</v>
      </c>
      <c r="G100" s="124">
        <v>703</v>
      </c>
      <c r="H100" s="124">
        <v>92</v>
      </c>
      <c r="I100" s="124">
        <v>384</v>
      </c>
      <c r="J100" s="124">
        <v>4</v>
      </c>
      <c r="K100" s="124">
        <v>127</v>
      </c>
      <c r="L100" s="124">
        <v>165</v>
      </c>
      <c r="M100" s="124"/>
      <c r="N100" s="47"/>
    </row>
    <row r="101" spans="1:14" s="83" customFormat="1" ht="15" customHeight="1">
      <c r="A101" s="45"/>
      <c r="B101" s="195" t="s">
        <v>115</v>
      </c>
      <c r="L101" s="13"/>
      <c r="M101" s="13"/>
      <c r="N101" s="47"/>
    </row>
    <row r="102" spans="1:14" s="83" customFormat="1" ht="15" customHeight="1">
      <c r="A102" s="45" t="s">
        <v>209</v>
      </c>
      <c r="B102" s="2" t="s">
        <v>184</v>
      </c>
      <c r="C102" s="2"/>
      <c r="D102" s="3"/>
      <c r="E102" s="97">
        <v>20819</v>
      </c>
      <c r="F102" s="97">
        <v>17114</v>
      </c>
      <c r="G102" s="97">
        <v>16088</v>
      </c>
      <c r="H102" s="97">
        <v>16236</v>
      </c>
      <c r="I102" s="97">
        <v>15810</v>
      </c>
      <c r="J102" s="97">
        <v>18222</v>
      </c>
      <c r="K102" s="175">
        <v>15398</v>
      </c>
      <c r="L102" s="97">
        <v>16979</v>
      </c>
      <c r="M102" s="119"/>
      <c r="N102" s="47"/>
    </row>
    <row r="103" spans="1:13" s="47" customFormat="1" ht="33" customHeight="1">
      <c r="A103" s="45"/>
      <c r="B103" s="196" t="s">
        <v>224</v>
      </c>
      <c r="L103" s="72" t="s">
        <v>156</v>
      </c>
      <c r="M103" s="72" t="s">
        <v>185</v>
      </c>
    </row>
    <row r="104" spans="1:17" s="47" customFormat="1" ht="16.5" customHeight="1">
      <c r="A104" s="161" t="s">
        <v>125</v>
      </c>
      <c r="D104" s="98" t="s">
        <v>43</v>
      </c>
      <c r="E104" s="99">
        <f aca="true" t="shared" si="25" ref="E104:L104">E74/E75</f>
        <v>0.9020306376914856</v>
      </c>
      <c r="F104" s="99">
        <f t="shared" si="25"/>
        <v>0.9760711030082042</v>
      </c>
      <c r="G104" s="99">
        <f t="shared" si="25"/>
        <v>1.0764721556088463</v>
      </c>
      <c r="H104" s="99">
        <f t="shared" si="25"/>
        <v>1.068880688806888</v>
      </c>
      <c r="I104" s="99">
        <f t="shared" si="25"/>
        <v>1.190562613430127</v>
      </c>
      <c r="J104" s="99">
        <f t="shared" si="25"/>
        <v>1.0415730337078652</v>
      </c>
      <c r="K104" s="171">
        <f t="shared" si="25"/>
        <v>0.9836945714853847</v>
      </c>
      <c r="L104" s="99">
        <f t="shared" si="25"/>
        <v>0.9875893192929672</v>
      </c>
      <c r="M104" s="125">
        <f>SUM(E104:L104)/7</f>
        <v>1.175267731861681</v>
      </c>
      <c r="N104" s="47" t="s">
        <v>51</v>
      </c>
      <c r="O104" s="47" t="s">
        <v>86</v>
      </c>
      <c r="P104" s="47" t="s">
        <v>104</v>
      </c>
      <c r="Q104" s="47" t="s">
        <v>85</v>
      </c>
    </row>
    <row r="105" spans="1:18" s="47" customFormat="1" ht="16.5" customHeight="1">
      <c r="A105" s="161" t="s">
        <v>126</v>
      </c>
      <c r="D105" s="100" t="s">
        <v>44</v>
      </c>
      <c r="E105" s="101">
        <f aca="true" t="shared" si="26" ref="E105:L105">E76/E79</f>
        <v>0.10777971536254712</v>
      </c>
      <c r="F105" s="101">
        <f t="shared" si="26"/>
        <v>0.1762884317628843</v>
      </c>
      <c r="G105" s="101">
        <f t="shared" si="26"/>
        <v>0.20729031895145414</v>
      </c>
      <c r="H105" s="101">
        <f t="shared" si="26"/>
        <v>0.16461134981306846</v>
      </c>
      <c r="I105" s="101">
        <f t="shared" si="26"/>
        <v>0.19905489761390818</v>
      </c>
      <c r="J105" s="101">
        <f t="shared" si="26"/>
        <v>0.23125393824826718</v>
      </c>
      <c r="K105" s="172">
        <f t="shared" si="26"/>
        <v>0.18927731451785332</v>
      </c>
      <c r="L105" s="101">
        <f t="shared" si="26"/>
        <v>0.18662200669899515</v>
      </c>
      <c r="M105" s="125">
        <f aca="true" t="shared" si="27" ref="M105:M119">SUM(E105:L105)/7</f>
        <v>0.20888256756699683</v>
      </c>
      <c r="N105" s="47" t="s">
        <v>52</v>
      </c>
      <c r="O105" s="47" t="s">
        <v>87</v>
      </c>
      <c r="Q105" s="47" t="s">
        <v>85</v>
      </c>
      <c r="R105" s="47" t="s">
        <v>82</v>
      </c>
    </row>
    <row r="106" spans="1:17" s="47" customFormat="1" ht="16.5" customHeight="1">
      <c r="A106" s="161" t="s">
        <v>210</v>
      </c>
      <c r="D106" s="100" t="s">
        <v>45</v>
      </c>
      <c r="E106" s="101">
        <f aca="true" t="shared" si="28" ref="E106:L106">E85/E79</f>
        <v>0.722562862125218</v>
      </c>
      <c r="F106" s="101">
        <f t="shared" si="28"/>
        <v>0.7026100420261004</v>
      </c>
      <c r="G106" s="101">
        <f t="shared" si="28"/>
        <v>0.6717106373403836</v>
      </c>
      <c r="H106" s="101">
        <f t="shared" si="28"/>
        <v>0.6538139612744824</v>
      </c>
      <c r="I106" s="101">
        <f t="shared" si="28"/>
        <v>0.650428796452949</v>
      </c>
      <c r="J106" s="101">
        <f t="shared" si="28"/>
        <v>0.6467319699833878</v>
      </c>
      <c r="K106" s="172">
        <f t="shared" si="28"/>
        <v>0.6350224502886466</v>
      </c>
      <c r="L106" s="101">
        <f t="shared" si="28"/>
        <v>0.6457531370294456</v>
      </c>
      <c r="M106" s="125">
        <f t="shared" si="27"/>
        <v>0.7612334080743733</v>
      </c>
      <c r="N106" s="47" t="s">
        <v>53</v>
      </c>
      <c r="O106" s="47" t="s">
        <v>87</v>
      </c>
      <c r="Q106" s="47" t="s">
        <v>82</v>
      </c>
    </row>
    <row r="107" spans="1:17" s="47" customFormat="1" ht="16.5" customHeight="1">
      <c r="A107" s="161" t="s">
        <v>238</v>
      </c>
      <c r="D107" s="100" t="s">
        <v>46</v>
      </c>
      <c r="E107" s="101">
        <f>E86/E79</f>
        <v>0.05372110029813804</v>
      </c>
      <c r="F107" s="101">
        <f aca="true" t="shared" si="29" ref="F107:L107">F86/F79</f>
        <v>0.06353682813536828</v>
      </c>
      <c r="G107" s="101">
        <f t="shared" si="29"/>
        <v>0.06930303200765034</v>
      </c>
      <c r="H107" s="101">
        <f t="shared" si="29"/>
        <v>0.08219407399140673</v>
      </c>
      <c r="I107" s="101">
        <f t="shared" si="29"/>
        <v>0.07992532524356806</v>
      </c>
      <c r="J107" s="214">
        <f t="shared" si="29"/>
        <v>0.0685684825571404</v>
      </c>
      <c r="K107" s="213">
        <f t="shared" si="29"/>
        <v>0.05676715843489416</v>
      </c>
      <c r="L107" s="101">
        <f t="shared" si="29"/>
        <v>0.05669149627555867</v>
      </c>
      <c r="M107" s="125">
        <f t="shared" si="27"/>
        <v>0.07581535670624638</v>
      </c>
      <c r="N107" s="47" t="s">
        <v>75</v>
      </c>
      <c r="O107" s="47" t="s">
        <v>87</v>
      </c>
      <c r="Q107" s="47" t="s">
        <v>82</v>
      </c>
    </row>
    <row r="108" spans="1:17" s="47" customFormat="1" ht="16.5" customHeight="1">
      <c r="A108" s="161" t="s">
        <v>211</v>
      </c>
      <c r="D108" s="100" t="s">
        <v>47</v>
      </c>
      <c r="E108" s="101">
        <f aca="true" t="shared" si="30" ref="E108:L108">E94/E87</f>
        <v>0.04532621528668959</v>
      </c>
      <c r="F108" s="101">
        <f t="shared" si="30"/>
        <v>0.07135228601942735</v>
      </c>
      <c r="G108" s="101">
        <f t="shared" si="30"/>
        <v>0.0736280487804878</v>
      </c>
      <c r="H108" s="101">
        <f t="shared" si="30"/>
        <v>0.08075204191709046</v>
      </c>
      <c r="I108" s="101">
        <f t="shared" si="30"/>
        <v>0.09029889879391714</v>
      </c>
      <c r="J108" s="101">
        <f t="shared" si="30"/>
        <v>0.07505459969104565</v>
      </c>
      <c r="K108" s="172">
        <f t="shared" si="30"/>
        <v>0.09266792340509972</v>
      </c>
      <c r="L108" s="101">
        <f t="shared" si="30"/>
        <v>0.08681940450793062</v>
      </c>
      <c r="M108" s="125">
        <f t="shared" si="27"/>
        <v>0.08798563120024118</v>
      </c>
      <c r="N108" s="47" t="s">
        <v>100</v>
      </c>
      <c r="O108" s="47" t="s">
        <v>86</v>
      </c>
      <c r="Q108" s="47" t="s">
        <v>82</v>
      </c>
    </row>
    <row r="109" spans="1:17" s="47" customFormat="1" ht="16.5" customHeight="1">
      <c r="A109" s="161" t="s">
        <v>127</v>
      </c>
      <c r="D109" s="100" t="s">
        <v>48</v>
      </c>
      <c r="E109" s="101">
        <f aca="true" t="shared" si="31" ref="E109:L109">E81/E79</f>
        <v>0.1053046070765596</v>
      </c>
      <c r="F109" s="101">
        <f t="shared" si="31"/>
        <v>0.10556292855562928</v>
      </c>
      <c r="G109" s="101">
        <f t="shared" si="31"/>
        <v>0.1108736007200315</v>
      </c>
      <c r="H109" s="101">
        <f t="shared" si="31"/>
        <v>0.11946877964399308</v>
      </c>
      <c r="I109" s="101">
        <f t="shared" si="31"/>
        <v>0.11376232425179394</v>
      </c>
      <c r="J109" s="101">
        <f t="shared" si="31"/>
        <v>0.11456722231769491</v>
      </c>
      <c r="K109" s="172">
        <f t="shared" si="31"/>
        <v>0.1127325208466966</v>
      </c>
      <c r="L109" s="101">
        <f t="shared" si="31"/>
        <v>0.10798380242963555</v>
      </c>
      <c r="M109" s="125">
        <f t="shared" si="27"/>
        <v>0.12717939797743347</v>
      </c>
      <c r="N109" s="47" t="s">
        <v>55</v>
      </c>
      <c r="O109" s="47" t="s">
        <v>86</v>
      </c>
      <c r="Q109" s="47" t="s">
        <v>82</v>
      </c>
    </row>
    <row r="110" spans="1:17" s="47" customFormat="1" ht="16.5" customHeight="1">
      <c r="A110" s="161" t="s">
        <v>128</v>
      </c>
      <c r="D110" s="100" t="s">
        <v>49</v>
      </c>
      <c r="E110" s="101">
        <f aca="true" t="shared" si="32" ref="E110:L110">E80/E79</f>
        <v>0.1153175451426</v>
      </c>
      <c r="F110" s="101">
        <f t="shared" si="32"/>
        <v>0.10965494359654944</v>
      </c>
      <c r="G110" s="101">
        <f t="shared" si="32"/>
        <v>0.1220115880069753</v>
      </c>
      <c r="H110" s="101">
        <f t="shared" si="32"/>
        <v>0.13721332514926624</v>
      </c>
      <c r="I110" s="101">
        <f t="shared" si="32"/>
        <v>0.12543025494428564</v>
      </c>
      <c r="J110" s="101">
        <f t="shared" si="32"/>
        <v>0.11680128315288996</v>
      </c>
      <c r="K110" s="172">
        <f t="shared" si="32"/>
        <v>0.10316442163780201</v>
      </c>
      <c r="L110" s="101">
        <f t="shared" si="32"/>
        <v>0.1062840573913913</v>
      </c>
      <c r="M110" s="125">
        <f t="shared" si="27"/>
        <v>0.13369677414596567</v>
      </c>
      <c r="N110" s="47" t="s">
        <v>56</v>
      </c>
      <c r="O110" s="47" t="s">
        <v>86</v>
      </c>
      <c r="Q110" s="47" t="s">
        <v>82</v>
      </c>
    </row>
    <row r="111" spans="1:18" s="47" customFormat="1" ht="16.5" customHeight="1">
      <c r="A111" s="161" t="s">
        <v>129</v>
      </c>
      <c r="D111" s="100" t="s">
        <v>88</v>
      </c>
      <c r="E111" s="102">
        <f aca="true" t="shared" si="33" ref="E111:L112">E80*1000/E70</f>
        <v>255.64284823544082</v>
      </c>
      <c r="F111" s="102">
        <f t="shared" si="33"/>
        <v>246.70315999004728</v>
      </c>
      <c r="G111" s="102">
        <f t="shared" si="33"/>
        <v>272.52167357708254</v>
      </c>
      <c r="H111" s="102">
        <f t="shared" si="33"/>
        <v>310.6366851945427</v>
      </c>
      <c r="I111" s="102">
        <f t="shared" si="33"/>
        <v>270.4742734935212</v>
      </c>
      <c r="J111" s="102">
        <f t="shared" si="33"/>
        <v>254.875</v>
      </c>
      <c r="K111" s="173">
        <f t="shared" si="33"/>
        <v>237.9778051787916</v>
      </c>
      <c r="L111" s="102">
        <f t="shared" si="33"/>
        <v>232.4259319995627</v>
      </c>
      <c r="M111" s="126">
        <f t="shared" si="27"/>
        <v>297.32248252414126</v>
      </c>
      <c r="N111" s="47" t="s">
        <v>57</v>
      </c>
      <c r="O111" s="47" t="s">
        <v>86</v>
      </c>
      <c r="Q111" s="47" t="s">
        <v>82</v>
      </c>
      <c r="R111" s="47" t="s">
        <v>90</v>
      </c>
    </row>
    <row r="112" spans="1:18" s="47" customFormat="1" ht="16.5" customHeight="1">
      <c r="A112" s="161" t="s">
        <v>130</v>
      </c>
      <c r="D112" s="100" t="s">
        <v>89</v>
      </c>
      <c r="E112" s="102">
        <f t="shared" si="33"/>
        <v>2291.3096695226436</v>
      </c>
      <c r="F112" s="102">
        <f t="shared" si="33"/>
        <v>2410.3535353535353</v>
      </c>
      <c r="G112" s="102">
        <f t="shared" si="33"/>
        <v>2610.5960264900664</v>
      </c>
      <c r="H112" s="102">
        <f t="shared" si="33"/>
        <v>2873.8255033557048</v>
      </c>
      <c r="I112" s="102">
        <f t="shared" si="33"/>
        <v>2697.0954356846473</v>
      </c>
      <c r="J112" s="102">
        <f t="shared" si="33"/>
        <v>2828.8543140028287</v>
      </c>
      <c r="K112" s="185">
        <f t="shared" si="33"/>
        <v>2896.978021978022</v>
      </c>
      <c r="L112" s="102">
        <f t="shared" si="33"/>
        <v>2679.9007444168733</v>
      </c>
      <c r="M112" s="126">
        <f t="shared" si="27"/>
        <v>3041.2733215434746</v>
      </c>
      <c r="N112" s="47" t="s">
        <v>58</v>
      </c>
      <c r="O112" s="47" t="s">
        <v>86</v>
      </c>
      <c r="Q112" s="47" t="s">
        <v>82</v>
      </c>
      <c r="R112" s="47" t="s">
        <v>90</v>
      </c>
    </row>
    <row r="113" spans="1:18" s="47" customFormat="1" ht="16.5" customHeight="1">
      <c r="A113" s="233" t="s">
        <v>212</v>
      </c>
      <c r="B113" s="234"/>
      <c r="C113" s="235"/>
      <c r="D113" s="100" t="s">
        <v>218</v>
      </c>
      <c r="E113" s="102">
        <f aca="true" t="shared" si="34" ref="E113:L113">SUM(E81,E83:E84)*1000/E71</f>
        <v>3042.839657282742</v>
      </c>
      <c r="F113" s="102">
        <f t="shared" si="34"/>
        <v>3743.686868686869</v>
      </c>
      <c r="G113" s="102">
        <f t="shared" si="34"/>
        <v>4139.07284768212</v>
      </c>
      <c r="H113" s="102">
        <f t="shared" si="34"/>
        <v>4507.38255033557</v>
      </c>
      <c r="I113" s="102">
        <f t="shared" si="34"/>
        <v>4661.134163208852</v>
      </c>
      <c r="J113" s="102">
        <f t="shared" si="34"/>
        <v>4420.08486562942</v>
      </c>
      <c r="K113" s="173">
        <f t="shared" si="34"/>
        <v>5045.32967032967</v>
      </c>
      <c r="L113" s="102">
        <f t="shared" si="34"/>
        <v>4621.588089330025</v>
      </c>
      <c r="M113" s="126">
        <f t="shared" si="27"/>
        <v>4883.016958926467</v>
      </c>
      <c r="N113" s="47" t="s">
        <v>54</v>
      </c>
      <c r="O113" s="47" t="s">
        <v>86</v>
      </c>
      <c r="Q113" s="47" t="s">
        <v>82</v>
      </c>
      <c r="R113" s="47" t="s">
        <v>90</v>
      </c>
    </row>
    <row r="114" spans="1:17" s="47" customFormat="1" ht="16.5" customHeight="1">
      <c r="A114" s="161" t="s">
        <v>213</v>
      </c>
      <c r="D114" s="100" t="s">
        <v>50</v>
      </c>
      <c r="E114" s="101">
        <f aca="true" t="shared" si="35" ref="E114:L114">E99/E87</f>
        <v>0.027770648324008006</v>
      </c>
      <c r="F114" s="101">
        <f t="shared" si="35"/>
        <v>0.018054213497431724</v>
      </c>
      <c r="G114" s="101">
        <f t="shared" si="35"/>
        <v>0.030995934959349592</v>
      </c>
      <c r="H114" s="101">
        <f t="shared" si="35"/>
        <v>-0.0017979144192736426</v>
      </c>
      <c r="I114" s="101">
        <f t="shared" si="35"/>
        <v>0.016780283167278448</v>
      </c>
      <c r="J114" s="101">
        <f t="shared" si="35"/>
        <v>-0.007777126724551217</v>
      </c>
      <c r="K114" s="172">
        <f t="shared" si="35"/>
        <v>0.004365512451632106</v>
      </c>
      <c r="L114" s="101">
        <f t="shared" si="35"/>
        <v>0.005518968555792598</v>
      </c>
      <c r="M114" s="125">
        <f t="shared" si="27"/>
        <v>0.013415788544523943</v>
      </c>
      <c r="N114" s="47" t="s">
        <v>59</v>
      </c>
      <c r="O114" s="47" t="s">
        <v>86</v>
      </c>
      <c r="Q114" s="47" t="s">
        <v>82</v>
      </c>
    </row>
    <row r="115" spans="1:17" s="47" customFormat="1" ht="16.5" customHeight="1">
      <c r="A115" s="161" t="s">
        <v>214</v>
      </c>
      <c r="D115" s="103" t="s">
        <v>101</v>
      </c>
      <c r="E115" s="104">
        <f aca="true" t="shared" si="36" ref="E115:L115">E102*1000/E70</f>
        <v>2596.209003616411</v>
      </c>
      <c r="F115" s="104">
        <f t="shared" si="36"/>
        <v>2129.1366011445634</v>
      </c>
      <c r="G115" s="104">
        <f t="shared" si="36"/>
        <v>2021.3594672697575</v>
      </c>
      <c r="H115" s="104">
        <f t="shared" si="36"/>
        <v>2051.0358767054067</v>
      </c>
      <c r="I115" s="187">
        <f t="shared" si="36"/>
        <v>1988.9294250849164</v>
      </c>
      <c r="J115" s="104">
        <f>J102*1000/J70</f>
        <v>2277.75</v>
      </c>
      <c r="K115" s="174">
        <f t="shared" si="36"/>
        <v>1898.643649815043</v>
      </c>
      <c r="L115" s="187">
        <f t="shared" si="36"/>
        <v>1856.2370176013994</v>
      </c>
      <c r="M115" s="126">
        <f t="shared" si="27"/>
        <v>2402.757291605357</v>
      </c>
      <c r="N115" s="47" t="s">
        <v>103</v>
      </c>
      <c r="O115" s="47" t="s">
        <v>87</v>
      </c>
      <c r="Q115" s="47" t="s">
        <v>102</v>
      </c>
    </row>
    <row r="116" spans="1:13" s="47" customFormat="1" ht="33" customHeight="1">
      <c r="A116" s="42"/>
      <c r="B116" s="194" t="s">
        <v>225</v>
      </c>
      <c r="C116" s="71"/>
      <c r="D116" s="186"/>
      <c r="E116" s="126"/>
      <c r="F116" s="126"/>
      <c r="G116" s="126"/>
      <c r="H116" s="126"/>
      <c r="I116" s="126"/>
      <c r="J116" s="126"/>
      <c r="K116" s="126"/>
      <c r="L116" s="126"/>
      <c r="M116" s="126"/>
    </row>
    <row r="117" spans="1:17" s="47" customFormat="1" ht="16.5" customHeight="1">
      <c r="A117" s="161" t="s">
        <v>215</v>
      </c>
      <c r="C117" s="116"/>
      <c r="D117" s="98" t="s">
        <v>158</v>
      </c>
      <c r="E117" s="99">
        <f aca="true" t="shared" si="37" ref="E117:L117">E88/E87</f>
        <v>0.651095939633489</v>
      </c>
      <c r="F117" s="99">
        <f t="shared" si="37"/>
        <v>0.6246757870111377</v>
      </c>
      <c r="G117" s="99">
        <f t="shared" si="37"/>
        <v>0.6027947154471545</v>
      </c>
      <c r="H117" s="99">
        <f t="shared" si="37"/>
        <v>0.552884368418349</v>
      </c>
      <c r="I117" s="99">
        <f t="shared" si="37"/>
        <v>0.5486628211851075</v>
      </c>
      <c r="J117" s="99">
        <f t="shared" si="37"/>
        <v>0.5513237095829117</v>
      </c>
      <c r="K117" s="171">
        <f t="shared" si="37"/>
        <v>0.49816450044647287</v>
      </c>
      <c r="L117" s="99">
        <f t="shared" si="37"/>
        <v>0.5168351729895186</v>
      </c>
      <c r="M117" s="125">
        <f t="shared" si="27"/>
        <v>0.64949100210202</v>
      </c>
      <c r="N117" s="47" t="s">
        <v>117</v>
      </c>
      <c r="O117" s="47" t="s">
        <v>87</v>
      </c>
      <c r="Q117" s="47" t="s">
        <v>84</v>
      </c>
    </row>
    <row r="118" spans="1:17" s="47" customFormat="1" ht="16.5" customHeight="1">
      <c r="A118" s="161" t="s">
        <v>216</v>
      </c>
      <c r="C118" s="116"/>
      <c r="D118" s="100" t="s">
        <v>159</v>
      </c>
      <c r="E118" s="101">
        <f aca="true" t="shared" si="38" ref="E118:L118">E89/E87</f>
        <v>0.24464863200041065</v>
      </c>
      <c r="F118" s="101">
        <f t="shared" si="38"/>
        <v>0.24090932207699742</v>
      </c>
      <c r="G118" s="101">
        <f t="shared" si="38"/>
        <v>0.2418191056910569</v>
      </c>
      <c r="H118" s="101">
        <f t="shared" si="38"/>
        <v>0.2414855910001541</v>
      </c>
      <c r="I118" s="101">
        <f t="shared" si="38"/>
        <v>0.2468274777136864</v>
      </c>
      <c r="J118" s="101">
        <f t="shared" si="38"/>
        <v>0.25392851435572367</v>
      </c>
      <c r="K118" s="172">
        <f t="shared" si="38"/>
        <v>0.2503224526242683</v>
      </c>
      <c r="L118" s="101">
        <f t="shared" si="38"/>
        <v>0.24492162137093035</v>
      </c>
      <c r="M118" s="125">
        <f t="shared" si="27"/>
        <v>0.2806946738333183</v>
      </c>
      <c r="N118" s="47" t="s">
        <v>96</v>
      </c>
      <c r="O118" s="47" t="s">
        <v>86</v>
      </c>
      <c r="Q118" s="47" t="s">
        <v>82</v>
      </c>
    </row>
    <row r="119" spans="1:15" s="47" customFormat="1" ht="16.5" customHeight="1">
      <c r="A119" s="161" t="s">
        <v>217</v>
      </c>
      <c r="C119" s="116"/>
      <c r="D119" s="103" t="s">
        <v>219</v>
      </c>
      <c r="E119" s="104">
        <f aca="true" t="shared" si="39" ref="E119:L119">E94*1000/E71</f>
        <v>1080.78335373317</v>
      </c>
      <c r="F119" s="104">
        <f t="shared" si="39"/>
        <v>1771.4646464646464</v>
      </c>
      <c r="G119" s="104">
        <f t="shared" si="39"/>
        <v>1919.205298013245</v>
      </c>
      <c r="H119" s="104">
        <f t="shared" si="39"/>
        <v>2110.06711409396</v>
      </c>
      <c r="I119" s="104">
        <f t="shared" si="39"/>
        <v>2381.7427385892115</v>
      </c>
      <c r="J119" s="104">
        <f t="shared" si="39"/>
        <v>1992.927864214993</v>
      </c>
      <c r="K119" s="174">
        <f t="shared" si="39"/>
        <v>2565.934065934066</v>
      </c>
      <c r="L119" s="104">
        <f t="shared" si="39"/>
        <v>2322.5806451612902</v>
      </c>
      <c r="M119" s="126">
        <f t="shared" si="27"/>
        <v>2306.38653231494</v>
      </c>
      <c r="N119" s="47" t="s">
        <v>99</v>
      </c>
      <c r="O119" s="47" t="s">
        <v>86</v>
      </c>
    </row>
    <row r="120" ht="16.5" customHeight="1">
      <c r="D120" s="105"/>
    </row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spans="5:13" ht="13.5" customHeight="1" hidden="1">
      <c r="E127" s="12" t="s">
        <v>187</v>
      </c>
      <c r="F127" s="12" t="s">
        <v>188</v>
      </c>
      <c r="G127" s="12" t="s">
        <v>189</v>
      </c>
      <c r="H127" s="12" t="s">
        <v>190</v>
      </c>
      <c r="I127" s="12" t="s">
        <v>191</v>
      </c>
      <c r="J127" s="12" t="s">
        <v>220</v>
      </c>
      <c r="K127" s="12" t="s">
        <v>192</v>
      </c>
      <c r="L127" s="12" t="s">
        <v>193</v>
      </c>
      <c r="M127" s="12" t="s">
        <v>194</v>
      </c>
    </row>
    <row r="128" spans="1:14" ht="13.5" customHeight="1" hidden="1">
      <c r="A128" s="12"/>
      <c r="D128" s="12" t="str">
        <f>D114</f>
        <v>経常利益率</v>
      </c>
      <c r="E128" s="136">
        <f aca="true" t="shared" si="40" ref="E128:L128">E114/$M114</f>
        <v>2.0699974684189124</v>
      </c>
      <c r="F128" s="136">
        <f t="shared" si="40"/>
        <v>1.3457437434641957</v>
      </c>
      <c r="G128" s="136">
        <f t="shared" si="40"/>
        <v>2.3104072381940988</v>
      </c>
      <c r="H128" s="136">
        <f t="shared" si="40"/>
        <v>-0.13401481495528753</v>
      </c>
      <c r="I128" s="136">
        <f t="shared" si="40"/>
        <v>1.250786199528154</v>
      </c>
      <c r="J128" s="136">
        <f t="shared" si="40"/>
        <v>-0.5796995606140263</v>
      </c>
      <c r="K128" s="136">
        <f t="shared" si="40"/>
        <v>0.32540110759378515</v>
      </c>
      <c r="L128" s="136">
        <f t="shared" si="40"/>
        <v>0.4113786183701688</v>
      </c>
      <c r="M128" s="12">
        <v>1</v>
      </c>
      <c r="N128" s="12"/>
    </row>
    <row r="129" spans="1:14" ht="13.5" customHeight="1" hidden="1">
      <c r="A129" s="12"/>
      <c r="D129" s="12" t="str">
        <f>D104</f>
        <v>流動比率</v>
      </c>
      <c r="E129" s="136">
        <f aca="true" t="shared" si="41" ref="E129:L132">E104/$M104</f>
        <v>0.7675107664724405</v>
      </c>
      <c r="F129" s="136">
        <f t="shared" si="41"/>
        <v>0.8305095737309661</v>
      </c>
      <c r="G129" s="136">
        <f t="shared" si="41"/>
        <v>0.9159378126579398</v>
      </c>
      <c r="H129" s="136">
        <f t="shared" si="41"/>
        <v>0.909478461655481</v>
      </c>
      <c r="I129" s="136">
        <f t="shared" si="41"/>
        <v>1.013013955164257</v>
      </c>
      <c r="J129" s="136">
        <f t="shared" si="41"/>
        <v>0.8862431984395275</v>
      </c>
      <c r="K129" s="136">
        <f t="shared" si="41"/>
        <v>0.8369961539973235</v>
      </c>
      <c r="L129" s="136">
        <f t="shared" si="41"/>
        <v>0.8403100778820651</v>
      </c>
      <c r="M129" s="12">
        <v>1</v>
      </c>
      <c r="N129" s="12"/>
    </row>
    <row r="130" spans="1:14" ht="13.5" customHeight="1" hidden="1">
      <c r="A130" s="12"/>
      <c r="D130" s="12" t="str">
        <f>D105</f>
        <v>未払金比率</v>
      </c>
      <c r="E130" s="136">
        <f t="shared" si="41"/>
        <v>0.5159823369558014</v>
      </c>
      <c r="F130" s="136">
        <f t="shared" si="41"/>
        <v>0.8439595214490155</v>
      </c>
      <c r="G130" s="136">
        <f t="shared" si="41"/>
        <v>0.9923773025480837</v>
      </c>
      <c r="H130" s="136">
        <f t="shared" si="41"/>
        <v>0.7880569055159241</v>
      </c>
      <c r="I130" s="136">
        <f t="shared" si="41"/>
        <v>0.9529512200680101</v>
      </c>
      <c r="J130" s="136">
        <f t="shared" si="41"/>
        <v>1.1071002283332954</v>
      </c>
      <c r="K130" s="136">
        <f t="shared" si="41"/>
        <v>0.9061422248993788</v>
      </c>
      <c r="L130" s="136">
        <f t="shared" si="41"/>
        <v>0.8934302602304912</v>
      </c>
      <c r="M130" s="12">
        <v>1</v>
      </c>
      <c r="N130" s="12"/>
    </row>
    <row r="131" spans="1:14" ht="13.5" customHeight="1" hidden="1">
      <c r="A131" s="12"/>
      <c r="D131" s="12" t="str">
        <f>D106</f>
        <v>人件費比率</v>
      </c>
      <c r="E131" s="136">
        <f t="shared" si="41"/>
        <v>0.9492001460537881</v>
      </c>
      <c r="F131" s="136">
        <f t="shared" si="41"/>
        <v>0.9229889736492682</v>
      </c>
      <c r="G131" s="136">
        <f t="shared" si="41"/>
        <v>0.8823977379547125</v>
      </c>
      <c r="H131" s="136">
        <f t="shared" si="41"/>
        <v>0.8588876346459614</v>
      </c>
      <c r="I131" s="136">
        <f t="shared" si="41"/>
        <v>0.8544406873816571</v>
      </c>
      <c r="J131" s="136">
        <f t="shared" si="41"/>
        <v>0.8495843234460374</v>
      </c>
      <c r="K131" s="136">
        <f t="shared" si="41"/>
        <v>0.8342020247048908</v>
      </c>
      <c r="L131" s="136">
        <f t="shared" si="41"/>
        <v>0.8482984721636847</v>
      </c>
      <c r="M131" s="12">
        <v>1</v>
      </c>
      <c r="N131" s="12"/>
    </row>
    <row r="132" spans="1:14" ht="13.5" customHeight="1" hidden="1">
      <c r="A132" s="12"/>
      <c r="D132" s="12" t="str">
        <f>D107</f>
        <v>一般管理費比率</v>
      </c>
      <c r="E132" s="136">
        <f t="shared" si="41"/>
        <v>0.7085780853908716</v>
      </c>
      <c r="F132" s="136">
        <f t="shared" si="41"/>
        <v>0.8380469458390547</v>
      </c>
      <c r="G132" s="136">
        <f t="shared" si="41"/>
        <v>0.9141028284833026</v>
      </c>
      <c r="H132" s="136">
        <f t="shared" si="41"/>
        <v>1.084134897760559</v>
      </c>
      <c r="I132" s="136">
        <f t="shared" si="41"/>
        <v>1.0542102380820568</v>
      </c>
      <c r="J132" s="136">
        <f t="shared" si="41"/>
        <v>0.9044141653625049</v>
      </c>
      <c r="K132" s="136">
        <f t="shared" si="41"/>
        <v>0.7487554092087672</v>
      </c>
      <c r="L132" s="136">
        <f t="shared" si="41"/>
        <v>0.7477574298728834</v>
      </c>
      <c r="M132" s="12">
        <v>1</v>
      </c>
      <c r="N132" s="12"/>
    </row>
    <row r="133" spans="1:14" ht="13.5" customHeight="1" hidden="1">
      <c r="A133" s="12"/>
      <c r="D133" s="12" t="str">
        <f>D109</f>
        <v>業務費対研究経費比率</v>
      </c>
      <c r="E133" s="136">
        <f aca="true" t="shared" si="42" ref="E133:L134">E109/$M109</f>
        <v>0.8280005154234549</v>
      </c>
      <c r="F133" s="136">
        <f t="shared" si="42"/>
        <v>0.8300316736391551</v>
      </c>
      <c r="G133" s="136">
        <f t="shared" si="42"/>
        <v>0.8717890042198875</v>
      </c>
      <c r="H133" s="136">
        <f t="shared" si="42"/>
        <v>0.9393721117094095</v>
      </c>
      <c r="I133" s="136">
        <f t="shared" si="42"/>
        <v>0.8945027737273907</v>
      </c>
      <c r="J133" s="136">
        <f t="shared" si="42"/>
        <v>0.9008316137651756</v>
      </c>
      <c r="K133" s="136">
        <f t="shared" si="42"/>
        <v>0.8864055235321975</v>
      </c>
      <c r="L133" s="136">
        <f t="shared" si="42"/>
        <v>0.8490667839833308</v>
      </c>
      <c r="M133" s="12">
        <v>1</v>
      </c>
      <c r="N133" s="12"/>
    </row>
    <row r="134" spans="1:14" ht="13.5" customHeight="1" hidden="1">
      <c r="A134" s="12"/>
      <c r="D134" s="12" t="str">
        <f>D110</f>
        <v>業務費対教育経費比率</v>
      </c>
      <c r="E134" s="136">
        <f t="shared" si="42"/>
        <v>0.862530497682017</v>
      </c>
      <c r="F134" s="136">
        <f t="shared" si="42"/>
        <v>0.8201764350487009</v>
      </c>
      <c r="G134" s="136">
        <f t="shared" si="42"/>
        <v>0.9125993412059974</v>
      </c>
      <c r="H134" s="136">
        <f t="shared" si="42"/>
        <v>1.026302437181179</v>
      </c>
      <c r="I134" s="136">
        <f t="shared" si="42"/>
        <v>0.9381696435498517</v>
      </c>
      <c r="J134" s="136">
        <f t="shared" si="42"/>
        <v>0.8736282823501053</v>
      </c>
      <c r="K134" s="136">
        <f t="shared" si="42"/>
        <v>0.7716298489383935</v>
      </c>
      <c r="L134" s="136">
        <f t="shared" si="42"/>
        <v>0.7949635140437563</v>
      </c>
      <c r="M134" s="12">
        <v>1</v>
      </c>
      <c r="N134" s="12"/>
    </row>
    <row r="135" spans="1:14" ht="13.5" customHeight="1" hidden="1">
      <c r="A135" s="12"/>
      <c r="D135" s="12" t="str">
        <f>D108</f>
        <v>外部資金比率</v>
      </c>
      <c r="E135" s="136">
        <f aca="true" t="shared" si="43" ref="E135:L135">E108/$M108</f>
        <v>0.5151547436596141</v>
      </c>
      <c r="F135" s="136">
        <f t="shared" si="43"/>
        <v>0.8109538460551701</v>
      </c>
      <c r="G135" s="136">
        <f t="shared" si="43"/>
        <v>0.8368190098326643</v>
      </c>
      <c r="H135" s="136">
        <f t="shared" si="43"/>
        <v>0.9177866978451489</v>
      </c>
      <c r="I135" s="136">
        <f t="shared" si="43"/>
        <v>1.0262914246578665</v>
      </c>
      <c r="J135" s="136">
        <f t="shared" si="43"/>
        <v>0.8530324629965252</v>
      </c>
      <c r="K135" s="136">
        <f t="shared" si="43"/>
        <v>1.0532165552600559</v>
      </c>
      <c r="L135" s="136">
        <f t="shared" si="43"/>
        <v>0.9867452596929558</v>
      </c>
      <c r="M135" s="12">
        <v>1</v>
      </c>
      <c r="N135" s="12"/>
    </row>
    <row r="136" spans="1:14" ht="13.5" customHeight="1" hidden="1">
      <c r="A136" s="12"/>
      <c r="D136" s="12" t="str">
        <f>D118</f>
        <v>学生納付金比率</v>
      </c>
      <c r="E136" s="136">
        <f aca="true" t="shared" si="44" ref="E136:L136">E118/$M118</f>
        <v>0.8715827367130149</v>
      </c>
      <c r="F136" s="136">
        <f t="shared" si="44"/>
        <v>0.8582611090798745</v>
      </c>
      <c r="G136" s="136">
        <f t="shared" si="44"/>
        <v>0.8615022949621537</v>
      </c>
      <c r="H136" s="136">
        <f t="shared" si="44"/>
        <v>0.8603141189047026</v>
      </c>
      <c r="I136" s="136">
        <f t="shared" si="44"/>
        <v>0.8793450703673028</v>
      </c>
      <c r="J136" s="136">
        <f t="shared" si="44"/>
        <v>0.9046431515352198</v>
      </c>
      <c r="K136" s="136">
        <f t="shared" si="44"/>
        <v>0.891796232560203</v>
      </c>
      <c r="L136" s="136">
        <f t="shared" si="44"/>
        <v>0.8725552858775273</v>
      </c>
      <c r="M136" s="12">
        <v>1</v>
      </c>
      <c r="N136" s="12"/>
    </row>
    <row r="137" spans="1:14" ht="13.5" customHeight="1" hidden="1">
      <c r="A137" s="12"/>
      <c r="D137" s="12" t="str">
        <f>D117</f>
        <v>運営費交付金比率</v>
      </c>
      <c r="E137" s="136">
        <f aca="true" t="shared" si="45" ref="E137:L137">E117/$M117</f>
        <v>1.0024710696934596</v>
      </c>
      <c r="F137" s="136">
        <f t="shared" si="45"/>
        <v>0.9617928269820981</v>
      </c>
      <c r="G137" s="136">
        <f t="shared" si="45"/>
        <v>0.9281032585459426</v>
      </c>
      <c r="H137" s="136">
        <f t="shared" si="45"/>
        <v>0.8512579337188472</v>
      </c>
      <c r="I137" s="136">
        <f t="shared" si="45"/>
        <v>0.8447581558626815</v>
      </c>
      <c r="J137" s="136">
        <f t="shared" si="45"/>
        <v>0.8488550384818286</v>
      </c>
      <c r="K137" s="136">
        <f t="shared" si="45"/>
        <v>0.7670075471934293</v>
      </c>
      <c r="L137" s="136">
        <f t="shared" si="45"/>
        <v>0.7957541695217138</v>
      </c>
      <c r="M137" s="12">
        <v>1</v>
      </c>
      <c r="N137" s="12"/>
    </row>
    <row r="138" spans="1:14" ht="13.5" customHeight="1" hidden="1">
      <c r="A138" s="12"/>
      <c r="D138" s="12" t="str">
        <f>D115</f>
        <v>学生当業務コスト</v>
      </c>
      <c r="E138" s="136">
        <f aca="true" t="shared" si="46" ref="E138:L138">E115/$M115</f>
        <v>1.0805123816237814</v>
      </c>
      <c r="F138" s="136">
        <f t="shared" si="46"/>
        <v>0.8861222099224267</v>
      </c>
      <c r="G138" s="136">
        <f t="shared" si="46"/>
        <v>0.8412666041351285</v>
      </c>
      <c r="H138" s="136">
        <f t="shared" si="46"/>
        <v>0.8536175850433257</v>
      </c>
      <c r="I138" s="136">
        <f t="shared" si="46"/>
        <v>0.8277695928896966</v>
      </c>
      <c r="J138" s="136">
        <f t="shared" si="46"/>
        <v>0.9479734003754346</v>
      </c>
      <c r="K138" s="136">
        <f t="shared" si="46"/>
        <v>0.7901936897448765</v>
      </c>
      <c r="L138" s="136">
        <f t="shared" si="46"/>
        <v>0.7725445362653295</v>
      </c>
      <c r="M138" s="12">
        <v>1</v>
      </c>
      <c r="N138" s="12"/>
    </row>
    <row r="139" spans="1:14" ht="13.5" customHeight="1" hidden="1">
      <c r="A139" s="12"/>
      <c r="D139" s="12" t="str">
        <f>D111</f>
        <v>学生当教育経費</v>
      </c>
      <c r="E139" s="136">
        <f aca="true" t="shared" si="47" ref="E139:L141">E111/$M111</f>
        <v>0.859816741960251</v>
      </c>
      <c r="F139" s="136">
        <f t="shared" si="47"/>
        <v>0.8297494286191966</v>
      </c>
      <c r="G139" s="136">
        <f t="shared" si="47"/>
        <v>0.9165861634932199</v>
      </c>
      <c r="H139" s="136">
        <f t="shared" si="47"/>
        <v>1.0447803427355022</v>
      </c>
      <c r="I139" s="136">
        <f t="shared" si="47"/>
        <v>0.9097000374721407</v>
      </c>
      <c r="J139" s="136">
        <f t="shared" si="47"/>
        <v>0.8572341984912133</v>
      </c>
      <c r="K139" s="136">
        <f t="shared" si="47"/>
        <v>0.8004029939426759</v>
      </c>
      <c r="L139" s="136">
        <f t="shared" si="47"/>
        <v>0.7817300932858003</v>
      </c>
      <c r="M139" s="12">
        <v>1</v>
      </c>
      <c r="N139" s="12"/>
    </row>
    <row r="140" spans="1:14" ht="13.5" customHeight="1" hidden="1">
      <c r="A140" s="12"/>
      <c r="D140" s="12" t="str">
        <f>D112</f>
        <v>教員当研究経費</v>
      </c>
      <c r="E140" s="136">
        <f t="shared" si="47"/>
        <v>0.7534047181131956</v>
      </c>
      <c r="F140" s="136">
        <f t="shared" si="47"/>
        <v>0.7925474893293242</v>
      </c>
      <c r="G140" s="136">
        <f t="shared" si="47"/>
        <v>0.8583891516745245</v>
      </c>
      <c r="H140" s="136">
        <f t="shared" si="47"/>
        <v>0.9449415424119827</v>
      </c>
      <c r="I140" s="136">
        <f t="shared" si="47"/>
        <v>0.886830991670241</v>
      </c>
      <c r="J140" s="136">
        <f t="shared" si="47"/>
        <v>0.9301545816234493</v>
      </c>
      <c r="K140" s="136">
        <f t="shared" si="47"/>
        <v>0.9525543138318717</v>
      </c>
      <c r="L140" s="136">
        <f t="shared" si="47"/>
        <v>0.8811772113454106</v>
      </c>
      <c r="M140" s="12">
        <v>1</v>
      </c>
      <c r="N140" s="12"/>
    </row>
    <row r="141" spans="1:14" ht="13.5" customHeight="1" hidden="1">
      <c r="A141" s="12"/>
      <c r="D141" s="12" t="str">
        <f>D113</f>
        <v>教員当広義研究経費（科研費を含まず）</v>
      </c>
      <c r="E141" s="136">
        <f t="shared" si="47"/>
        <v>0.6231474686403119</v>
      </c>
      <c r="F141" s="136">
        <f t="shared" si="47"/>
        <v>0.7666749675819107</v>
      </c>
      <c r="G141" s="136">
        <f t="shared" si="47"/>
        <v>0.8476466255386703</v>
      </c>
      <c r="H141" s="136">
        <f t="shared" si="47"/>
        <v>0.9230732942870057</v>
      </c>
      <c r="I141" s="136">
        <f t="shared" si="47"/>
        <v>0.9545603061418825</v>
      </c>
      <c r="J141" s="136">
        <f t="shared" si="47"/>
        <v>0.9051954770603904</v>
      </c>
      <c r="K141" s="136">
        <f t="shared" si="47"/>
        <v>1.0332402514200745</v>
      </c>
      <c r="L141" s="136">
        <f t="shared" si="47"/>
        <v>0.9464616093297539</v>
      </c>
      <c r="M141" s="12">
        <v>1</v>
      </c>
      <c r="N141" s="12"/>
    </row>
    <row r="142" spans="1:14" ht="13.5" customHeight="1" hidden="1">
      <c r="A142" s="12"/>
      <c r="D142" s="12" t="str">
        <f>D119</f>
        <v>教員当外部資金獲得額（科研費を含まず）</v>
      </c>
      <c r="E142" s="136">
        <f aca="true" t="shared" si="48" ref="E142:L142">E119/$M119</f>
        <v>0.46860460663910425</v>
      </c>
      <c r="F142" s="136">
        <f t="shared" si="48"/>
        <v>0.7680692813821681</v>
      </c>
      <c r="G142" s="136">
        <f t="shared" si="48"/>
        <v>0.8321264762532767</v>
      </c>
      <c r="H142" s="136">
        <f t="shared" si="48"/>
        <v>0.9148800881940927</v>
      </c>
      <c r="I142" s="136">
        <f t="shared" si="48"/>
        <v>1.0326728435231696</v>
      </c>
      <c r="J142" s="136">
        <f t="shared" si="48"/>
        <v>0.8640910082902168</v>
      </c>
      <c r="K142" s="136">
        <f t="shared" si="48"/>
        <v>1.112534273844643</v>
      </c>
      <c r="L142" s="136">
        <f t="shared" si="48"/>
        <v>1.0070214218733302</v>
      </c>
      <c r="M142" s="137">
        <v>1</v>
      </c>
      <c r="N142" s="12"/>
    </row>
    <row r="143" spans="5:13" ht="13.5" customHeight="1" hidden="1">
      <c r="E143" s="12" t="s">
        <v>187</v>
      </c>
      <c r="F143" s="12" t="s">
        <v>188</v>
      </c>
      <c r="G143" s="12" t="s">
        <v>189</v>
      </c>
      <c r="H143" s="12" t="s">
        <v>190</v>
      </c>
      <c r="I143" s="12" t="s">
        <v>191</v>
      </c>
      <c r="J143" s="12" t="s">
        <v>220</v>
      </c>
      <c r="K143" s="12" t="s">
        <v>192</v>
      </c>
      <c r="L143" s="12" t="s">
        <v>193</v>
      </c>
      <c r="M143" s="138" t="s">
        <v>194</v>
      </c>
    </row>
    <row r="144" spans="4:13" ht="13.5" customHeight="1" hidden="1">
      <c r="D144" s="12" t="str">
        <f aca="true" t="shared" si="49" ref="D144:L144">D114</f>
        <v>経常利益率</v>
      </c>
      <c r="E144" s="115">
        <f t="shared" si="49"/>
        <v>0.027770648324008006</v>
      </c>
      <c r="F144" s="115">
        <f t="shared" si="49"/>
        <v>0.018054213497431724</v>
      </c>
      <c r="G144" s="115">
        <f t="shared" si="49"/>
        <v>0.030995934959349592</v>
      </c>
      <c r="H144" s="115">
        <f t="shared" si="49"/>
        <v>-0.0017979144192736426</v>
      </c>
      <c r="I144" s="115">
        <f t="shared" si="49"/>
        <v>0.016780283167278448</v>
      </c>
      <c r="J144" s="115">
        <f t="shared" si="49"/>
        <v>-0.007777126724551217</v>
      </c>
      <c r="K144" s="115">
        <f t="shared" si="49"/>
        <v>0.004365512451632106</v>
      </c>
      <c r="L144" s="115">
        <f t="shared" si="49"/>
        <v>0.005518968555792598</v>
      </c>
      <c r="M144" s="139">
        <f aca="true" t="shared" si="50" ref="M144:M158">SUM(E144:L144)/7</f>
        <v>0.013415788544523943</v>
      </c>
    </row>
    <row r="145" spans="4:13" ht="13.5" customHeight="1" hidden="1">
      <c r="D145" s="12" t="str">
        <f>D104</f>
        <v>流動比率</v>
      </c>
      <c r="E145" s="115">
        <f aca="true" t="shared" si="51" ref="E145:L145">E104</f>
        <v>0.9020306376914856</v>
      </c>
      <c r="F145" s="115">
        <f>F104</f>
        <v>0.9760711030082042</v>
      </c>
      <c r="G145" s="115">
        <f t="shared" si="51"/>
        <v>1.0764721556088463</v>
      </c>
      <c r="H145" s="115">
        <f t="shared" si="51"/>
        <v>1.068880688806888</v>
      </c>
      <c r="I145" s="115">
        <f t="shared" si="51"/>
        <v>1.190562613430127</v>
      </c>
      <c r="J145" s="115">
        <f>J104</f>
        <v>1.0415730337078652</v>
      </c>
      <c r="K145" s="115">
        <f t="shared" si="51"/>
        <v>0.9836945714853847</v>
      </c>
      <c r="L145" s="115">
        <f t="shared" si="51"/>
        <v>0.9875893192929672</v>
      </c>
      <c r="M145" s="139">
        <f t="shared" si="50"/>
        <v>1.175267731861681</v>
      </c>
    </row>
    <row r="146" spans="4:13" ht="13.5" customHeight="1" hidden="1">
      <c r="D146" s="12" t="str">
        <f>D105</f>
        <v>未払金比率</v>
      </c>
      <c r="E146" s="115">
        <f>E105</f>
        <v>0.10777971536254712</v>
      </c>
      <c r="F146" s="115">
        <f>F105</f>
        <v>0.1762884317628843</v>
      </c>
      <c r="G146" s="115">
        <f aca="true" t="shared" si="52" ref="G146:I148">G105</f>
        <v>0.20729031895145414</v>
      </c>
      <c r="H146" s="115">
        <f t="shared" si="52"/>
        <v>0.16461134981306846</v>
      </c>
      <c r="I146" s="115">
        <f t="shared" si="52"/>
        <v>0.19905489761390818</v>
      </c>
      <c r="J146" s="115">
        <f>J105</f>
        <v>0.23125393824826718</v>
      </c>
      <c r="K146" s="115">
        <f aca="true" t="shared" si="53" ref="K146:L148">K105</f>
        <v>0.18927731451785332</v>
      </c>
      <c r="L146" s="115">
        <f t="shared" si="53"/>
        <v>0.18662200669899515</v>
      </c>
      <c r="M146" s="139">
        <f t="shared" si="50"/>
        <v>0.20888256756699683</v>
      </c>
    </row>
    <row r="147" spans="4:13" ht="13.5" customHeight="1" hidden="1">
      <c r="D147" s="12" t="str">
        <f>D106</f>
        <v>人件費比率</v>
      </c>
      <c r="E147" s="115">
        <f>E106</f>
        <v>0.722562862125218</v>
      </c>
      <c r="F147" s="115">
        <f>F106</f>
        <v>0.7026100420261004</v>
      </c>
      <c r="G147" s="115">
        <f t="shared" si="52"/>
        <v>0.6717106373403836</v>
      </c>
      <c r="H147" s="115">
        <f t="shared" si="52"/>
        <v>0.6538139612744824</v>
      </c>
      <c r="I147" s="115">
        <f t="shared" si="52"/>
        <v>0.650428796452949</v>
      </c>
      <c r="J147" s="115">
        <f>J106</f>
        <v>0.6467319699833878</v>
      </c>
      <c r="K147" s="115">
        <f t="shared" si="53"/>
        <v>0.6350224502886466</v>
      </c>
      <c r="L147" s="115">
        <f t="shared" si="53"/>
        <v>0.6457531370294456</v>
      </c>
      <c r="M147" s="139">
        <f t="shared" si="50"/>
        <v>0.7612334080743733</v>
      </c>
    </row>
    <row r="148" spans="4:13" ht="13.5" customHeight="1" hidden="1">
      <c r="D148" s="12" t="str">
        <f>D107</f>
        <v>一般管理費比率</v>
      </c>
      <c r="E148" s="115">
        <f>E107</f>
        <v>0.05372110029813804</v>
      </c>
      <c r="F148" s="115">
        <f>F107</f>
        <v>0.06353682813536828</v>
      </c>
      <c r="G148" s="115">
        <f t="shared" si="52"/>
        <v>0.06930303200765034</v>
      </c>
      <c r="H148" s="115">
        <f t="shared" si="52"/>
        <v>0.08219407399140673</v>
      </c>
      <c r="I148" s="115">
        <f t="shared" si="52"/>
        <v>0.07992532524356806</v>
      </c>
      <c r="J148" s="115">
        <f>J107</f>
        <v>0.0685684825571404</v>
      </c>
      <c r="K148" s="115">
        <f t="shared" si="53"/>
        <v>0.05676715843489416</v>
      </c>
      <c r="L148" s="115">
        <f t="shared" si="53"/>
        <v>0.05669149627555867</v>
      </c>
      <c r="M148" s="139">
        <f t="shared" si="50"/>
        <v>0.07581535670624638</v>
      </c>
    </row>
    <row r="149" spans="4:13" ht="13.5" customHeight="1" hidden="1">
      <c r="D149" s="12" t="str">
        <f aca="true" t="shared" si="54" ref="D149:L149">D109</f>
        <v>業務費対研究経費比率</v>
      </c>
      <c r="E149" s="115">
        <f t="shared" si="54"/>
        <v>0.1053046070765596</v>
      </c>
      <c r="F149" s="115">
        <f t="shared" si="54"/>
        <v>0.10556292855562928</v>
      </c>
      <c r="G149" s="115">
        <f t="shared" si="54"/>
        <v>0.1108736007200315</v>
      </c>
      <c r="H149" s="115">
        <f t="shared" si="54"/>
        <v>0.11946877964399308</v>
      </c>
      <c r="I149" s="115">
        <f t="shared" si="54"/>
        <v>0.11376232425179394</v>
      </c>
      <c r="J149" s="115">
        <f t="shared" si="54"/>
        <v>0.11456722231769491</v>
      </c>
      <c r="K149" s="115">
        <f t="shared" si="54"/>
        <v>0.1127325208466966</v>
      </c>
      <c r="L149" s="115">
        <f t="shared" si="54"/>
        <v>0.10798380242963555</v>
      </c>
      <c r="M149" s="139">
        <f t="shared" si="50"/>
        <v>0.12717939797743347</v>
      </c>
    </row>
    <row r="150" spans="4:13" ht="13.5" customHeight="1" hidden="1">
      <c r="D150" s="12" t="str">
        <f aca="true" t="shared" si="55" ref="D150:L150">D110</f>
        <v>業務費対教育経費比率</v>
      </c>
      <c r="E150" s="115">
        <f t="shared" si="55"/>
        <v>0.1153175451426</v>
      </c>
      <c r="F150" s="115">
        <f t="shared" si="55"/>
        <v>0.10965494359654944</v>
      </c>
      <c r="G150" s="115">
        <f t="shared" si="55"/>
        <v>0.1220115880069753</v>
      </c>
      <c r="H150" s="115">
        <f t="shared" si="55"/>
        <v>0.13721332514926624</v>
      </c>
      <c r="I150" s="115">
        <f t="shared" si="55"/>
        <v>0.12543025494428564</v>
      </c>
      <c r="J150" s="115">
        <f t="shared" si="55"/>
        <v>0.11680128315288996</v>
      </c>
      <c r="K150" s="115">
        <f t="shared" si="55"/>
        <v>0.10316442163780201</v>
      </c>
      <c r="L150" s="115">
        <f t="shared" si="55"/>
        <v>0.1062840573913913</v>
      </c>
      <c r="M150" s="139">
        <f t="shared" si="50"/>
        <v>0.13369677414596567</v>
      </c>
    </row>
    <row r="151" spans="4:13" ht="13.5" customHeight="1" hidden="1">
      <c r="D151" s="12" t="str">
        <f aca="true" t="shared" si="56" ref="D151:L151">D108</f>
        <v>外部資金比率</v>
      </c>
      <c r="E151" s="115">
        <f t="shared" si="56"/>
        <v>0.04532621528668959</v>
      </c>
      <c r="F151" s="115">
        <f t="shared" si="56"/>
        <v>0.07135228601942735</v>
      </c>
      <c r="G151" s="115">
        <f t="shared" si="56"/>
        <v>0.0736280487804878</v>
      </c>
      <c r="H151" s="115">
        <f t="shared" si="56"/>
        <v>0.08075204191709046</v>
      </c>
      <c r="I151" s="115">
        <f t="shared" si="56"/>
        <v>0.09029889879391714</v>
      </c>
      <c r="J151" s="115">
        <f>J108</f>
        <v>0.07505459969104565</v>
      </c>
      <c r="K151" s="115">
        <f t="shared" si="56"/>
        <v>0.09266792340509972</v>
      </c>
      <c r="L151" s="115">
        <f t="shared" si="56"/>
        <v>0.08681940450793062</v>
      </c>
      <c r="M151" s="139">
        <f t="shared" si="50"/>
        <v>0.08798563120024118</v>
      </c>
    </row>
    <row r="152" spans="4:13" ht="13.5" customHeight="1" hidden="1">
      <c r="D152" s="12" t="str">
        <f aca="true" t="shared" si="57" ref="D152:L152">D118</f>
        <v>学生納付金比率</v>
      </c>
      <c r="E152" s="115">
        <f t="shared" si="57"/>
        <v>0.24464863200041065</v>
      </c>
      <c r="F152" s="115">
        <f t="shared" si="57"/>
        <v>0.24090932207699742</v>
      </c>
      <c r="G152" s="115">
        <f t="shared" si="57"/>
        <v>0.2418191056910569</v>
      </c>
      <c r="H152" s="115">
        <f t="shared" si="57"/>
        <v>0.2414855910001541</v>
      </c>
      <c r="I152" s="115">
        <f t="shared" si="57"/>
        <v>0.2468274777136864</v>
      </c>
      <c r="J152" s="115">
        <f>J118</f>
        <v>0.25392851435572367</v>
      </c>
      <c r="K152" s="115">
        <f t="shared" si="57"/>
        <v>0.2503224526242683</v>
      </c>
      <c r="L152" s="115">
        <f t="shared" si="57"/>
        <v>0.24492162137093035</v>
      </c>
      <c r="M152" s="139">
        <f t="shared" si="50"/>
        <v>0.2806946738333183</v>
      </c>
    </row>
    <row r="153" spans="4:13" ht="13.5" customHeight="1" hidden="1">
      <c r="D153" s="12" t="str">
        <f aca="true" t="shared" si="58" ref="D153:L153">D117</f>
        <v>運営費交付金比率</v>
      </c>
      <c r="E153" s="115">
        <f t="shared" si="58"/>
        <v>0.651095939633489</v>
      </c>
      <c r="F153" s="115">
        <f t="shared" si="58"/>
        <v>0.6246757870111377</v>
      </c>
      <c r="G153" s="115">
        <f t="shared" si="58"/>
        <v>0.6027947154471545</v>
      </c>
      <c r="H153" s="115">
        <f t="shared" si="58"/>
        <v>0.552884368418349</v>
      </c>
      <c r="I153" s="115">
        <f t="shared" si="58"/>
        <v>0.5486628211851075</v>
      </c>
      <c r="J153" s="115">
        <f>J117</f>
        <v>0.5513237095829117</v>
      </c>
      <c r="K153" s="115">
        <f t="shared" si="58"/>
        <v>0.49816450044647287</v>
      </c>
      <c r="L153" s="115">
        <f t="shared" si="58"/>
        <v>0.5168351729895186</v>
      </c>
      <c r="M153" s="139">
        <f t="shared" si="50"/>
        <v>0.64949100210202</v>
      </c>
    </row>
    <row r="154" spans="4:13" ht="13.5" customHeight="1" hidden="1">
      <c r="D154" s="12" t="str">
        <f aca="true" t="shared" si="59" ref="D154:L154">D115</f>
        <v>学生当業務コスト</v>
      </c>
      <c r="E154" s="12">
        <f t="shared" si="59"/>
        <v>2596.209003616411</v>
      </c>
      <c r="F154" s="12">
        <f t="shared" si="59"/>
        <v>2129.1366011445634</v>
      </c>
      <c r="G154" s="12">
        <f t="shared" si="59"/>
        <v>2021.3594672697575</v>
      </c>
      <c r="H154" s="12">
        <f t="shared" si="59"/>
        <v>2051.0358767054067</v>
      </c>
      <c r="I154" s="12">
        <f t="shared" si="59"/>
        <v>1988.9294250849164</v>
      </c>
      <c r="J154" s="12">
        <f>J115</f>
        <v>2277.75</v>
      </c>
      <c r="K154" s="12">
        <f t="shared" si="59"/>
        <v>1898.643649815043</v>
      </c>
      <c r="L154" s="12">
        <f t="shared" si="59"/>
        <v>1856.2370176013994</v>
      </c>
      <c r="M154" s="140">
        <f t="shared" si="50"/>
        <v>2402.757291605357</v>
      </c>
    </row>
    <row r="155" spans="4:13" ht="13.5" customHeight="1" hidden="1">
      <c r="D155" s="12" t="str">
        <f aca="true" t="shared" si="60" ref="D155:L155">D111</f>
        <v>学生当教育経費</v>
      </c>
      <c r="E155" s="12">
        <f t="shared" si="60"/>
        <v>255.64284823544082</v>
      </c>
      <c r="F155" s="12">
        <f t="shared" si="60"/>
        <v>246.70315999004728</v>
      </c>
      <c r="G155" s="12">
        <f t="shared" si="60"/>
        <v>272.52167357708254</v>
      </c>
      <c r="H155" s="12">
        <f t="shared" si="60"/>
        <v>310.6366851945427</v>
      </c>
      <c r="I155" s="12">
        <f t="shared" si="60"/>
        <v>270.4742734935212</v>
      </c>
      <c r="J155" s="12">
        <f t="shared" si="60"/>
        <v>254.875</v>
      </c>
      <c r="K155" s="12">
        <f t="shared" si="60"/>
        <v>237.9778051787916</v>
      </c>
      <c r="L155" s="12">
        <f t="shared" si="60"/>
        <v>232.4259319995627</v>
      </c>
      <c r="M155" s="141">
        <f t="shared" si="50"/>
        <v>297.32248252414126</v>
      </c>
    </row>
    <row r="156" spans="4:13" ht="13.5" customHeight="1" hidden="1">
      <c r="D156" s="12" t="str">
        <f aca="true" t="shared" si="61" ref="D156:L156">D112</f>
        <v>教員当研究経費</v>
      </c>
      <c r="E156" s="12">
        <f t="shared" si="61"/>
        <v>2291.3096695226436</v>
      </c>
      <c r="F156" s="12">
        <f t="shared" si="61"/>
        <v>2410.3535353535353</v>
      </c>
      <c r="G156" s="12">
        <f t="shared" si="61"/>
        <v>2610.5960264900664</v>
      </c>
      <c r="H156" s="12">
        <f t="shared" si="61"/>
        <v>2873.8255033557048</v>
      </c>
      <c r="I156" s="12">
        <f t="shared" si="61"/>
        <v>2697.0954356846473</v>
      </c>
      <c r="J156" s="12">
        <f t="shared" si="61"/>
        <v>2828.8543140028287</v>
      </c>
      <c r="K156" s="12">
        <f t="shared" si="61"/>
        <v>2896.978021978022</v>
      </c>
      <c r="L156" s="12">
        <f t="shared" si="61"/>
        <v>2679.9007444168733</v>
      </c>
      <c r="M156" s="140">
        <f t="shared" si="50"/>
        <v>3041.2733215434746</v>
      </c>
    </row>
    <row r="157" spans="4:13" ht="13.5" customHeight="1" hidden="1">
      <c r="D157" s="12" t="str">
        <f aca="true" t="shared" si="62" ref="D157:L157">D113</f>
        <v>教員当広義研究経費（科研費を含まず）</v>
      </c>
      <c r="E157" s="12">
        <f t="shared" si="62"/>
        <v>3042.839657282742</v>
      </c>
      <c r="F157" s="12">
        <f t="shared" si="62"/>
        <v>3743.686868686869</v>
      </c>
      <c r="G157" s="12">
        <f t="shared" si="62"/>
        <v>4139.07284768212</v>
      </c>
      <c r="H157" s="12">
        <f t="shared" si="62"/>
        <v>4507.38255033557</v>
      </c>
      <c r="I157" s="12">
        <f t="shared" si="62"/>
        <v>4661.134163208852</v>
      </c>
      <c r="J157" s="12">
        <f t="shared" si="62"/>
        <v>4420.08486562942</v>
      </c>
      <c r="K157" s="12">
        <f t="shared" si="62"/>
        <v>5045.32967032967</v>
      </c>
      <c r="L157" s="12">
        <f t="shared" si="62"/>
        <v>4621.588089330025</v>
      </c>
      <c r="M157" s="140">
        <f t="shared" si="50"/>
        <v>4883.016958926467</v>
      </c>
    </row>
    <row r="158" spans="4:13" ht="13.5" customHeight="1" hidden="1">
      <c r="D158" s="12" t="str">
        <f aca="true" t="shared" si="63" ref="D158:L158">D119</f>
        <v>教員当外部資金獲得額（科研費を含まず）</v>
      </c>
      <c r="E158" s="12">
        <f t="shared" si="63"/>
        <v>1080.78335373317</v>
      </c>
      <c r="F158" s="12">
        <f>F119</f>
        <v>1771.4646464646464</v>
      </c>
      <c r="G158" s="12">
        <f t="shared" si="63"/>
        <v>1919.205298013245</v>
      </c>
      <c r="H158" s="12">
        <f t="shared" si="63"/>
        <v>2110.06711409396</v>
      </c>
      <c r="I158" s="12">
        <f t="shared" si="63"/>
        <v>2381.7427385892115</v>
      </c>
      <c r="J158" s="12">
        <f>J119</f>
        <v>1992.927864214993</v>
      </c>
      <c r="K158" s="12">
        <f t="shared" si="63"/>
        <v>2565.934065934066</v>
      </c>
      <c r="L158" s="12">
        <f t="shared" si="63"/>
        <v>2322.5806451612902</v>
      </c>
      <c r="M158" s="141">
        <f t="shared" si="50"/>
        <v>2306.38653231494</v>
      </c>
    </row>
    <row r="159" ht="13.5" customHeight="1" hidden="1"/>
    <row r="160" ht="13.5" customHeight="1" hidden="1"/>
    <row r="161" ht="13.5" customHeight="1" hidden="1"/>
  </sheetData>
  <sheetProtection/>
  <mergeCells count="19">
    <mergeCell ref="B36:D36"/>
    <mergeCell ref="B2:D2"/>
    <mergeCell ref="A3:A4"/>
    <mergeCell ref="A20:A21"/>
    <mergeCell ref="B33:D33"/>
    <mergeCell ref="B34:D34"/>
    <mergeCell ref="K67:L67"/>
    <mergeCell ref="C95:C97"/>
    <mergeCell ref="C98:D98"/>
    <mergeCell ref="A113:C113"/>
    <mergeCell ref="C76:D76"/>
    <mergeCell ref="B79:B86"/>
    <mergeCell ref="C80:C85"/>
    <mergeCell ref="B88:B98"/>
    <mergeCell ref="C88:D88"/>
    <mergeCell ref="C89:D89"/>
    <mergeCell ref="C90:C92"/>
    <mergeCell ref="C93:D93"/>
    <mergeCell ref="C94:D94"/>
  </mergeCells>
  <conditionalFormatting sqref="E43:L43">
    <cfRule type="top10" priority="36" dxfId="0" rank="1"/>
  </conditionalFormatting>
  <conditionalFormatting sqref="E44:L44">
    <cfRule type="top10" priority="35" dxfId="0" rank="1"/>
  </conditionalFormatting>
  <conditionalFormatting sqref="E45:L45">
    <cfRule type="top10" priority="34" dxfId="0" rank="1"/>
  </conditionalFormatting>
  <conditionalFormatting sqref="E46:L46">
    <cfRule type="top10" priority="33" dxfId="0" rank="1"/>
  </conditionalFormatting>
  <conditionalFormatting sqref="E47:L47">
    <cfRule type="top10" priority="32" dxfId="0" rank="1"/>
  </conditionalFormatting>
  <conditionalFormatting sqref="E48:L48">
    <cfRule type="top10" priority="31" dxfId="0" rank="1"/>
  </conditionalFormatting>
  <conditionalFormatting sqref="E49:L49">
    <cfRule type="top10" priority="30" dxfId="0" rank="1"/>
  </conditionalFormatting>
  <conditionalFormatting sqref="E50:L50">
    <cfRule type="top10" priority="29" dxfId="0" rank="1"/>
  </conditionalFormatting>
  <conditionalFormatting sqref="E51:L51">
    <cfRule type="top10" priority="28" dxfId="0" rank="1"/>
  </conditionalFormatting>
  <conditionalFormatting sqref="E52:L52">
    <cfRule type="top10" priority="27" dxfId="0" rank="1"/>
  </conditionalFormatting>
  <conditionalFormatting sqref="E55:L55">
    <cfRule type="top10" priority="26" dxfId="0" rank="1"/>
  </conditionalFormatting>
  <conditionalFormatting sqref="E56:L57">
    <cfRule type="top10" priority="25" dxfId="0" rank="1"/>
  </conditionalFormatting>
  <conditionalFormatting sqref="E58:L58">
    <cfRule type="top10" priority="24" dxfId="0" rank="1"/>
  </conditionalFormatting>
  <conditionalFormatting sqref="E59:L59">
    <cfRule type="top10" priority="23" dxfId="0" rank="1"/>
  </conditionalFormatting>
  <conditionalFormatting sqref="E60:L60">
    <cfRule type="top10" priority="22" dxfId="0" rank="1"/>
  </conditionalFormatting>
  <conditionalFormatting sqref="E61:L61">
    <cfRule type="top10" priority="21" dxfId="0" rank="1"/>
  </conditionalFormatting>
  <conditionalFormatting sqref="E62:L62">
    <cfRule type="top10" priority="20" dxfId="0" rank="1"/>
  </conditionalFormatting>
  <conditionalFormatting sqref="E63:L63">
    <cfRule type="top10" priority="19" dxfId="0" rank="1"/>
  </conditionalFormatting>
  <conditionalFormatting sqref="E64:L64">
    <cfRule type="top10" priority="18" dxfId="0" rank="1"/>
  </conditionalFormatting>
  <conditionalFormatting sqref="E65:L66 E67:K67">
    <cfRule type="top10" priority="17" dxfId="0" rank="1"/>
  </conditionalFormatting>
  <conditionalFormatting sqref="E53:L53">
    <cfRule type="top10" priority="16" dxfId="0" rank="1"/>
  </conditionalFormatting>
  <conditionalFormatting sqref="M43">
    <cfRule type="top10" priority="88" dxfId="0" rank="1"/>
  </conditionalFormatting>
  <conditionalFormatting sqref="M44">
    <cfRule type="top10" priority="89" dxfId="0" rank="1"/>
  </conditionalFormatting>
  <conditionalFormatting sqref="M45">
    <cfRule type="top10" priority="90" dxfId="0" rank="1"/>
  </conditionalFormatting>
  <conditionalFormatting sqref="M46">
    <cfRule type="top10" priority="91" dxfId="0" rank="1"/>
  </conditionalFormatting>
  <conditionalFormatting sqref="M47">
    <cfRule type="top10" priority="92" dxfId="0" rank="1"/>
  </conditionalFormatting>
  <conditionalFormatting sqref="M48">
    <cfRule type="top10" priority="93" dxfId="0" rank="1"/>
  </conditionalFormatting>
  <conditionalFormatting sqref="M49">
    <cfRule type="top10" priority="94" dxfId="0" rank="1"/>
  </conditionalFormatting>
  <conditionalFormatting sqref="M50">
    <cfRule type="top10" priority="95" dxfId="0" rank="1"/>
  </conditionalFormatting>
  <conditionalFormatting sqref="M51">
    <cfRule type="top10" priority="96" dxfId="0" rank="1"/>
  </conditionalFormatting>
  <conditionalFormatting sqref="M52">
    <cfRule type="top10" priority="97" dxfId="0" rank="1"/>
  </conditionalFormatting>
  <conditionalFormatting sqref="M55">
    <cfRule type="top10" priority="98" dxfId="0" rank="1"/>
  </conditionalFormatting>
  <conditionalFormatting sqref="M56:M57">
    <cfRule type="top10" priority="99" dxfId="0" rank="1"/>
  </conditionalFormatting>
  <conditionalFormatting sqref="M58">
    <cfRule type="top10" priority="100" dxfId="0" rank="1"/>
  </conditionalFormatting>
  <conditionalFormatting sqref="M59">
    <cfRule type="top10" priority="101" dxfId="0" rank="1"/>
  </conditionalFormatting>
  <conditionalFormatting sqref="M60">
    <cfRule type="top10" priority="102" dxfId="0" rank="1"/>
  </conditionalFormatting>
  <conditionalFormatting sqref="M61">
    <cfRule type="top10" priority="103" dxfId="0" rank="1"/>
  </conditionalFormatting>
  <conditionalFormatting sqref="M62">
    <cfRule type="top10" priority="104" dxfId="0" rank="1"/>
  </conditionalFormatting>
  <conditionalFormatting sqref="M63">
    <cfRule type="top10" priority="105" dxfId="0" rank="1"/>
  </conditionalFormatting>
  <conditionalFormatting sqref="M64">
    <cfRule type="top10" priority="106" dxfId="0" rank="1"/>
  </conditionalFormatting>
  <conditionalFormatting sqref="M65:M67">
    <cfRule type="top10" priority="107" dxfId="0" rank="1"/>
  </conditionalFormatting>
  <conditionalFormatting sqref="M53">
    <cfRule type="top10" priority="108" dxfId="0" rank="1"/>
  </conditionalFormatting>
  <conditionalFormatting sqref="M144">
    <cfRule type="top10" priority="124" dxfId="0" rank="1"/>
  </conditionalFormatting>
  <conditionalFormatting sqref="M146">
    <cfRule type="top10" priority="125" dxfId="0" rank="1" bottom="1"/>
  </conditionalFormatting>
  <conditionalFormatting sqref="M145">
    <cfRule type="top10" priority="126" dxfId="0" rank="1" bottom="1"/>
  </conditionalFormatting>
  <conditionalFormatting sqref="M147">
    <cfRule type="top10" priority="127" dxfId="0" rank="1" bottom="1"/>
  </conditionalFormatting>
  <conditionalFormatting sqref="M148">
    <cfRule type="top10" priority="128" dxfId="0" rank="1"/>
  </conditionalFormatting>
  <conditionalFormatting sqref="M149">
    <cfRule type="top10" priority="129" dxfId="0" rank="1"/>
  </conditionalFormatting>
  <conditionalFormatting sqref="M150">
    <cfRule type="top10" priority="130" dxfId="0" rank="1" bottom="1"/>
  </conditionalFormatting>
  <conditionalFormatting sqref="M151">
    <cfRule type="top10" priority="131" dxfId="0" rank="1"/>
  </conditionalFormatting>
  <conditionalFormatting sqref="M152">
    <cfRule type="top10" priority="132" dxfId="0" rank="1"/>
  </conditionalFormatting>
  <conditionalFormatting sqref="M153">
    <cfRule type="top10" priority="133" dxfId="0" rank="1"/>
  </conditionalFormatting>
  <conditionalFormatting sqref="M154">
    <cfRule type="top10" priority="134" dxfId="0" rank="1"/>
  </conditionalFormatting>
  <conditionalFormatting sqref="M155">
    <cfRule type="top10" priority="135" dxfId="0" rank="1" bottom="1"/>
  </conditionalFormatting>
  <conditionalFormatting sqref="M156">
    <cfRule type="top10" priority="136" dxfId="0" rank="1" bottom="1"/>
  </conditionalFormatting>
  <conditionalFormatting sqref="M157">
    <cfRule type="top10" priority="137" dxfId="0" rank="1"/>
  </conditionalFormatting>
  <conditionalFormatting sqref="M158">
    <cfRule type="top10" priority="138" dxfId="0" rank="1"/>
  </conditionalFormatting>
  <printOptions horizontalCentered="1"/>
  <pageMargins left="0.1968503937007874" right="0.1968503937007874" top="0.4724409448818898" bottom="0.3937007874015748" header="0.2755905511811024" footer="0.196850393700787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78"/>
  <sheetViews>
    <sheetView zoomScaleSheetLayoutView="100" zoomScalePageLayoutView="0" workbookViewId="0" topLeftCell="A67">
      <selection activeCell="A67" sqref="A67"/>
    </sheetView>
  </sheetViews>
  <sheetFormatPr defaultColWidth="9.140625" defaultRowHeight="13.5" customHeight="1"/>
  <cols>
    <col min="1" max="1" width="2.421875" style="11" customWidth="1"/>
    <col min="2" max="3" width="2.421875" style="12" customWidth="1"/>
    <col min="4" max="4" width="30.421875" style="12" bestFit="1" customWidth="1"/>
    <col min="5" max="7" width="10.00390625" style="12" customWidth="1"/>
    <col min="8" max="8" width="8.7109375" style="12" hidden="1" customWidth="1"/>
    <col min="9" max="11" width="10.00390625" style="12" customWidth="1"/>
    <col min="12" max="13" width="8.00390625" style="12" hidden="1" customWidth="1"/>
    <col min="14" max="14" width="32.421875" style="111" hidden="1" customWidth="1"/>
    <col min="15" max="16" width="14.421875" style="12" hidden="1" customWidth="1"/>
    <col min="17" max="20" width="0" style="12" hidden="1" customWidth="1"/>
    <col min="21" max="16384" width="9.00390625" style="12" customWidth="1"/>
  </cols>
  <sheetData>
    <row r="1" spans="2:13" ht="30" customHeight="1" hidden="1">
      <c r="B1" s="127" t="s">
        <v>196</v>
      </c>
      <c r="K1" s="13" t="s">
        <v>153</v>
      </c>
      <c r="L1" s="13"/>
      <c r="M1" s="13"/>
    </row>
    <row r="2" spans="1:13" ht="27" customHeight="1" hidden="1">
      <c r="A2" s="14"/>
      <c r="B2" s="246" t="s">
        <v>63</v>
      </c>
      <c r="C2" s="246"/>
      <c r="D2" s="247"/>
      <c r="E2" s="15" t="s">
        <v>168</v>
      </c>
      <c r="F2" s="15" t="s">
        <v>169</v>
      </c>
      <c r="G2" s="15" t="s">
        <v>170</v>
      </c>
      <c r="H2" s="15" t="s">
        <v>171</v>
      </c>
      <c r="I2" s="15" t="s">
        <v>172</v>
      </c>
      <c r="J2" s="15" t="s">
        <v>173</v>
      </c>
      <c r="K2" s="128" t="s">
        <v>174</v>
      </c>
      <c r="L2" s="129"/>
      <c r="M2" s="129"/>
    </row>
    <row r="3" spans="1:14" ht="13.5" customHeight="1" hidden="1">
      <c r="A3" s="248" t="s">
        <v>21</v>
      </c>
      <c r="B3" s="16" t="s">
        <v>0</v>
      </c>
      <c r="C3" s="17"/>
      <c r="D3" s="18"/>
      <c r="E3" s="10">
        <f>SUM(E5,E6,E10,E15:E18)</f>
        <v>21530</v>
      </c>
      <c r="F3" s="10">
        <f>SUM(F5,F6,F10,F15:F18)</f>
        <v>48957</v>
      </c>
      <c r="G3" s="10">
        <f>SUM(G5,G6,G10,G15:G18)-1</f>
        <v>28443</v>
      </c>
      <c r="H3" s="10">
        <f>SUM(H5,H6,H10,H15:H18)+3</f>
        <v>36525</v>
      </c>
      <c r="I3" s="10">
        <f>SUM(I5,I6,I10,I15:I18)</f>
        <v>15973</v>
      </c>
      <c r="J3" s="10">
        <f>SUM(J5,J6,J10,J15:J18)+3</f>
        <v>47209</v>
      </c>
      <c r="K3" s="10">
        <f>SUM(K5,K6,K10,K15:K18)+2</f>
        <v>141413</v>
      </c>
      <c r="L3" s="117"/>
      <c r="M3" s="117"/>
      <c r="N3" s="111" t="s">
        <v>78</v>
      </c>
    </row>
    <row r="4" spans="1:14" ht="13.5" customHeight="1" hidden="1">
      <c r="A4" s="248"/>
      <c r="B4" s="108"/>
      <c r="C4" s="42"/>
      <c r="D4" s="109" t="s">
        <v>149</v>
      </c>
      <c r="E4" s="32">
        <f aca="true" t="shared" si="0" ref="E4:K4">IF(E12="-","",E3-E12)</f>
      </c>
      <c r="F4" s="33">
        <f>IF(F12="-","",F3-F12)</f>
        <v>23437</v>
      </c>
      <c r="G4" s="32">
        <f t="shared" si="0"/>
      </c>
      <c r="H4" s="33">
        <f t="shared" si="0"/>
        <v>15601</v>
      </c>
      <c r="I4" s="32">
        <f t="shared" si="0"/>
      </c>
      <c r="J4" s="32">
        <f t="shared" si="0"/>
      </c>
      <c r="K4" s="33">
        <f t="shared" si="0"/>
        <v>110251</v>
      </c>
      <c r="L4" s="118"/>
      <c r="M4" s="118"/>
      <c r="N4" s="111" t="s">
        <v>78</v>
      </c>
    </row>
    <row r="5" spans="1:13" ht="13.5" customHeight="1" hidden="1">
      <c r="A5" s="142" t="s">
        <v>22</v>
      </c>
      <c r="B5" s="19"/>
      <c r="C5" s="20" t="s">
        <v>1</v>
      </c>
      <c r="D5" s="21"/>
      <c r="E5" s="9">
        <v>10184</v>
      </c>
      <c r="F5" s="9">
        <v>13252</v>
      </c>
      <c r="G5" s="9">
        <v>16223</v>
      </c>
      <c r="H5" s="9">
        <v>10148</v>
      </c>
      <c r="I5" s="9">
        <v>6526</v>
      </c>
      <c r="J5" s="9">
        <v>21876</v>
      </c>
      <c r="K5" s="9">
        <v>49891</v>
      </c>
      <c r="L5" s="117"/>
      <c r="M5" s="117"/>
    </row>
    <row r="6" spans="1:14" ht="13.5" customHeight="1" hidden="1">
      <c r="A6" s="142"/>
      <c r="B6" s="19"/>
      <c r="C6" s="22" t="s">
        <v>2</v>
      </c>
      <c r="D6" s="23"/>
      <c r="E6" s="9">
        <f aca="true" t="shared" si="1" ref="E6:K6">SUM(E7:E9)</f>
        <v>2956</v>
      </c>
      <c r="F6" s="9">
        <f t="shared" si="1"/>
        <v>763</v>
      </c>
      <c r="G6" s="9">
        <f t="shared" si="1"/>
        <v>3704</v>
      </c>
      <c r="H6" s="9">
        <f t="shared" si="1"/>
        <v>0</v>
      </c>
      <c r="I6" s="9">
        <f t="shared" si="1"/>
        <v>2431</v>
      </c>
      <c r="J6" s="9">
        <f t="shared" si="1"/>
        <v>7954</v>
      </c>
      <c r="K6" s="9">
        <f t="shared" si="1"/>
        <v>16352</v>
      </c>
      <c r="L6" s="117"/>
      <c r="M6" s="117"/>
      <c r="N6" s="111" t="s">
        <v>78</v>
      </c>
    </row>
    <row r="7" spans="1:13" ht="13.5" customHeight="1" hidden="1">
      <c r="A7" s="142"/>
      <c r="B7" s="19"/>
      <c r="C7" s="24"/>
      <c r="D7" s="25" t="s">
        <v>19</v>
      </c>
      <c r="E7" s="26">
        <v>1568</v>
      </c>
      <c r="F7" s="26">
        <v>501</v>
      </c>
      <c r="G7" s="130">
        <v>0</v>
      </c>
      <c r="H7" s="131" t="s">
        <v>150</v>
      </c>
      <c r="I7" s="26">
        <v>1745</v>
      </c>
      <c r="J7" s="26">
        <v>5346</v>
      </c>
      <c r="K7" s="26">
        <v>9373</v>
      </c>
      <c r="L7" s="118"/>
      <c r="M7" s="118"/>
    </row>
    <row r="8" spans="1:13" ht="13.5" customHeight="1" hidden="1">
      <c r="A8" s="142"/>
      <c r="B8" s="19"/>
      <c r="C8" s="24"/>
      <c r="D8" s="27" t="s">
        <v>18</v>
      </c>
      <c r="E8" s="28">
        <v>1388</v>
      </c>
      <c r="F8" s="28">
        <v>262</v>
      </c>
      <c r="G8" s="28">
        <v>3704</v>
      </c>
      <c r="H8" s="29" t="s">
        <v>150</v>
      </c>
      <c r="I8" s="28">
        <v>650</v>
      </c>
      <c r="J8" s="28">
        <v>2540</v>
      </c>
      <c r="K8" s="28">
        <v>6831</v>
      </c>
      <c r="L8" s="118"/>
      <c r="M8" s="118"/>
    </row>
    <row r="9" spans="1:13" ht="13.5" customHeight="1" hidden="1">
      <c r="A9" s="142"/>
      <c r="B9" s="19"/>
      <c r="C9" s="30"/>
      <c r="D9" s="31" t="s">
        <v>116</v>
      </c>
      <c r="E9" s="32" t="s">
        <v>150</v>
      </c>
      <c r="F9" s="32" t="s">
        <v>150</v>
      </c>
      <c r="G9" s="32" t="s">
        <v>150</v>
      </c>
      <c r="H9" s="32" t="s">
        <v>150</v>
      </c>
      <c r="I9" s="33">
        <v>36</v>
      </c>
      <c r="J9" s="33">
        <v>68</v>
      </c>
      <c r="K9" s="33">
        <v>148</v>
      </c>
      <c r="L9" s="118"/>
      <c r="M9" s="118"/>
    </row>
    <row r="10" spans="1:14" ht="13.5" customHeight="1" hidden="1">
      <c r="A10" s="142"/>
      <c r="B10" s="19"/>
      <c r="C10" s="22" t="s">
        <v>3</v>
      </c>
      <c r="D10" s="23"/>
      <c r="E10" s="9">
        <f aca="true" t="shared" si="2" ref="E10:J10">SUM(E11:E14)</f>
        <v>5551</v>
      </c>
      <c r="F10" s="9">
        <f>SUM(F11:F14)</f>
        <v>31778</v>
      </c>
      <c r="G10" s="9">
        <v>6141</v>
      </c>
      <c r="H10" s="9">
        <v>23579</v>
      </c>
      <c r="I10" s="9">
        <f t="shared" si="2"/>
        <v>4229</v>
      </c>
      <c r="J10" s="9">
        <f t="shared" si="2"/>
        <v>6706</v>
      </c>
      <c r="K10" s="9">
        <f>SUM(K11:K14)+2</f>
        <v>48416</v>
      </c>
      <c r="L10" s="117"/>
      <c r="M10" s="117"/>
      <c r="N10" s="111" t="s">
        <v>78</v>
      </c>
    </row>
    <row r="11" spans="1:13" ht="13.5" customHeight="1" hidden="1">
      <c r="A11" s="142" t="s">
        <v>23</v>
      </c>
      <c r="B11" s="19"/>
      <c r="C11" s="24"/>
      <c r="D11" s="34" t="s">
        <v>98</v>
      </c>
      <c r="E11" s="26">
        <v>5227</v>
      </c>
      <c r="F11" s="26">
        <v>5230</v>
      </c>
      <c r="G11" s="26">
        <v>5844</v>
      </c>
      <c r="H11" s="26">
        <v>2067</v>
      </c>
      <c r="I11" s="26">
        <v>3433</v>
      </c>
      <c r="J11" s="26">
        <v>5854</v>
      </c>
      <c r="K11" s="26">
        <v>13423</v>
      </c>
      <c r="L11" s="118"/>
      <c r="M11" s="118"/>
    </row>
    <row r="12" spans="1:13" ht="13.5" customHeight="1" hidden="1">
      <c r="A12" s="142"/>
      <c r="B12" s="19"/>
      <c r="C12" s="24"/>
      <c r="D12" s="27" t="s">
        <v>16</v>
      </c>
      <c r="E12" s="29" t="s">
        <v>150</v>
      </c>
      <c r="F12" s="28">
        <v>25520</v>
      </c>
      <c r="G12" s="29" t="s">
        <v>150</v>
      </c>
      <c r="H12" s="28">
        <v>20924</v>
      </c>
      <c r="I12" s="29" t="s">
        <v>150</v>
      </c>
      <c r="J12" s="29" t="s">
        <v>150</v>
      </c>
      <c r="K12" s="28">
        <v>31162</v>
      </c>
      <c r="L12" s="118"/>
      <c r="M12" s="118"/>
    </row>
    <row r="13" spans="1:13" ht="13.5" customHeight="1" hidden="1">
      <c r="A13" s="142"/>
      <c r="B13" s="19"/>
      <c r="C13" s="24"/>
      <c r="D13" s="27" t="s">
        <v>4</v>
      </c>
      <c r="E13" s="29" t="s">
        <v>150</v>
      </c>
      <c r="F13" s="29" t="s">
        <v>13</v>
      </c>
      <c r="G13" s="29" t="s">
        <v>150</v>
      </c>
      <c r="H13" s="28">
        <v>12</v>
      </c>
      <c r="I13" s="29" t="s">
        <v>150</v>
      </c>
      <c r="J13" s="29" t="s">
        <v>150</v>
      </c>
      <c r="K13" s="28">
        <v>28</v>
      </c>
      <c r="L13" s="118"/>
      <c r="M13" s="118"/>
    </row>
    <row r="14" spans="1:13" ht="13.5" customHeight="1" hidden="1">
      <c r="A14" s="142"/>
      <c r="B14" s="19"/>
      <c r="C14" s="30"/>
      <c r="D14" s="31" t="s">
        <v>175</v>
      </c>
      <c r="E14" s="33">
        <v>324</v>
      </c>
      <c r="F14" s="33">
        <v>1028</v>
      </c>
      <c r="G14" s="33">
        <v>298</v>
      </c>
      <c r="H14" s="33">
        <v>574</v>
      </c>
      <c r="I14" s="33">
        <v>796</v>
      </c>
      <c r="J14" s="33">
        <v>852</v>
      </c>
      <c r="K14" s="33">
        <v>3801</v>
      </c>
      <c r="L14" s="118"/>
      <c r="M14" s="118"/>
    </row>
    <row r="15" spans="1:13" ht="13.5" customHeight="1" hidden="1">
      <c r="A15" s="142" t="s">
        <v>24</v>
      </c>
      <c r="B15" s="19"/>
      <c r="C15" s="20" t="s">
        <v>9</v>
      </c>
      <c r="D15" s="21"/>
      <c r="E15" s="9">
        <v>1844</v>
      </c>
      <c r="F15" s="9">
        <f>1225+980</f>
        <v>2205</v>
      </c>
      <c r="G15" s="9">
        <v>1972</v>
      </c>
      <c r="H15" s="9">
        <v>1670</v>
      </c>
      <c r="I15" s="9">
        <v>2617</v>
      </c>
      <c r="J15" s="9">
        <v>10659</v>
      </c>
      <c r="K15" s="9">
        <v>25255</v>
      </c>
      <c r="L15" s="117"/>
      <c r="M15" s="117"/>
    </row>
    <row r="16" spans="1:13" ht="13.5" customHeight="1" hidden="1">
      <c r="A16" s="142"/>
      <c r="B16" s="19"/>
      <c r="C16" s="20" t="s">
        <v>15</v>
      </c>
      <c r="D16" s="21"/>
      <c r="E16" s="35" t="s">
        <v>150</v>
      </c>
      <c r="F16" s="7">
        <v>600</v>
      </c>
      <c r="G16" s="35" t="s">
        <v>150</v>
      </c>
      <c r="H16" s="7">
        <v>1120</v>
      </c>
      <c r="I16" s="7" t="s">
        <v>150</v>
      </c>
      <c r="J16" s="35" t="s">
        <v>150</v>
      </c>
      <c r="K16" s="7">
        <v>1366</v>
      </c>
      <c r="L16" s="117"/>
      <c r="M16" s="117"/>
    </row>
    <row r="17" spans="1:13" ht="13.5" customHeight="1" hidden="1">
      <c r="A17" s="142"/>
      <c r="B17" s="19"/>
      <c r="C17" s="20" t="s">
        <v>79</v>
      </c>
      <c r="D17" s="21"/>
      <c r="E17" s="35" t="s">
        <v>150</v>
      </c>
      <c r="F17" s="35" t="s">
        <v>13</v>
      </c>
      <c r="G17" s="35" t="s">
        <v>150</v>
      </c>
      <c r="H17" s="35" t="s">
        <v>150</v>
      </c>
      <c r="I17" s="7">
        <v>10</v>
      </c>
      <c r="J17" s="35" t="s">
        <v>150</v>
      </c>
      <c r="K17" s="7">
        <v>131</v>
      </c>
      <c r="L17" s="117"/>
      <c r="M17" s="117"/>
    </row>
    <row r="18" spans="1:13" ht="13.5" customHeight="1" hidden="1">
      <c r="A18" s="142"/>
      <c r="B18" s="36"/>
      <c r="C18" s="37" t="s">
        <v>12</v>
      </c>
      <c r="D18" s="38"/>
      <c r="E18" s="7">
        <v>995</v>
      </c>
      <c r="F18" s="132">
        <v>359</v>
      </c>
      <c r="G18" s="7">
        <v>404</v>
      </c>
      <c r="H18" s="7">
        <v>5</v>
      </c>
      <c r="I18" s="7">
        <v>160</v>
      </c>
      <c r="J18" s="7">
        <v>11</v>
      </c>
      <c r="K18" s="7">
        <v>0</v>
      </c>
      <c r="L18" s="117"/>
      <c r="M18" s="117"/>
    </row>
    <row r="19" spans="1:14" ht="13.5" customHeight="1" hidden="1">
      <c r="A19" s="142"/>
      <c r="B19" s="16" t="s">
        <v>5</v>
      </c>
      <c r="C19" s="17"/>
      <c r="D19" s="18"/>
      <c r="E19" s="8">
        <f>SUM(E20,E25:E29)</f>
        <v>21529</v>
      </c>
      <c r="F19" s="8">
        <f>SUM(F20,F25:F29)</f>
        <v>47002</v>
      </c>
      <c r="G19" s="8">
        <v>26749</v>
      </c>
      <c r="H19" s="8">
        <f>SUM(H20,H25:H29)+1</f>
        <v>35891</v>
      </c>
      <c r="I19" s="8">
        <f>SUM(I20,I25:I29)</f>
        <v>14889</v>
      </c>
      <c r="J19" s="8">
        <f>SUM(J20,J25:J29)</f>
        <v>44773</v>
      </c>
      <c r="K19" s="8">
        <f>SUM(K20,K25:K29)+3</f>
        <v>131863</v>
      </c>
      <c r="L19" s="117"/>
      <c r="M19" s="117"/>
      <c r="N19" s="111" t="s">
        <v>78</v>
      </c>
    </row>
    <row r="20" spans="1:14" ht="13.5" customHeight="1" hidden="1">
      <c r="A20" s="248" t="s">
        <v>25</v>
      </c>
      <c r="B20" s="19"/>
      <c r="C20" s="22" t="s">
        <v>6</v>
      </c>
      <c r="D20" s="23"/>
      <c r="E20" s="7">
        <f>SUM(E22:E24)</f>
        <v>16487</v>
      </c>
      <c r="F20" s="7">
        <f>SUM(F22:F24)</f>
        <v>44335</v>
      </c>
      <c r="G20" s="7">
        <f>SUM(G22:G24)</f>
        <v>21145</v>
      </c>
      <c r="H20" s="7">
        <f>SUM(H22:H24)+3</f>
        <v>30526</v>
      </c>
      <c r="I20" s="7">
        <f>SUM(I22:I24)</f>
        <v>9878</v>
      </c>
      <c r="J20" s="7">
        <f>SUM(J22:J24)</f>
        <v>27772</v>
      </c>
      <c r="K20" s="7">
        <f>SUM(K22:K24)</f>
        <v>89883</v>
      </c>
      <c r="L20" s="117"/>
      <c r="M20" s="117"/>
      <c r="N20" s="111" t="s">
        <v>78</v>
      </c>
    </row>
    <row r="21" spans="1:14" ht="13.5" customHeight="1" hidden="1">
      <c r="A21" s="248"/>
      <c r="B21" s="106"/>
      <c r="C21" s="107"/>
      <c r="D21" s="110" t="s">
        <v>148</v>
      </c>
      <c r="E21" s="33">
        <f aca="true" t="shared" si="3" ref="E21:K21">IF(E23="-","",E20-E23)</f>
      </c>
      <c r="F21" s="33">
        <f t="shared" si="3"/>
        <v>30135</v>
      </c>
      <c r="G21" s="33">
        <f t="shared" si="3"/>
      </c>
      <c r="H21" s="33">
        <f t="shared" si="3"/>
        <v>19780</v>
      </c>
      <c r="I21" s="33">
        <f t="shared" si="3"/>
      </c>
      <c r="J21" s="33">
        <f t="shared" si="3"/>
      </c>
      <c r="K21" s="33">
        <f t="shared" si="3"/>
        <v>59005</v>
      </c>
      <c r="L21" s="118"/>
      <c r="M21" s="118"/>
      <c r="N21" s="111" t="s">
        <v>78</v>
      </c>
    </row>
    <row r="22" spans="1:13" ht="13.5" customHeight="1" hidden="1">
      <c r="A22" s="142" t="s">
        <v>26</v>
      </c>
      <c r="B22" s="19"/>
      <c r="C22" s="24"/>
      <c r="D22" s="34" t="s">
        <v>7</v>
      </c>
      <c r="E22" s="26">
        <v>13505</v>
      </c>
      <c r="F22" s="26">
        <v>4590</v>
      </c>
      <c r="G22" s="26">
        <v>13394</v>
      </c>
      <c r="H22" s="26">
        <f>494+1023+174</f>
        <v>1691</v>
      </c>
      <c r="I22" s="26">
        <v>6915</v>
      </c>
      <c r="J22" s="26">
        <v>27772</v>
      </c>
      <c r="K22" s="26">
        <v>46853</v>
      </c>
      <c r="L22" s="118"/>
      <c r="M22" s="118"/>
    </row>
    <row r="23" spans="1:13" ht="13.5" customHeight="1" hidden="1">
      <c r="A23" s="142"/>
      <c r="B23" s="19"/>
      <c r="C23" s="24"/>
      <c r="D23" s="27" t="s">
        <v>17</v>
      </c>
      <c r="E23" s="29" t="s">
        <v>150</v>
      </c>
      <c r="F23" s="28">
        <v>14200</v>
      </c>
      <c r="G23" s="29" t="s">
        <v>150</v>
      </c>
      <c r="H23" s="28">
        <v>10746</v>
      </c>
      <c r="I23" s="29" t="s">
        <v>150</v>
      </c>
      <c r="J23" s="29" t="s">
        <v>150</v>
      </c>
      <c r="K23" s="28">
        <v>30878</v>
      </c>
      <c r="L23" s="118"/>
      <c r="M23" s="118"/>
    </row>
    <row r="24" spans="1:13" ht="13.5" customHeight="1" hidden="1">
      <c r="A24" s="142" t="s">
        <v>27</v>
      </c>
      <c r="B24" s="19"/>
      <c r="C24" s="30"/>
      <c r="D24" s="31" t="s">
        <v>29</v>
      </c>
      <c r="E24" s="33">
        <v>2982</v>
      </c>
      <c r="F24" s="33">
        <f>1326+24219</f>
        <v>25545</v>
      </c>
      <c r="G24" s="33">
        <v>7751</v>
      </c>
      <c r="H24" s="33">
        <f>705+17381</f>
        <v>18086</v>
      </c>
      <c r="I24" s="33">
        <v>2963</v>
      </c>
      <c r="J24" s="32" t="s">
        <v>150</v>
      </c>
      <c r="K24" s="33">
        <v>12152</v>
      </c>
      <c r="L24" s="118"/>
      <c r="M24" s="118"/>
    </row>
    <row r="25" spans="1:13" ht="13.5" customHeight="1" hidden="1">
      <c r="A25" s="142" t="s">
        <v>28</v>
      </c>
      <c r="B25" s="19"/>
      <c r="C25" s="20" t="s">
        <v>8</v>
      </c>
      <c r="D25" s="21"/>
      <c r="E25" s="9">
        <v>1497</v>
      </c>
      <c r="F25" s="9">
        <v>862</v>
      </c>
      <c r="G25" s="9">
        <v>3704</v>
      </c>
      <c r="H25" s="9">
        <v>1333</v>
      </c>
      <c r="I25" s="9">
        <v>686</v>
      </c>
      <c r="J25" s="9">
        <v>2606</v>
      </c>
      <c r="K25" s="9">
        <v>8312</v>
      </c>
      <c r="L25" s="117"/>
      <c r="M25" s="117"/>
    </row>
    <row r="26" spans="1:13" ht="13.5" customHeight="1" hidden="1">
      <c r="A26" s="142"/>
      <c r="B26" s="19"/>
      <c r="C26" s="20" t="s">
        <v>14</v>
      </c>
      <c r="D26" s="21"/>
      <c r="E26" s="7">
        <v>1568</v>
      </c>
      <c r="F26" s="35" t="s">
        <v>13</v>
      </c>
      <c r="G26" s="35" t="s">
        <v>150</v>
      </c>
      <c r="H26" s="35" t="s">
        <v>150</v>
      </c>
      <c r="I26" s="7">
        <v>1744</v>
      </c>
      <c r="J26" s="7">
        <v>5201</v>
      </c>
      <c r="K26" s="7">
        <v>9181</v>
      </c>
      <c r="L26" s="117"/>
      <c r="M26" s="117"/>
    </row>
    <row r="27" spans="1:13" ht="13.5" customHeight="1" hidden="1">
      <c r="A27" s="142" t="s">
        <v>30</v>
      </c>
      <c r="B27" s="19"/>
      <c r="C27" s="20" t="s">
        <v>10</v>
      </c>
      <c r="D27" s="21"/>
      <c r="E27" s="7">
        <v>1977</v>
      </c>
      <c r="F27" s="7">
        <v>1229</v>
      </c>
      <c r="G27" s="7">
        <v>1899</v>
      </c>
      <c r="H27" s="7">
        <v>1453</v>
      </c>
      <c r="I27" s="7">
        <v>2510</v>
      </c>
      <c r="J27" s="7">
        <v>9194</v>
      </c>
      <c r="K27" s="7">
        <v>18939</v>
      </c>
      <c r="L27" s="117"/>
      <c r="M27" s="117"/>
    </row>
    <row r="28" spans="1:13" ht="13.5" customHeight="1" hidden="1">
      <c r="A28" s="142"/>
      <c r="B28" s="19"/>
      <c r="C28" s="20" t="s">
        <v>83</v>
      </c>
      <c r="D28" s="21"/>
      <c r="E28" s="35" t="s">
        <v>150</v>
      </c>
      <c r="F28" s="7">
        <v>576</v>
      </c>
      <c r="G28" s="35" t="s">
        <v>150</v>
      </c>
      <c r="H28" s="35" t="s">
        <v>150</v>
      </c>
      <c r="I28" s="7"/>
      <c r="J28" s="35" t="s">
        <v>150</v>
      </c>
      <c r="K28" s="7">
        <v>5545</v>
      </c>
      <c r="L28" s="117"/>
      <c r="M28" s="117"/>
    </row>
    <row r="29" spans="1:13" ht="13.5" customHeight="1" hidden="1">
      <c r="A29" s="142"/>
      <c r="B29" s="36"/>
      <c r="C29" s="37" t="s">
        <v>20</v>
      </c>
      <c r="D29" s="38"/>
      <c r="E29" s="35" t="s">
        <v>150</v>
      </c>
      <c r="F29" s="35" t="s">
        <v>13</v>
      </c>
      <c r="G29" s="35" t="s">
        <v>150</v>
      </c>
      <c r="H29" s="7">
        <f>44+2534</f>
        <v>2578</v>
      </c>
      <c r="I29" s="7">
        <v>71</v>
      </c>
      <c r="J29" s="35" t="s">
        <v>150</v>
      </c>
      <c r="K29" s="35" t="s">
        <v>13</v>
      </c>
      <c r="L29" s="117"/>
      <c r="M29" s="117"/>
    </row>
    <row r="30" spans="1:14" ht="13.5" customHeight="1" hidden="1">
      <c r="A30" s="142" t="s">
        <v>31</v>
      </c>
      <c r="B30" s="39" t="s">
        <v>81</v>
      </c>
      <c r="C30" s="40"/>
      <c r="D30" s="41"/>
      <c r="E30" s="5">
        <f aca="true" t="shared" si="4" ref="E30:K30">E3-E19</f>
        <v>1</v>
      </c>
      <c r="F30" s="5">
        <f t="shared" si="4"/>
        <v>1955</v>
      </c>
      <c r="G30" s="5">
        <f t="shared" si="4"/>
        <v>1694</v>
      </c>
      <c r="H30" s="5">
        <f t="shared" si="4"/>
        <v>634</v>
      </c>
      <c r="I30" s="5">
        <f t="shared" si="4"/>
        <v>1084</v>
      </c>
      <c r="J30" s="5">
        <f t="shared" si="4"/>
        <v>2436</v>
      </c>
      <c r="K30" s="5">
        <f t="shared" si="4"/>
        <v>9550</v>
      </c>
      <c r="L30" s="117"/>
      <c r="M30" s="117"/>
      <c r="N30" s="111" t="s">
        <v>78</v>
      </c>
    </row>
    <row r="31" spans="1:14" ht="13.5" customHeight="1" hidden="1">
      <c r="A31" s="142"/>
      <c r="B31" s="39" t="s">
        <v>11</v>
      </c>
      <c r="C31" s="40"/>
      <c r="D31" s="41"/>
      <c r="E31" s="6" t="str">
        <f aca="true" t="shared" si="5" ref="E31:K31">IF(E12="-","-",E12-E23)</f>
        <v>-</v>
      </c>
      <c r="F31" s="5">
        <f>IF(F12="-","-",F12-F23)</f>
        <v>11320</v>
      </c>
      <c r="G31" s="6" t="str">
        <f t="shared" si="5"/>
        <v>-</v>
      </c>
      <c r="H31" s="5">
        <f t="shared" si="5"/>
        <v>10178</v>
      </c>
      <c r="I31" s="6" t="str">
        <f t="shared" si="5"/>
        <v>-</v>
      </c>
      <c r="J31" s="6" t="str">
        <f t="shared" si="5"/>
        <v>-</v>
      </c>
      <c r="K31" s="5">
        <f t="shared" si="5"/>
        <v>284</v>
      </c>
      <c r="L31" s="117"/>
      <c r="M31" s="117"/>
      <c r="N31" s="111" t="s">
        <v>78</v>
      </c>
    </row>
    <row r="32" spans="1:13" ht="13.5" customHeight="1" hidden="1">
      <c r="A32" s="42"/>
      <c r="B32" s="43" t="s">
        <v>176</v>
      </c>
      <c r="C32" s="40"/>
      <c r="D32" s="40"/>
      <c r="E32" s="44"/>
      <c r="F32" s="133"/>
      <c r="G32" s="44"/>
      <c r="H32" s="133"/>
      <c r="I32" s="44"/>
      <c r="J32" s="44"/>
      <c r="K32" s="133"/>
      <c r="L32" s="117"/>
      <c r="M32" s="117"/>
    </row>
    <row r="33" spans="1:13" s="47" customFormat="1" ht="13.5" customHeight="1" hidden="1">
      <c r="A33" s="45" t="s">
        <v>34</v>
      </c>
      <c r="B33" s="249" t="s">
        <v>32</v>
      </c>
      <c r="C33" s="250"/>
      <c r="D33" s="251"/>
      <c r="E33" s="46">
        <v>8000</v>
      </c>
      <c r="F33" s="46">
        <v>9042</v>
      </c>
      <c r="G33" s="46">
        <v>11235</v>
      </c>
      <c r="H33" s="46">
        <v>3350</v>
      </c>
      <c r="I33" s="46">
        <v>5952</v>
      </c>
      <c r="J33" s="46">
        <v>10044</v>
      </c>
      <c r="K33" s="46">
        <v>23789</v>
      </c>
      <c r="L33" s="119"/>
      <c r="M33" s="119"/>
    </row>
    <row r="34" spans="1:13" s="47" customFormat="1" ht="13.5" customHeight="1" hidden="1">
      <c r="A34" s="45"/>
      <c r="B34" s="244" t="s">
        <v>151</v>
      </c>
      <c r="C34" s="245"/>
      <c r="D34" s="243"/>
      <c r="E34" s="1">
        <v>707</v>
      </c>
      <c r="F34" s="1">
        <v>712</v>
      </c>
      <c r="G34" s="1">
        <v>870</v>
      </c>
      <c r="H34" s="1">
        <v>486</v>
      </c>
      <c r="I34" s="1">
        <v>778</v>
      </c>
      <c r="J34" s="1">
        <v>1587</v>
      </c>
      <c r="K34" s="1">
        <v>4605</v>
      </c>
      <c r="L34" s="119"/>
      <c r="M34" s="119"/>
    </row>
    <row r="35" spans="1:13" s="47" customFormat="1" ht="13.5" customHeight="1" hidden="1">
      <c r="A35" s="45" t="s">
        <v>35</v>
      </c>
      <c r="B35" s="48"/>
      <c r="C35" s="49" t="s">
        <v>152</v>
      </c>
      <c r="D35" s="50"/>
      <c r="E35" s="93" t="s">
        <v>13</v>
      </c>
      <c r="F35" s="93" t="s">
        <v>13</v>
      </c>
      <c r="G35" s="93" t="s">
        <v>13</v>
      </c>
      <c r="H35" s="93" t="s">
        <v>13</v>
      </c>
      <c r="I35" s="51">
        <v>416</v>
      </c>
      <c r="J35" s="51">
        <v>1135</v>
      </c>
      <c r="K35" s="51">
        <v>3106</v>
      </c>
      <c r="L35" s="118"/>
      <c r="M35" s="118"/>
    </row>
    <row r="36" spans="1:13" s="47" customFormat="1" ht="13.5" customHeight="1" hidden="1">
      <c r="A36" s="45" t="s">
        <v>40</v>
      </c>
      <c r="B36" s="244" t="s">
        <v>33</v>
      </c>
      <c r="C36" s="245"/>
      <c r="D36" s="243"/>
      <c r="E36" s="114">
        <v>211</v>
      </c>
      <c r="F36" s="1">
        <v>1335</v>
      </c>
      <c r="G36" s="114">
        <v>460</v>
      </c>
      <c r="H36" s="1">
        <v>1111</v>
      </c>
      <c r="I36" s="1">
        <v>549</v>
      </c>
      <c r="J36" s="1">
        <v>1734</v>
      </c>
      <c r="K36" s="1">
        <v>4312</v>
      </c>
      <c r="L36" s="119"/>
      <c r="M36" s="119"/>
    </row>
    <row r="37" spans="1:13" s="47" customFormat="1" ht="13.5" customHeight="1" hidden="1">
      <c r="A37" s="45"/>
      <c r="B37" s="52"/>
      <c r="C37" s="53" t="s">
        <v>152</v>
      </c>
      <c r="D37" s="54"/>
      <c r="E37" s="113" t="s">
        <v>150</v>
      </c>
      <c r="F37" s="113" t="s">
        <v>13</v>
      </c>
      <c r="G37" s="113" t="s">
        <v>13</v>
      </c>
      <c r="H37" s="113" t="s">
        <v>13</v>
      </c>
      <c r="I37" s="134">
        <v>216</v>
      </c>
      <c r="J37" s="134">
        <v>579</v>
      </c>
      <c r="K37" s="134">
        <v>2478</v>
      </c>
      <c r="L37" s="118"/>
      <c r="M37" s="118"/>
    </row>
    <row r="38" spans="1:19" s="47" customFormat="1" ht="12" customHeight="1" hidden="1">
      <c r="A38" s="45"/>
      <c r="B38" s="47" t="s">
        <v>177</v>
      </c>
      <c r="D38" s="55"/>
      <c r="F38" s="118"/>
      <c r="G38" s="118"/>
      <c r="H38" s="118"/>
      <c r="I38" s="118"/>
      <c r="J38" s="118"/>
      <c r="K38" s="118"/>
      <c r="L38" s="118"/>
      <c r="M38" s="118"/>
      <c r="S38" s="55"/>
    </row>
    <row r="39" spans="1:19" s="47" customFormat="1" ht="12" customHeight="1" hidden="1">
      <c r="A39" s="45"/>
      <c r="B39" s="47" t="s">
        <v>178</v>
      </c>
      <c r="D39" s="55"/>
      <c r="E39" s="47" t="s">
        <v>179</v>
      </c>
      <c r="F39" s="118"/>
      <c r="G39" s="118"/>
      <c r="H39" s="118"/>
      <c r="I39" s="118"/>
      <c r="J39" s="118"/>
      <c r="K39" s="118"/>
      <c r="L39" s="118"/>
      <c r="M39" s="118"/>
      <c r="S39" s="55"/>
    </row>
    <row r="40" spans="1:19" s="47" customFormat="1" ht="12" customHeight="1" hidden="1">
      <c r="A40" s="45"/>
      <c r="B40" s="47" t="s">
        <v>180</v>
      </c>
      <c r="D40" s="55"/>
      <c r="E40" s="47" t="s">
        <v>181</v>
      </c>
      <c r="F40" s="118"/>
      <c r="G40" s="118"/>
      <c r="H40" s="118"/>
      <c r="I40" s="118"/>
      <c r="J40" s="118"/>
      <c r="K40" s="118"/>
      <c r="L40" s="118"/>
      <c r="M40" s="118"/>
      <c r="S40" s="55"/>
    </row>
    <row r="41" spans="1:19" s="47" customFormat="1" ht="12" customHeight="1" hidden="1">
      <c r="A41" s="45"/>
      <c r="D41" s="55"/>
      <c r="E41" s="47" t="s">
        <v>182</v>
      </c>
      <c r="F41" s="118"/>
      <c r="G41" s="118"/>
      <c r="H41" s="118"/>
      <c r="I41" s="118"/>
      <c r="J41" s="118"/>
      <c r="K41" s="118"/>
      <c r="L41" s="118"/>
      <c r="M41" s="118"/>
      <c r="S41" s="55"/>
    </row>
    <row r="42" s="47" customFormat="1" ht="12" customHeight="1" hidden="1">
      <c r="A42" s="45"/>
    </row>
    <row r="43" spans="1:13" s="47" customFormat="1" ht="12" customHeight="1" hidden="1">
      <c r="A43" s="45" t="s">
        <v>131</v>
      </c>
      <c r="C43" s="56" t="s">
        <v>41</v>
      </c>
      <c r="D43" s="57"/>
      <c r="E43" s="58">
        <f aca="true" t="shared" si="6" ref="E43:K43">E30/E3</f>
        <v>4.644681839294008E-05</v>
      </c>
      <c r="F43" s="58">
        <f>F30/F3</f>
        <v>0.039933002430704495</v>
      </c>
      <c r="G43" s="58">
        <f t="shared" si="6"/>
        <v>0.05955771191505819</v>
      </c>
      <c r="H43" s="58">
        <f t="shared" si="6"/>
        <v>0.01735797399041752</v>
      </c>
      <c r="I43" s="58">
        <f t="shared" si="6"/>
        <v>0.06786452137982846</v>
      </c>
      <c r="J43" s="58">
        <f t="shared" si="6"/>
        <v>0.05160033044546591</v>
      </c>
      <c r="K43" s="58">
        <f t="shared" si="6"/>
        <v>0.06753268794240982</v>
      </c>
      <c r="L43" s="120"/>
      <c r="M43" s="120"/>
    </row>
    <row r="44" spans="1:13" s="47" customFormat="1" ht="12" customHeight="1" hidden="1">
      <c r="A44" s="45" t="s">
        <v>132</v>
      </c>
      <c r="C44" s="59" t="s">
        <v>42</v>
      </c>
      <c r="D44" s="60"/>
      <c r="E44" s="61">
        <f aca="true" t="shared" si="7" ref="E44:K44">E5/E3</f>
        <v>0.4730143985137018</v>
      </c>
      <c r="F44" s="61">
        <f>F5/F3</f>
        <v>0.2706865208243969</v>
      </c>
      <c r="G44" s="61">
        <f t="shared" si="7"/>
        <v>0.5703688077910206</v>
      </c>
      <c r="H44" s="61">
        <f t="shared" si="7"/>
        <v>0.27783709787816563</v>
      </c>
      <c r="I44" s="61">
        <f t="shared" si="7"/>
        <v>0.4085644525136167</v>
      </c>
      <c r="J44" s="61">
        <f t="shared" si="7"/>
        <v>0.46338621872947955</v>
      </c>
      <c r="K44" s="61">
        <f t="shared" si="7"/>
        <v>0.35280349048531606</v>
      </c>
      <c r="L44" s="120"/>
      <c r="M44" s="120"/>
    </row>
    <row r="45" spans="1:13" s="47" customFormat="1" ht="12" customHeight="1" hidden="1">
      <c r="A45" s="45"/>
      <c r="C45" s="62"/>
      <c r="D45" s="63" t="s">
        <v>149</v>
      </c>
      <c r="E45" s="64"/>
      <c r="F45" s="64">
        <f>F5/F4</f>
        <v>0.5654307291888894</v>
      </c>
      <c r="G45" s="64"/>
      <c r="H45" s="64">
        <f>H5/H4</f>
        <v>0.6504711236459201</v>
      </c>
      <c r="I45" s="64"/>
      <c r="J45" s="64"/>
      <c r="K45" s="64">
        <f>K5/K4</f>
        <v>0.4525219725898178</v>
      </c>
      <c r="L45" s="120"/>
      <c r="M45" s="120"/>
    </row>
    <row r="46" spans="1:13" s="47" customFormat="1" ht="12" customHeight="1" hidden="1">
      <c r="A46" s="45" t="s">
        <v>133</v>
      </c>
      <c r="C46" s="59" t="s">
        <v>36</v>
      </c>
      <c r="D46" s="60"/>
      <c r="E46" s="61">
        <f aca="true" t="shared" si="8" ref="E46:K46">E11/E3</f>
        <v>0.2427775197398978</v>
      </c>
      <c r="F46" s="61">
        <f>F11/F3</f>
        <v>0.10682844128520946</v>
      </c>
      <c r="G46" s="61">
        <f t="shared" si="8"/>
        <v>0.20546355869634006</v>
      </c>
      <c r="H46" s="61">
        <f t="shared" si="8"/>
        <v>0.05659137577002053</v>
      </c>
      <c r="I46" s="61">
        <f t="shared" si="8"/>
        <v>0.2149251862517999</v>
      </c>
      <c r="J46" s="61">
        <f t="shared" si="8"/>
        <v>0.1240017793217395</v>
      </c>
      <c r="K46" s="61">
        <f t="shared" si="8"/>
        <v>0.09492055185874</v>
      </c>
      <c r="L46" s="120"/>
      <c r="M46" s="120"/>
    </row>
    <row r="47" spans="1:13" s="47" customFormat="1" ht="12" customHeight="1" hidden="1">
      <c r="A47" s="45"/>
      <c r="C47" s="62"/>
      <c r="D47" s="63" t="s">
        <v>149</v>
      </c>
      <c r="E47" s="64"/>
      <c r="F47" s="64">
        <f>F11/F4</f>
        <v>0.2231514272304476</v>
      </c>
      <c r="G47" s="64"/>
      <c r="H47" s="64">
        <f>H11/H4</f>
        <v>0.1324915069546824</v>
      </c>
      <c r="I47" s="64"/>
      <c r="J47" s="64"/>
      <c r="K47" s="64">
        <f>K11/K4</f>
        <v>0.12174946258990849</v>
      </c>
      <c r="L47" s="120"/>
      <c r="M47" s="120"/>
    </row>
    <row r="48" spans="1:13" s="47" customFormat="1" ht="12" customHeight="1" hidden="1">
      <c r="A48" s="45" t="s">
        <v>134</v>
      </c>
      <c r="C48" s="59" t="s">
        <v>37</v>
      </c>
      <c r="D48" s="60"/>
      <c r="E48" s="61">
        <f aca="true" t="shared" si="9" ref="E48:K48">E15/E3</f>
        <v>0.08564793311658152</v>
      </c>
      <c r="F48" s="61">
        <f>F15/F3</f>
        <v>0.045039524480666705</v>
      </c>
      <c r="G48" s="61">
        <f t="shared" si="9"/>
        <v>0.06933164574763562</v>
      </c>
      <c r="H48" s="61">
        <f t="shared" si="9"/>
        <v>0.04572210814510609</v>
      </c>
      <c r="I48" s="61">
        <f t="shared" si="9"/>
        <v>0.16383897827584049</v>
      </c>
      <c r="J48" s="61">
        <f t="shared" si="9"/>
        <v>0.22578321930140438</v>
      </c>
      <c r="K48" s="61">
        <f t="shared" si="9"/>
        <v>0.178590370050844</v>
      </c>
      <c r="L48" s="120"/>
      <c r="M48" s="120"/>
    </row>
    <row r="49" spans="1:13" s="47" customFormat="1" ht="12" customHeight="1" hidden="1">
      <c r="A49" s="45"/>
      <c r="C49" s="62"/>
      <c r="D49" s="63" t="s">
        <v>149</v>
      </c>
      <c r="E49" s="64"/>
      <c r="F49" s="64">
        <f>F15/F4</f>
        <v>0.09408200708281776</v>
      </c>
      <c r="G49" s="64"/>
      <c r="H49" s="64">
        <f>H15/H4</f>
        <v>0.10704442022947247</v>
      </c>
      <c r="I49" s="64"/>
      <c r="J49" s="64"/>
      <c r="K49" s="64">
        <f>K15/K4</f>
        <v>0.22906821706832592</v>
      </c>
      <c r="L49" s="120"/>
      <c r="M49" s="120"/>
    </row>
    <row r="50" spans="1:13" s="47" customFormat="1" ht="12" customHeight="1" hidden="1">
      <c r="A50" s="45" t="s">
        <v>135</v>
      </c>
      <c r="C50" s="59" t="s">
        <v>38</v>
      </c>
      <c r="D50" s="60"/>
      <c r="E50" s="61">
        <f aca="true" t="shared" si="10" ref="E50:K50">E11/E20</f>
        <v>0.31703766603991024</v>
      </c>
      <c r="F50" s="61">
        <f>F11/F20</f>
        <v>0.11796549001917221</v>
      </c>
      <c r="G50" s="61">
        <f t="shared" si="10"/>
        <v>0.276377394183022</v>
      </c>
      <c r="H50" s="61">
        <f t="shared" si="10"/>
        <v>0.0677127694424425</v>
      </c>
      <c r="I50" s="61">
        <f t="shared" si="10"/>
        <v>0.34753998785179185</v>
      </c>
      <c r="J50" s="61">
        <f t="shared" si="10"/>
        <v>0.21078784387152527</v>
      </c>
      <c r="K50" s="61">
        <f t="shared" si="10"/>
        <v>0.1493385846044302</v>
      </c>
      <c r="L50" s="120"/>
      <c r="M50" s="120"/>
    </row>
    <row r="51" spans="1:13" s="47" customFormat="1" ht="12" customHeight="1" hidden="1">
      <c r="A51" s="45"/>
      <c r="C51" s="62"/>
      <c r="D51" s="63" t="s">
        <v>148</v>
      </c>
      <c r="E51" s="64"/>
      <c r="F51" s="64">
        <f>F11/F21</f>
        <v>0.17355234776837564</v>
      </c>
      <c r="G51" s="64"/>
      <c r="H51" s="64">
        <f>H11/H21</f>
        <v>0.1044994944388271</v>
      </c>
      <c r="I51" s="64"/>
      <c r="J51" s="64"/>
      <c r="K51" s="64">
        <f>K11/K21</f>
        <v>0.2274891958308618</v>
      </c>
      <c r="L51" s="120"/>
      <c r="M51" s="120"/>
    </row>
    <row r="52" spans="1:13" s="47" customFormat="1" ht="12" customHeight="1" hidden="1">
      <c r="A52" s="45" t="s">
        <v>136</v>
      </c>
      <c r="C52" s="65" t="s">
        <v>39</v>
      </c>
      <c r="D52" s="66"/>
      <c r="E52" s="67">
        <f aca="true" t="shared" si="11" ref="E52:K52">E27/E15</f>
        <v>1.072125813449024</v>
      </c>
      <c r="F52" s="67">
        <f>F27/F15</f>
        <v>0.5573696145124717</v>
      </c>
      <c r="G52" s="67">
        <f t="shared" si="11"/>
        <v>0.9629817444219066</v>
      </c>
      <c r="H52" s="67">
        <f t="shared" si="11"/>
        <v>0.870059880239521</v>
      </c>
      <c r="I52" s="67">
        <f t="shared" si="11"/>
        <v>0.9591134887275506</v>
      </c>
      <c r="J52" s="67">
        <f t="shared" si="11"/>
        <v>0.8625574631766583</v>
      </c>
      <c r="K52" s="67">
        <f t="shared" si="11"/>
        <v>0.7499109087309443</v>
      </c>
      <c r="L52" s="120"/>
      <c r="M52" s="120"/>
    </row>
    <row r="53" spans="1:13" s="47" customFormat="1" ht="12" customHeight="1" hidden="1">
      <c r="A53" s="45" t="s">
        <v>137</v>
      </c>
      <c r="C53" s="68" t="s">
        <v>167</v>
      </c>
      <c r="D53" s="69"/>
      <c r="E53" s="70">
        <f aca="true" t="shared" si="12" ref="E53:K53">E25/E30</f>
        <v>1497</v>
      </c>
      <c r="F53" s="70">
        <f>F25/F30</f>
        <v>0.440920716112532</v>
      </c>
      <c r="G53" s="70">
        <f t="shared" si="12"/>
        <v>2.1865407319952777</v>
      </c>
      <c r="H53" s="70">
        <f t="shared" si="12"/>
        <v>2.1025236593059935</v>
      </c>
      <c r="I53" s="70">
        <f t="shared" si="12"/>
        <v>0.6328413284132841</v>
      </c>
      <c r="J53" s="70">
        <f t="shared" si="12"/>
        <v>1.0697865353037768</v>
      </c>
      <c r="K53" s="70">
        <f t="shared" si="12"/>
        <v>0.8703664921465969</v>
      </c>
      <c r="L53" s="121"/>
      <c r="M53" s="121"/>
    </row>
    <row r="54" spans="1:13" s="47" customFormat="1" ht="12" customHeight="1" hidden="1">
      <c r="A54" s="45"/>
      <c r="C54" s="71"/>
      <c r="D54" s="71"/>
      <c r="K54" s="72" t="s">
        <v>154</v>
      </c>
      <c r="L54" s="72"/>
      <c r="M54" s="72"/>
    </row>
    <row r="55" spans="1:13" s="47" customFormat="1" ht="12" customHeight="1" hidden="1">
      <c r="A55" s="45" t="s">
        <v>138</v>
      </c>
      <c r="C55" s="56" t="s">
        <v>105</v>
      </c>
      <c r="D55" s="57"/>
      <c r="E55" s="73">
        <f aca="true" t="shared" si="13" ref="E55:K55">IF(E35="-",E34/E33,E35/E33)</f>
        <v>0.088375</v>
      </c>
      <c r="F55" s="73">
        <f t="shared" si="13"/>
        <v>0.07874364078743641</v>
      </c>
      <c r="G55" s="73">
        <f t="shared" si="13"/>
        <v>0.0774365821094793</v>
      </c>
      <c r="H55" s="73">
        <f t="shared" si="13"/>
        <v>0.14507462686567163</v>
      </c>
      <c r="I55" s="73">
        <f t="shared" si="13"/>
        <v>0.06989247311827956</v>
      </c>
      <c r="J55" s="73">
        <f t="shared" si="13"/>
        <v>0.11300278773397053</v>
      </c>
      <c r="K55" s="73">
        <f t="shared" si="13"/>
        <v>0.130564546639203</v>
      </c>
      <c r="L55" s="122"/>
      <c r="M55" s="122"/>
    </row>
    <row r="56" spans="1:13" s="47" customFormat="1" ht="12" customHeight="1" hidden="1">
      <c r="A56" s="45" t="s">
        <v>139</v>
      </c>
      <c r="C56" s="68" t="s">
        <v>106</v>
      </c>
      <c r="D56" s="69"/>
      <c r="E56" s="74">
        <f>IF(E37="-",E36/E33,E37/E33)</f>
        <v>0.026375</v>
      </c>
      <c r="F56" s="74">
        <f aca="true" t="shared" si="14" ref="F56:K56">IF(F37="-",F36/F33,F37/F33)</f>
        <v>0.14764432647644327</v>
      </c>
      <c r="G56" s="74">
        <f t="shared" si="14"/>
        <v>0.040943480195816645</v>
      </c>
      <c r="H56" s="74">
        <f t="shared" si="14"/>
        <v>0.33164179104477615</v>
      </c>
      <c r="I56" s="74">
        <f t="shared" si="14"/>
        <v>0.036290322580645164</v>
      </c>
      <c r="J56" s="74">
        <f t="shared" si="14"/>
        <v>0.057646356033452806</v>
      </c>
      <c r="K56" s="74">
        <f t="shared" si="14"/>
        <v>0.10416579091176595</v>
      </c>
      <c r="L56" s="122"/>
      <c r="M56" s="122"/>
    </row>
    <row r="57" spans="1:13" s="47" customFormat="1" ht="12" customHeight="1" hidden="1">
      <c r="A57" s="45"/>
      <c r="C57" s="71"/>
      <c r="D57" s="71"/>
      <c r="E57" s="75"/>
      <c r="F57" s="75"/>
      <c r="G57" s="75"/>
      <c r="H57" s="75"/>
      <c r="I57" s="75"/>
      <c r="J57" s="75"/>
      <c r="K57" s="76" t="s">
        <v>183</v>
      </c>
      <c r="L57" s="76"/>
      <c r="M57" s="76"/>
    </row>
    <row r="58" spans="1:13" s="47" customFormat="1" ht="12" customHeight="1" hidden="1">
      <c r="A58" s="45" t="s">
        <v>140</v>
      </c>
      <c r="C58" s="56" t="s">
        <v>107</v>
      </c>
      <c r="D58" s="57"/>
      <c r="E58" s="77">
        <f aca="true" t="shared" si="15" ref="E58:K58">E5/E33*1000</f>
        <v>1273</v>
      </c>
      <c r="F58" s="77">
        <f t="shared" si="15"/>
        <v>1465.6049546560494</v>
      </c>
      <c r="G58" s="77">
        <f t="shared" si="15"/>
        <v>1443.9697374276814</v>
      </c>
      <c r="H58" s="77">
        <f t="shared" si="15"/>
        <v>3029.2537313432836</v>
      </c>
      <c r="I58" s="77">
        <f t="shared" si="15"/>
        <v>1096.4381720430108</v>
      </c>
      <c r="J58" s="77">
        <f t="shared" si="15"/>
        <v>2178.016726403823</v>
      </c>
      <c r="K58" s="77">
        <f t="shared" si="15"/>
        <v>2097.2298120980286</v>
      </c>
      <c r="L58" s="81"/>
      <c r="M58" s="81"/>
    </row>
    <row r="59" spans="1:13" s="47" customFormat="1" ht="12" customHeight="1" hidden="1">
      <c r="A59" s="45" t="s">
        <v>141</v>
      </c>
      <c r="C59" s="65" t="s">
        <v>108</v>
      </c>
      <c r="D59" s="66"/>
      <c r="E59" s="78">
        <f aca="true" t="shared" si="16" ref="E59:K59">E11/E33*1000</f>
        <v>653.375</v>
      </c>
      <c r="F59" s="78">
        <f t="shared" si="16"/>
        <v>578.4118557841185</v>
      </c>
      <c r="G59" s="78">
        <f t="shared" si="16"/>
        <v>520.1602136181575</v>
      </c>
      <c r="H59" s="78">
        <f t="shared" si="16"/>
        <v>617.0149253731342</v>
      </c>
      <c r="I59" s="78">
        <f t="shared" si="16"/>
        <v>576.7809139784946</v>
      </c>
      <c r="J59" s="78">
        <f t="shared" si="16"/>
        <v>582.8355236957387</v>
      </c>
      <c r="K59" s="78">
        <f t="shared" si="16"/>
        <v>564.2523855563496</v>
      </c>
      <c r="L59" s="81"/>
      <c r="M59" s="81"/>
    </row>
    <row r="60" spans="1:13" s="47" customFormat="1" ht="12" customHeight="1" hidden="1">
      <c r="A60" s="45" t="s">
        <v>142</v>
      </c>
      <c r="C60" s="65" t="s">
        <v>109</v>
      </c>
      <c r="D60" s="66"/>
      <c r="E60" s="78">
        <f aca="true" t="shared" si="17" ref="E60:K60">IF(E35="-",E11/E34*1000,E11/E35*1000)</f>
        <v>7393.210749646393</v>
      </c>
      <c r="F60" s="78">
        <f t="shared" si="17"/>
        <v>7345.505617977528</v>
      </c>
      <c r="G60" s="78">
        <f t="shared" si="17"/>
        <v>6717.241379310344</v>
      </c>
      <c r="H60" s="78">
        <f t="shared" si="17"/>
        <v>4253.086419753086</v>
      </c>
      <c r="I60" s="78">
        <f t="shared" si="17"/>
        <v>8252.403846153848</v>
      </c>
      <c r="J60" s="78">
        <f t="shared" si="17"/>
        <v>5157.709251101322</v>
      </c>
      <c r="K60" s="78">
        <f t="shared" si="17"/>
        <v>4321.635544108178</v>
      </c>
      <c r="L60" s="81"/>
      <c r="M60" s="81"/>
    </row>
    <row r="61" spans="1:13" s="47" customFormat="1" ht="12" customHeight="1" hidden="1">
      <c r="A61" s="45" t="s">
        <v>143</v>
      </c>
      <c r="C61" s="65" t="s">
        <v>110</v>
      </c>
      <c r="D61" s="66"/>
      <c r="E61" s="78">
        <f>IF(E37="-",E11/E36*1000,E11/E37*1000)</f>
        <v>24772.511848341233</v>
      </c>
      <c r="F61" s="78">
        <f aca="true" t="shared" si="18" ref="F61:K61">IF(F37="-",F11/F36*1000,F11/F37*1000)</f>
        <v>3917.6029962546813</v>
      </c>
      <c r="G61" s="78">
        <f t="shared" si="18"/>
        <v>12704.347826086958</v>
      </c>
      <c r="H61" s="78">
        <f t="shared" si="18"/>
        <v>1860.4860486048603</v>
      </c>
      <c r="I61" s="78">
        <f t="shared" si="18"/>
        <v>15893.518518518518</v>
      </c>
      <c r="J61" s="78">
        <f t="shared" si="18"/>
        <v>10110.535405872193</v>
      </c>
      <c r="K61" s="78">
        <f t="shared" si="18"/>
        <v>5416.868442292171</v>
      </c>
      <c r="L61" s="81"/>
      <c r="M61" s="81"/>
    </row>
    <row r="62" spans="1:13" s="47" customFormat="1" ht="12" customHeight="1" hidden="1">
      <c r="A62" s="45" t="s">
        <v>144</v>
      </c>
      <c r="C62" s="65" t="s">
        <v>111</v>
      </c>
      <c r="D62" s="66"/>
      <c r="E62" s="78">
        <f aca="true" t="shared" si="19" ref="E62:K62">IF(E35="-",E15/E34*1000,E15/E35*1000)</f>
        <v>2608.203677510608</v>
      </c>
      <c r="F62" s="78">
        <f t="shared" si="19"/>
        <v>3096.9101123595506</v>
      </c>
      <c r="G62" s="78">
        <f t="shared" si="19"/>
        <v>2266.6666666666665</v>
      </c>
      <c r="H62" s="78">
        <f t="shared" si="19"/>
        <v>3436.213991769547</v>
      </c>
      <c r="I62" s="78">
        <f t="shared" si="19"/>
        <v>6290.865384615385</v>
      </c>
      <c r="J62" s="78">
        <f t="shared" si="19"/>
        <v>9391.189427312776</v>
      </c>
      <c r="K62" s="78">
        <f t="shared" si="19"/>
        <v>8131.036703155184</v>
      </c>
      <c r="L62" s="81"/>
      <c r="M62" s="81"/>
    </row>
    <row r="63" spans="1:13" s="47" customFormat="1" ht="12" customHeight="1" hidden="1">
      <c r="A63" s="45" t="s">
        <v>145</v>
      </c>
      <c r="C63" s="65" t="s">
        <v>112</v>
      </c>
      <c r="D63" s="66"/>
      <c r="E63" s="78">
        <f aca="true" t="shared" si="20" ref="E63:K63">IF(E35="-",E22/E34*1000,E22/E35*1000)</f>
        <v>19101.8387553041</v>
      </c>
      <c r="F63" s="78">
        <f t="shared" si="20"/>
        <v>6446.6292134831465</v>
      </c>
      <c r="G63" s="78">
        <f t="shared" si="20"/>
        <v>15395.402298850575</v>
      </c>
      <c r="H63" s="78">
        <f t="shared" si="20"/>
        <v>3479.4238683127573</v>
      </c>
      <c r="I63" s="78">
        <f t="shared" si="20"/>
        <v>16622.596153846152</v>
      </c>
      <c r="J63" s="78">
        <f t="shared" si="20"/>
        <v>24468.72246696035</v>
      </c>
      <c r="K63" s="78">
        <f t="shared" si="20"/>
        <v>15084.674822923374</v>
      </c>
      <c r="L63" s="81"/>
      <c r="M63" s="81"/>
    </row>
    <row r="64" spans="1:13" s="47" customFormat="1" ht="12" customHeight="1" hidden="1">
      <c r="A64" s="45" t="s">
        <v>146</v>
      </c>
      <c r="C64" s="65" t="s">
        <v>113</v>
      </c>
      <c r="D64" s="66"/>
      <c r="E64" s="78">
        <f>IF(E37="-",E24/E36*1000,E24/E37*1000)</f>
        <v>14132.701421800946</v>
      </c>
      <c r="F64" s="78">
        <f aca="true" t="shared" si="21" ref="F64:K64">IF(F37="-",F24/F36*1000,F24/F37*1000)</f>
        <v>19134.831460674155</v>
      </c>
      <c r="G64" s="78">
        <f t="shared" si="21"/>
        <v>16850</v>
      </c>
      <c r="H64" s="78">
        <f t="shared" si="21"/>
        <v>16279.02790279028</v>
      </c>
      <c r="I64" s="78">
        <f t="shared" si="21"/>
        <v>13717.592592592593</v>
      </c>
      <c r="J64" s="135" t="str">
        <f>IF(J24="-","-",IF(J37="-",J24/J36*1000,J24/J37*1000))</f>
        <v>-</v>
      </c>
      <c r="K64" s="78">
        <f t="shared" si="21"/>
        <v>4903.9548022598865</v>
      </c>
      <c r="L64" s="81"/>
      <c r="M64" s="81"/>
    </row>
    <row r="65" spans="1:13" s="47" customFormat="1" ht="22.5" customHeight="1" hidden="1">
      <c r="A65" s="45" t="s">
        <v>147</v>
      </c>
      <c r="C65" s="68" t="s">
        <v>114</v>
      </c>
      <c r="D65" s="69"/>
      <c r="E65" s="79">
        <f aca="true" t="shared" si="22" ref="E65:K65">E25/E33*1000</f>
        <v>187.125</v>
      </c>
      <c r="F65" s="79">
        <f t="shared" si="22"/>
        <v>95.3328909533289</v>
      </c>
      <c r="G65" s="79">
        <f t="shared" si="22"/>
        <v>329.68402314196703</v>
      </c>
      <c r="H65" s="79">
        <f t="shared" si="22"/>
        <v>397.91044776119406</v>
      </c>
      <c r="I65" s="79">
        <f t="shared" si="22"/>
        <v>115.25537634408602</v>
      </c>
      <c r="J65" s="79">
        <f t="shared" si="22"/>
        <v>259.4583831142971</v>
      </c>
      <c r="K65" s="79">
        <f t="shared" si="22"/>
        <v>349.405187271428</v>
      </c>
      <c r="L65" s="81"/>
      <c r="M65" s="81"/>
    </row>
    <row r="66" spans="1:13" s="47" customFormat="1" ht="38.25" customHeight="1" hidden="1">
      <c r="A66" s="45"/>
      <c r="C66" s="80"/>
      <c r="D66" s="71"/>
      <c r="E66" s="81"/>
      <c r="F66" s="81"/>
      <c r="G66" s="81"/>
      <c r="H66" s="81"/>
      <c r="I66" s="81"/>
      <c r="J66" s="81"/>
      <c r="K66" s="81"/>
      <c r="L66" s="81"/>
      <c r="M66" s="81"/>
    </row>
    <row r="67" spans="1:13" s="47" customFormat="1" ht="29.25" customHeight="1">
      <c r="A67" s="45"/>
      <c r="C67" s="80"/>
      <c r="D67" s="71"/>
      <c r="E67" s="81"/>
      <c r="F67" s="81"/>
      <c r="G67" s="81"/>
      <c r="H67" s="81"/>
      <c r="I67" s="81"/>
      <c r="J67" s="81"/>
      <c r="K67" s="81"/>
      <c r="L67" s="81"/>
      <c r="M67" s="81"/>
    </row>
    <row r="68" spans="1:13" s="47" customFormat="1" ht="30" customHeight="1">
      <c r="A68" s="45"/>
      <c r="B68" s="184" t="s">
        <v>227</v>
      </c>
      <c r="K68" s="82" t="s">
        <v>155</v>
      </c>
      <c r="L68" s="123"/>
      <c r="M68" s="123"/>
    </row>
    <row r="69" spans="1:13" s="47" customFormat="1" ht="27" customHeight="1">
      <c r="A69" s="45"/>
      <c r="B69" s="253" t="s">
        <v>237</v>
      </c>
      <c r="C69" s="253"/>
      <c r="D69" s="254"/>
      <c r="E69" s="15" t="s">
        <v>231</v>
      </c>
      <c r="F69" s="15" t="s">
        <v>232</v>
      </c>
      <c r="G69" s="15" t="s">
        <v>233</v>
      </c>
      <c r="H69" s="15" t="s">
        <v>234</v>
      </c>
      <c r="I69" s="15" t="s">
        <v>235</v>
      </c>
      <c r="J69" s="15" t="s">
        <v>236</v>
      </c>
      <c r="K69" s="215" t="s">
        <v>174</v>
      </c>
      <c r="L69" s="129"/>
      <c r="M69" s="129"/>
    </row>
    <row r="70" spans="1:14" s="47" customFormat="1" ht="15" customHeight="1">
      <c r="A70" s="45" t="s">
        <v>157</v>
      </c>
      <c r="B70" s="145" t="str">
        <f>B33</f>
        <v>学生数（大学院を含む）</v>
      </c>
      <c r="C70" s="146"/>
      <c r="D70" s="149"/>
      <c r="E70" s="46">
        <v>8000</v>
      </c>
      <c r="F70" s="198">
        <v>9042</v>
      </c>
      <c r="G70" s="198">
        <v>9216</v>
      </c>
      <c r="H70" s="46">
        <v>2115</v>
      </c>
      <c r="I70" s="46">
        <v>5952</v>
      </c>
      <c r="J70" s="46">
        <v>10044</v>
      </c>
      <c r="K70" s="216">
        <v>23789</v>
      </c>
      <c r="L70" s="119"/>
      <c r="M70" s="119"/>
      <c r="N70" s="111" t="s">
        <v>78</v>
      </c>
    </row>
    <row r="71" spans="1:14" s="47" customFormat="1" ht="15" customHeight="1">
      <c r="A71" s="252" t="s">
        <v>166</v>
      </c>
      <c r="B71" s="144" t="str">
        <f>B34</f>
        <v>教員数</v>
      </c>
      <c r="C71" s="150"/>
      <c r="D71" s="148"/>
      <c r="E71" s="1">
        <v>707</v>
      </c>
      <c r="F71" s="199">
        <v>720</v>
      </c>
      <c r="G71" s="199">
        <v>708</v>
      </c>
      <c r="H71" s="1">
        <v>486</v>
      </c>
      <c r="I71" s="1">
        <v>416</v>
      </c>
      <c r="J71" s="1">
        <v>1135</v>
      </c>
      <c r="K71" s="217">
        <v>3106</v>
      </c>
      <c r="L71" s="119"/>
      <c r="M71" s="119"/>
      <c r="N71" s="111" t="s">
        <v>78</v>
      </c>
    </row>
    <row r="72" spans="1:14" s="47" customFormat="1" ht="15" customHeight="1" hidden="1">
      <c r="A72" s="252"/>
      <c r="B72" s="48"/>
      <c r="C72" s="49" t="str">
        <f>C35</f>
        <v>うち常勤</v>
      </c>
      <c r="D72" s="50"/>
      <c r="E72" s="93"/>
      <c r="F72" s="200"/>
      <c r="G72" s="200"/>
      <c r="H72" s="93"/>
      <c r="I72" s="51"/>
      <c r="J72" s="51"/>
      <c r="K72" s="218"/>
      <c r="L72" s="118"/>
      <c r="M72" s="118"/>
      <c r="N72" s="111" t="s">
        <v>78</v>
      </c>
    </row>
    <row r="73" spans="1:14" s="47" customFormat="1" ht="15" customHeight="1">
      <c r="A73" s="45"/>
      <c r="B73" s="156" t="str">
        <f>B36</f>
        <v>事務職員数</v>
      </c>
      <c r="C73" s="143"/>
      <c r="D73" s="147"/>
      <c r="E73" s="90">
        <v>211</v>
      </c>
      <c r="F73" s="201">
        <v>271</v>
      </c>
      <c r="G73" s="202">
        <v>221</v>
      </c>
      <c r="H73" s="90">
        <v>1111</v>
      </c>
      <c r="I73" s="90">
        <v>216</v>
      </c>
      <c r="J73" s="90">
        <v>579</v>
      </c>
      <c r="K73" s="219">
        <v>2478</v>
      </c>
      <c r="L73" s="119"/>
      <c r="M73" s="119"/>
      <c r="N73" s="111" t="s">
        <v>78</v>
      </c>
    </row>
    <row r="74" spans="1:14" s="47" customFormat="1" ht="15" customHeight="1" hidden="1">
      <c r="A74" s="45"/>
      <c r="B74" s="52"/>
      <c r="C74" s="152" t="str">
        <f>C37</f>
        <v>うち常勤</v>
      </c>
      <c r="D74" s="153"/>
      <c r="E74" s="154"/>
      <c r="F74" s="154"/>
      <c r="G74" s="154"/>
      <c r="H74" s="154"/>
      <c r="I74" s="155"/>
      <c r="J74" s="155"/>
      <c r="K74" s="155"/>
      <c r="L74" s="118"/>
      <c r="M74" s="118"/>
      <c r="N74" s="111" t="s">
        <v>78</v>
      </c>
    </row>
    <row r="75" spans="1:14" s="83" customFormat="1" ht="15" customHeight="1">
      <c r="A75" s="45"/>
      <c r="B75" s="195" t="s">
        <v>64</v>
      </c>
      <c r="K75" s="13"/>
      <c r="L75" s="13"/>
      <c r="M75" s="13"/>
      <c r="N75" s="47"/>
    </row>
    <row r="76" spans="1:14" s="83" customFormat="1" ht="15" customHeight="1">
      <c r="A76" s="45" t="s">
        <v>118</v>
      </c>
      <c r="B76" s="84" t="s">
        <v>60</v>
      </c>
      <c r="C76" s="84"/>
      <c r="D76" s="85"/>
      <c r="E76" s="46">
        <v>5562.154191</v>
      </c>
      <c r="F76" s="46">
        <v>14807.762329</v>
      </c>
      <c r="G76" s="46">
        <v>11096.554</v>
      </c>
      <c r="H76" s="46">
        <v>11215.166</v>
      </c>
      <c r="I76" s="46">
        <v>3934.849064</v>
      </c>
      <c r="J76" s="46">
        <v>14809.932</v>
      </c>
      <c r="K76" s="216">
        <v>45912</v>
      </c>
      <c r="L76" s="119"/>
      <c r="M76" s="119"/>
      <c r="N76" s="47"/>
    </row>
    <row r="77" spans="1:14" s="83" customFormat="1" ht="15" customHeight="1">
      <c r="A77" s="45" t="s">
        <v>119</v>
      </c>
      <c r="B77" s="86" t="s">
        <v>61</v>
      </c>
      <c r="C77" s="87"/>
      <c r="D77" s="88"/>
      <c r="E77" s="1">
        <v>5339.648487</v>
      </c>
      <c r="F77" s="1">
        <v>9022.518491</v>
      </c>
      <c r="G77" s="1">
        <v>6346.138</v>
      </c>
      <c r="H77" s="1">
        <v>7652.043</v>
      </c>
      <c r="I77" s="1">
        <v>5018.785624</v>
      </c>
      <c r="J77" s="1">
        <v>21974.251</v>
      </c>
      <c r="K77" s="217">
        <v>53102</v>
      </c>
      <c r="L77" s="119"/>
      <c r="M77" s="119"/>
      <c r="N77" s="47"/>
    </row>
    <row r="78" spans="1:14" s="83" customFormat="1" ht="15" customHeight="1">
      <c r="A78" s="45" t="s">
        <v>120</v>
      </c>
      <c r="B78" s="89"/>
      <c r="C78" s="231" t="s">
        <v>62</v>
      </c>
      <c r="D78" s="232"/>
      <c r="E78" s="90">
        <v>4037.095599</v>
      </c>
      <c r="F78" s="90">
        <v>5134.458231</v>
      </c>
      <c r="G78" s="90">
        <v>5435.562</v>
      </c>
      <c r="H78" s="90">
        <v>3877.155</v>
      </c>
      <c r="I78" s="90">
        <v>1864.720303</v>
      </c>
      <c r="J78" s="90">
        <v>7979.818</v>
      </c>
      <c r="K78" s="219">
        <v>23315</v>
      </c>
      <c r="L78" s="119"/>
      <c r="M78" s="119"/>
      <c r="N78" s="47"/>
    </row>
    <row r="79" spans="1:14" s="83" customFormat="1" ht="15" customHeight="1">
      <c r="A79" s="45"/>
      <c r="B79" s="212" t="s">
        <v>229</v>
      </c>
      <c r="K79" s="13"/>
      <c r="L79" s="13"/>
      <c r="M79" s="13"/>
      <c r="N79" s="47"/>
    </row>
    <row r="80" spans="1:14" s="83" customFormat="1" ht="15" customHeight="1">
      <c r="A80" s="45" t="s">
        <v>121</v>
      </c>
      <c r="B80" s="91" t="s">
        <v>70</v>
      </c>
      <c r="C80" s="84"/>
      <c r="D80" s="85"/>
      <c r="E80" s="46">
        <v>18919</v>
      </c>
      <c r="F80" s="46">
        <v>18287</v>
      </c>
      <c r="G80" s="46">
        <v>20165</v>
      </c>
      <c r="H80" s="46">
        <v>3953</v>
      </c>
      <c r="I80" s="46">
        <v>13931</v>
      </c>
      <c r="J80" s="46">
        <v>40909</v>
      </c>
      <c r="K80" s="216">
        <v>85562</v>
      </c>
      <c r="L80" s="119"/>
      <c r="M80" s="119"/>
      <c r="N80" s="47"/>
    </row>
    <row r="81" spans="1:14" s="83" customFormat="1" ht="15" customHeight="1">
      <c r="A81" s="45" t="s">
        <v>122</v>
      </c>
      <c r="B81" s="236"/>
      <c r="C81" s="92" t="s">
        <v>6</v>
      </c>
      <c r="D81" s="88"/>
      <c r="E81" s="1">
        <v>17457</v>
      </c>
      <c r="F81" s="1">
        <v>17445</v>
      </c>
      <c r="G81" s="1">
        <v>17818</v>
      </c>
      <c r="H81" s="1">
        <v>3602</v>
      </c>
      <c r="I81" s="1">
        <v>13073</v>
      </c>
      <c r="J81" s="1">
        <v>38667</v>
      </c>
      <c r="K81" s="217">
        <v>81831</v>
      </c>
      <c r="L81" s="119"/>
      <c r="M81" s="119"/>
      <c r="N81" s="47"/>
    </row>
    <row r="82" spans="1:14" s="83" customFormat="1" ht="15" customHeight="1">
      <c r="A82" s="45" t="s">
        <v>123</v>
      </c>
      <c r="B82" s="236"/>
      <c r="C82" s="238"/>
      <c r="D82" s="66" t="s">
        <v>66</v>
      </c>
      <c r="E82" s="51">
        <v>2039</v>
      </c>
      <c r="F82" s="51">
        <v>1448</v>
      </c>
      <c r="G82" s="51">
        <v>2934</v>
      </c>
      <c r="H82" s="51">
        <v>278</v>
      </c>
      <c r="I82" s="51">
        <v>1546</v>
      </c>
      <c r="J82" s="51">
        <v>2536</v>
      </c>
      <c r="K82" s="218">
        <v>4721</v>
      </c>
      <c r="L82" s="118"/>
      <c r="M82" s="118"/>
      <c r="N82" s="47"/>
    </row>
    <row r="83" spans="1:14" s="83" customFormat="1" ht="15" customHeight="1">
      <c r="A83" s="45" t="s">
        <v>124</v>
      </c>
      <c r="B83" s="236"/>
      <c r="C83" s="238"/>
      <c r="D83" s="66" t="s">
        <v>67</v>
      </c>
      <c r="E83" s="51">
        <v>2000</v>
      </c>
      <c r="F83" s="51">
        <v>2236</v>
      </c>
      <c r="G83" s="51">
        <v>1993</v>
      </c>
      <c r="H83" s="51">
        <v>280</v>
      </c>
      <c r="I83" s="51">
        <v>2009</v>
      </c>
      <c r="J83" s="51">
        <v>7450</v>
      </c>
      <c r="K83" s="218">
        <v>18533</v>
      </c>
      <c r="L83" s="118"/>
      <c r="M83" s="118"/>
      <c r="N83" s="47"/>
    </row>
    <row r="84" spans="1:14" s="83" customFormat="1" ht="15" customHeight="1">
      <c r="A84" s="45"/>
      <c r="B84" s="236"/>
      <c r="C84" s="238"/>
      <c r="D84" s="66" t="s">
        <v>197</v>
      </c>
      <c r="E84" s="151">
        <v>1003</v>
      </c>
      <c r="F84" s="151">
        <v>966</v>
      </c>
      <c r="G84" s="151">
        <v>1173</v>
      </c>
      <c r="H84" s="151">
        <v>41</v>
      </c>
      <c r="I84" s="151">
        <v>347</v>
      </c>
      <c r="J84" s="151">
        <v>2420</v>
      </c>
      <c r="K84" s="220">
        <v>3704</v>
      </c>
      <c r="L84" s="118"/>
      <c r="M84" s="118"/>
      <c r="N84" s="47"/>
    </row>
    <row r="85" spans="1:14" s="83" customFormat="1" ht="15" customHeight="1">
      <c r="A85" s="45" t="s">
        <v>200</v>
      </c>
      <c r="B85" s="236"/>
      <c r="C85" s="238"/>
      <c r="D85" s="66" t="s">
        <v>199</v>
      </c>
      <c r="E85" s="151">
        <v>1004</v>
      </c>
      <c r="F85" s="151">
        <v>691</v>
      </c>
      <c r="G85" s="151">
        <v>751</v>
      </c>
      <c r="H85" s="151">
        <v>133</v>
      </c>
      <c r="I85" s="151">
        <v>1286</v>
      </c>
      <c r="J85" s="151">
        <v>5767</v>
      </c>
      <c r="K85" s="220">
        <v>12442</v>
      </c>
      <c r="L85" s="118"/>
      <c r="M85" s="118"/>
      <c r="N85" s="47"/>
    </row>
    <row r="86" spans="1:14" s="83" customFormat="1" ht="15" customHeight="1">
      <c r="A86" s="45" t="s">
        <v>201</v>
      </c>
      <c r="B86" s="236"/>
      <c r="C86" s="238"/>
      <c r="D86" s="66" t="s">
        <v>198</v>
      </c>
      <c r="E86" s="151">
        <v>121</v>
      </c>
      <c r="F86" s="151">
        <v>91</v>
      </c>
      <c r="G86" s="151">
        <v>466</v>
      </c>
      <c r="H86" s="151">
        <v>6</v>
      </c>
      <c r="I86" s="151">
        <v>387</v>
      </c>
      <c r="J86" s="151">
        <v>249</v>
      </c>
      <c r="K86" s="220">
        <v>456</v>
      </c>
      <c r="L86" s="118"/>
      <c r="M86" s="118"/>
      <c r="N86" s="47"/>
    </row>
    <row r="87" spans="1:14" s="83" customFormat="1" ht="15" customHeight="1">
      <c r="A87" s="45" t="s">
        <v>202</v>
      </c>
      <c r="B87" s="236"/>
      <c r="C87" s="239"/>
      <c r="D87" s="66" t="s">
        <v>68</v>
      </c>
      <c r="E87" s="51">
        <v>11290</v>
      </c>
      <c r="F87" s="51">
        <v>12013</v>
      </c>
      <c r="G87" s="51">
        <v>10502</v>
      </c>
      <c r="H87" s="51">
        <v>2864</v>
      </c>
      <c r="I87" s="51">
        <v>7498</v>
      </c>
      <c r="J87" s="51">
        <v>20245</v>
      </c>
      <c r="K87" s="218">
        <v>41975</v>
      </c>
      <c r="L87" s="118"/>
      <c r="M87" s="118"/>
      <c r="N87" s="112"/>
    </row>
    <row r="88" spans="1:14" s="83" customFormat="1" ht="15" customHeight="1">
      <c r="A88" s="45" t="s">
        <v>203</v>
      </c>
      <c r="B88" s="237"/>
      <c r="C88" s="94" t="s">
        <v>69</v>
      </c>
      <c r="D88" s="95"/>
      <c r="E88" s="90">
        <v>1197</v>
      </c>
      <c r="F88" s="90">
        <v>819</v>
      </c>
      <c r="G88" s="90">
        <v>2262</v>
      </c>
      <c r="H88" s="90">
        <v>351</v>
      </c>
      <c r="I88" s="90">
        <v>841</v>
      </c>
      <c r="J88" s="90">
        <v>2079</v>
      </c>
      <c r="K88" s="219">
        <v>3277</v>
      </c>
      <c r="L88" s="119"/>
      <c r="M88" s="119"/>
      <c r="N88" s="112"/>
    </row>
    <row r="89" spans="1:14" s="83" customFormat="1" ht="15" customHeight="1">
      <c r="A89" s="45" t="s">
        <v>204</v>
      </c>
      <c r="B89" s="91" t="s">
        <v>71</v>
      </c>
      <c r="C89" s="84"/>
      <c r="D89" s="85"/>
      <c r="E89" s="46">
        <v>18773</v>
      </c>
      <c r="F89" s="46">
        <v>18767</v>
      </c>
      <c r="G89" s="46">
        <v>21422</v>
      </c>
      <c r="H89" s="46">
        <v>4000</v>
      </c>
      <c r="I89" s="46">
        <v>14185</v>
      </c>
      <c r="J89" s="46">
        <v>41303</v>
      </c>
      <c r="K89" s="216">
        <v>86411</v>
      </c>
      <c r="L89" s="119"/>
      <c r="M89" s="119"/>
      <c r="N89" s="112"/>
    </row>
    <row r="90" spans="1:14" s="83" customFormat="1" ht="15" customHeight="1">
      <c r="A90" s="45" t="s">
        <v>205</v>
      </c>
      <c r="B90" s="236"/>
      <c r="C90" s="240" t="s">
        <v>91</v>
      </c>
      <c r="D90" s="241"/>
      <c r="E90" s="1">
        <v>10350</v>
      </c>
      <c r="F90" s="1">
        <v>10850</v>
      </c>
      <c r="G90" s="1">
        <v>11732</v>
      </c>
      <c r="H90" s="1">
        <v>2325</v>
      </c>
      <c r="I90" s="1">
        <v>5498</v>
      </c>
      <c r="J90" s="1">
        <v>20831</v>
      </c>
      <c r="K90" s="217">
        <v>39739</v>
      </c>
      <c r="L90" s="119"/>
      <c r="M90" s="119"/>
      <c r="N90" s="47"/>
    </row>
    <row r="91" spans="1:14" s="83" customFormat="1" ht="15" customHeight="1">
      <c r="A91" s="45" t="s">
        <v>206</v>
      </c>
      <c r="B91" s="236"/>
      <c r="C91" s="242" t="s">
        <v>95</v>
      </c>
      <c r="D91" s="243"/>
      <c r="E91" s="1">
        <f aca="true" t="shared" si="23" ref="E91:K91">SUM(E92:E94)</f>
        <v>4767</v>
      </c>
      <c r="F91" s="1">
        <f>SUM(F92:F94)</f>
        <v>5199.054617</v>
      </c>
      <c r="G91" s="1">
        <f t="shared" si="23"/>
        <v>5563</v>
      </c>
      <c r="H91" s="1">
        <f t="shared" si="23"/>
        <v>1266</v>
      </c>
      <c r="I91" s="1">
        <f t="shared" si="23"/>
        <v>3529</v>
      </c>
      <c r="J91" s="1">
        <f t="shared" si="23"/>
        <v>3784</v>
      </c>
      <c r="K91" s="217">
        <f t="shared" si="23"/>
        <v>12303</v>
      </c>
      <c r="L91" s="119"/>
      <c r="M91" s="119"/>
      <c r="N91" s="47" t="s">
        <v>78</v>
      </c>
    </row>
    <row r="92" spans="1:13" s="47" customFormat="1" ht="15" customHeight="1">
      <c r="A92" s="45"/>
      <c r="B92" s="236"/>
      <c r="C92" s="229"/>
      <c r="D92" s="49" t="s">
        <v>92</v>
      </c>
      <c r="E92" s="51">
        <v>3642</v>
      </c>
      <c r="F92" s="51">
        <v>4296.275817</v>
      </c>
      <c r="G92" s="51">
        <v>4751</v>
      </c>
      <c r="H92" s="51">
        <v>1082</v>
      </c>
      <c r="I92" s="51">
        <v>2918</v>
      </c>
      <c r="J92" s="51">
        <v>2717</v>
      </c>
      <c r="K92" s="218">
        <v>10104</v>
      </c>
      <c r="L92" s="118"/>
      <c r="M92" s="118"/>
    </row>
    <row r="93" spans="1:13" s="47" customFormat="1" ht="15" customHeight="1">
      <c r="A93" s="45"/>
      <c r="B93" s="236"/>
      <c r="C93" s="229"/>
      <c r="D93" s="49" t="s">
        <v>93</v>
      </c>
      <c r="E93" s="51">
        <v>747</v>
      </c>
      <c r="F93" s="51">
        <v>740.8512</v>
      </c>
      <c r="G93" s="51">
        <v>586</v>
      </c>
      <c r="H93" s="51">
        <v>142</v>
      </c>
      <c r="I93" s="51">
        <v>490</v>
      </c>
      <c r="J93" s="51">
        <v>857</v>
      </c>
      <c r="K93" s="218">
        <v>1796</v>
      </c>
      <c r="L93" s="118"/>
      <c r="M93" s="118"/>
    </row>
    <row r="94" spans="1:13" s="47" customFormat="1" ht="15" customHeight="1">
      <c r="A94" s="45"/>
      <c r="B94" s="236"/>
      <c r="C94" s="230"/>
      <c r="D94" s="49" t="s">
        <v>94</v>
      </c>
      <c r="E94" s="51">
        <v>378</v>
      </c>
      <c r="F94" s="51">
        <v>161.9276</v>
      </c>
      <c r="G94" s="51">
        <v>226</v>
      </c>
      <c r="H94" s="51">
        <v>42</v>
      </c>
      <c r="I94" s="51">
        <v>121</v>
      </c>
      <c r="J94" s="51">
        <v>210</v>
      </c>
      <c r="K94" s="218">
        <v>403</v>
      </c>
      <c r="L94" s="118"/>
      <c r="M94" s="118"/>
    </row>
    <row r="95" spans="1:14" s="83" customFormat="1" ht="15" customHeight="1" hidden="1">
      <c r="A95" s="45"/>
      <c r="B95" s="236"/>
      <c r="C95" s="240" t="s">
        <v>80</v>
      </c>
      <c r="D95" s="241"/>
      <c r="E95" s="96"/>
      <c r="F95" s="1"/>
      <c r="G95" s="96"/>
      <c r="H95" s="1"/>
      <c r="I95" s="96"/>
      <c r="J95" s="96"/>
      <c r="K95" s="217"/>
      <c r="L95" s="119"/>
      <c r="M95" s="119"/>
      <c r="N95" s="47"/>
    </row>
    <row r="96" spans="1:14" s="83" customFormat="1" ht="15" customHeight="1">
      <c r="A96" s="45" t="s">
        <v>207</v>
      </c>
      <c r="B96" s="236"/>
      <c r="C96" s="242" t="s">
        <v>97</v>
      </c>
      <c r="D96" s="243"/>
      <c r="E96" s="1">
        <f aca="true" t="shared" si="24" ref="E96:K96">SUM(E97:E99)</f>
        <v>1409</v>
      </c>
      <c r="F96" s="1">
        <f t="shared" si="24"/>
        <v>1385</v>
      </c>
      <c r="G96" s="1">
        <f t="shared" si="24"/>
        <v>1392</v>
      </c>
      <c r="H96" s="1">
        <f t="shared" si="24"/>
        <v>187</v>
      </c>
      <c r="I96" s="1">
        <f t="shared" si="24"/>
        <v>2235</v>
      </c>
      <c r="J96" s="1">
        <f t="shared" si="24"/>
        <v>8292</v>
      </c>
      <c r="K96" s="217">
        <f t="shared" si="24"/>
        <v>17831</v>
      </c>
      <c r="L96" s="119"/>
      <c r="M96" s="119"/>
      <c r="N96" s="47" t="s">
        <v>78</v>
      </c>
    </row>
    <row r="97" spans="1:13" s="47" customFormat="1" ht="15" customHeight="1">
      <c r="A97" s="45"/>
      <c r="B97" s="236"/>
      <c r="C97" s="229"/>
      <c r="D97" s="49" t="s">
        <v>72</v>
      </c>
      <c r="E97" s="51">
        <v>1163</v>
      </c>
      <c r="F97" s="51">
        <v>690</v>
      </c>
      <c r="G97" s="51">
        <v>749</v>
      </c>
      <c r="H97" s="51">
        <v>137</v>
      </c>
      <c r="I97" s="51">
        <v>1500</v>
      </c>
      <c r="J97" s="51">
        <v>6820</v>
      </c>
      <c r="K97" s="218">
        <v>12874</v>
      </c>
      <c r="L97" s="118"/>
      <c r="M97" s="118"/>
    </row>
    <row r="98" spans="1:13" s="47" customFormat="1" ht="15" customHeight="1">
      <c r="A98" s="45"/>
      <c r="B98" s="236"/>
      <c r="C98" s="229"/>
      <c r="D98" s="49" t="s">
        <v>73</v>
      </c>
      <c r="E98" s="51">
        <v>124</v>
      </c>
      <c r="F98" s="51">
        <v>89</v>
      </c>
      <c r="G98" s="51">
        <v>461</v>
      </c>
      <c r="H98" s="51">
        <v>6</v>
      </c>
      <c r="I98" s="51">
        <v>427</v>
      </c>
      <c r="J98" s="51">
        <v>260</v>
      </c>
      <c r="K98" s="218">
        <v>456</v>
      </c>
      <c r="L98" s="118"/>
      <c r="M98" s="118"/>
    </row>
    <row r="99" spans="1:13" s="47" customFormat="1" ht="15" customHeight="1">
      <c r="A99" s="45"/>
      <c r="B99" s="236"/>
      <c r="C99" s="230"/>
      <c r="D99" s="49" t="s">
        <v>74</v>
      </c>
      <c r="E99" s="51">
        <v>122</v>
      </c>
      <c r="F99" s="51">
        <v>606</v>
      </c>
      <c r="G99" s="51">
        <v>182</v>
      </c>
      <c r="H99" s="51">
        <v>44</v>
      </c>
      <c r="I99" s="51">
        <v>308</v>
      </c>
      <c r="J99" s="51">
        <v>1212</v>
      </c>
      <c r="K99" s="218">
        <v>4501</v>
      </c>
      <c r="L99" s="118"/>
      <c r="M99" s="118"/>
    </row>
    <row r="100" spans="1:14" s="83" customFormat="1" ht="15" customHeight="1">
      <c r="A100" s="45"/>
      <c r="B100" s="237"/>
      <c r="C100" s="231" t="s">
        <v>77</v>
      </c>
      <c r="D100" s="232"/>
      <c r="E100" s="90">
        <v>771</v>
      </c>
      <c r="F100" s="90">
        <v>196</v>
      </c>
      <c r="G100" s="90">
        <v>211</v>
      </c>
      <c r="H100" s="90">
        <v>33</v>
      </c>
      <c r="I100" s="90">
        <v>969</v>
      </c>
      <c r="J100" s="90">
        <v>3104</v>
      </c>
      <c r="K100" s="219">
        <v>5721</v>
      </c>
      <c r="L100" s="119"/>
      <c r="M100" s="119"/>
      <c r="N100" s="47"/>
    </row>
    <row r="101" spans="1:14" s="83" customFormat="1" ht="15" customHeight="1">
      <c r="A101" s="45" t="s">
        <v>208</v>
      </c>
      <c r="B101" s="2" t="s">
        <v>76</v>
      </c>
      <c r="C101" s="2"/>
      <c r="D101" s="3"/>
      <c r="E101" s="4">
        <f aca="true" t="shared" si="25" ref="E101:J101">E89-E80</f>
        <v>-146</v>
      </c>
      <c r="F101" s="4">
        <f>F89-F80</f>
        <v>480</v>
      </c>
      <c r="G101" s="4">
        <f t="shared" si="25"/>
        <v>1257</v>
      </c>
      <c r="H101" s="4">
        <f t="shared" si="25"/>
        <v>47</v>
      </c>
      <c r="I101" s="4">
        <f>I89-I80</f>
        <v>254</v>
      </c>
      <c r="J101" s="4">
        <f t="shared" si="25"/>
        <v>394</v>
      </c>
      <c r="K101" s="221">
        <f>K89-K80-1</f>
        <v>848</v>
      </c>
      <c r="L101" s="124"/>
      <c r="M101" s="124"/>
      <c r="N101" s="47" t="s">
        <v>78</v>
      </c>
    </row>
    <row r="102" spans="1:14" s="83" customFormat="1" ht="15" customHeight="1">
      <c r="A102" s="45"/>
      <c r="B102" s="195" t="s">
        <v>115</v>
      </c>
      <c r="K102" s="13"/>
      <c r="L102" s="13"/>
      <c r="M102" s="13"/>
      <c r="N102" s="47"/>
    </row>
    <row r="103" spans="1:14" s="83" customFormat="1" ht="15" customHeight="1">
      <c r="A103" s="45" t="s">
        <v>209</v>
      </c>
      <c r="B103" s="2" t="s">
        <v>184</v>
      </c>
      <c r="C103" s="2"/>
      <c r="D103" s="3"/>
      <c r="E103" s="97">
        <v>18221.582239</v>
      </c>
      <c r="F103" s="97">
        <v>17896.457316</v>
      </c>
      <c r="G103" s="97">
        <v>20198.812</v>
      </c>
      <c r="H103" s="97">
        <v>11112.799</v>
      </c>
      <c r="I103" s="97">
        <v>9054.711991</v>
      </c>
      <c r="J103" s="97">
        <v>32238.865</v>
      </c>
      <c r="K103" s="222">
        <v>64412</v>
      </c>
      <c r="L103" s="119"/>
      <c r="M103" s="119"/>
      <c r="N103" s="47"/>
    </row>
    <row r="104" spans="1:13" s="47" customFormat="1" ht="33" customHeight="1">
      <c r="A104" s="45"/>
      <c r="B104" s="196" t="s">
        <v>224</v>
      </c>
      <c r="K104" s="72" t="s">
        <v>156</v>
      </c>
      <c r="L104" s="72" t="s">
        <v>185</v>
      </c>
      <c r="M104" s="72" t="s">
        <v>186</v>
      </c>
    </row>
    <row r="105" spans="1:17" s="47" customFormat="1" ht="16.5" customHeight="1">
      <c r="A105" s="142" t="s">
        <v>125</v>
      </c>
      <c r="D105" s="98" t="s">
        <v>43</v>
      </c>
      <c r="E105" s="99">
        <f aca="true" t="shared" si="26" ref="E105:K105">E76/E77</f>
        <v>1.041670477849191</v>
      </c>
      <c r="F105" s="99">
        <f t="shared" si="26"/>
        <v>1.6412005521264161</v>
      </c>
      <c r="G105" s="99">
        <f t="shared" si="26"/>
        <v>1.7485522691123325</v>
      </c>
      <c r="H105" s="99">
        <f t="shared" si="26"/>
        <v>1.465643358250862</v>
      </c>
      <c r="I105" s="99">
        <f t="shared" si="26"/>
        <v>0.7840241362738071</v>
      </c>
      <c r="J105" s="99">
        <f t="shared" si="26"/>
        <v>0.6739675450143898</v>
      </c>
      <c r="K105" s="223">
        <f t="shared" si="26"/>
        <v>0.8646002033821701</v>
      </c>
      <c r="L105" s="125">
        <f>SUM(E105:K105)/7</f>
        <v>1.1742369345727384</v>
      </c>
      <c r="M105" s="125">
        <f>SUM(E105:G105)/3</f>
        <v>1.47714109969598</v>
      </c>
      <c r="N105" s="47" t="s">
        <v>51</v>
      </c>
      <c r="O105" s="47" t="s">
        <v>86</v>
      </c>
      <c r="P105" s="47" t="s">
        <v>104</v>
      </c>
      <c r="Q105" s="47" t="s">
        <v>85</v>
      </c>
    </row>
    <row r="106" spans="1:18" s="47" customFormat="1" ht="16.5" customHeight="1">
      <c r="A106" s="142" t="s">
        <v>126</v>
      </c>
      <c r="D106" s="100" t="s">
        <v>44</v>
      </c>
      <c r="E106" s="101">
        <f aca="true" t="shared" si="27" ref="E106:K106">E78/E81</f>
        <v>0.23125941450421036</v>
      </c>
      <c r="F106" s="101">
        <f t="shared" si="27"/>
        <v>0.2943226271711092</v>
      </c>
      <c r="G106" s="101">
        <f t="shared" si="27"/>
        <v>0.30506016387922325</v>
      </c>
      <c r="H106" s="101">
        <f t="shared" si="27"/>
        <v>1.0763895058300945</v>
      </c>
      <c r="I106" s="101">
        <f t="shared" si="27"/>
        <v>0.1426390501797598</v>
      </c>
      <c r="J106" s="101">
        <f t="shared" si="27"/>
        <v>0.2063728243722037</v>
      </c>
      <c r="K106" s="213">
        <f t="shared" si="27"/>
        <v>0.28491647419682026</v>
      </c>
      <c r="L106" s="125">
        <f aca="true" t="shared" si="28" ref="L106:L120">SUM(E106:K106)/7</f>
        <v>0.3629942943047745</v>
      </c>
      <c r="M106" s="125">
        <f aca="true" t="shared" si="29" ref="M106:M120">SUM(E106:G106)/3</f>
        <v>0.2768807351848476</v>
      </c>
      <c r="N106" s="47" t="s">
        <v>52</v>
      </c>
      <c r="O106" s="47" t="s">
        <v>87</v>
      </c>
      <c r="Q106" s="47" t="s">
        <v>85</v>
      </c>
      <c r="R106" s="47" t="s">
        <v>82</v>
      </c>
    </row>
    <row r="107" spans="1:17" s="47" customFormat="1" ht="16.5" customHeight="1">
      <c r="A107" s="142" t="s">
        <v>210</v>
      </c>
      <c r="D107" s="100" t="s">
        <v>45</v>
      </c>
      <c r="E107" s="101">
        <f aca="true" t="shared" si="30" ref="E107:K107">E87/E81</f>
        <v>0.6467319699833878</v>
      </c>
      <c r="F107" s="101">
        <f t="shared" si="30"/>
        <v>0.6886213814846661</v>
      </c>
      <c r="G107" s="101">
        <f t="shared" si="30"/>
        <v>0.5894039735099338</v>
      </c>
      <c r="H107" s="101">
        <f t="shared" si="30"/>
        <v>0.7951138256524153</v>
      </c>
      <c r="I107" s="101">
        <f t="shared" si="30"/>
        <v>0.5735485351487799</v>
      </c>
      <c r="J107" s="101">
        <f t="shared" si="30"/>
        <v>0.5235730726459255</v>
      </c>
      <c r="K107" s="224">
        <f t="shared" si="30"/>
        <v>0.5129474160159353</v>
      </c>
      <c r="L107" s="125">
        <f t="shared" si="28"/>
        <v>0.6185628820630062</v>
      </c>
      <c r="M107" s="125">
        <f t="shared" si="29"/>
        <v>0.6415857749926626</v>
      </c>
      <c r="N107" s="47" t="s">
        <v>53</v>
      </c>
      <c r="O107" s="47" t="s">
        <v>87</v>
      </c>
      <c r="Q107" s="47" t="s">
        <v>82</v>
      </c>
    </row>
    <row r="108" spans="1:17" s="47" customFormat="1" ht="16.5" customHeight="1">
      <c r="A108" s="142" t="s">
        <v>238</v>
      </c>
      <c r="D108" s="100" t="s">
        <v>46</v>
      </c>
      <c r="E108" s="101">
        <f>E88/E81</f>
        <v>0.0685684825571404</v>
      </c>
      <c r="F108" s="101">
        <f>F88/F81</f>
        <v>0.0469475494411006</v>
      </c>
      <c r="G108" s="101">
        <f>G88/G81</f>
        <v>0.12695027500280615</v>
      </c>
      <c r="H108" s="101">
        <f>H88/H80</f>
        <v>0.08879332152795345</v>
      </c>
      <c r="I108" s="101">
        <f>I88/I81</f>
        <v>0.06433106402508988</v>
      </c>
      <c r="J108" s="101">
        <f>J88/J81</f>
        <v>0.053766777872604546</v>
      </c>
      <c r="K108" s="213">
        <f>K88/K81</f>
        <v>0.04004594835697963</v>
      </c>
      <c r="L108" s="125">
        <f t="shared" si="28"/>
        <v>0.06991477411195351</v>
      </c>
      <c r="M108" s="125">
        <f t="shared" si="29"/>
        <v>0.08082210233368238</v>
      </c>
      <c r="N108" s="47" t="s">
        <v>75</v>
      </c>
      <c r="O108" s="47" t="s">
        <v>87</v>
      </c>
      <c r="Q108" s="47" t="s">
        <v>82</v>
      </c>
    </row>
    <row r="109" spans="1:17" s="47" customFormat="1" ht="16.5" customHeight="1">
      <c r="A109" s="142" t="s">
        <v>211</v>
      </c>
      <c r="D109" s="100" t="s">
        <v>47</v>
      </c>
      <c r="E109" s="101">
        <f aca="true" t="shared" si="31" ref="E109:K109">E96/E89</f>
        <v>0.07505459969104565</v>
      </c>
      <c r="F109" s="101">
        <f t="shared" si="31"/>
        <v>0.07379975488890073</v>
      </c>
      <c r="G109" s="101">
        <f t="shared" si="31"/>
        <v>0.06497992717766782</v>
      </c>
      <c r="H109" s="101">
        <f t="shared" si="31"/>
        <v>0.04675</v>
      </c>
      <c r="I109" s="101">
        <f t="shared" si="31"/>
        <v>0.1575608036658442</v>
      </c>
      <c r="J109" s="101">
        <f t="shared" si="31"/>
        <v>0.20076023533399512</v>
      </c>
      <c r="K109" s="224">
        <f t="shared" si="31"/>
        <v>0.20635104326995404</v>
      </c>
      <c r="L109" s="125">
        <f t="shared" si="28"/>
        <v>0.11789376628962965</v>
      </c>
      <c r="M109" s="125">
        <f t="shared" si="29"/>
        <v>0.07127809391920474</v>
      </c>
      <c r="N109" s="47" t="s">
        <v>100</v>
      </c>
      <c r="O109" s="47" t="s">
        <v>86</v>
      </c>
      <c r="Q109" s="47" t="s">
        <v>82</v>
      </c>
    </row>
    <row r="110" spans="1:17" s="47" customFormat="1" ht="16.5" customHeight="1">
      <c r="A110" s="142" t="s">
        <v>127</v>
      </c>
      <c r="D110" s="100" t="s">
        <v>48</v>
      </c>
      <c r="E110" s="101">
        <f aca="true" t="shared" si="32" ref="E110:K110">E83/E81</f>
        <v>0.11456722231769491</v>
      </c>
      <c r="F110" s="101">
        <f t="shared" si="32"/>
        <v>0.12817426196617943</v>
      </c>
      <c r="G110" s="101">
        <f t="shared" si="32"/>
        <v>0.11185318217532832</v>
      </c>
      <c r="H110" s="101">
        <f t="shared" si="32"/>
        <v>0.07773459189339256</v>
      </c>
      <c r="I110" s="101">
        <f t="shared" si="32"/>
        <v>0.1536755144190316</v>
      </c>
      <c r="J110" s="101">
        <f t="shared" si="32"/>
        <v>0.1926707528383376</v>
      </c>
      <c r="K110" s="224">
        <f t="shared" si="32"/>
        <v>0.22647896274028181</v>
      </c>
      <c r="L110" s="125">
        <f t="shared" si="28"/>
        <v>0.14359349833574944</v>
      </c>
      <c r="M110" s="125">
        <f t="shared" si="29"/>
        <v>0.11819822215306754</v>
      </c>
      <c r="N110" s="47" t="s">
        <v>55</v>
      </c>
      <c r="O110" s="47" t="s">
        <v>86</v>
      </c>
      <c r="Q110" s="47" t="s">
        <v>82</v>
      </c>
    </row>
    <row r="111" spans="1:17" s="47" customFormat="1" ht="16.5" customHeight="1">
      <c r="A111" s="142" t="s">
        <v>128</v>
      </c>
      <c r="D111" s="100" t="s">
        <v>49</v>
      </c>
      <c r="E111" s="101">
        <f aca="true" t="shared" si="33" ref="E111:K111">E82/E81</f>
        <v>0.11680128315288996</v>
      </c>
      <c r="F111" s="101">
        <f t="shared" si="33"/>
        <v>0.08300372599598739</v>
      </c>
      <c r="G111" s="101">
        <f t="shared" si="33"/>
        <v>0.164664945560669</v>
      </c>
      <c r="H111" s="101">
        <f t="shared" si="33"/>
        <v>0.07717934480843976</v>
      </c>
      <c r="I111" s="101">
        <f t="shared" si="33"/>
        <v>0.11825900711389888</v>
      </c>
      <c r="J111" s="101">
        <f t="shared" si="33"/>
        <v>0.06558564150309049</v>
      </c>
      <c r="K111" s="224">
        <f t="shared" si="33"/>
        <v>0.05769207268639024</v>
      </c>
      <c r="L111" s="125">
        <f t="shared" si="28"/>
        <v>0.09759800297448082</v>
      </c>
      <c r="M111" s="125">
        <f t="shared" si="29"/>
        <v>0.12148998490318212</v>
      </c>
      <c r="N111" s="47" t="s">
        <v>56</v>
      </c>
      <c r="O111" s="47" t="s">
        <v>86</v>
      </c>
      <c r="Q111" s="47" t="s">
        <v>82</v>
      </c>
    </row>
    <row r="112" spans="1:18" s="47" customFormat="1" ht="16.5" customHeight="1">
      <c r="A112" s="142" t="s">
        <v>129</v>
      </c>
      <c r="D112" s="100" t="s">
        <v>88</v>
      </c>
      <c r="E112" s="102">
        <f aca="true" t="shared" si="34" ref="E112:K113">E82*1000/E70</f>
        <v>254.875</v>
      </c>
      <c r="F112" s="206">
        <f t="shared" si="34"/>
        <v>160.14156160141562</v>
      </c>
      <c r="G112" s="206">
        <f t="shared" si="34"/>
        <v>318.359375</v>
      </c>
      <c r="H112" s="102">
        <f t="shared" si="34"/>
        <v>131.44208037825058</v>
      </c>
      <c r="I112" s="102">
        <f t="shared" si="34"/>
        <v>259.744623655914</v>
      </c>
      <c r="J112" s="102">
        <f t="shared" si="34"/>
        <v>252.4890481879729</v>
      </c>
      <c r="K112" s="225">
        <f t="shared" si="34"/>
        <v>198.45306654336036</v>
      </c>
      <c r="L112" s="126">
        <f t="shared" si="28"/>
        <v>225.07210790955904</v>
      </c>
      <c r="M112" s="126">
        <f t="shared" si="29"/>
        <v>244.4586455338052</v>
      </c>
      <c r="N112" s="47" t="s">
        <v>57</v>
      </c>
      <c r="O112" s="47" t="s">
        <v>86</v>
      </c>
      <c r="Q112" s="47" t="s">
        <v>82</v>
      </c>
      <c r="R112" s="47" t="s">
        <v>90</v>
      </c>
    </row>
    <row r="113" spans="1:18" s="47" customFormat="1" ht="16.5" customHeight="1">
      <c r="A113" s="142" t="s">
        <v>130</v>
      </c>
      <c r="D113" s="100" t="s">
        <v>89</v>
      </c>
      <c r="E113" s="102">
        <f t="shared" si="34"/>
        <v>2828.8543140028287</v>
      </c>
      <c r="F113" s="206">
        <f t="shared" si="34"/>
        <v>3105.5555555555557</v>
      </c>
      <c r="G113" s="206">
        <f t="shared" si="34"/>
        <v>2814.9717514124295</v>
      </c>
      <c r="H113" s="102">
        <f t="shared" si="34"/>
        <v>576.1316872427983</v>
      </c>
      <c r="I113" s="102">
        <f t="shared" si="34"/>
        <v>4829.326923076923</v>
      </c>
      <c r="J113" s="102">
        <f t="shared" si="34"/>
        <v>6563.8766519823785</v>
      </c>
      <c r="K113" s="225">
        <f t="shared" si="34"/>
        <v>5966.838377334192</v>
      </c>
      <c r="L113" s="126">
        <f t="shared" si="28"/>
        <v>3812.2221800867296</v>
      </c>
      <c r="M113" s="126">
        <f t="shared" si="29"/>
        <v>2916.460540323604</v>
      </c>
      <c r="N113" s="47" t="s">
        <v>58</v>
      </c>
      <c r="O113" s="47" t="s">
        <v>86</v>
      </c>
      <c r="Q113" s="47" t="s">
        <v>82</v>
      </c>
      <c r="R113" s="47" t="s">
        <v>90</v>
      </c>
    </row>
    <row r="114" spans="1:18" s="47" customFormat="1" ht="16.5" customHeight="1">
      <c r="A114" s="233" t="s">
        <v>212</v>
      </c>
      <c r="B114" s="234"/>
      <c r="C114" s="235"/>
      <c r="D114" s="100" t="s">
        <v>218</v>
      </c>
      <c r="E114" s="102">
        <f aca="true" t="shared" si="35" ref="E114:K114">SUM(E83,E85:E86)*1000/E71</f>
        <v>4420.08486562942</v>
      </c>
      <c r="F114" s="206">
        <f t="shared" si="35"/>
        <v>4191.666666666667</v>
      </c>
      <c r="G114" s="206">
        <f t="shared" si="35"/>
        <v>4533.8983050847455</v>
      </c>
      <c r="H114" s="102">
        <f t="shared" si="35"/>
        <v>862.1399176954733</v>
      </c>
      <c r="I114" s="102">
        <f t="shared" si="35"/>
        <v>8850.961538461539</v>
      </c>
      <c r="J114" s="102">
        <f t="shared" si="35"/>
        <v>11864.31718061674</v>
      </c>
      <c r="K114" s="225">
        <f t="shared" si="35"/>
        <v>10119.446233097231</v>
      </c>
      <c r="L114" s="126">
        <f t="shared" si="28"/>
        <v>6406.073529607403</v>
      </c>
      <c r="M114" s="126">
        <f t="shared" si="29"/>
        <v>4381.883279126944</v>
      </c>
      <c r="N114" s="47" t="s">
        <v>54</v>
      </c>
      <c r="O114" s="47" t="s">
        <v>86</v>
      </c>
      <c r="Q114" s="47" t="s">
        <v>82</v>
      </c>
      <c r="R114" s="47" t="s">
        <v>90</v>
      </c>
    </row>
    <row r="115" spans="1:17" s="47" customFormat="1" ht="16.5" customHeight="1">
      <c r="A115" s="142" t="s">
        <v>213</v>
      </c>
      <c r="D115" s="100" t="s">
        <v>50</v>
      </c>
      <c r="E115" s="101">
        <f aca="true" t="shared" si="36" ref="E115:K115">E101/E89</f>
        <v>-0.007777126724551217</v>
      </c>
      <c r="F115" s="207">
        <f t="shared" si="36"/>
        <v>0.025576810358608194</v>
      </c>
      <c r="G115" s="207">
        <f t="shared" si="36"/>
        <v>0.05867799458500607</v>
      </c>
      <c r="H115" s="101">
        <f t="shared" si="36"/>
        <v>0.01175</v>
      </c>
      <c r="I115" s="101">
        <f t="shared" si="36"/>
        <v>0.017906238984843142</v>
      </c>
      <c r="J115" s="101">
        <f t="shared" si="36"/>
        <v>0.009539258649492772</v>
      </c>
      <c r="K115" s="213">
        <f t="shared" si="36"/>
        <v>0.009813565402552916</v>
      </c>
      <c r="L115" s="125">
        <f t="shared" si="28"/>
        <v>0.017926677322278838</v>
      </c>
      <c r="M115" s="125">
        <f t="shared" si="29"/>
        <v>0.025492559406354347</v>
      </c>
      <c r="N115" s="47" t="s">
        <v>59</v>
      </c>
      <c r="O115" s="47" t="s">
        <v>86</v>
      </c>
      <c r="Q115" s="47" t="s">
        <v>82</v>
      </c>
    </row>
    <row r="116" spans="1:17" s="47" customFormat="1" ht="16.5" customHeight="1">
      <c r="A116" s="142" t="s">
        <v>214</v>
      </c>
      <c r="D116" s="188" t="s">
        <v>101</v>
      </c>
      <c r="E116" s="189">
        <f aca="true" t="shared" si="37" ref="E116:K116">E103*1000/E70</f>
        <v>2277.697779875</v>
      </c>
      <c r="F116" s="208">
        <f t="shared" si="37"/>
        <v>1979.258716655607</v>
      </c>
      <c r="G116" s="208">
        <f t="shared" si="37"/>
        <v>2191.711371527778</v>
      </c>
      <c r="H116" s="189">
        <f t="shared" si="37"/>
        <v>5254.278486997636</v>
      </c>
      <c r="I116" s="189">
        <f t="shared" si="37"/>
        <v>1521.288976982527</v>
      </c>
      <c r="J116" s="104">
        <f t="shared" si="37"/>
        <v>3209.763540422143</v>
      </c>
      <c r="K116" s="226">
        <f t="shared" si="37"/>
        <v>2707.637983942158</v>
      </c>
      <c r="L116" s="126">
        <f t="shared" si="28"/>
        <v>2734.519550914693</v>
      </c>
      <c r="M116" s="126">
        <f t="shared" si="29"/>
        <v>2149.5559560194615</v>
      </c>
      <c r="N116" s="47" t="s">
        <v>103</v>
      </c>
      <c r="O116" s="47" t="s">
        <v>87</v>
      </c>
      <c r="Q116" s="47" t="s">
        <v>102</v>
      </c>
    </row>
    <row r="117" spans="1:13" s="47" customFormat="1" ht="33" customHeight="1">
      <c r="A117" s="42"/>
      <c r="B117" s="194" t="s">
        <v>225</v>
      </c>
      <c r="C117" s="71"/>
      <c r="D117" s="193"/>
      <c r="E117" s="192"/>
      <c r="F117" s="209"/>
      <c r="G117" s="209"/>
      <c r="H117" s="192"/>
      <c r="I117" s="192"/>
      <c r="J117" s="192"/>
      <c r="K117" s="192"/>
      <c r="L117" s="126"/>
      <c r="M117" s="126"/>
    </row>
    <row r="118" spans="1:17" s="47" customFormat="1" ht="16.5" customHeight="1">
      <c r="A118" s="142" t="s">
        <v>215</v>
      </c>
      <c r="C118" s="116"/>
      <c r="D118" s="190" t="s">
        <v>158</v>
      </c>
      <c r="E118" s="191">
        <f aca="true" t="shared" si="38" ref="E118:K118">E90/E89</f>
        <v>0.5513237095829117</v>
      </c>
      <c r="F118" s="210">
        <f t="shared" si="38"/>
        <v>0.5781424841477061</v>
      </c>
      <c r="G118" s="210">
        <f t="shared" si="38"/>
        <v>0.54766128279339</v>
      </c>
      <c r="H118" s="191">
        <f t="shared" si="38"/>
        <v>0.58125</v>
      </c>
      <c r="I118" s="191">
        <f t="shared" si="38"/>
        <v>0.387592527317589</v>
      </c>
      <c r="J118" s="99">
        <f t="shared" si="38"/>
        <v>0.5043459312882842</v>
      </c>
      <c r="K118" s="223">
        <f t="shared" si="38"/>
        <v>0.4598835796368518</v>
      </c>
      <c r="L118" s="125">
        <f t="shared" si="28"/>
        <v>0.5157427878238189</v>
      </c>
      <c r="M118" s="125">
        <f t="shared" si="29"/>
        <v>0.5590424921746692</v>
      </c>
      <c r="N118" s="47" t="s">
        <v>117</v>
      </c>
      <c r="O118" s="47" t="s">
        <v>87</v>
      </c>
      <c r="Q118" s="47" t="s">
        <v>84</v>
      </c>
    </row>
    <row r="119" spans="1:17" s="47" customFormat="1" ht="16.5" customHeight="1">
      <c r="A119" s="142" t="s">
        <v>216</v>
      </c>
      <c r="C119" s="116"/>
      <c r="D119" s="100" t="s">
        <v>159</v>
      </c>
      <c r="E119" s="101">
        <f aca="true" t="shared" si="39" ref="E119:K119">E91/E89</f>
        <v>0.25392851435572367</v>
      </c>
      <c r="F119" s="207">
        <f t="shared" si="39"/>
        <v>0.27703173746469867</v>
      </c>
      <c r="G119" s="207">
        <f t="shared" si="39"/>
        <v>0.25968630379983193</v>
      </c>
      <c r="H119" s="101">
        <f t="shared" si="39"/>
        <v>0.3165</v>
      </c>
      <c r="I119" s="101">
        <f t="shared" si="39"/>
        <v>0.24878392668311597</v>
      </c>
      <c r="J119" s="101">
        <f t="shared" si="39"/>
        <v>0.09161562114132145</v>
      </c>
      <c r="K119" s="213">
        <f t="shared" si="39"/>
        <v>0.1423777065419912</v>
      </c>
      <c r="L119" s="125">
        <f t="shared" si="28"/>
        <v>0.22713197285524042</v>
      </c>
      <c r="M119" s="125">
        <f t="shared" si="29"/>
        <v>0.2635488518734181</v>
      </c>
      <c r="N119" s="47" t="s">
        <v>96</v>
      </c>
      <c r="O119" s="47" t="s">
        <v>86</v>
      </c>
      <c r="Q119" s="47" t="s">
        <v>82</v>
      </c>
    </row>
    <row r="120" spans="1:15" s="47" customFormat="1" ht="16.5" customHeight="1">
      <c r="A120" s="142" t="s">
        <v>217</v>
      </c>
      <c r="C120" s="116"/>
      <c r="D120" s="103" t="s">
        <v>219</v>
      </c>
      <c r="E120" s="104">
        <f aca="true" t="shared" si="40" ref="E120:K120">E96*1000/E71</f>
        <v>1992.927864214993</v>
      </c>
      <c r="F120" s="211">
        <f t="shared" si="40"/>
        <v>1923.611111111111</v>
      </c>
      <c r="G120" s="211">
        <f t="shared" si="40"/>
        <v>1966.1016949152543</v>
      </c>
      <c r="H120" s="104">
        <f t="shared" si="40"/>
        <v>384.77366255144034</v>
      </c>
      <c r="I120" s="104">
        <f t="shared" si="40"/>
        <v>5372.596153846154</v>
      </c>
      <c r="J120" s="104">
        <f t="shared" si="40"/>
        <v>7305.726872246696</v>
      </c>
      <c r="K120" s="226">
        <f t="shared" si="40"/>
        <v>5740.824211204121</v>
      </c>
      <c r="L120" s="126">
        <f t="shared" si="28"/>
        <v>3526.651652869967</v>
      </c>
      <c r="M120" s="126">
        <f t="shared" si="29"/>
        <v>1960.8802234137863</v>
      </c>
      <c r="N120" s="47" t="s">
        <v>99</v>
      </c>
      <c r="O120" s="47" t="s">
        <v>86</v>
      </c>
    </row>
    <row r="121" ht="16.5" customHeight="1">
      <c r="D121" s="105"/>
    </row>
    <row r="123" s="47" customFormat="1" ht="13.5" customHeight="1" hidden="1">
      <c r="A123" s="45"/>
    </row>
    <row r="124" s="47" customFormat="1" ht="13.5" customHeight="1" hidden="1">
      <c r="A124" s="45"/>
    </row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spans="5:12" ht="13.5" customHeight="1" hidden="1">
      <c r="E131" s="12" t="s">
        <v>187</v>
      </c>
      <c r="F131" s="12" t="s">
        <v>188</v>
      </c>
      <c r="G131" s="12" t="s">
        <v>189</v>
      </c>
      <c r="H131" s="12" t="s">
        <v>190</v>
      </c>
      <c r="I131" s="12" t="s">
        <v>191</v>
      </c>
      <c r="J131" s="12" t="s">
        <v>192</v>
      </c>
      <c r="K131" s="12" t="s">
        <v>193</v>
      </c>
      <c r="L131" s="12" t="s">
        <v>194</v>
      </c>
    </row>
    <row r="132" spans="1:14" ht="13.5" customHeight="1" hidden="1">
      <c r="A132" s="12"/>
      <c r="D132" s="12" t="str">
        <f>D115</f>
        <v>経常利益率</v>
      </c>
      <c r="E132" s="136">
        <f aca="true" t="shared" si="41" ref="E132:K132">E115/$L115</f>
        <v>-0.4338297937056073</v>
      </c>
      <c r="F132" s="136">
        <f t="shared" si="41"/>
        <v>1.4267457320058947</v>
      </c>
      <c r="G132" s="136">
        <f t="shared" si="41"/>
        <v>3.273221999264888</v>
      </c>
      <c r="H132" s="136">
        <f t="shared" si="41"/>
        <v>0.6554477323802436</v>
      </c>
      <c r="I132" s="136">
        <f t="shared" si="41"/>
        <v>0.9988598926020554</v>
      </c>
      <c r="J132" s="136">
        <f t="shared" si="41"/>
        <v>0.5321264213105245</v>
      </c>
      <c r="K132" s="136">
        <f t="shared" si="41"/>
        <v>0.5474280161420018</v>
      </c>
      <c r="L132" s="12">
        <v>1</v>
      </c>
      <c r="N132" s="12"/>
    </row>
    <row r="133" spans="1:14" ht="13.5" customHeight="1" hidden="1">
      <c r="A133" s="12"/>
      <c r="D133" s="12" t="str">
        <f>D105</f>
        <v>流動比率</v>
      </c>
      <c r="E133" s="136">
        <f aca="true" t="shared" si="42" ref="E133:K136">E105/$L105</f>
        <v>0.8871041671229807</v>
      </c>
      <c r="F133" s="136">
        <f t="shared" si="42"/>
        <v>1.3976741012013802</v>
      </c>
      <c r="G133" s="136">
        <f t="shared" si="42"/>
        <v>1.489096635977105</v>
      </c>
      <c r="H133" s="136">
        <f t="shared" si="42"/>
        <v>1.2481666306844246</v>
      </c>
      <c r="I133" s="136">
        <f t="shared" si="42"/>
        <v>0.6676881923826427</v>
      </c>
      <c r="J133" s="136">
        <f t="shared" si="42"/>
        <v>0.5739621410048917</v>
      </c>
      <c r="K133" s="136">
        <f t="shared" si="42"/>
        <v>0.7363081316265753</v>
      </c>
      <c r="L133" s="12">
        <v>1</v>
      </c>
      <c r="N133" s="12"/>
    </row>
    <row r="134" spans="1:14" ht="13.5" customHeight="1" hidden="1">
      <c r="A134" s="12"/>
      <c r="D134" s="12" t="str">
        <f>D106</f>
        <v>未払金比率</v>
      </c>
      <c r="E134" s="136">
        <f t="shared" si="42"/>
        <v>0.6370882907323114</v>
      </c>
      <c r="F134" s="136">
        <f t="shared" si="42"/>
        <v>0.8108188800455146</v>
      </c>
      <c r="G134" s="136">
        <f t="shared" si="42"/>
        <v>0.8403993359275531</v>
      </c>
      <c r="H134" s="136">
        <f t="shared" si="42"/>
        <v>2.9653069558342553</v>
      </c>
      <c r="I134" s="136">
        <f t="shared" si="42"/>
        <v>0.3929512182910465</v>
      </c>
      <c r="J134" s="136">
        <f t="shared" si="42"/>
        <v>0.5685291135703927</v>
      </c>
      <c r="K134" s="136">
        <f t="shared" si="42"/>
        <v>0.7849062055989257</v>
      </c>
      <c r="L134" s="12">
        <v>1</v>
      </c>
      <c r="N134" s="12"/>
    </row>
    <row r="135" spans="1:14" ht="13.5" customHeight="1" hidden="1">
      <c r="A135" s="12"/>
      <c r="D135" s="12" t="str">
        <f>D107</f>
        <v>人件費比率</v>
      </c>
      <c r="E135" s="136">
        <f t="shared" si="42"/>
        <v>1.0455395704094514</v>
      </c>
      <c r="F135" s="136">
        <f t="shared" si="42"/>
        <v>1.1132601089609573</v>
      </c>
      <c r="G135" s="136">
        <f t="shared" si="42"/>
        <v>0.9528602355579067</v>
      </c>
      <c r="H135" s="136">
        <f t="shared" si="42"/>
        <v>1.2854211733503689</v>
      </c>
      <c r="I135" s="136">
        <f t="shared" si="42"/>
        <v>0.9272275330131412</v>
      </c>
      <c r="J135" s="136">
        <f t="shared" si="42"/>
        <v>0.8464346759697663</v>
      </c>
      <c r="K135" s="136">
        <f t="shared" si="42"/>
        <v>0.829256702738408</v>
      </c>
      <c r="L135" s="12">
        <v>1</v>
      </c>
      <c r="N135" s="12"/>
    </row>
    <row r="136" spans="1:14" ht="13.5" customHeight="1" hidden="1">
      <c r="A136" s="12"/>
      <c r="D136" s="12" t="str">
        <f>D108</f>
        <v>一般管理費比率</v>
      </c>
      <c r="E136" s="136">
        <f t="shared" si="42"/>
        <v>0.980743818857838</v>
      </c>
      <c r="F136" s="136">
        <f t="shared" si="42"/>
        <v>0.6714968336438328</v>
      </c>
      <c r="G136" s="136">
        <f t="shared" si="42"/>
        <v>1.8157860997951951</v>
      </c>
      <c r="H136" s="136">
        <f t="shared" si="42"/>
        <v>1.2700222900780598</v>
      </c>
      <c r="I136" s="136">
        <f t="shared" si="42"/>
        <v>0.9201354769748306</v>
      </c>
      <c r="J136" s="136">
        <f t="shared" si="42"/>
        <v>0.7690331343488085</v>
      </c>
      <c r="K136" s="136">
        <f t="shared" si="42"/>
        <v>0.572782346301436</v>
      </c>
      <c r="L136" s="12">
        <v>1</v>
      </c>
      <c r="N136" s="12"/>
    </row>
    <row r="137" spans="1:14" ht="13.5" customHeight="1" hidden="1">
      <c r="A137" s="12"/>
      <c r="D137" s="12" t="str">
        <f>D110</f>
        <v>業務費対研究経費比率</v>
      </c>
      <c r="E137" s="136">
        <f aca="true" t="shared" si="43" ref="E137:K138">E110/$L110</f>
        <v>0.7978580064245981</v>
      </c>
      <c r="F137" s="136">
        <f t="shared" si="43"/>
        <v>0.8926188403494645</v>
      </c>
      <c r="G137" s="136">
        <f t="shared" si="43"/>
        <v>0.7789571496739629</v>
      </c>
      <c r="H137" s="136">
        <f t="shared" si="43"/>
        <v>0.541351751954911</v>
      </c>
      <c r="I137" s="136">
        <f t="shared" si="43"/>
        <v>1.0702122045923588</v>
      </c>
      <c r="J137" s="136">
        <f t="shared" si="43"/>
        <v>1.3417790852050697</v>
      </c>
      <c r="K137" s="136">
        <f t="shared" si="43"/>
        <v>1.5772229617996358</v>
      </c>
      <c r="L137" s="12">
        <v>1</v>
      </c>
      <c r="N137" s="12"/>
    </row>
    <row r="138" spans="1:14" ht="13.5" customHeight="1" hidden="1">
      <c r="A138" s="12"/>
      <c r="D138" s="12" t="str">
        <f>D111</f>
        <v>業務費対教育経費比率</v>
      </c>
      <c r="E138" s="136">
        <f t="shared" si="43"/>
        <v>1.1967589458098877</v>
      </c>
      <c r="F138" s="136">
        <f t="shared" si="43"/>
        <v>0.8504654139049399</v>
      </c>
      <c r="G138" s="136">
        <f t="shared" si="43"/>
        <v>1.6871753575093573</v>
      </c>
      <c r="H138" s="136">
        <f t="shared" si="43"/>
        <v>0.7907881560713903</v>
      </c>
      <c r="I138" s="136">
        <f t="shared" si="43"/>
        <v>1.2116949477421206</v>
      </c>
      <c r="J138" s="136">
        <f t="shared" si="43"/>
        <v>0.6719977817603432</v>
      </c>
      <c r="K138" s="136">
        <f t="shared" si="43"/>
        <v>0.5911193972019604</v>
      </c>
      <c r="L138" s="12">
        <v>1</v>
      </c>
      <c r="N138" s="12"/>
    </row>
    <row r="139" spans="1:14" ht="13.5" customHeight="1" hidden="1">
      <c r="A139" s="12"/>
      <c r="D139" s="12" t="str">
        <f>D109</f>
        <v>外部資金比率</v>
      </c>
      <c r="E139" s="136">
        <f aca="true" t="shared" si="44" ref="E139:K139">E109/$L109</f>
        <v>0.6366290776278959</v>
      </c>
      <c r="F139" s="136">
        <f t="shared" si="44"/>
        <v>0.6259852171284175</v>
      </c>
      <c r="G139" s="136">
        <f t="shared" si="44"/>
        <v>0.5511735626295254</v>
      </c>
      <c r="H139" s="136">
        <f t="shared" si="44"/>
        <v>0.3965434430616905</v>
      </c>
      <c r="I139" s="136">
        <f t="shared" si="44"/>
        <v>1.3364642476410884</v>
      </c>
      <c r="J139" s="136">
        <f t="shared" si="44"/>
        <v>1.7028910149565277</v>
      </c>
      <c r="K139" s="136">
        <f t="shared" si="44"/>
        <v>1.7503134369548545</v>
      </c>
      <c r="L139" s="12">
        <v>1</v>
      </c>
      <c r="N139" s="12"/>
    </row>
    <row r="140" spans="1:14" ht="13.5" customHeight="1" hidden="1">
      <c r="A140" s="12"/>
      <c r="D140" s="12" t="str">
        <f>D119</f>
        <v>学生納付金比率</v>
      </c>
      <c r="E140" s="136">
        <f aca="true" t="shared" si="45" ref="E140:K140">E119/$L119</f>
        <v>1.1179778485768785</v>
      </c>
      <c r="F140" s="136">
        <f t="shared" si="45"/>
        <v>1.2196950256812202</v>
      </c>
      <c r="G140" s="136">
        <f t="shared" si="45"/>
        <v>1.1433278218621366</v>
      </c>
      <c r="H140" s="136">
        <f t="shared" si="45"/>
        <v>1.3934629987197669</v>
      </c>
      <c r="I140" s="136">
        <f t="shared" si="45"/>
        <v>1.0953276350999475</v>
      </c>
      <c r="J140" s="136">
        <f t="shared" si="45"/>
        <v>0.40335854080619227</v>
      </c>
      <c r="K140" s="136">
        <f t="shared" si="45"/>
        <v>0.6268501292538579</v>
      </c>
      <c r="L140" s="12">
        <v>1</v>
      </c>
      <c r="N140" s="12"/>
    </row>
    <row r="141" spans="1:14" ht="13.5" customHeight="1" hidden="1">
      <c r="A141" s="12"/>
      <c r="D141" s="12" t="str">
        <f>D118</f>
        <v>運営費交付金比率</v>
      </c>
      <c r="E141" s="136">
        <f aca="true" t="shared" si="46" ref="E141:K141">E118/$L118</f>
        <v>1.0689896642262837</v>
      </c>
      <c r="F141" s="136">
        <f t="shared" si="46"/>
        <v>1.1209899542893915</v>
      </c>
      <c r="G141" s="136">
        <f t="shared" si="46"/>
        <v>1.0618883980990825</v>
      </c>
      <c r="H141" s="136">
        <f t="shared" si="46"/>
        <v>1.127015275293697</v>
      </c>
      <c r="I141" s="136">
        <f t="shared" si="46"/>
        <v>0.7515229227984728</v>
      </c>
      <c r="J141" s="136">
        <f t="shared" si="46"/>
        <v>0.9779020534952629</v>
      </c>
      <c r="K141" s="136">
        <f t="shared" si="46"/>
        <v>0.8916917317978105</v>
      </c>
      <c r="L141" s="12">
        <v>1</v>
      </c>
      <c r="N141" s="12"/>
    </row>
    <row r="142" spans="1:14" ht="13.5" customHeight="1" hidden="1">
      <c r="A142" s="12"/>
      <c r="D142" s="12" t="str">
        <f>D116</f>
        <v>学生当業務コスト</v>
      </c>
      <c r="E142" s="136">
        <f aca="true" t="shared" si="47" ref="E142:K142">E116/$L116</f>
        <v>0.8329425836846233</v>
      </c>
      <c r="F142" s="136">
        <f t="shared" si="47"/>
        <v>0.7238049243398343</v>
      </c>
      <c r="G142" s="136">
        <f t="shared" si="47"/>
        <v>0.8014977880829754</v>
      </c>
      <c r="H142" s="136">
        <f t="shared" si="47"/>
        <v>1.9214631269467746</v>
      </c>
      <c r="I142" s="136">
        <f t="shared" si="47"/>
        <v>0.5563277016884586</v>
      </c>
      <c r="J142" s="136">
        <f t="shared" si="47"/>
        <v>1.1737943286411983</v>
      </c>
      <c r="K142" s="136">
        <f t="shared" si="47"/>
        <v>0.9901695466161348</v>
      </c>
      <c r="L142" s="12">
        <v>1</v>
      </c>
      <c r="N142" s="12"/>
    </row>
    <row r="143" spans="1:14" ht="13.5" customHeight="1" hidden="1">
      <c r="A143" s="12"/>
      <c r="D143" s="12" t="str">
        <f>D112</f>
        <v>学生当教育経費</v>
      </c>
      <c r="E143" s="136">
        <f aca="true" t="shared" si="48" ref="E143:K145">E112/$L112</f>
        <v>1.1324148619180157</v>
      </c>
      <c r="F143" s="136">
        <f t="shared" si="48"/>
        <v>0.7115122486246296</v>
      </c>
      <c r="G143" s="136">
        <f t="shared" si="48"/>
        <v>1.414477244456815</v>
      </c>
      <c r="H143" s="136">
        <f t="shared" si="48"/>
        <v>0.58399986386171</v>
      </c>
      <c r="I143" s="136">
        <f t="shared" si="48"/>
        <v>1.1540506998774251</v>
      </c>
      <c r="J143" s="136">
        <f t="shared" si="48"/>
        <v>1.1218140289930143</v>
      </c>
      <c r="K143" s="136">
        <f t="shared" si="48"/>
        <v>0.8817310522683911</v>
      </c>
      <c r="L143" s="12">
        <v>1</v>
      </c>
      <c r="N143" s="12"/>
    </row>
    <row r="144" spans="1:14" ht="13.5" customHeight="1" hidden="1">
      <c r="A144" s="12"/>
      <c r="D144" s="12" t="str">
        <f>D113</f>
        <v>教員当研究経費</v>
      </c>
      <c r="E144" s="136">
        <f t="shared" si="48"/>
        <v>0.7420486478410004</v>
      </c>
      <c r="F144" s="136">
        <f t="shared" si="48"/>
        <v>0.8146313118310704</v>
      </c>
      <c r="G144" s="136">
        <f t="shared" si="48"/>
        <v>0.7384070545826339</v>
      </c>
      <c r="H144" s="136">
        <f t="shared" si="48"/>
        <v>0.1511275209121445</v>
      </c>
      <c r="I144" s="136">
        <f t="shared" si="48"/>
        <v>1.2668010139343593</v>
      </c>
      <c r="J144" s="136">
        <f t="shared" si="48"/>
        <v>1.7217980332492184</v>
      </c>
      <c r="K144" s="136">
        <f t="shared" si="48"/>
        <v>1.5651864176495727</v>
      </c>
      <c r="L144" s="12">
        <v>1</v>
      </c>
      <c r="N144" s="12"/>
    </row>
    <row r="145" spans="1:14" ht="13.5" customHeight="1" hidden="1">
      <c r="A145" s="12"/>
      <c r="D145" s="12" t="str">
        <f>D114</f>
        <v>教員当広義研究経費（科研費を含まず）</v>
      </c>
      <c r="E145" s="136">
        <f t="shared" si="48"/>
        <v>0.6899834735272397</v>
      </c>
      <c r="F145" s="136">
        <f t="shared" si="48"/>
        <v>0.6543269675712814</v>
      </c>
      <c r="G145" s="136">
        <f t="shared" si="48"/>
        <v>0.7077499632388088</v>
      </c>
      <c r="H145" s="136">
        <f t="shared" si="48"/>
        <v>0.13458164563844924</v>
      </c>
      <c r="I145" s="136">
        <f t="shared" si="48"/>
        <v>1.381651568242922</v>
      </c>
      <c r="J145" s="136">
        <f t="shared" si="48"/>
        <v>1.8520419919912856</v>
      </c>
      <c r="K145" s="136">
        <f t="shared" si="48"/>
        <v>1.5796643897900127</v>
      </c>
      <c r="L145" s="12">
        <v>1</v>
      </c>
      <c r="N145" s="12"/>
    </row>
    <row r="146" spans="1:14" ht="13.5" customHeight="1" hidden="1">
      <c r="A146" s="12"/>
      <c r="D146" s="12" t="str">
        <f>D120</f>
        <v>教員当外部資金獲得額（科研費を含まず）</v>
      </c>
      <c r="E146" s="136">
        <f aca="true" t="shared" si="49" ref="E146:K146">E120/$L120</f>
        <v>0.5651048247402491</v>
      </c>
      <c r="F146" s="136">
        <f t="shared" si="49"/>
        <v>0.5454497071026815</v>
      </c>
      <c r="G146" s="136">
        <f t="shared" si="49"/>
        <v>0.5574981280941804</v>
      </c>
      <c r="H146" s="136">
        <f t="shared" si="49"/>
        <v>0.10910452758732604</v>
      </c>
      <c r="I146" s="136">
        <f t="shared" si="49"/>
        <v>1.523426945066709</v>
      </c>
      <c r="J146" s="136">
        <f t="shared" si="49"/>
        <v>2.0715759851986917</v>
      </c>
      <c r="K146" s="136">
        <f t="shared" si="49"/>
        <v>1.627839882210162</v>
      </c>
      <c r="L146" s="137">
        <v>1</v>
      </c>
      <c r="M146" s="137"/>
      <c r="N146" s="12"/>
    </row>
    <row r="147" spans="5:12" ht="13.5" customHeight="1" hidden="1">
      <c r="E147" s="12" t="s">
        <v>187</v>
      </c>
      <c r="F147" s="12" t="s">
        <v>188</v>
      </c>
      <c r="G147" s="12" t="s">
        <v>189</v>
      </c>
      <c r="L147" s="12" t="s">
        <v>195</v>
      </c>
    </row>
    <row r="148" spans="1:14" ht="13.5" customHeight="1" hidden="1">
      <c r="A148" s="12"/>
      <c r="D148" s="12" t="str">
        <f>D115</f>
        <v>経常利益率</v>
      </c>
      <c r="E148" s="136">
        <f>E115/$M115</f>
        <v>-0.30507437878570437</v>
      </c>
      <c r="F148" s="136">
        <f>F115/$M115</f>
        <v>1.0033049232488145</v>
      </c>
      <c r="G148" s="136">
        <f>G115/$M115</f>
        <v>2.3017694555368897</v>
      </c>
      <c r="L148" s="12">
        <v>1</v>
      </c>
      <c r="N148" s="12"/>
    </row>
    <row r="149" spans="1:14" ht="13.5" customHeight="1" hidden="1">
      <c r="A149" s="12"/>
      <c r="D149" s="12" t="str">
        <f>D105</f>
        <v>流動比率</v>
      </c>
      <c r="E149" s="136">
        <f aca="true" t="shared" si="50" ref="E149:G152">E105/$M105</f>
        <v>0.7051936189870988</v>
      </c>
      <c r="F149" s="136">
        <f t="shared" si="50"/>
        <v>1.1110655254695725</v>
      </c>
      <c r="G149" s="136">
        <f t="shared" si="50"/>
        <v>1.1837408555433286</v>
      </c>
      <c r="L149" s="12">
        <v>1</v>
      </c>
      <c r="N149" s="12"/>
    </row>
    <row r="150" spans="1:14" ht="13.5" customHeight="1" hidden="1">
      <c r="A150" s="12"/>
      <c r="D150" s="12" t="str">
        <f>D106</f>
        <v>未払金比率</v>
      </c>
      <c r="E150" s="136">
        <f t="shared" si="50"/>
        <v>0.835231148710364</v>
      </c>
      <c r="F150" s="136">
        <f t="shared" si="50"/>
        <v>1.0629942418154055</v>
      </c>
      <c r="G150" s="136">
        <f t="shared" si="50"/>
        <v>1.1017746094742302</v>
      </c>
      <c r="L150" s="12">
        <v>1</v>
      </c>
      <c r="N150" s="12"/>
    </row>
    <row r="151" spans="1:14" ht="13.5" customHeight="1" hidden="1">
      <c r="A151" s="12"/>
      <c r="D151" s="12" t="str">
        <f>D107</f>
        <v>人件費比率</v>
      </c>
      <c r="E151" s="136">
        <f t="shared" si="50"/>
        <v>1.008021055315299</v>
      </c>
      <c r="F151" s="136">
        <f t="shared" si="50"/>
        <v>1.0733114858921888</v>
      </c>
      <c r="G151" s="136">
        <f t="shared" si="50"/>
        <v>0.9186674587925121</v>
      </c>
      <c r="L151" s="12">
        <v>1</v>
      </c>
      <c r="N151" s="12"/>
    </row>
    <row r="152" spans="1:14" ht="13.5" customHeight="1" hidden="1">
      <c r="A152" s="12"/>
      <c r="D152" s="12" t="str">
        <f>D108</f>
        <v>一般管理費比率</v>
      </c>
      <c r="E152" s="136">
        <f t="shared" si="50"/>
        <v>0.8483877624718095</v>
      </c>
      <c r="F152" s="136">
        <f t="shared" si="50"/>
        <v>0.5808751329837079</v>
      </c>
      <c r="G152" s="136">
        <f t="shared" si="50"/>
        <v>1.5707371045444827</v>
      </c>
      <c r="L152" s="12">
        <v>1</v>
      </c>
      <c r="N152" s="12"/>
    </row>
    <row r="153" spans="1:14" ht="13.5" customHeight="1" hidden="1">
      <c r="A153" s="12"/>
      <c r="D153" s="12" t="str">
        <f>D110</f>
        <v>業務費対研究経費比率</v>
      </c>
      <c r="E153" s="136">
        <f aca="true" t="shared" si="51" ref="E153:G154">E110/$M110</f>
        <v>0.9692804192040176</v>
      </c>
      <c r="F153" s="136">
        <f t="shared" si="51"/>
        <v>1.0844009294843102</v>
      </c>
      <c r="G153" s="136">
        <f t="shared" si="51"/>
        <v>0.9463186513116725</v>
      </c>
      <c r="L153" s="12">
        <v>1</v>
      </c>
      <c r="N153" s="12"/>
    </row>
    <row r="154" spans="1:14" ht="13.5" customHeight="1" hidden="1">
      <c r="A154" s="12"/>
      <c r="D154" s="12" t="str">
        <f>D111</f>
        <v>業務費対教育経費比率</v>
      </c>
      <c r="E154" s="136">
        <f t="shared" si="51"/>
        <v>0.9614066809372913</v>
      </c>
      <c r="F154" s="136">
        <f t="shared" si="51"/>
        <v>0.683214555192634</v>
      </c>
      <c r="G154" s="136">
        <f t="shared" si="51"/>
        <v>1.3553787638700745</v>
      </c>
      <c r="L154" s="12">
        <v>1</v>
      </c>
      <c r="N154" s="12"/>
    </row>
    <row r="155" spans="1:14" ht="13.5" customHeight="1" hidden="1">
      <c r="A155" s="12"/>
      <c r="D155" s="12" t="str">
        <f>D109</f>
        <v>外部資金比率</v>
      </c>
      <c r="E155" s="136">
        <f>E109/$M109</f>
        <v>1.0529826986692665</v>
      </c>
      <c r="F155" s="136">
        <f>F109/$M109</f>
        <v>1.03537778342606</v>
      </c>
      <c r="G155" s="136">
        <f>G109/$M109</f>
        <v>0.911639517904673</v>
      </c>
      <c r="L155" s="12">
        <v>1</v>
      </c>
      <c r="N155" s="12"/>
    </row>
    <row r="156" spans="1:14" ht="13.5" customHeight="1" hidden="1">
      <c r="A156" s="12"/>
      <c r="D156" s="12" t="str">
        <f>D119</f>
        <v>学生納付金比率</v>
      </c>
      <c r="E156" s="136">
        <f>E119/$M119</f>
        <v>0.9634969477221815</v>
      </c>
      <c r="F156" s="136">
        <f>F119/$M119</f>
        <v>1.0511589615945525</v>
      </c>
      <c r="G156" s="136">
        <f>G119/$M119</f>
        <v>0.9853440906832661</v>
      </c>
      <c r="L156" s="12">
        <v>1</v>
      </c>
      <c r="N156" s="12"/>
    </row>
    <row r="157" spans="1:14" ht="13.5" customHeight="1" hidden="1">
      <c r="A157" s="12"/>
      <c r="D157" s="12" t="str">
        <f>D118</f>
        <v>運営費交付金比率</v>
      </c>
      <c r="E157" s="136">
        <f>E118/$M118</f>
        <v>0.986192851706618</v>
      </c>
      <c r="F157" s="136">
        <f>F118/$M118</f>
        <v>1.034165545983344</v>
      </c>
      <c r="G157" s="136">
        <f>G118/$M118</f>
        <v>0.9796416023100384</v>
      </c>
      <c r="L157" s="12">
        <v>1</v>
      </c>
      <c r="N157" s="12"/>
    </row>
    <row r="158" spans="1:14" ht="13.5" customHeight="1" hidden="1">
      <c r="A158" s="12"/>
      <c r="D158" s="12" t="str">
        <f>D116</f>
        <v>学生当業務コスト</v>
      </c>
      <c r="E158" s="136">
        <f>E116/$M116</f>
        <v>1.0596131603351377</v>
      </c>
      <c r="F158" s="136">
        <f>F116/$M116</f>
        <v>0.9207756193147862</v>
      </c>
      <c r="G158" s="136">
        <f>G116/$M116</f>
        <v>1.0196112203500762</v>
      </c>
      <c r="L158" s="12">
        <v>1</v>
      </c>
      <c r="N158" s="12"/>
    </row>
    <row r="159" spans="1:14" ht="13.5" customHeight="1" hidden="1">
      <c r="A159" s="12"/>
      <c r="D159" s="12" t="str">
        <f>D112</f>
        <v>学生当教育経費</v>
      </c>
      <c r="E159" s="136">
        <f aca="true" t="shared" si="52" ref="E159:G161">E112/$M112</f>
        <v>1.042609883743115</v>
      </c>
      <c r="F159" s="136">
        <f t="shared" si="52"/>
        <v>0.6550865126971763</v>
      </c>
      <c r="G159" s="136">
        <f t="shared" si="52"/>
        <v>1.3023036035597086</v>
      </c>
      <c r="L159" s="12">
        <v>1</v>
      </c>
      <c r="N159" s="12"/>
    </row>
    <row r="160" spans="1:14" ht="13.5" customHeight="1" hidden="1">
      <c r="A160" s="12"/>
      <c r="D160" s="12" t="str">
        <f>D113</f>
        <v>教員当研究経費</v>
      </c>
      <c r="E160" s="136">
        <f t="shared" si="52"/>
        <v>0.969961456666561</v>
      </c>
      <c r="F160" s="136">
        <f t="shared" si="52"/>
        <v>1.0648371588154488</v>
      </c>
      <c r="G160" s="136">
        <f t="shared" si="52"/>
        <v>0.9652013845179905</v>
      </c>
      <c r="L160" s="12">
        <v>1</v>
      </c>
      <c r="N160" s="12"/>
    </row>
    <row r="161" spans="1:14" ht="13.5" customHeight="1" hidden="1">
      <c r="A161" s="12"/>
      <c r="D161" s="12" t="str">
        <f>D114</f>
        <v>教員当広義研究経費（科研費を含まず）</v>
      </c>
      <c r="E161" s="136">
        <f t="shared" si="52"/>
        <v>1.0087180748707865</v>
      </c>
      <c r="F161" s="136">
        <f t="shared" si="52"/>
        <v>0.9565902146763305</v>
      </c>
      <c r="G161" s="136">
        <f t="shared" si="52"/>
        <v>1.034691710452883</v>
      </c>
      <c r="L161" s="12">
        <v>1</v>
      </c>
      <c r="N161" s="12"/>
    </row>
    <row r="162" spans="1:14" ht="13.5" customHeight="1" hidden="1">
      <c r="A162" s="12"/>
      <c r="D162" s="12" t="str">
        <f>D120</f>
        <v>教員当外部資金獲得額（科研費を含まず）</v>
      </c>
      <c r="E162" s="136">
        <f>E120/$M120</f>
        <v>1.0163434973837482</v>
      </c>
      <c r="F162" s="136">
        <f>F120/$M120</f>
        <v>0.980993682399534</v>
      </c>
      <c r="G162" s="136">
        <f>G120/$M120</f>
        <v>1.0026628202167176</v>
      </c>
      <c r="L162" s="12">
        <v>1</v>
      </c>
      <c r="N162" s="12"/>
    </row>
    <row r="163" spans="5:13" ht="13.5" customHeight="1" hidden="1">
      <c r="E163" s="12" t="s">
        <v>187</v>
      </c>
      <c r="F163" s="12" t="s">
        <v>188</v>
      </c>
      <c r="G163" s="12" t="s">
        <v>189</v>
      </c>
      <c r="H163" s="12" t="s">
        <v>190</v>
      </c>
      <c r="I163" s="12" t="s">
        <v>191</v>
      </c>
      <c r="J163" s="12" t="s">
        <v>192</v>
      </c>
      <c r="K163" s="12" t="s">
        <v>193</v>
      </c>
      <c r="L163" s="138" t="s">
        <v>194</v>
      </c>
      <c r="M163" s="138" t="s">
        <v>195</v>
      </c>
    </row>
    <row r="164" spans="4:13" ht="13.5" customHeight="1" hidden="1">
      <c r="D164" s="12" t="str">
        <f aca="true" t="shared" si="53" ref="D164:K164">D115</f>
        <v>経常利益率</v>
      </c>
      <c r="E164" s="115">
        <f t="shared" si="53"/>
        <v>-0.007777126724551217</v>
      </c>
      <c r="F164" s="115">
        <f t="shared" si="53"/>
        <v>0.025576810358608194</v>
      </c>
      <c r="G164" s="115">
        <f t="shared" si="53"/>
        <v>0.05867799458500607</v>
      </c>
      <c r="H164" s="115">
        <f t="shared" si="53"/>
        <v>0.01175</v>
      </c>
      <c r="I164" s="115">
        <f t="shared" si="53"/>
        <v>0.017906238984843142</v>
      </c>
      <c r="J164" s="115">
        <f t="shared" si="53"/>
        <v>0.009539258649492772</v>
      </c>
      <c r="K164" s="115">
        <f t="shared" si="53"/>
        <v>0.009813565402552916</v>
      </c>
      <c r="L164" s="139">
        <f aca="true" t="shared" si="54" ref="L164:L178">SUM(E164:K164)/7</f>
        <v>0.017926677322278838</v>
      </c>
      <c r="M164" s="139">
        <f>SUM(E164:G164)/3</f>
        <v>0.025492559406354347</v>
      </c>
    </row>
    <row r="165" spans="4:13" ht="13.5" customHeight="1" hidden="1">
      <c r="D165" s="12" t="str">
        <f>D105</f>
        <v>流動比率</v>
      </c>
      <c r="E165" s="115">
        <f aca="true" t="shared" si="55" ref="E165:K165">E105</f>
        <v>1.041670477849191</v>
      </c>
      <c r="F165" s="115">
        <f>F105</f>
        <v>1.6412005521264161</v>
      </c>
      <c r="G165" s="115">
        <f t="shared" si="55"/>
        <v>1.7485522691123325</v>
      </c>
      <c r="H165" s="115">
        <f t="shared" si="55"/>
        <v>1.465643358250862</v>
      </c>
      <c r="I165" s="115">
        <f t="shared" si="55"/>
        <v>0.7840241362738071</v>
      </c>
      <c r="J165" s="115">
        <f t="shared" si="55"/>
        <v>0.6739675450143898</v>
      </c>
      <c r="K165" s="115">
        <f t="shared" si="55"/>
        <v>0.8646002033821701</v>
      </c>
      <c r="L165" s="139">
        <f t="shared" si="54"/>
        <v>1.1742369345727384</v>
      </c>
      <c r="M165" s="139">
        <f aca="true" t="shared" si="56" ref="M165:M178">SUM(E165:G165)/3</f>
        <v>1.47714109969598</v>
      </c>
    </row>
    <row r="166" spans="4:13" ht="13.5" customHeight="1" hidden="1">
      <c r="D166" s="12" t="str">
        <f>D106</f>
        <v>未払金比率</v>
      </c>
      <c r="E166" s="115">
        <f>E106</f>
        <v>0.23125941450421036</v>
      </c>
      <c r="F166" s="115">
        <f>F106</f>
        <v>0.2943226271711092</v>
      </c>
      <c r="G166" s="115">
        <f aca="true" t="shared" si="57" ref="G166:K168">G106</f>
        <v>0.30506016387922325</v>
      </c>
      <c r="H166" s="115">
        <f t="shared" si="57"/>
        <v>1.0763895058300945</v>
      </c>
      <c r="I166" s="115">
        <f t="shared" si="57"/>
        <v>0.1426390501797598</v>
      </c>
      <c r="J166" s="115">
        <f t="shared" si="57"/>
        <v>0.2063728243722037</v>
      </c>
      <c r="K166" s="115">
        <f t="shared" si="57"/>
        <v>0.28491647419682026</v>
      </c>
      <c r="L166" s="139">
        <f t="shared" si="54"/>
        <v>0.3629942943047745</v>
      </c>
      <c r="M166" s="139">
        <f t="shared" si="56"/>
        <v>0.2768807351848476</v>
      </c>
    </row>
    <row r="167" spans="4:13" ht="13.5" customHeight="1" hidden="1">
      <c r="D167" s="12" t="str">
        <f>D107</f>
        <v>人件費比率</v>
      </c>
      <c r="E167" s="115">
        <f>E107</f>
        <v>0.6467319699833878</v>
      </c>
      <c r="F167" s="115">
        <f>F107</f>
        <v>0.6886213814846661</v>
      </c>
      <c r="G167" s="115">
        <f t="shared" si="57"/>
        <v>0.5894039735099338</v>
      </c>
      <c r="H167" s="115">
        <f t="shared" si="57"/>
        <v>0.7951138256524153</v>
      </c>
      <c r="I167" s="115">
        <f t="shared" si="57"/>
        <v>0.5735485351487799</v>
      </c>
      <c r="J167" s="115">
        <f t="shared" si="57"/>
        <v>0.5235730726459255</v>
      </c>
      <c r="K167" s="115">
        <f t="shared" si="57"/>
        <v>0.5129474160159353</v>
      </c>
      <c r="L167" s="139">
        <f t="shared" si="54"/>
        <v>0.6185628820630062</v>
      </c>
      <c r="M167" s="139">
        <f t="shared" si="56"/>
        <v>0.6415857749926626</v>
      </c>
    </row>
    <row r="168" spans="4:13" ht="13.5" customHeight="1" hidden="1">
      <c r="D168" s="12" t="str">
        <f>D108</f>
        <v>一般管理費比率</v>
      </c>
      <c r="E168" s="115">
        <f>E108</f>
        <v>0.0685684825571404</v>
      </c>
      <c r="F168" s="115">
        <f>F108</f>
        <v>0.0469475494411006</v>
      </c>
      <c r="G168" s="115">
        <f t="shared" si="57"/>
        <v>0.12695027500280615</v>
      </c>
      <c r="H168" s="115">
        <f t="shared" si="57"/>
        <v>0.08879332152795345</v>
      </c>
      <c r="I168" s="115">
        <f t="shared" si="57"/>
        <v>0.06433106402508988</v>
      </c>
      <c r="J168" s="115">
        <f t="shared" si="57"/>
        <v>0.053766777872604546</v>
      </c>
      <c r="K168" s="115">
        <f t="shared" si="57"/>
        <v>0.04004594835697963</v>
      </c>
      <c r="L168" s="139">
        <f t="shared" si="54"/>
        <v>0.06991477411195351</v>
      </c>
      <c r="M168" s="139">
        <f t="shared" si="56"/>
        <v>0.08082210233368238</v>
      </c>
    </row>
    <row r="169" spans="4:13" ht="13.5" customHeight="1" hidden="1">
      <c r="D169" s="12" t="str">
        <f aca="true" t="shared" si="58" ref="D169:K170">D110</f>
        <v>業務費対研究経費比率</v>
      </c>
      <c r="E169" s="115">
        <f t="shared" si="58"/>
        <v>0.11456722231769491</v>
      </c>
      <c r="F169" s="115">
        <f t="shared" si="58"/>
        <v>0.12817426196617943</v>
      </c>
      <c r="G169" s="115">
        <f t="shared" si="58"/>
        <v>0.11185318217532832</v>
      </c>
      <c r="H169" s="115">
        <f t="shared" si="58"/>
        <v>0.07773459189339256</v>
      </c>
      <c r="I169" s="115">
        <f t="shared" si="58"/>
        <v>0.1536755144190316</v>
      </c>
      <c r="J169" s="115">
        <f t="shared" si="58"/>
        <v>0.1926707528383376</v>
      </c>
      <c r="K169" s="115">
        <f t="shared" si="58"/>
        <v>0.22647896274028181</v>
      </c>
      <c r="L169" s="139">
        <f t="shared" si="54"/>
        <v>0.14359349833574944</v>
      </c>
      <c r="M169" s="139">
        <f t="shared" si="56"/>
        <v>0.11819822215306754</v>
      </c>
    </row>
    <row r="170" spans="4:13" ht="13.5" customHeight="1" hidden="1">
      <c r="D170" s="12" t="str">
        <f t="shared" si="58"/>
        <v>業務費対教育経費比率</v>
      </c>
      <c r="E170" s="115">
        <f t="shared" si="58"/>
        <v>0.11680128315288996</v>
      </c>
      <c r="F170" s="115">
        <f t="shared" si="58"/>
        <v>0.08300372599598739</v>
      </c>
      <c r="G170" s="115">
        <f t="shared" si="58"/>
        <v>0.164664945560669</v>
      </c>
      <c r="H170" s="115">
        <f t="shared" si="58"/>
        <v>0.07717934480843976</v>
      </c>
      <c r="I170" s="115">
        <f t="shared" si="58"/>
        <v>0.11825900711389888</v>
      </c>
      <c r="J170" s="115">
        <f t="shared" si="58"/>
        <v>0.06558564150309049</v>
      </c>
      <c r="K170" s="115">
        <f t="shared" si="58"/>
        <v>0.05769207268639024</v>
      </c>
      <c r="L170" s="139">
        <f t="shared" si="54"/>
        <v>0.09759800297448082</v>
      </c>
      <c r="M170" s="139">
        <f t="shared" si="56"/>
        <v>0.12148998490318212</v>
      </c>
    </row>
    <row r="171" spans="4:13" ht="13.5" customHeight="1" hidden="1">
      <c r="D171" s="12" t="str">
        <f aca="true" t="shared" si="59" ref="D171:K171">D109</f>
        <v>外部資金比率</v>
      </c>
      <c r="E171" s="115">
        <f t="shared" si="59"/>
        <v>0.07505459969104565</v>
      </c>
      <c r="F171" s="115">
        <f t="shared" si="59"/>
        <v>0.07379975488890073</v>
      </c>
      <c r="G171" s="115">
        <f t="shared" si="59"/>
        <v>0.06497992717766782</v>
      </c>
      <c r="H171" s="115">
        <f t="shared" si="59"/>
        <v>0.04675</v>
      </c>
      <c r="I171" s="115">
        <f t="shared" si="59"/>
        <v>0.1575608036658442</v>
      </c>
      <c r="J171" s="115">
        <f t="shared" si="59"/>
        <v>0.20076023533399512</v>
      </c>
      <c r="K171" s="115">
        <f t="shared" si="59"/>
        <v>0.20635104326995404</v>
      </c>
      <c r="L171" s="139">
        <f t="shared" si="54"/>
        <v>0.11789376628962965</v>
      </c>
      <c r="M171" s="139">
        <f t="shared" si="56"/>
        <v>0.07127809391920474</v>
      </c>
    </row>
    <row r="172" spans="4:13" ht="13.5" customHeight="1" hidden="1">
      <c r="D172" s="12" t="str">
        <f aca="true" t="shared" si="60" ref="D172:K172">D119</f>
        <v>学生納付金比率</v>
      </c>
      <c r="E172" s="115">
        <f t="shared" si="60"/>
        <v>0.25392851435572367</v>
      </c>
      <c r="F172" s="115">
        <f t="shared" si="60"/>
        <v>0.27703173746469867</v>
      </c>
      <c r="G172" s="115">
        <f t="shared" si="60"/>
        <v>0.25968630379983193</v>
      </c>
      <c r="H172" s="115">
        <f t="shared" si="60"/>
        <v>0.3165</v>
      </c>
      <c r="I172" s="115">
        <f t="shared" si="60"/>
        <v>0.24878392668311597</v>
      </c>
      <c r="J172" s="115">
        <f t="shared" si="60"/>
        <v>0.09161562114132145</v>
      </c>
      <c r="K172" s="115">
        <f t="shared" si="60"/>
        <v>0.1423777065419912</v>
      </c>
      <c r="L172" s="139">
        <f t="shared" si="54"/>
        <v>0.22713197285524042</v>
      </c>
      <c r="M172" s="139">
        <f t="shared" si="56"/>
        <v>0.2635488518734181</v>
      </c>
    </row>
    <row r="173" spans="4:13" ht="13.5" customHeight="1" hidden="1">
      <c r="D173" s="12" t="str">
        <f aca="true" t="shared" si="61" ref="D173:K173">D118</f>
        <v>運営費交付金比率</v>
      </c>
      <c r="E173" s="115">
        <f t="shared" si="61"/>
        <v>0.5513237095829117</v>
      </c>
      <c r="F173" s="115">
        <f t="shared" si="61"/>
        <v>0.5781424841477061</v>
      </c>
      <c r="G173" s="115">
        <f t="shared" si="61"/>
        <v>0.54766128279339</v>
      </c>
      <c r="H173" s="115">
        <f t="shared" si="61"/>
        <v>0.58125</v>
      </c>
      <c r="I173" s="115">
        <f t="shared" si="61"/>
        <v>0.387592527317589</v>
      </c>
      <c r="J173" s="115">
        <f t="shared" si="61"/>
        <v>0.5043459312882842</v>
      </c>
      <c r="K173" s="115">
        <f t="shared" si="61"/>
        <v>0.4598835796368518</v>
      </c>
      <c r="L173" s="139">
        <f t="shared" si="54"/>
        <v>0.5157427878238189</v>
      </c>
      <c r="M173" s="139">
        <f t="shared" si="56"/>
        <v>0.5590424921746692</v>
      </c>
    </row>
    <row r="174" spans="4:13" ht="13.5" customHeight="1" hidden="1">
      <c r="D174" s="12" t="str">
        <f aca="true" t="shared" si="62" ref="D174:K174">D116</f>
        <v>学生当業務コスト</v>
      </c>
      <c r="E174" s="12">
        <f t="shared" si="62"/>
        <v>2277.697779875</v>
      </c>
      <c r="F174" s="12">
        <f t="shared" si="62"/>
        <v>1979.258716655607</v>
      </c>
      <c r="G174" s="12">
        <f t="shared" si="62"/>
        <v>2191.711371527778</v>
      </c>
      <c r="H174" s="12">
        <f t="shared" si="62"/>
        <v>5254.278486997636</v>
      </c>
      <c r="I174" s="12">
        <f t="shared" si="62"/>
        <v>1521.288976982527</v>
      </c>
      <c r="J174" s="12">
        <f t="shared" si="62"/>
        <v>3209.763540422143</v>
      </c>
      <c r="K174" s="12">
        <f t="shared" si="62"/>
        <v>2707.637983942158</v>
      </c>
      <c r="L174" s="140">
        <f t="shared" si="54"/>
        <v>2734.519550914693</v>
      </c>
      <c r="M174" s="140">
        <f t="shared" si="56"/>
        <v>2149.5559560194615</v>
      </c>
    </row>
    <row r="175" spans="4:13" ht="13.5" customHeight="1" hidden="1">
      <c r="D175" s="12" t="str">
        <f aca="true" t="shared" si="63" ref="D175:K177">D112</f>
        <v>学生当教育経費</v>
      </c>
      <c r="E175" s="12">
        <f t="shared" si="63"/>
        <v>254.875</v>
      </c>
      <c r="F175" s="12">
        <f t="shared" si="63"/>
        <v>160.14156160141562</v>
      </c>
      <c r="G175" s="12">
        <f t="shared" si="63"/>
        <v>318.359375</v>
      </c>
      <c r="H175" s="12">
        <f t="shared" si="63"/>
        <v>131.44208037825058</v>
      </c>
      <c r="I175" s="12">
        <f t="shared" si="63"/>
        <v>259.744623655914</v>
      </c>
      <c r="J175" s="12">
        <f t="shared" si="63"/>
        <v>252.4890481879729</v>
      </c>
      <c r="K175" s="12">
        <f t="shared" si="63"/>
        <v>198.45306654336036</v>
      </c>
      <c r="L175" s="141">
        <f t="shared" si="54"/>
        <v>225.07210790955904</v>
      </c>
      <c r="M175" s="141">
        <f t="shared" si="56"/>
        <v>244.4586455338052</v>
      </c>
    </row>
    <row r="176" spans="4:13" ht="13.5" customHeight="1" hidden="1">
      <c r="D176" s="12" t="str">
        <f t="shared" si="63"/>
        <v>教員当研究経費</v>
      </c>
      <c r="E176" s="12">
        <f t="shared" si="63"/>
        <v>2828.8543140028287</v>
      </c>
      <c r="F176" s="12">
        <f t="shared" si="63"/>
        <v>3105.5555555555557</v>
      </c>
      <c r="G176" s="12">
        <f t="shared" si="63"/>
        <v>2814.9717514124295</v>
      </c>
      <c r="H176" s="12">
        <f t="shared" si="63"/>
        <v>576.1316872427983</v>
      </c>
      <c r="I176" s="12">
        <f t="shared" si="63"/>
        <v>4829.326923076923</v>
      </c>
      <c r="J176" s="12">
        <f t="shared" si="63"/>
        <v>6563.8766519823785</v>
      </c>
      <c r="K176" s="12">
        <f t="shared" si="63"/>
        <v>5966.838377334192</v>
      </c>
      <c r="L176" s="140">
        <f t="shared" si="54"/>
        <v>3812.2221800867296</v>
      </c>
      <c r="M176" s="140">
        <f t="shared" si="56"/>
        <v>2916.460540323604</v>
      </c>
    </row>
    <row r="177" spans="4:13" ht="13.5" customHeight="1" hidden="1">
      <c r="D177" s="12" t="str">
        <f t="shared" si="63"/>
        <v>教員当広義研究経費（科研費を含まず）</v>
      </c>
      <c r="E177" s="12">
        <f t="shared" si="63"/>
        <v>4420.08486562942</v>
      </c>
      <c r="F177" s="12">
        <f t="shared" si="63"/>
        <v>4191.666666666667</v>
      </c>
      <c r="G177" s="12">
        <f t="shared" si="63"/>
        <v>4533.8983050847455</v>
      </c>
      <c r="H177" s="12">
        <f t="shared" si="63"/>
        <v>862.1399176954733</v>
      </c>
      <c r="I177" s="12">
        <f t="shared" si="63"/>
        <v>8850.961538461539</v>
      </c>
      <c r="J177" s="12">
        <f t="shared" si="63"/>
        <v>11864.31718061674</v>
      </c>
      <c r="K177" s="12">
        <f t="shared" si="63"/>
        <v>10119.446233097231</v>
      </c>
      <c r="L177" s="140">
        <f t="shared" si="54"/>
        <v>6406.073529607403</v>
      </c>
      <c r="M177" s="140">
        <f t="shared" si="56"/>
        <v>4381.883279126944</v>
      </c>
    </row>
    <row r="178" spans="4:13" ht="13.5" customHeight="1" hidden="1">
      <c r="D178" s="12" t="str">
        <f aca="true" t="shared" si="64" ref="D178:K178">D120</f>
        <v>教員当外部資金獲得額（科研費を含まず）</v>
      </c>
      <c r="E178" s="12">
        <f t="shared" si="64"/>
        <v>1992.927864214993</v>
      </c>
      <c r="F178" s="12">
        <f>F120</f>
        <v>1923.611111111111</v>
      </c>
      <c r="G178" s="12">
        <f t="shared" si="64"/>
        <v>1966.1016949152543</v>
      </c>
      <c r="H178" s="12">
        <f t="shared" si="64"/>
        <v>384.77366255144034</v>
      </c>
      <c r="I178" s="12">
        <f t="shared" si="64"/>
        <v>5372.596153846154</v>
      </c>
      <c r="J178" s="12">
        <f t="shared" si="64"/>
        <v>7305.726872246696</v>
      </c>
      <c r="K178" s="12">
        <f t="shared" si="64"/>
        <v>5740.824211204121</v>
      </c>
      <c r="L178" s="141">
        <f t="shared" si="54"/>
        <v>3526.651652869967</v>
      </c>
      <c r="M178" s="141">
        <f t="shared" si="56"/>
        <v>1960.8802234137863</v>
      </c>
    </row>
    <row r="179" ht="13.5" customHeight="1" hidden="1"/>
    <row r="180" ht="13.5" customHeight="1" hidden="1"/>
    <row r="181" ht="13.5" customHeight="1" hidden="1"/>
  </sheetData>
  <sheetProtection/>
  <mergeCells count="20">
    <mergeCell ref="B69:D69"/>
    <mergeCell ref="B36:D36"/>
    <mergeCell ref="B2:D2"/>
    <mergeCell ref="A3:A4"/>
    <mergeCell ref="A20:A21"/>
    <mergeCell ref="B33:D33"/>
    <mergeCell ref="B34:D34"/>
    <mergeCell ref="A114:C114"/>
    <mergeCell ref="C97:C99"/>
    <mergeCell ref="C100:D100"/>
    <mergeCell ref="A71:A72"/>
    <mergeCell ref="C78:D78"/>
    <mergeCell ref="B81:B88"/>
    <mergeCell ref="C82:C87"/>
    <mergeCell ref="B90:B100"/>
    <mergeCell ref="C90:D90"/>
    <mergeCell ref="C91:D91"/>
    <mergeCell ref="C92:C94"/>
    <mergeCell ref="C95:D95"/>
    <mergeCell ref="C96:D96"/>
  </mergeCells>
  <conditionalFormatting sqref="L43:M43">
    <cfRule type="top10" priority="87" dxfId="0" rank="1"/>
  </conditionalFormatting>
  <conditionalFormatting sqref="L44:M44">
    <cfRule type="top10" priority="86" dxfId="0" rank="1"/>
  </conditionalFormatting>
  <conditionalFormatting sqref="L45:M45">
    <cfRule type="top10" priority="85" dxfId="0" rank="1"/>
  </conditionalFormatting>
  <conditionalFormatting sqref="L46:M46">
    <cfRule type="top10" priority="84" dxfId="0" rank="1"/>
  </conditionalFormatting>
  <conditionalFormatting sqref="L47:M47">
    <cfRule type="top10" priority="83" dxfId="0" rank="1"/>
  </conditionalFormatting>
  <conditionalFormatting sqref="L48:M48">
    <cfRule type="top10" priority="82" dxfId="0" rank="1"/>
  </conditionalFormatting>
  <conditionalFormatting sqref="L49:M49">
    <cfRule type="top10" priority="81" dxfId="0" rank="1"/>
  </conditionalFormatting>
  <conditionalFormatting sqref="L50:M50">
    <cfRule type="top10" priority="80" dxfId="0" rank="1"/>
  </conditionalFormatting>
  <conditionalFormatting sqref="L51:M51">
    <cfRule type="top10" priority="79" dxfId="0" rank="1"/>
  </conditionalFormatting>
  <conditionalFormatting sqref="L52:M52">
    <cfRule type="top10" priority="78" dxfId="0" rank="1"/>
  </conditionalFormatting>
  <conditionalFormatting sqref="L55:M55">
    <cfRule type="top10" priority="77" dxfId="0" rank="1"/>
  </conditionalFormatting>
  <conditionalFormatting sqref="L56:M57">
    <cfRule type="top10" priority="76" dxfId="0" rank="1"/>
  </conditionalFormatting>
  <conditionalFormatting sqref="L58:M58">
    <cfRule type="top10" priority="75" dxfId="0" rank="1"/>
  </conditionalFormatting>
  <conditionalFormatting sqref="L59:M59">
    <cfRule type="top10" priority="74" dxfId="0" rank="1"/>
  </conditionalFormatting>
  <conditionalFormatting sqref="L60:M60">
    <cfRule type="top10" priority="73" dxfId="0" rank="1"/>
  </conditionalFormatting>
  <conditionalFormatting sqref="L61:M61">
    <cfRule type="top10" priority="72" dxfId="0" rank="1"/>
  </conditionalFormatting>
  <conditionalFormatting sqref="L62:M62">
    <cfRule type="top10" priority="71" dxfId="0" rank="1"/>
  </conditionalFormatting>
  <conditionalFormatting sqref="L63:M63">
    <cfRule type="top10" priority="70" dxfId="0" rank="1"/>
  </conditionalFormatting>
  <conditionalFormatting sqref="L64:M64">
    <cfRule type="top10" priority="69" dxfId="0" rank="1"/>
  </conditionalFormatting>
  <conditionalFormatting sqref="L65:M67">
    <cfRule type="top10" priority="68" dxfId="0" rank="1"/>
  </conditionalFormatting>
  <conditionalFormatting sqref="L53:M53">
    <cfRule type="top10" priority="67" dxfId="0" rank="1"/>
  </conditionalFormatting>
  <conditionalFormatting sqref="L105:M105">
    <cfRule type="top10" priority="66" dxfId="0" rank="1"/>
  </conditionalFormatting>
  <conditionalFormatting sqref="L107:M107">
    <cfRule type="top10" priority="65" dxfId="0" rank="1" bottom="1"/>
  </conditionalFormatting>
  <conditionalFormatting sqref="L106:M106">
    <cfRule type="top10" priority="64" dxfId="0" rank="1" bottom="1"/>
  </conditionalFormatting>
  <conditionalFormatting sqref="L108:M108">
    <cfRule type="top10" priority="63" dxfId="0" rank="1" bottom="1"/>
  </conditionalFormatting>
  <conditionalFormatting sqref="L109:M109">
    <cfRule type="top10" priority="62" dxfId="0" rank="1"/>
  </conditionalFormatting>
  <conditionalFormatting sqref="L110:M110">
    <cfRule type="top10" priority="61" dxfId="0" rank="1"/>
  </conditionalFormatting>
  <conditionalFormatting sqref="L111:M111">
    <cfRule type="top10" priority="60" dxfId="0" rank="1" bottom="1"/>
  </conditionalFormatting>
  <conditionalFormatting sqref="L112:M112">
    <cfRule type="top10" priority="59" dxfId="0" rank="1"/>
  </conditionalFormatting>
  <conditionalFormatting sqref="L113:M113">
    <cfRule type="top10" priority="58" dxfId="0" rank="1"/>
  </conditionalFormatting>
  <conditionalFormatting sqref="L114:M114">
    <cfRule type="top10" priority="57" dxfId="0" rank="1"/>
  </conditionalFormatting>
  <conditionalFormatting sqref="L115:M115">
    <cfRule type="top10" priority="56" dxfId="0" rank="1"/>
  </conditionalFormatting>
  <conditionalFormatting sqref="L116:M117">
    <cfRule type="top10" priority="55" dxfId="0" rank="1" bottom="1"/>
  </conditionalFormatting>
  <conditionalFormatting sqref="L118:M118">
    <cfRule type="top10" priority="54" dxfId="0" rank="1" bottom="1"/>
  </conditionalFormatting>
  <conditionalFormatting sqref="L119:M119">
    <cfRule type="top10" priority="53" dxfId="0" rank="1"/>
  </conditionalFormatting>
  <conditionalFormatting sqref="L120:M120">
    <cfRule type="top10" priority="52" dxfId="0" rank="1"/>
  </conditionalFormatting>
  <conditionalFormatting sqref="L164:M164">
    <cfRule type="top10" priority="51" dxfId="0" rank="1"/>
  </conditionalFormatting>
  <conditionalFormatting sqref="L166:M166">
    <cfRule type="top10" priority="50" dxfId="0" rank="1" bottom="1"/>
  </conditionalFormatting>
  <conditionalFormatting sqref="L165:M165">
    <cfRule type="top10" priority="49" dxfId="0" rank="1" bottom="1"/>
  </conditionalFormatting>
  <conditionalFormatting sqref="L167:M167">
    <cfRule type="top10" priority="48" dxfId="0" rank="1" bottom="1"/>
  </conditionalFormatting>
  <conditionalFormatting sqref="L168:M168">
    <cfRule type="top10" priority="47" dxfId="0" rank="1"/>
  </conditionalFormatting>
  <conditionalFormatting sqref="L169:M169">
    <cfRule type="top10" priority="46" dxfId="0" rank="1"/>
  </conditionalFormatting>
  <conditionalFormatting sqref="L170:M170">
    <cfRule type="top10" priority="45" dxfId="0" rank="1" bottom="1"/>
  </conditionalFormatting>
  <conditionalFormatting sqref="L171:M171">
    <cfRule type="top10" priority="44" dxfId="0" rank="1"/>
  </conditionalFormatting>
  <conditionalFormatting sqref="L172:M172">
    <cfRule type="top10" priority="43" dxfId="0" rank="1"/>
  </conditionalFormatting>
  <conditionalFormatting sqref="L173:M173">
    <cfRule type="top10" priority="42" dxfId="0" rank="1"/>
  </conditionalFormatting>
  <conditionalFormatting sqref="L174:M174">
    <cfRule type="top10" priority="41" dxfId="0" rank="1"/>
  </conditionalFormatting>
  <conditionalFormatting sqref="L175:M175">
    <cfRule type="top10" priority="40" dxfId="0" rank="1" bottom="1"/>
  </conditionalFormatting>
  <conditionalFormatting sqref="L176:M176">
    <cfRule type="top10" priority="39" dxfId="0" rank="1" bottom="1"/>
  </conditionalFormatting>
  <conditionalFormatting sqref="L177:M177">
    <cfRule type="top10" priority="38" dxfId="0" rank="1"/>
  </conditionalFormatting>
  <conditionalFormatting sqref="L178:M178">
    <cfRule type="top10" priority="37" dxfId="0" rank="1"/>
  </conditionalFormatting>
  <conditionalFormatting sqref="E43:K43">
    <cfRule type="top10" priority="36" dxfId="0" rank="1"/>
  </conditionalFormatting>
  <conditionalFormatting sqref="E44:K44">
    <cfRule type="top10" priority="35" dxfId="0" rank="1"/>
  </conditionalFormatting>
  <conditionalFormatting sqref="E45:K45">
    <cfRule type="top10" priority="34" dxfId="0" rank="1"/>
  </conditionalFormatting>
  <conditionalFormatting sqref="E46:K46">
    <cfRule type="top10" priority="33" dxfId="0" rank="1"/>
  </conditionalFormatting>
  <conditionalFormatting sqref="E47:K47">
    <cfRule type="top10" priority="32" dxfId="0" rank="1"/>
  </conditionalFormatting>
  <conditionalFormatting sqref="E48:K48">
    <cfRule type="top10" priority="31" dxfId="0" rank="1"/>
  </conditionalFormatting>
  <conditionalFormatting sqref="E49:K49">
    <cfRule type="top10" priority="30" dxfId="0" rank="1"/>
  </conditionalFormatting>
  <conditionalFormatting sqref="E50:K50">
    <cfRule type="top10" priority="29" dxfId="0" rank="1"/>
  </conditionalFormatting>
  <conditionalFormatting sqref="E51:K51">
    <cfRule type="top10" priority="28" dxfId="0" rank="1"/>
  </conditionalFormatting>
  <conditionalFormatting sqref="E52:K52">
    <cfRule type="top10" priority="27" dxfId="0" rank="1"/>
  </conditionalFormatting>
  <conditionalFormatting sqref="E55:K55">
    <cfRule type="top10" priority="26" dxfId="0" rank="1"/>
  </conditionalFormatting>
  <conditionalFormatting sqref="E56:K57">
    <cfRule type="top10" priority="25" dxfId="0" rank="1"/>
  </conditionalFormatting>
  <conditionalFormatting sqref="E58:K58">
    <cfRule type="top10" priority="24" dxfId="0" rank="1"/>
  </conditionalFormatting>
  <conditionalFormatting sqref="E59:K59">
    <cfRule type="top10" priority="23" dxfId="0" rank="1"/>
  </conditionalFormatting>
  <conditionalFormatting sqref="E60:K60">
    <cfRule type="top10" priority="22" dxfId="0" rank="1"/>
  </conditionalFormatting>
  <conditionalFormatting sqref="E61:K61">
    <cfRule type="top10" priority="21" dxfId="0" rank="1"/>
  </conditionalFormatting>
  <conditionalFormatting sqref="E62:K62">
    <cfRule type="top10" priority="20" dxfId="0" rank="1"/>
  </conditionalFormatting>
  <conditionalFormatting sqref="E63:K63">
    <cfRule type="top10" priority="19" dxfId="0" rank="1"/>
  </conditionalFormatting>
  <conditionalFormatting sqref="E64:K64">
    <cfRule type="top10" priority="18" dxfId="0" rank="1"/>
  </conditionalFormatting>
  <conditionalFormatting sqref="E65:K67">
    <cfRule type="top10" priority="17" dxfId="0" rank="1"/>
  </conditionalFormatting>
  <conditionalFormatting sqref="E53:K53">
    <cfRule type="top10" priority="16" dxfId="0" rank="1"/>
  </conditionalFormatting>
  <printOptions horizontalCentered="1"/>
  <pageMargins left="0.1968503937007874" right="0.1968503937007874" top="0.4724409448818898" bottom="0.3937007874015748" header="0.3149606299212598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悠輔</dc:creator>
  <cp:keywords/>
  <dc:description/>
  <cp:lastModifiedBy>大阪府庁</cp:lastModifiedBy>
  <cp:lastPrinted>2012-07-27T03:58:32Z</cp:lastPrinted>
  <dcterms:created xsi:type="dcterms:W3CDTF">2011-10-05T01:43:47Z</dcterms:created>
  <dcterms:modified xsi:type="dcterms:W3CDTF">2012-08-02T02:13:53Z</dcterms:modified>
  <cp:category/>
  <cp:version/>
  <cp:contentType/>
  <cp:contentStatus/>
</cp:coreProperties>
</file>